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autoCompressPictures="0"/>
  <mc:AlternateContent xmlns:mc="http://schemas.openxmlformats.org/markup-compatibility/2006">
    <mc:Choice Requires="x15">
      <x15ac:absPath xmlns:x15ac="http://schemas.microsoft.com/office/spreadsheetml/2010/11/ac" url="G:\(0) ULI COMPETITION\(0) ULI FINALS SUBMISSION\(0) Final\"/>
    </mc:Choice>
  </mc:AlternateContent>
  <xr:revisionPtr revIDLastSave="0" documentId="8_{0C4CBC40-464F-4511-9141-DF33ACC9FE6E}" xr6:coauthVersionLast="47" xr6:coauthVersionMax="47" xr10:uidLastSave="{00000000-0000-0000-0000-000000000000}"/>
  <bookViews>
    <workbookView xWindow="-120" yWindow="-120" windowWidth="29040" windowHeight="15720" tabRatio="1000" activeTab="1" xr2:uid="{00000000-000D-0000-FFFF-FFFF00000000}"/>
  </bookViews>
  <sheets>
    <sheet name="Development Program" sheetId="140" r:id="rId1"/>
    <sheet name="Assumptions" sheetId="142" r:id="rId2"/>
    <sheet name="Market Research" sheetId="198" r:id="rId3"/>
    <sheet name="Sources, Uses, Phasing" sheetId="199" r:id="rId4"/>
    <sheet name="All Components Draw" sheetId="159" r:id="rId5"/>
    <sheet name="Site 1 - Financial" sheetId="171" r:id="rId6"/>
    <sheet name="Site 1 - Draw" sheetId="170" r:id="rId7"/>
    <sheet name="Site 2 - Financial" sheetId="186" r:id="rId8"/>
    <sheet name="Site 2 - Draw" sheetId="187" r:id="rId9"/>
    <sheet name="Site 3 - Financial" sheetId="188" r:id="rId10"/>
    <sheet name="Site 3 - Draw" sheetId="189" r:id="rId11"/>
    <sheet name="Site 4 - Financial" sheetId="177" r:id="rId12"/>
    <sheet name="Site 4 - Draw" sheetId="178" r:id="rId13"/>
    <sheet name="Site 5 - Financial" sheetId="180" r:id="rId14"/>
    <sheet name="Site 5 - Draw" sheetId="181" r:id="rId15"/>
    <sheet name="Site 6 - Financial" sheetId="184" r:id="rId16"/>
    <sheet name="Site 6 - Draw" sheetId="185" r:id="rId17"/>
    <sheet name="Site 7 - Financial" sheetId="196" r:id="rId18"/>
    <sheet name="Site 7 - Draw" sheetId="197" r:id="rId19"/>
    <sheet name="Market Comparables - Hospitalit" sheetId="174" state="hidden" r:id="rId20"/>
    <sheet name="Types of Development" sheetId="163"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a1" hidden="1">{"Assump",#N/A,TRUE,"Proforma";"first",#N/A,TRUE,"Proforma";"second",#N/A,TRUE,"Proforma";"lease1",#N/A,TRUE,"Proforma";"lease2",#N/A,TRUE,"Proforma"}</definedName>
    <definedName name="__a1" hidden="1">{"Assump",#N/A,TRUE,"Proforma";"first",#N/A,TRUE,"Proforma";"second",#N/A,TRUE,"Proforma";"lease1",#N/A,TRUE,"Proforma";"lease2",#N/A,TRUE,"Proforma"}</definedName>
    <definedName name="_Fill" localSheetId="0" hidden="1">[1]A!#REF!</definedName>
    <definedName name="_Fill" localSheetId="5" hidden="1">[1]A!#REF!</definedName>
    <definedName name="_Fill" localSheetId="7" hidden="1">[1]A!#REF!</definedName>
    <definedName name="_Fill" localSheetId="9" hidden="1">[1]A!#REF!</definedName>
    <definedName name="_Fill" localSheetId="11" hidden="1">[1]A!#REF!</definedName>
    <definedName name="_Fill" localSheetId="13" hidden="1">[1]A!#REF!</definedName>
    <definedName name="_Fill" localSheetId="15" hidden="1">[1]A!#REF!</definedName>
    <definedName name="_Fill" localSheetId="17" hidden="1">[1]A!#REF!</definedName>
    <definedName name="_Fill" hidden="1">[1]A!#REF!</definedName>
    <definedName name="_Key1" localSheetId="0" hidden="1">'[2]H-INPUT'!#REF!</definedName>
    <definedName name="_Key1" localSheetId="5" hidden="1">'[2]H-INPUT'!#REF!</definedName>
    <definedName name="_Key1" localSheetId="7" hidden="1">'[2]H-INPUT'!#REF!</definedName>
    <definedName name="_Key1" localSheetId="9" hidden="1">'[2]H-INPUT'!#REF!</definedName>
    <definedName name="_Key1" localSheetId="11" hidden="1">'[2]H-INPUT'!#REF!</definedName>
    <definedName name="_Key1" localSheetId="13" hidden="1">'[2]H-INPUT'!#REF!</definedName>
    <definedName name="_Key1" localSheetId="15" hidden="1">'[2]H-INPUT'!#REF!</definedName>
    <definedName name="_Key1" localSheetId="17" hidden="1">'[2]H-INPUT'!#REF!</definedName>
    <definedName name="_Key1" hidden="1">'[2]H-INPUT'!#REF!</definedName>
    <definedName name="_Key2" localSheetId="0" hidden="1">#REF!</definedName>
    <definedName name="_Key2" localSheetId="5" hidden="1">#REF!</definedName>
    <definedName name="_Key2" localSheetId="7" hidden="1">#REF!</definedName>
    <definedName name="_Key2" localSheetId="9" hidden="1">#REF!</definedName>
    <definedName name="_Key2" localSheetId="11" hidden="1">#REF!</definedName>
    <definedName name="_Key2" localSheetId="13" hidden="1">#REF!</definedName>
    <definedName name="_Key2" localSheetId="15" hidden="1">#REF!</definedName>
    <definedName name="_Key2" localSheetId="17" hidden="1">#REF!</definedName>
    <definedName name="_Key2" hidden="1">#REF!</definedName>
    <definedName name="_Order1" hidden="1">255</definedName>
    <definedName name="_Order2" hidden="1">255</definedName>
    <definedName name="_Sort" localSheetId="0" hidden="1">#REF!</definedName>
    <definedName name="_Sort" localSheetId="5" hidden="1">#REF!</definedName>
    <definedName name="_Sort" localSheetId="7" hidden="1">#REF!</definedName>
    <definedName name="_Sort" localSheetId="9" hidden="1">#REF!</definedName>
    <definedName name="_Sort" localSheetId="11" hidden="1">#REF!</definedName>
    <definedName name="_Sort" localSheetId="13" hidden="1">#REF!</definedName>
    <definedName name="_Sort" localSheetId="15" hidden="1">#REF!</definedName>
    <definedName name="_Sort" localSheetId="17" hidden="1">#REF!</definedName>
    <definedName name="_Sort" hidden="1">#REF!</definedName>
    <definedName name="_Table1_In1" localSheetId="0" hidden="1">#REF!</definedName>
    <definedName name="_Table1_In1" localSheetId="5" hidden="1">#REF!</definedName>
    <definedName name="_Table1_In1" localSheetId="7" hidden="1">#REF!</definedName>
    <definedName name="_Table1_In1" localSheetId="9" hidden="1">#REF!</definedName>
    <definedName name="_Table1_In1" localSheetId="11" hidden="1">#REF!</definedName>
    <definedName name="_Table1_In1" localSheetId="13" hidden="1">#REF!</definedName>
    <definedName name="_Table1_In1" localSheetId="15" hidden="1">#REF!</definedName>
    <definedName name="_Table1_In1" localSheetId="17" hidden="1">#REF!</definedName>
    <definedName name="_Table1_In1" hidden="1">#REF!</definedName>
    <definedName name="_Table1_Out" localSheetId="0" hidden="1">#REF!</definedName>
    <definedName name="_Table1_Out" localSheetId="5" hidden="1">#REF!</definedName>
    <definedName name="_Table1_Out" localSheetId="7" hidden="1">#REF!</definedName>
    <definedName name="_Table1_Out" localSheetId="9" hidden="1">#REF!</definedName>
    <definedName name="_Table1_Out" localSheetId="11" hidden="1">#REF!</definedName>
    <definedName name="_Table1_Out" localSheetId="13" hidden="1">#REF!</definedName>
    <definedName name="_Table1_Out" localSheetId="15" hidden="1">#REF!</definedName>
    <definedName name="_Table1_Out" localSheetId="17" hidden="1">#REF!</definedName>
    <definedName name="_Table1_Out" hidden="1">#REF!</definedName>
    <definedName name="_Table2_Out" localSheetId="0" hidden="1">[3]General!#REF!</definedName>
    <definedName name="_Table2_Out" localSheetId="5" hidden="1">[3]General!#REF!</definedName>
    <definedName name="_Table2_Out" localSheetId="7" hidden="1">[3]General!#REF!</definedName>
    <definedName name="_Table2_Out" localSheetId="9" hidden="1">[3]General!#REF!</definedName>
    <definedName name="_Table2_Out" localSheetId="11" hidden="1">[3]General!#REF!</definedName>
    <definedName name="_Table2_Out" localSheetId="13" hidden="1">[3]General!#REF!</definedName>
    <definedName name="_Table2_Out" localSheetId="15" hidden="1">[3]General!#REF!</definedName>
    <definedName name="_Table2_Out" localSheetId="17" hidden="1">[3]General!#REF!</definedName>
    <definedName name="_Table2_Out" hidden="1">[3]General!#REF!</definedName>
    <definedName name="_x1" hidden="1">{#N/A,#N/A,FALSE,"WATCHDSC";#N/A,#N/A,FALSE,"2LOSSMOD";#N/A,#N/A,FALSE,"2LOSS";#N/A,#N/A,FALSE,"DSC";#N/A,#N/A,FALSE,"OPERAT";#N/A,#N/A,FALSE,"ADJUST";#N/A,#N/A,FALSE,"LEASE EXPIRE"}</definedName>
    <definedName name="_x2" hidden="1">{#N/A,#N/A,FALSE,"WATCHDSC";#N/A,#N/A,FALSE,"2LOSSMOD";#N/A,#N/A,FALSE,"2LOSS";#N/A,#N/A,FALSE,"DSC";#N/A,#N/A,FALSE,"OPERAT";#N/A,#N/A,FALSE,"ADJUST";#N/A,#N/A,FALSE,"LEASE EXPIRE"}</definedName>
    <definedName name="_x3" hidden="1">{#N/A,#N/A,FALSE,"WATCHDSC";#N/A,#N/A,FALSE,"2LOSSMOD";#N/A,#N/A,FALSE,"2LOSS";#N/A,#N/A,FALSE,"DSC";#N/A,#N/A,FALSE,"OPERAT";#N/A,#N/A,FALSE,"ADJUST";#N/A,#N/A,FALSE,"LEASE EXPIRE"}</definedName>
    <definedName name="a" hidden="1">{"Assump",#N/A,TRUE,"Proforma";"first",#N/A,TRUE,"Proforma";"second",#N/A,TRUE,"Proforma";"lease1",#N/A,TRUE,"Proforma";"lease2",#N/A,TRUE,"Proforma"}</definedName>
    <definedName name="aa" hidden="1">{#N/A,#N/A,FALSE,"Exec Sum";#N/A,#N/A,FALSE,"Rent Rate Comp";#N/A,#N/A,FALSE,"Rate, NPV Comp";#N/A,#N/A,FALSE,"Opt A NNN";#N/A,#N/A,FALSE,"15-yr Opt. A Sum";#N/A,#N/A,FALSE,"15-yr Opt A Other Costs";#N/A,#N/A,FALSE,"10-yr Opt. A Sum";#N/A,#N/A,FALSE,"10-yr Opt A Other Costs";#N/A,#N/A,FALSE,"NPV Calc"}</definedName>
    <definedName name="AADSFD" localSheetId="0">[4]Frontsheet!#REF!</definedName>
    <definedName name="AADSFD" localSheetId="5">[4]Frontsheet!#REF!</definedName>
    <definedName name="AADSFD" localSheetId="7">[4]Frontsheet!#REF!</definedName>
    <definedName name="AADSFD" localSheetId="9">[4]Frontsheet!#REF!</definedName>
    <definedName name="AADSFD" localSheetId="11">[4]Frontsheet!#REF!</definedName>
    <definedName name="AADSFD" localSheetId="13">[4]Frontsheet!#REF!</definedName>
    <definedName name="AADSFD" localSheetId="15">[4]Frontsheet!#REF!</definedName>
    <definedName name="AADSFD" localSheetId="17">[4]Frontsheet!#REF!</definedName>
    <definedName name="AADSFD">[4]Frontsheet!#REF!</definedName>
    <definedName name="ac" localSheetId="0">[4]Frontsheet!#REF!</definedName>
    <definedName name="ac" localSheetId="5">[4]Frontsheet!#REF!</definedName>
    <definedName name="ac" localSheetId="7">[4]Frontsheet!#REF!</definedName>
    <definedName name="ac" localSheetId="9">[4]Frontsheet!#REF!</definedName>
    <definedName name="ac" localSheetId="11">[4]Frontsheet!#REF!</definedName>
    <definedName name="ac" localSheetId="13">[4]Frontsheet!#REF!</definedName>
    <definedName name="ac" localSheetId="15">[4]Frontsheet!#REF!</definedName>
    <definedName name="ac" localSheetId="17">[4]Frontsheet!#REF!</definedName>
    <definedName name="ac">[4]Frontsheet!#REF!</definedName>
    <definedName name="alt" localSheetId="0">[4]Frontsheet!#REF!</definedName>
    <definedName name="alt" localSheetId="5">[4]Frontsheet!#REF!</definedName>
    <definedName name="alt" localSheetId="7">[4]Frontsheet!#REF!</definedName>
    <definedName name="alt" localSheetId="9">[4]Frontsheet!#REF!</definedName>
    <definedName name="alt" localSheetId="11">[4]Frontsheet!#REF!</definedName>
    <definedName name="alt" localSheetId="13">[4]Frontsheet!#REF!</definedName>
    <definedName name="alt" localSheetId="15">[4]Frontsheet!#REF!</definedName>
    <definedName name="alt" localSheetId="17">[4]Frontsheet!#REF!</definedName>
    <definedName name="alt">[4]Frontsheet!#REF!</definedName>
    <definedName name="anscount" hidden="1">1</definedName>
    <definedName name="ASA" localSheetId="0">[4]Frontsheet!#REF!</definedName>
    <definedName name="ASA" localSheetId="5">[4]Frontsheet!#REF!</definedName>
    <definedName name="ASA" localSheetId="7">[4]Frontsheet!#REF!</definedName>
    <definedName name="ASA" localSheetId="9">[4]Frontsheet!#REF!</definedName>
    <definedName name="ASA" localSheetId="11">[4]Frontsheet!#REF!</definedName>
    <definedName name="ASA" localSheetId="13">[4]Frontsheet!#REF!</definedName>
    <definedName name="ASA" localSheetId="15">[4]Frontsheet!#REF!</definedName>
    <definedName name="ASA" localSheetId="17">[4]Frontsheet!#REF!</definedName>
    <definedName name="ASA">[4]Frontsheet!#REF!</definedName>
    <definedName name="aw" localSheetId="0">[4]Frontsheet!#REF!</definedName>
    <definedName name="aw" localSheetId="5">[4]Frontsheet!#REF!</definedName>
    <definedName name="aw" localSheetId="7">[4]Frontsheet!#REF!</definedName>
    <definedName name="aw" localSheetId="9">[4]Frontsheet!#REF!</definedName>
    <definedName name="aw" localSheetId="11">[4]Frontsheet!#REF!</definedName>
    <definedName name="aw" localSheetId="13">[4]Frontsheet!#REF!</definedName>
    <definedName name="aw" localSheetId="15">[4]Frontsheet!#REF!</definedName>
    <definedName name="aw" localSheetId="17">[4]Frontsheet!#REF!</definedName>
    <definedName name="aw">[4]Frontsheet!#REF!</definedName>
    <definedName name="b" hidden="1">{"Assump",#N/A,TRUE,"Proforma";"first",#N/A,TRUE,"Proforma";"second",#N/A,TRUE,"Proforma";"lease1",#N/A,TRUE,"Proforma";"lease2",#N/A,TRUE,"Proforma"}</definedName>
    <definedName name="Body">'[5]Equity Investor Sheet 2538'!$A$7:$J$18</definedName>
    <definedName name="costcode">'[6]Pursuit_Expenses by cost code'!$A$5:$F$155</definedName>
    <definedName name="cs" localSheetId="0">[4]Frontsheet!#REF!</definedName>
    <definedName name="cs" localSheetId="5">[4]Frontsheet!#REF!</definedName>
    <definedName name="cs" localSheetId="7">[4]Frontsheet!#REF!</definedName>
    <definedName name="cs" localSheetId="9">[4]Frontsheet!#REF!</definedName>
    <definedName name="cs" localSheetId="11">[4]Frontsheet!#REF!</definedName>
    <definedName name="cs" localSheetId="13">[4]Frontsheet!#REF!</definedName>
    <definedName name="cs" localSheetId="15">[4]Frontsheet!#REF!</definedName>
    <definedName name="cs" localSheetId="17">[4]Frontsheet!#REF!</definedName>
    <definedName name="cs">[4]Frontsheet!#REF!</definedName>
    <definedName name="ct" localSheetId="0">[4]Frontsheet!#REF!</definedName>
    <definedName name="ct" localSheetId="5">[4]Frontsheet!#REF!</definedName>
    <definedName name="ct" localSheetId="7">[4]Frontsheet!#REF!</definedName>
    <definedName name="ct" localSheetId="9">[4]Frontsheet!#REF!</definedName>
    <definedName name="ct" localSheetId="11">[4]Frontsheet!#REF!</definedName>
    <definedName name="ct" localSheetId="13">[4]Frontsheet!#REF!</definedName>
    <definedName name="ct" localSheetId="15">[4]Frontsheet!#REF!</definedName>
    <definedName name="ct" localSheetId="17">[4]Frontsheet!#REF!</definedName>
    <definedName name="ct">[4]Frontsheet!#REF!</definedName>
    <definedName name="ddgfeerew" localSheetId="0">[4]Frontsheet!#REF!</definedName>
    <definedName name="ddgfeerew" localSheetId="5">[4]Frontsheet!#REF!</definedName>
    <definedName name="ddgfeerew" localSheetId="7">[4]Frontsheet!#REF!</definedName>
    <definedName name="ddgfeerew" localSheetId="9">[4]Frontsheet!#REF!</definedName>
    <definedName name="ddgfeerew" localSheetId="11">[4]Frontsheet!#REF!</definedName>
    <definedName name="ddgfeerew" localSheetId="13">[4]Frontsheet!#REF!</definedName>
    <definedName name="ddgfeerew" localSheetId="15">[4]Frontsheet!#REF!</definedName>
    <definedName name="ddgfeerew" localSheetId="17">[4]Frontsheet!#REF!</definedName>
    <definedName name="ddgfeerew">[4]Frontsheet!#REF!</definedName>
    <definedName name="dflt1">'[7]Customize Your Invoice'!$E$22</definedName>
    <definedName name="dflt5">'[7]Customize Your Invoice'!$E$27</definedName>
    <definedName name="dflt6">'[7]Customize Your Invoice'!$D$28</definedName>
    <definedName name="dfsdf" localSheetId="0">[4]Frontsheet!#REF!</definedName>
    <definedName name="dfsdf" localSheetId="5">[4]Frontsheet!#REF!</definedName>
    <definedName name="dfsdf" localSheetId="7">[4]Frontsheet!#REF!</definedName>
    <definedName name="dfsdf" localSheetId="9">[4]Frontsheet!#REF!</definedName>
    <definedName name="dfsdf" localSheetId="11">[4]Frontsheet!#REF!</definedName>
    <definedName name="dfsdf" localSheetId="13">[4]Frontsheet!#REF!</definedName>
    <definedName name="dfsdf" localSheetId="15">[4]Frontsheet!#REF!</definedName>
    <definedName name="dfsdf" localSheetId="17">[4]Frontsheet!#REF!</definedName>
    <definedName name="dfsdf">[4]Frontsheet!#REF!</definedName>
    <definedName name="dw" localSheetId="0">[4]Frontsheet!#REF!</definedName>
    <definedName name="dw" localSheetId="5">[4]Frontsheet!#REF!</definedName>
    <definedName name="dw" localSheetId="7">[4]Frontsheet!#REF!</definedName>
    <definedName name="dw" localSheetId="9">[4]Frontsheet!#REF!</definedName>
    <definedName name="dw" localSheetId="11">[4]Frontsheet!#REF!</definedName>
    <definedName name="dw" localSheetId="13">[4]Frontsheet!#REF!</definedName>
    <definedName name="dw" localSheetId="15">[4]Frontsheet!#REF!</definedName>
    <definedName name="dw" localSheetId="17">[4]Frontsheet!#REF!</definedName>
    <definedName name="dw">[4]Frontsheet!#REF!</definedName>
    <definedName name="ee" hidden="1">{"Assump",#N/A,TRUE,"Proforma";"first",#N/A,TRUE,"Proforma";"second",#N/A,TRUE,"Proforma";"lease1",#N/A,TRUE,"Proforma";"lease2",#N/A,TRUE,"Proforma"}</definedName>
    <definedName name="el" localSheetId="0">[4]Frontsheet!#REF!</definedName>
    <definedName name="el" localSheetId="5">[4]Frontsheet!#REF!</definedName>
    <definedName name="el" localSheetId="7">[4]Frontsheet!#REF!</definedName>
    <definedName name="el" localSheetId="9">[4]Frontsheet!#REF!</definedName>
    <definedName name="el" localSheetId="11">[4]Frontsheet!#REF!</definedName>
    <definedName name="el" localSheetId="13">[4]Frontsheet!#REF!</definedName>
    <definedName name="el" localSheetId="15">[4]Frontsheet!#REF!</definedName>
    <definedName name="el" localSheetId="17">[4]Frontsheet!#REF!</definedName>
    <definedName name="el">[4]Frontsheet!#REF!</definedName>
    <definedName name="ellen" hidden="1">{#N/A,#N/A,FALSE,"WATCHDSC";#N/A,#N/A,FALSE,"2LOSSMOD";#N/A,#N/A,FALSE,"2LOSS";#N/A,#N/A,FALSE,"DSC";#N/A,#N/A,FALSE,"OPERAT";#N/A,#N/A,FALSE,"ADJUST";#N/A,#N/A,FALSE,"LEASE EXPIRE"}</definedName>
    <definedName name="erasdf" hidden="1">{"Assump",#N/A,TRUE,"Proforma";"first",#N/A,TRUE,"Proforma";"second",#N/A,TRUE,"Proforma";"lease1",#N/A,TRUE,"Proforma";"lease2",#N/A,TRUE,"Proforma"}</definedName>
    <definedName name="EW" localSheetId="0">[4]Frontsheet!#REF!</definedName>
    <definedName name="EW" localSheetId="5">[4]Frontsheet!#REF!</definedName>
    <definedName name="EW" localSheetId="7">[4]Frontsheet!#REF!</definedName>
    <definedName name="EW" localSheetId="9">[4]Frontsheet!#REF!</definedName>
    <definedName name="EW" localSheetId="11">[4]Frontsheet!#REF!</definedName>
    <definedName name="EW" localSheetId="13">[4]Frontsheet!#REF!</definedName>
    <definedName name="EW" localSheetId="15">[4]Frontsheet!#REF!</definedName>
    <definedName name="EW" localSheetId="17">[4]Frontsheet!#REF!</definedName>
    <definedName name="EW">[4]Frontsheet!#REF!</definedName>
    <definedName name="f" localSheetId="0">[4]Frontsheet!#REF!</definedName>
    <definedName name="f" localSheetId="5">[4]Frontsheet!#REF!</definedName>
    <definedName name="f" localSheetId="7">[4]Frontsheet!#REF!</definedName>
    <definedName name="f" localSheetId="9">[4]Frontsheet!#REF!</definedName>
    <definedName name="f" localSheetId="11">[4]Frontsheet!#REF!</definedName>
    <definedName name="f" localSheetId="13">[4]Frontsheet!#REF!</definedName>
    <definedName name="f" localSheetId="15">[4]Frontsheet!#REF!</definedName>
    <definedName name="f" localSheetId="17">[4]Frontsheet!#REF!</definedName>
    <definedName name="f">[4]Frontsheet!#REF!</definedName>
    <definedName name="fe" localSheetId="0">[4]Frontsheet!#REF!</definedName>
    <definedName name="fe" localSheetId="5">[4]Frontsheet!#REF!</definedName>
    <definedName name="fe" localSheetId="7">[4]Frontsheet!#REF!</definedName>
    <definedName name="fe" localSheetId="9">[4]Frontsheet!#REF!</definedName>
    <definedName name="fe" localSheetId="11">[4]Frontsheet!#REF!</definedName>
    <definedName name="fe" localSheetId="13">[4]Frontsheet!#REF!</definedName>
    <definedName name="fe" localSheetId="15">[4]Frontsheet!#REF!</definedName>
    <definedName name="fe" localSheetId="17">[4]Frontsheet!#REF!</definedName>
    <definedName name="fe">[4]Frontsheet!#REF!</definedName>
    <definedName name="FFFFF" localSheetId="0">[4]Frontsheet!#REF!</definedName>
    <definedName name="FFFFF" localSheetId="5">[4]Frontsheet!#REF!</definedName>
    <definedName name="FFFFF" localSheetId="7">[4]Frontsheet!#REF!</definedName>
    <definedName name="FFFFF" localSheetId="9">[4]Frontsheet!#REF!</definedName>
    <definedName name="FFFFF" localSheetId="11">[4]Frontsheet!#REF!</definedName>
    <definedName name="FFFFF" localSheetId="13">[4]Frontsheet!#REF!</definedName>
    <definedName name="FFFFF" localSheetId="15">[4]Frontsheet!#REF!</definedName>
    <definedName name="FFFFF" localSheetId="17">[4]Frontsheet!#REF!</definedName>
    <definedName name="FFFFF">[4]Frontsheet!#REF!</definedName>
    <definedName name="FJHJ" localSheetId="0">[4]Frontsheet!#REF!</definedName>
    <definedName name="FJHJ" localSheetId="5">[4]Frontsheet!#REF!</definedName>
    <definedName name="FJHJ" localSheetId="7">[4]Frontsheet!#REF!</definedName>
    <definedName name="FJHJ" localSheetId="9">[4]Frontsheet!#REF!</definedName>
    <definedName name="FJHJ" localSheetId="11">[4]Frontsheet!#REF!</definedName>
    <definedName name="FJHJ" localSheetId="13">[4]Frontsheet!#REF!</definedName>
    <definedName name="FJHJ" localSheetId="15">[4]Frontsheet!#REF!</definedName>
    <definedName name="FJHJ" localSheetId="17">[4]Frontsheet!#REF!</definedName>
    <definedName name="FJHJ">[4]Frontsheet!#REF!</definedName>
    <definedName name="fo" localSheetId="0">#REF!</definedName>
    <definedName name="fo" localSheetId="5">#REF!</definedName>
    <definedName name="fo" localSheetId="7">#REF!</definedName>
    <definedName name="fo" localSheetId="9">#REF!</definedName>
    <definedName name="fo" localSheetId="11">#REF!</definedName>
    <definedName name="fo" localSheetId="13">#REF!</definedName>
    <definedName name="fo" localSheetId="15">#REF!</definedName>
    <definedName name="fo" localSheetId="17">#REF!</definedName>
    <definedName name="fo">#REF!</definedName>
    <definedName name="FORM" localSheetId="0">#REF!</definedName>
    <definedName name="FORM" localSheetId="5">#REF!</definedName>
    <definedName name="FORM" localSheetId="7">#REF!</definedName>
    <definedName name="FORM" localSheetId="9">#REF!</definedName>
    <definedName name="FORM" localSheetId="11">#REF!</definedName>
    <definedName name="FORM" localSheetId="13">#REF!</definedName>
    <definedName name="FORM" localSheetId="15">#REF!</definedName>
    <definedName name="FORM" localSheetId="17">#REF!</definedName>
    <definedName name="FORM">#REF!</definedName>
    <definedName name="FURYUR" localSheetId="0">[4]Frontsheet!#REF!</definedName>
    <definedName name="FURYUR" localSheetId="5">[4]Frontsheet!#REF!</definedName>
    <definedName name="FURYUR" localSheetId="7">[4]Frontsheet!#REF!</definedName>
    <definedName name="FURYUR" localSheetId="9">[4]Frontsheet!#REF!</definedName>
    <definedName name="FURYUR" localSheetId="11">[4]Frontsheet!#REF!</definedName>
    <definedName name="FURYUR" localSheetId="13">[4]Frontsheet!#REF!</definedName>
    <definedName name="FURYUR" localSheetId="15">[4]Frontsheet!#REF!</definedName>
    <definedName name="FURYUR" localSheetId="17">[4]Frontsheet!#REF!</definedName>
    <definedName name="FURYUR">[4]Frontsheet!#REF!</definedName>
    <definedName name="gl" localSheetId="0">[4]Frontsheet!#REF!</definedName>
    <definedName name="gl" localSheetId="5">[4]Frontsheet!#REF!</definedName>
    <definedName name="gl" localSheetId="7">[4]Frontsheet!#REF!</definedName>
    <definedName name="gl" localSheetId="9">[4]Frontsheet!#REF!</definedName>
    <definedName name="gl" localSheetId="11">[4]Frontsheet!#REF!</definedName>
    <definedName name="gl" localSheetId="13">[4]Frontsheet!#REF!</definedName>
    <definedName name="gl" localSheetId="15">[4]Frontsheet!#REF!</definedName>
    <definedName name="gl" localSheetId="17">[4]Frontsheet!#REF!</definedName>
    <definedName name="gl">[4]Frontsheet!#REF!</definedName>
    <definedName name="h" localSheetId="0">[4]Frontsheet!#REF!</definedName>
    <definedName name="h" localSheetId="5">[4]Frontsheet!#REF!</definedName>
    <definedName name="h" localSheetId="7">[4]Frontsheet!#REF!</definedName>
    <definedName name="h" localSheetId="9">[4]Frontsheet!#REF!</definedName>
    <definedName name="h" localSheetId="11">[4]Frontsheet!#REF!</definedName>
    <definedName name="h" localSheetId="13">[4]Frontsheet!#REF!</definedName>
    <definedName name="h" localSheetId="15">[4]Frontsheet!#REF!</definedName>
    <definedName name="h" localSheetId="17">[4]Frontsheet!#REF!</definedName>
    <definedName name="h">[4]Frontsheet!#REF!</definedName>
    <definedName name="hjkhjlkgg" localSheetId="0">[4]Frontsheet!#REF!</definedName>
    <definedName name="hjkhjlkgg" localSheetId="5">[4]Frontsheet!#REF!</definedName>
    <definedName name="hjkhjlkgg" localSheetId="7">[4]Frontsheet!#REF!</definedName>
    <definedName name="hjkhjlkgg" localSheetId="9">[4]Frontsheet!#REF!</definedName>
    <definedName name="hjkhjlkgg" localSheetId="11">[4]Frontsheet!#REF!</definedName>
    <definedName name="hjkhjlkgg" localSheetId="13">[4]Frontsheet!#REF!</definedName>
    <definedName name="hjkhjlkgg" localSheetId="15">[4]Frontsheet!#REF!</definedName>
    <definedName name="hjkhjlkgg" localSheetId="17">[4]Frontsheet!#REF!</definedName>
    <definedName name="hjkhjlkgg">[4]Frontsheet!#REF!</definedName>
    <definedName name="jkjkl" localSheetId="0">[4]Frontsheet!#REF!</definedName>
    <definedName name="jkjkl" localSheetId="5">[4]Frontsheet!#REF!</definedName>
    <definedName name="jkjkl" localSheetId="7">[4]Frontsheet!#REF!</definedName>
    <definedName name="jkjkl" localSheetId="9">[4]Frontsheet!#REF!</definedName>
    <definedName name="jkjkl" localSheetId="11">[4]Frontsheet!#REF!</definedName>
    <definedName name="jkjkl" localSheetId="13">[4]Frontsheet!#REF!</definedName>
    <definedName name="jkjkl" localSheetId="15">[4]Frontsheet!#REF!</definedName>
    <definedName name="jkjkl" localSheetId="17">[4]Frontsheet!#REF!</definedName>
    <definedName name="jkjkl">[4]Frontsheet!#REF!</definedName>
    <definedName name="kb" localSheetId="0">[4]Frontsheet!#REF!</definedName>
    <definedName name="kb" localSheetId="5">[4]Frontsheet!#REF!</definedName>
    <definedName name="kb" localSheetId="7">[4]Frontsheet!#REF!</definedName>
    <definedName name="kb" localSheetId="9">[4]Frontsheet!#REF!</definedName>
    <definedName name="kb" localSheetId="11">[4]Frontsheet!#REF!</definedName>
    <definedName name="kb" localSheetId="13">[4]Frontsheet!#REF!</definedName>
    <definedName name="kb" localSheetId="15">[4]Frontsheet!#REF!</definedName>
    <definedName name="kb" localSheetId="17">[4]Frontsheet!#REF!</definedName>
    <definedName name="kb">[4]Frontsheet!#REF!</definedName>
    <definedName name="ke" localSheetId="0">[4]Frontsheet!#REF!</definedName>
    <definedName name="ke" localSheetId="5">[4]Frontsheet!#REF!</definedName>
    <definedName name="ke" localSheetId="7">[4]Frontsheet!#REF!</definedName>
    <definedName name="ke" localSheetId="9">[4]Frontsheet!#REF!</definedName>
    <definedName name="ke" localSheetId="11">[4]Frontsheet!#REF!</definedName>
    <definedName name="ke" localSheetId="13">[4]Frontsheet!#REF!</definedName>
    <definedName name="ke" localSheetId="15">[4]Frontsheet!#REF!</definedName>
    <definedName name="ke" localSheetId="17">[4]Frontsheet!#REF!</definedName>
    <definedName name="ke">[4]Frontsheet!#REF!</definedName>
    <definedName name="lk" localSheetId="0">[4]Frontsheet!#REF!</definedName>
    <definedName name="lk" localSheetId="5">[4]Frontsheet!#REF!</definedName>
    <definedName name="lk" localSheetId="7">[4]Frontsheet!#REF!</definedName>
    <definedName name="lk" localSheetId="9">[4]Frontsheet!#REF!</definedName>
    <definedName name="lk" localSheetId="11">[4]Frontsheet!#REF!</definedName>
    <definedName name="lk" localSheetId="13">[4]Frontsheet!#REF!</definedName>
    <definedName name="lk" localSheetId="15">[4]Frontsheet!#REF!</definedName>
    <definedName name="lk" localSheetId="17">[4]Frontsheet!#REF!</definedName>
    <definedName name="lk">[4]Frontsheet!#REF!</definedName>
    <definedName name="memo_description">[6]Lists!$D$4:$D$10</definedName>
    <definedName name="ml" localSheetId="0">[4]Frontsheet!#REF!</definedName>
    <definedName name="ml" localSheetId="5">[4]Frontsheet!#REF!</definedName>
    <definedName name="ml" localSheetId="7">[4]Frontsheet!#REF!</definedName>
    <definedName name="ml" localSheetId="9">[4]Frontsheet!#REF!</definedName>
    <definedName name="ml" localSheetId="11">[4]Frontsheet!#REF!</definedName>
    <definedName name="ml" localSheetId="13">[4]Frontsheet!#REF!</definedName>
    <definedName name="ml" localSheetId="15">[4]Frontsheet!#REF!</definedName>
    <definedName name="ml" localSheetId="17">[4]Frontsheet!#REF!</definedName>
    <definedName name="ml">[4]Frontsheet!#REF!</definedName>
    <definedName name="mw" localSheetId="0">[4]Frontsheet!#REF!</definedName>
    <definedName name="mw" localSheetId="5">[4]Frontsheet!#REF!</definedName>
    <definedName name="mw" localSheetId="7">[4]Frontsheet!#REF!</definedName>
    <definedName name="mw" localSheetId="9">[4]Frontsheet!#REF!</definedName>
    <definedName name="mw" localSheetId="11">[4]Frontsheet!#REF!</definedName>
    <definedName name="mw" localSheetId="13">[4]Frontsheet!#REF!</definedName>
    <definedName name="mw" localSheetId="15">[4]Frontsheet!#REF!</definedName>
    <definedName name="mw" localSheetId="17">[4]Frontsheet!#REF!</definedName>
    <definedName name="mw">[4]Frontsheet!#REF!</definedName>
    <definedName name="NEWDRAW" localSheetId="0">#REF!</definedName>
    <definedName name="NEWDRAW" localSheetId="5">#REF!</definedName>
    <definedName name="NEWDRAW" localSheetId="7">#REF!</definedName>
    <definedName name="NEWDRAW" localSheetId="9">#REF!</definedName>
    <definedName name="NEWDRAW" localSheetId="11">#REF!</definedName>
    <definedName name="NEWDRAW" localSheetId="13">#REF!</definedName>
    <definedName name="NEWDRAW" localSheetId="15">#REF!</definedName>
    <definedName name="NEWDRAW" localSheetId="17">#REF!</definedName>
    <definedName name="NEWDRAW">#REF!</definedName>
    <definedName name="NvsEndTime">36465.4707604167</definedName>
    <definedName name="os" localSheetId="0">[4]Frontsheet!#REF!</definedName>
    <definedName name="os" localSheetId="5">[4]Frontsheet!#REF!</definedName>
    <definedName name="os" localSheetId="7">[4]Frontsheet!#REF!</definedName>
    <definedName name="os" localSheetId="9">[4]Frontsheet!#REF!</definedName>
    <definedName name="os" localSheetId="11">[4]Frontsheet!#REF!</definedName>
    <definedName name="os" localSheetId="13">[4]Frontsheet!#REF!</definedName>
    <definedName name="os" localSheetId="15">[4]Frontsheet!#REF!</definedName>
    <definedName name="os" localSheetId="17">[4]Frontsheet!#REF!</definedName>
    <definedName name="os">[4]Frontsheet!#REF!</definedName>
    <definedName name="p" localSheetId="0">[4]Frontsheet!#REF!</definedName>
    <definedName name="p" localSheetId="5">[4]Frontsheet!#REF!</definedName>
    <definedName name="p" localSheetId="7">[4]Frontsheet!#REF!</definedName>
    <definedName name="p" localSheetId="9">[4]Frontsheet!#REF!</definedName>
    <definedName name="p" localSheetId="11">[4]Frontsheet!#REF!</definedName>
    <definedName name="p" localSheetId="13">[4]Frontsheet!#REF!</definedName>
    <definedName name="p" localSheetId="15">[4]Frontsheet!#REF!</definedName>
    <definedName name="p" localSheetId="17">[4]Frontsheet!#REF!</definedName>
    <definedName name="p">[4]Frontsheet!#REF!</definedName>
    <definedName name="pa" localSheetId="0">[4]Frontsheet!#REF!</definedName>
    <definedName name="pa" localSheetId="5">[4]Frontsheet!#REF!</definedName>
    <definedName name="pa" localSheetId="7">[4]Frontsheet!#REF!</definedName>
    <definedName name="pa" localSheetId="9">[4]Frontsheet!#REF!</definedName>
    <definedName name="pa" localSheetId="11">[4]Frontsheet!#REF!</definedName>
    <definedName name="pa" localSheetId="13">[4]Frontsheet!#REF!</definedName>
    <definedName name="pa" localSheetId="15">[4]Frontsheet!#REF!</definedName>
    <definedName name="pa" localSheetId="17">[4]Frontsheet!#REF!</definedName>
    <definedName name="pa">[4]Frontsheet!#REF!</definedName>
    <definedName name="PD" localSheetId="0">#REF!</definedName>
    <definedName name="PD" localSheetId="5">#REF!</definedName>
    <definedName name="PD" localSheetId="7">#REF!</definedName>
    <definedName name="PD" localSheetId="9">#REF!</definedName>
    <definedName name="PD" localSheetId="11">#REF!</definedName>
    <definedName name="PD" localSheetId="13">#REF!</definedName>
    <definedName name="PD" localSheetId="15">#REF!</definedName>
    <definedName name="PD" localSheetId="17">#REF!</definedName>
    <definedName name="PD">#REF!</definedName>
    <definedName name="pipeline_status">[6]Lists!$F$4:$F$8</definedName>
    <definedName name="pp" localSheetId="0">[4]Frontsheet!#REF!</definedName>
    <definedName name="pp" localSheetId="5">[4]Frontsheet!#REF!</definedName>
    <definedName name="pp" localSheetId="7">[4]Frontsheet!#REF!</definedName>
    <definedName name="pp" localSheetId="9">[4]Frontsheet!#REF!</definedName>
    <definedName name="pp" localSheetId="11">[4]Frontsheet!#REF!</definedName>
    <definedName name="pp" localSheetId="13">[4]Frontsheet!#REF!</definedName>
    <definedName name="pp" localSheetId="15">[4]Frontsheet!#REF!</definedName>
    <definedName name="pp" localSheetId="17">[4]Frontsheet!#REF!</definedName>
    <definedName name="pp">[4]Frontsheet!#REF!</definedName>
    <definedName name="_xlnm.Print_Area" localSheetId="0">'Development Program'!$B$2:$Q$34</definedName>
    <definedName name="_xlnm.Print_Area" localSheetId="19">'Market Comparables - Hospitalit'!$B$2:$N$26</definedName>
    <definedName name="_xlnm.Print_Area" localSheetId="6">'Site 1 - Draw'!$B$2:$AQ$72</definedName>
    <definedName name="_xlnm.Print_Area" localSheetId="5">'Site 1 - Financial'!$B$1:$F$71</definedName>
    <definedName name="_xlnm.Print_Area" localSheetId="8">'Site 2 - Draw'!$B$2:$AP$73</definedName>
    <definedName name="_xlnm.Print_Area" localSheetId="7">'Site 2 - Financial'!$B$1:$F$72</definedName>
    <definedName name="_xlnm.Print_Area" localSheetId="10">'Site 3 - Draw'!$B$2:$AQ$79</definedName>
    <definedName name="_xlnm.Print_Area" localSheetId="9">'Site 3 - Financial'!$B$1:$F$72</definedName>
    <definedName name="_xlnm.Print_Area" localSheetId="12">'Site 4 - Draw'!$B$2:$AQ$71</definedName>
    <definedName name="_xlnm.Print_Area" localSheetId="11">'Site 4 - Financial'!$B$1:$F$65</definedName>
    <definedName name="_xlnm.Print_Area" localSheetId="14">'Site 5 - Draw'!$B$2:$AQ$80</definedName>
    <definedName name="_xlnm.Print_Area" localSheetId="13">'Site 5 - Financial'!$B$1:$F$72</definedName>
    <definedName name="_xlnm.Print_Area" localSheetId="16">'Site 6 - Draw'!$B$2:$AQ$71</definedName>
    <definedName name="_xlnm.Print_Area" localSheetId="15">'Site 6 - Financial'!$B$1:$F$65</definedName>
    <definedName name="_xlnm.Print_Area" localSheetId="18">'Site 7 - Draw'!$B$2:$BP$73</definedName>
    <definedName name="_xlnm.Print_Area" localSheetId="17">'Site 7 - Financial'!$B$1:$F$65</definedName>
    <definedName name="_xlnm.Print_Area">#REF!</definedName>
    <definedName name="print_area2" localSheetId="0">#REF!</definedName>
    <definedName name="print_area2" localSheetId="5">#REF!</definedName>
    <definedName name="print_area2" localSheetId="7">#REF!</definedName>
    <definedName name="print_area2" localSheetId="9">#REF!</definedName>
    <definedName name="print_area2" localSheetId="11">#REF!</definedName>
    <definedName name="print_area2" localSheetId="13">#REF!</definedName>
    <definedName name="print_area2" localSheetId="15">#REF!</definedName>
    <definedName name="print_area2" localSheetId="17">#REF!</definedName>
    <definedName name="print_area2">#REF!</definedName>
    <definedName name="print_area3" localSheetId="0">#REF!</definedName>
    <definedName name="print_area3" localSheetId="5">#REF!</definedName>
    <definedName name="print_area3" localSheetId="7">#REF!</definedName>
    <definedName name="print_area3" localSheetId="9">#REF!</definedName>
    <definedName name="print_area3" localSheetId="11">#REF!</definedName>
    <definedName name="print_area3" localSheetId="13">#REF!</definedName>
    <definedName name="print_area3" localSheetId="15">#REF!</definedName>
    <definedName name="print_area3" localSheetId="17">#REF!</definedName>
    <definedName name="print_area3">#REF!</definedName>
    <definedName name="print_area4" localSheetId="0">#REF!</definedName>
    <definedName name="print_area4" localSheetId="5">#REF!</definedName>
    <definedName name="print_area4" localSheetId="7">#REF!</definedName>
    <definedName name="print_area4" localSheetId="9">#REF!</definedName>
    <definedName name="print_area4" localSheetId="11">#REF!</definedName>
    <definedName name="print_area4" localSheetId="13">#REF!</definedName>
    <definedName name="print_area4" localSheetId="15">#REF!</definedName>
    <definedName name="print_area4" localSheetId="17">#REF!</definedName>
    <definedName name="print_area4">#REF!</definedName>
    <definedName name="_xlnm.Print_Titles">#N/A</definedName>
    <definedName name="PROFORMA" localSheetId="0">#REF!</definedName>
    <definedName name="PROFORMA" localSheetId="5">#REF!</definedName>
    <definedName name="PROFORMA" localSheetId="7">#REF!</definedName>
    <definedName name="PROFORMA" localSheetId="9">#REF!</definedName>
    <definedName name="PROFORMA" localSheetId="11">#REF!</definedName>
    <definedName name="PROFORMA" localSheetId="13">#REF!</definedName>
    <definedName name="PROFORMA" localSheetId="15">#REF!</definedName>
    <definedName name="PROFORMA" localSheetId="17">#REF!</definedName>
    <definedName name="PROFORMA">#REF!</definedName>
    <definedName name="Promote_dev_1">[6]Input!$E$330</definedName>
    <definedName name="Property_Types">'[8]Deal Assumptions'!$G$345:$Z$345</definedName>
    <definedName name="pt" localSheetId="0">[4]Frontsheet!#REF!</definedName>
    <definedName name="pt" localSheetId="5">[4]Frontsheet!#REF!</definedName>
    <definedName name="pt" localSheetId="7">[4]Frontsheet!#REF!</definedName>
    <definedName name="pt" localSheetId="9">[4]Frontsheet!#REF!</definedName>
    <definedName name="pt" localSheetId="11">[4]Frontsheet!#REF!</definedName>
    <definedName name="pt" localSheetId="13">[4]Frontsheet!#REF!</definedName>
    <definedName name="pt" localSheetId="15">[4]Frontsheet!#REF!</definedName>
    <definedName name="pt" localSheetId="17">[4]Frontsheet!#REF!</definedName>
    <definedName name="pt">[4]Frontsheet!#REF!</definedName>
    <definedName name="qq" localSheetId="0">#REF!</definedName>
    <definedName name="qq" localSheetId="5">#REF!</definedName>
    <definedName name="qq" localSheetId="7">#REF!</definedName>
    <definedName name="qq" localSheetId="9">#REF!</definedName>
    <definedName name="qq" localSheetId="11">#REF!</definedName>
    <definedName name="qq" localSheetId="13">#REF!</definedName>
    <definedName name="qq" localSheetId="15">#REF!</definedName>
    <definedName name="qq" localSheetId="17">#REF!</definedName>
    <definedName name="qq">#REF!</definedName>
    <definedName name="report" hidden="1">{#N/A,#N/A,FALSE,"Summary";#N/A,#N/A,FALSE,"Assumptions";#N/A,#N/A,FALSE,"Cash Flow";#N/A,#N/A,FALSE,"Residual Calculation";#N/A,#N/A,FALSE,"Pricing Matrix";#N/A,#N/A,FALSE,"Pricing Matrix II";#N/A,#N/A,FALSE,"Expiration Schedule"}</definedName>
    <definedName name="rf" localSheetId="0">[4]Frontsheet!#REF!</definedName>
    <definedName name="rf" localSheetId="5">[4]Frontsheet!#REF!</definedName>
    <definedName name="rf" localSheetId="7">[4]Frontsheet!#REF!</definedName>
    <definedName name="rf" localSheetId="9">[4]Frontsheet!#REF!</definedName>
    <definedName name="rf" localSheetId="11">[4]Frontsheet!#REF!</definedName>
    <definedName name="rf" localSheetId="13">[4]Frontsheet!#REF!</definedName>
    <definedName name="rf" localSheetId="15">[4]Frontsheet!#REF!</definedName>
    <definedName name="rf" localSheetId="17">[4]Frontsheet!#REF!</definedName>
    <definedName name="rf">[4]Frontsheet!#REF!</definedName>
    <definedName name="S_U" localSheetId="0">#REF!</definedName>
    <definedName name="S_U" localSheetId="5">#REF!</definedName>
    <definedName name="S_U" localSheetId="7">#REF!</definedName>
    <definedName name="S_U" localSheetId="9">#REF!</definedName>
    <definedName name="S_U" localSheetId="11">#REF!</definedName>
    <definedName name="S_U" localSheetId="13">#REF!</definedName>
    <definedName name="S_U" localSheetId="15">#REF!</definedName>
    <definedName name="S_U" localSheetId="17">#REF!</definedName>
    <definedName name="S_U">#REF!</definedName>
    <definedName name="Sample1" localSheetId="0">[9]Template!#REF!</definedName>
    <definedName name="Sample1" localSheetId="5">[9]Template!#REF!</definedName>
    <definedName name="Sample1" localSheetId="7">[9]Template!#REF!</definedName>
    <definedName name="Sample1" localSheetId="9">[9]Template!#REF!</definedName>
    <definedName name="Sample1" localSheetId="11">[9]Template!#REF!</definedName>
    <definedName name="Sample1" localSheetId="13">[9]Template!#REF!</definedName>
    <definedName name="Sample1" localSheetId="15">[9]Template!#REF!</definedName>
    <definedName name="Sample1" localSheetId="17">[9]Template!#REF!</definedName>
    <definedName name="Sample1">[9]Template!#REF!</definedName>
    <definedName name="sample2" localSheetId="0">[10]Template!#REF!</definedName>
    <definedName name="sample2" localSheetId="5">[10]Template!#REF!</definedName>
    <definedName name="sample2" localSheetId="7">[10]Template!#REF!</definedName>
    <definedName name="sample2" localSheetId="9">[10]Template!#REF!</definedName>
    <definedName name="sample2" localSheetId="11">[10]Template!#REF!</definedName>
    <definedName name="sample2" localSheetId="13">[10]Template!#REF!</definedName>
    <definedName name="sample2" localSheetId="15">[10]Template!#REF!</definedName>
    <definedName name="sample2" localSheetId="17">[10]Template!#REF!</definedName>
    <definedName name="sample2">[10]Template!#REF!</definedName>
    <definedName name="sample3" localSheetId="0">[10]Template!#REF!</definedName>
    <definedName name="sample3" localSheetId="5">[10]Template!#REF!</definedName>
    <definedName name="sample3" localSheetId="7">[10]Template!#REF!</definedName>
    <definedName name="sample3" localSheetId="9">[10]Template!#REF!</definedName>
    <definedName name="sample3" localSheetId="11">[10]Template!#REF!</definedName>
    <definedName name="sample3" localSheetId="13">[10]Template!#REF!</definedName>
    <definedName name="sample3" localSheetId="15">[10]Template!#REF!</definedName>
    <definedName name="sample3" localSheetId="17">[10]Template!#REF!</definedName>
    <definedName name="sample3">[10]Template!#REF!</definedName>
    <definedName name="sdf" hidden="1">{"Assump",#N/A,TRUE,"Proforma";"first",#N/A,TRUE,"Proforma";"second",#N/A,TRUE,"Proforma";"lease1",#N/A,TRUE,"Proforma";"lease2",#N/A,TRUE,"Proforma"}</definedName>
    <definedName name="sdfgsfgdsfg" localSheetId="0">[4]Frontsheet!#REF!</definedName>
    <definedName name="sdfgsfgdsfg" localSheetId="5">[4]Frontsheet!#REF!</definedName>
    <definedName name="sdfgsfgdsfg" localSheetId="7">[4]Frontsheet!#REF!</definedName>
    <definedName name="sdfgsfgdsfg" localSheetId="9">[4]Frontsheet!#REF!</definedName>
    <definedName name="sdfgsfgdsfg" localSheetId="11">[4]Frontsheet!#REF!</definedName>
    <definedName name="sdfgsfgdsfg" localSheetId="13">[4]Frontsheet!#REF!</definedName>
    <definedName name="sdfgsfgdsfg" localSheetId="15">[4]Frontsheet!#REF!</definedName>
    <definedName name="sdfgsfgdsfg" localSheetId="17">[4]Frontsheet!#REF!</definedName>
    <definedName name="sdfgsfgdsfg">[4]Frontsheet!#REF!</definedName>
    <definedName name="SF">'[11]One Pager - Assumptions'!$H$31</definedName>
    <definedName name="sg" localSheetId="0">[4]Frontsheet!#REF!</definedName>
    <definedName name="sg" localSheetId="5">[4]Frontsheet!#REF!</definedName>
    <definedName name="sg" localSheetId="7">[4]Frontsheet!#REF!</definedName>
    <definedName name="sg" localSheetId="9">[4]Frontsheet!#REF!</definedName>
    <definedName name="sg" localSheetId="11">[4]Frontsheet!#REF!</definedName>
    <definedName name="sg" localSheetId="13">[4]Frontsheet!#REF!</definedName>
    <definedName name="sg" localSheetId="15">[4]Frontsheet!#REF!</definedName>
    <definedName name="sg" localSheetId="17">[4]Frontsheet!#REF!</definedName>
    <definedName name="sg">[4]Frontsheet!#REF!</definedName>
    <definedName name="si" localSheetId="0">[4]Frontsheet!#REF!</definedName>
    <definedName name="si" localSheetId="5">[4]Frontsheet!#REF!</definedName>
    <definedName name="si" localSheetId="7">[4]Frontsheet!#REF!</definedName>
    <definedName name="si" localSheetId="9">[4]Frontsheet!#REF!</definedName>
    <definedName name="si" localSheetId="11">[4]Frontsheet!#REF!</definedName>
    <definedName name="si" localSheetId="13">[4]Frontsheet!#REF!</definedName>
    <definedName name="si" localSheetId="15">[4]Frontsheet!#REF!</definedName>
    <definedName name="si" localSheetId="17">[4]Frontsheet!#REF!</definedName>
    <definedName name="si">[4]Frontsheet!#REF!</definedName>
    <definedName name="tp" localSheetId="0">[4]Frontsheet!#REF!</definedName>
    <definedName name="tp" localSheetId="5">[4]Frontsheet!#REF!</definedName>
    <definedName name="tp" localSheetId="7">[4]Frontsheet!#REF!</definedName>
    <definedName name="tp" localSheetId="9">[4]Frontsheet!#REF!</definedName>
    <definedName name="tp" localSheetId="11">[4]Frontsheet!#REF!</definedName>
    <definedName name="tp" localSheetId="13">[4]Frontsheet!#REF!</definedName>
    <definedName name="tp" localSheetId="15">[4]Frontsheet!#REF!</definedName>
    <definedName name="tp" localSheetId="17">[4]Frontsheet!#REF!</definedName>
    <definedName name="tp">[4]Frontsheet!#REF!</definedName>
    <definedName name="Trended_hard_cost">[6]Input!$K$47</definedName>
    <definedName name="trended_partner_contributions" localSheetId="0">'[6]Trended Cash Flow'!#REF!</definedName>
    <definedName name="trended_partner_contributions" localSheetId="5">'[6]Trended Cash Flow'!#REF!</definedName>
    <definedName name="trended_partner_contributions" localSheetId="7">'[6]Trended Cash Flow'!#REF!</definedName>
    <definedName name="trended_partner_contributions" localSheetId="9">'[6]Trended Cash Flow'!#REF!</definedName>
    <definedName name="trended_partner_contributions" localSheetId="11">'[6]Trended Cash Flow'!#REF!</definedName>
    <definedName name="trended_partner_contributions" localSheetId="13">'[6]Trended Cash Flow'!#REF!</definedName>
    <definedName name="trended_partner_contributions" localSheetId="15">'[6]Trended Cash Flow'!#REF!</definedName>
    <definedName name="trended_partner_contributions" localSheetId="17">'[6]Trended Cash Flow'!#REF!</definedName>
    <definedName name="trended_partner_contributions">'[6]Trended Cash Flow'!#REF!</definedName>
    <definedName name="TT" localSheetId="0">[4]Frontsheet!#REF!</definedName>
    <definedName name="TT" localSheetId="5">[4]Frontsheet!#REF!</definedName>
    <definedName name="TT" localSheetId="7">[4]Frontsheet!#REF!</definedName>
    <definedName name="TT" localSheetId="9">[4]Frontsheet!#REF!</definedName>
    <definedName name="TT" localSheetId="11">[4]Frontsheet!#REF!</definedName>
    <definedName name="TT" localSheetId="13">[4]Frontsheet!#REF!</definedName>
    <definedName name="TT" localSheetId="15">[4]Frontsheet!#REF!</definedName>
    <definedName name="TT" localSheetId="17">[4]Frontsheet!#REF!</definedName>
    <definedName name="TT">[4]Frontsheet!#REF!</definedName>
    <definedName name="units">'[12]Equity Investor Sheet 2538'!$G$132</definedName>
    <definedName name="untrended_dates">'[6]Untrended Cash Flow'!$E$12:$BL$12</definedName>
    <definedName name="untrended_partner_contributions">'[6]Untrended Cash Flow'!$E$154:$BL$154</definedName>
    <definedName name="vital5">'[7]Customize Your Invoice'!$E$15</definedName>
    <definedName name="wetadf" hidden="1">{"Assump",#N/A,TRUE,"Proforma";"first",#N/A,TRUE,"Proforma";"second",#N/A,TRUE,"Proforma";"lease1",#N/A,TRUE,"Proforma";"lease2",#N/A,TRUE,"Proforma"}</definedName>
    <definedName name="wrn.BlackWhite." hidden="1">{#N/A,#N/A,FALSE,"NNN sum";#N/A,#N/A,FALSE,"10-yr Opt. A Sum";#N/A,#N/A,FALSE,"10-yr Opt A Other Costs";#N/A,#N/A,FALSE,"Purchase Sum";#N/A,#N/A,FALSE,"Purchase Other Costs"}</definedName>
    <definedName name="wrn.Complete._.Review." hidden="1">{#N/A,#N/A,FALSE,"Occ and Rate";#N/A,#N/A,FALSE,"PF Input";#N/A,#N/A,FALSE,"Capital Input";#N/A,#N/A,FALSE,"Proforma Five Yr";#N/A,#N/A,FALSE,"Calculations";#N/A,#N/A,FALSE,"Transaction Summary-DTW"}</definedName>
    <definedName name="wrn.cssa." hidden="1">{#N/A,#N/A,FALSE,"WATCHDSC";#N/A,#N/A,FALSE,"2LOSSMOD";#N/A,#N/A,FALSE,"2LOSS";#N/A,#N/A,FALSE,"DSC";#N/A,#N/A,FALSE,"OPERAT";#N/A,#N/A,FALSE,"ADJUST";#N/A,#N/A,FALSE,"LEASE EXPIRE"}</definedName>
    <definedName name="wrn.data." hidden="1">{"data",#N/A,FALSE,"INPUT"}</definedName>
    <definedName name="wrn.GSA._.PRINT." hidden="1">{#N/A,#N/A,FALSE,"DEV COSTS";#N/A,#N/A,FALSE,"10-YR C. F."}</definedName>
    <definedName name="wrn.Investment._.Review." hidden="1">{#N/A,#N/A,FALSE,"Proforma Five Yr";#N/A,#N/A,FALSE,"Capital Input";#N/A,#N/A,FALSE,"Calculations";#N/A,#N/A,FALSE,"Transaction Summary-DTW"}</definedName>
    <definedName name="wrn.MODEL." hidden="1">{"IS",#N/A,FALSE,"Income Statement";"ISR",#N/A,FALSE,"Income Statement Ratios";"BS",#N/A,FALSE,"Balance Sheet";"BSR",#N/A,FALSE,"Balance Sheet Ratios";"CF",#N/A,FALSE,"Cash Flow";"SALES",#N/A,FALSE,"Sales Analysis";"RR",#N/A,FALSE,"Recent Results"}</definedName>
    <definedName name="wrn.Operations._.Review." hidden="1">{#N/A,#N/A,FALSE,"Proforma Five Yr";#N/A,#N/A,FALSE,"Occ and Rate";#N/A,#N/A,FALSE,"PF Input";#N/A,#N/A,FALSE,"Hotcomps"}</definedName>
    <definedName name="wrn.Phase._.I." hidden="1">{#N/A,#N/A,FALSE,"Transaction Summary-DTW";#N/A,#N/A,FALSE,"Proforma Five Yr";#N/A,#N/A,FALSE,"Occ and Rate"}</definedName>
    <definedName name="wrn.print." hidden="1">{"Assump",#N/A,TRUE,"Proforma";"first",#N/A,TRUE,"Proforma";"second",#N/A,TRUE,"Proforma";"lease1",#N/A,TRUE,"Proforma";"lease2",#N/A,TRUE,"Proforma"}</definedName>
    <definedName name="wrn.Proforma._.Review." hidden="1">{#N/A,#N/A,FALSE,"Occ and Rate";#N/A,#N/A,FALSE,"PF Input";#N/A,#N/A,FALSE,"Proforma Five Yr";#N/A,#N/A,FALSE,"Hotcomps"}</definedName>
    <definedName name="wrn.Report." hidden="1">{#N/A,#N/A,FALSE,"Summary";#N/A,#N/A,FALSE,"Assumptions";#N/A,#N/A,FALSE,"Cash Flow";#N/A,#N/A,FALSE,"Residual Calculation";#N/A,#N/A,FALSE,"Pricing Matrix";#N/A,#N/A,FALSE,"Pricing Matrix II";#N/A,#N/A,FALSE,"Expiration Schedule"}</definedName>
    <definedName name="wrn.Total." hidden="1">{#N/A,#N/A,FALSE,"Exec Sum";#N/A,#N/A,FALSE,"Rent Rate Comp";#N/A,#N/A,FALSE,"Rate, NPV Comp";#N/A,#N/A,FALSE,"Opt A NNN";#N/A,#N/A,FALSE,"15-yr Opt. A Sum";#N/A,#N/A,FALSE,"15-yr Opt A Other Costs";#N/A,#N/A,FALSE,"10-yr Opt. A Sum";#N/A,#N/A,FALSE,"10-yr Opt A Other Costs";#N/A,#N/A,FALSE,"NPV Calc"}</definedName>
    <definedName name="wrn.TOTAL._.SHEETS." hidden="1">{#N/A,#N/A,FALSE,"DEV COSTS";#N/A,#N/A,FALSE,"10-YR C. F."}</definedName>
    <definedName name="wrn.WeeklyStatus." hidden="1">{#N/A,#N/A,FALSE,"StatusReport"}</definedName>
    <definedName name="wrn.YTD.Clsngs.Subdiv.Dte." hidden="1">{"Smry.sbtl.subdiv.clsdte",#N/A,FALSE,"97clsngs.612"}</definedName>
    <definedName name="x" hidden="1">{#N/A,#N/A,FALSE,"WATCHDSC";#N/A,#N/A,FALSE,"2LOSSMOD";#N/A,#N/A,FALSE,"2LOSS";#N/A,#N/A,FALSE,"DSC";#N/A,#N/A,FALSE,"OPERAT";#N/A,#N/A,FALSE,"ADJUST";#N/A,#N/A,FALSE,"LEASE EXPIRE"}</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2" i="140" l="1"/>
  <c r="O42" i="140"/>
  <c r="N42" i="140"/>
  <c r="M42" i="140"/>
  <c r="N8" i="140"/>
  <c r="I30" i="184"/>
  <c r="H33" i="181"/>
  <c r="H42" i="181"/>
  <c r="I30" i="177"/>
  <c r="I30" i="188"/>
  <c r="K41" i="140"/>
  <c r="J41" i="140"/>
  <c r="J42" i="140" s="1"/>
  <c r="H40" i="140"/>
  <c r="H41" i="140" s="1"/>
  <c r="K39" i="140"/>
  <c r="J39" i="140"/>
  <c r="I39" i="140"/>
  <c r="H39" i="140"/>
  <c r="K38" i="140"/>
  <c r="J38" i="140"/>
  <c r="K37" i="140"/>
  <c r="J37" i="140"/>
  <c r="K36" i="140"/>
  <c r="J36" i="140"/>
  <c r="I36" i="140"/>
  <c r="H36" i="140"/>
  <c r="K35" i="140"/>
  <c r="J35" i="140"/>
  <c r="I33" i="140"/>
  <c r="K33" i="140"/>
  <c r="J33" i="140"/>
  <c r="H33" i="140"/>
  <c r="I32" i="140"/>
  <c r="K32" i="140"/>
  <c r="J32" i="140"/>
  <c r="H32" i="140"/>
  <c r="O41" i="140"/>
  <c r="N41" i="140"/>
  <c r="M40" i="140"/>
  <c r="M41" i="140" s="1"/>
  <c r="L40" i="140"/>
  <c r="I40" i="140"/>
  <c r="Q39" i="140"/>
  <c r="Q41" i="140" s="1"/>
  <c r="P39" i="140"/>
  <c r="P41" i="140" s="1"/>
  <c r="M39" i="140"/>
  <c r="L39" i="140"/>
  <c r="O38" i="140"/>
  <c r="N38" i="140"/>
  <c r="Q37" i="140"/>
  <c r="P37" i="140"/>
  <c r="P38" i="140" s="1"/>
  <c r="M37" i="140"/>
  <c r="L37" i="140"/>
  <c r="Q36" i="140"/>
  <c r="P36" i="140"/>
  <c r="M36" i="140"/>
  <c r="M38" i="140" s="1"/>
  <c r="L36" i="140"/>
  <c r="L38" i="140" s="1"/>
  <c r="O34" i="140"/>
  <c r="N34" i="140"/>
  <c r="M34" i="140"/>
  <c r="L34" i="140"/>
  <c r="Q33" i="140"/>
  <c r="P33" i="140"/>
  <c r="O33" i="140"/>
  <c r="N33" i="140"/>
  <c r="M33" i="140"/>
  <c r="L33" i="140"/>
  <c r="Q32" i="140"/>
  <c r="Q35" i="140" s="1"/>
  <c r="P32" i="140"/>
  <c r="P35" i="140" s="1"/>
  <c r="O32" i="140"/>
  <c r="O35" i="140" s="1"/>
  <c r="N32" i="140"/>
  <c r="M32" i="140"/>
  <c r="L32" i="140"/>
  <c r="I35" i="140"/>
  <c r="H35" i="140"/>
  <c r="D12" i="140"/>
  <c r="G9" i="142"/>
  <c r="F9" i="142"/>
  <c r="K42" i="140" l="1"/>
  <c r="I41" i="140"/>
  <c r="H38" i="140"/>
  <c r="H42" i="140" s="1"/>
  <c r="L41" i="140"/>
  <c r="M35" i="140"/>
  <c r="Q38" i="140"/>
  <c r="Q42" i="140" s="1"/>
  <c r="N35" i="140"/>
  <c r="I38" i="140"/>
  <c r="I42" i="140" s="1"/>
  <c r="L35" i="140"/>
  <c r="L42" i="140" s="1"/>
  <c r="P42" i="140"/>
  <c r="H25" i="196"/>
  <c r="I25" i="196" s="1"/>
  <c r="J25" i="196" s="1"/>
  <c r="H25" i="184"/>
  <c r="I25" i="184" s="1"/>
  <c r="H25" i="180"/>
  <c r="I25" i="180" s="1"/>
  <c r="H25" i="177"/>
  <c r="I25" i="177" s="1"/>
  <c r="H25" i="188"/>
  <c r="I25" i="188" s="1"/>
  <c r="H25" i="186"/>
  <c r="I25" i="186" s="1"/>
  <c r="H25" i="171"/>
  <c r="I25" i="171" s="1"/>
  <c r="F54" i="181"/>
  <c r="I45" i="187"/>
  <c r="N20" i="159"/>
  <c r="M20" i="159"/>
  <c r="L20" i="159"/>
  <c r="K20" i="159"/>
  <c r="J20" i="159"/>
  <c r="F20" i="159"/>
  <c r="E20" i="159"/>
  <c r="N19" i="159"/>
  <c r="M19" i="159"/>
  <c r="L19" i="159"/>
  <c r="K19" i="159"/>
  <c r="E19" i="159"/>
  <c r="N18" i="159"/>
  <c r="M18" i="159"/>
  <c r="L18" i="159"/>
  <c r="K18" i="159"/>
  <c r="J18" i="159"/>
  <c r="I18" i="159"/>
  <c r="N17" i="159"/>
  <c r="M17" i="159"/>
  <c r="L17" i="159"/>
  <c r="K17" i="159"/>
  <c r="J17" i="159"/>
  <c r="I17" i="159"/>
  <c r="H17" i="159"/>
  <c r="G17" i="159"/>
  <c r="N16" i="159"/>
  <c r="M16" i="159"/>
  <c r="L16" i="159"/>
  <c r="K16" i="159"/>
  <c r="J16" i="159"/>
  <c r="I16" i="159"/>
  <c r="H16" i="159"/>
  <c r="N15" i="159"/>
  <c r="M15" i="159"/>
  <c r="G15" i="159"/>
  <c r="F15" i="159"/>
  <c r="E15" i="159"/>
  <c r="N14" i="159"/>
  <c r="M14" i="159"/>
  <c r="L14" i="159"/>
  <c r="K14" i="159"/>
  <c r="J14" i="159"/>
  <c r="I14" i="159"/>
  <c r="H14" i="159"/>
  <c r="D20" i="159"/>
  <c r="D19" i="159"/>
  <c r="D18" i="159"/>
  <c r="D15" i="159"/>
  <c r="N13" i="159"/>
  <c r="M13" i="159"/>
  <c r="C18" i="199"/>
  <c r="C17" i="199"/>
  <c r="N11" i="159"/>
  <c r="M11" i="159"/>
  <c r="L11" i="159"/>
  <c r="K11" i="159"/>
  <c r="J11" i="159"/>
  <c r="F11" i="159"/>
  <c r="E11" i="159"/>
  <c r="N10" i="159"/>
  <c r="M10" i="159"/>
  <c r="L10" i="159"/>
  <c r="K10" i="159"/>
  <c r="E10" i="159"/>
  <c r="N9" i="159"/>
  <c r="M9" i="159"/>
  <c r="L9" i="159"/>
  <c r="K9" i="159"/>
  <c r="J9" i="159"/>
  <c r="I9" i="159"/>
  <c r="N8" i="159"/>
  <c r="M8" i="159"/>
  <c r="L8" i="159"/>
  <c r="K8" i="159"/>
  <c r="J8" i="159"/>
  <c r="I8" i="159"/>
  <c r="H8" i="159"/>
  <c r="G8" i="159"/>
  <c r="N7" i="159"/>
  <c r="M7" i="159"/>
  <c r="L7" i="159"/>
  <c r="K7" i="159"/>
  <c r="J7" i="159"/>
  <c r="I7" i="159"/>
  <c r="H7" i="159"/>
  <c r="N6" i="159"/>
  <c r="M6" i="159"/>
  <c r="G6" i="159"/>
  <c r="F6" i="159"/>
  <c r="E6" i="159"/>
  <c r="N5" i="159"/>
  <c r="M5" i="159"/>
  <c r="L5" i="159"/>
  <c r="K5" i="159"/>
  <c r="J5" i="159"/>
  <c r="I5" i="159"/>
  <c r="H5" i="159"/>
  <c r="D11" i="159"/>
  <c r="D10" i="159"/>
  <c r="D9" i="159"/>
  <c r="D6" i="159"/>
  <c r="N4" i="159"/>
  <c r="M4" i="159"/>
  <c r="H11" i="140"/>
  <c r="H10" i="140"/>
  <c r="H9" i="140"/>
  <c r="H8" i="140"/>
  <c r="H7" i="140"/>
  <c r="H6" i="140"/>
  <c r="C37" i="140"/>
  <c r="C38" i="140" s="1"/>
  <c r="C29" i="196"/>
  <c r="J26" i="196"/>
  <c r="I7" i="196"/>
  <c r="E7" i="196"/>
  <c r="E6" i="196"/>
  <c r="E5" i="196"/>
  <c r="E4" i="196"/>
  <c r="C58" i="196" l="1"/>
  <c r="C62" i="196"/>
  <c r="F44" i="181"/>
  <c r="F46" i="181" s="1"/>
  <c r="E44" i="181"/>
  <c r="D44" i="181"/>
  <c r="F35" i="181"/>
  <c r="F37" i="181" s="1"/>
  <c r="E35" i="181"/>
  <c r="D35" i="181"/>
  <c r="C15" i="180"/>
  <c r="C32" i="140" s="1"/>
  <c r="C40" i="140" s="1"/>
  <c r="D14" i="180"/>
  <c r="D13" i="180"/>
  <c r="D12" i="180"/>
  <c r="D11" i="180"/>
  <c r="C8" i="180"/>
  <c r="C33" i="140" s="1"/>
  <c r="C41" i="140" s="1"/>
  <c r="E7" i="180"/>
  <c r="F7" i="180" s="1"/>
  <c r="D7" i="180"/>
  <c r="E6" i="180"/>
  <c r="F6" i="180" s="1"/>
  <c r="D6" i="180"/>
  <c r="E5" i="180"/>
  <c r="F5" i="180" s="1"/>
  <c r="D5" i="180"/>
  <c r="E4" i="180"/>
  <c r="F4" i="180" s="1"/>
  <c r="D4" i="180"/>
  <c r="C42" i="140" l="1"/>
  <c r="C34" i="140"/>
  <c r="D46" i="181"/>
  <c r="D47" i="181" s="1"/>
  <c r="D37" i="181"/>
  <c r="D38" i="181" s="1"/>
  <c r="E46" i="181"/>
  <c r="E37" i="181"/>
  <c r="G35" i="181"/>
  <c r="D15" i="180"/>
  <c r="D8" i="180"/>
  <c r="F8" i="180"/>
  <c r="C18" i="177"/>
  <c r="F45" i="181" l="1"/>
  <c r="C26" i="180"/>
  <c r="G9" i="140"/>
  <c r="G11" i="199" s="1"/>
  <c r="I4" i="180"/>
  <c r="H34" i="181"/>
  <c r="I34" i="181" s="1"/>
  <c r="E8" i="180"/>
  <c r="H32" i="181"/>
  <c r="G37" i="181"/>
  <c r="D13" i="188"/>
  <c r="H10" i="186"/>
  <c r="E7" i="186"/>
  <c r="E6" i="186"/>
  <c r="F6" i="186" s="1"/>
  <c r="E5" i="186"/>
  <c r="F5" i="186" s="1"/>
  <c r="D14" i="186"/>
  <c r="D13" i="186"/>
  <c r="D12" i="186"/>
  <c r="D11" i="186"/>
  <c r="D6" i="186"/>
  <c r="D5" i="186"/>
  <c r="D4" i="186"/>
  <c r="F4" i="186" s="1"/>
  <c r="D7" i="186"/>
  <c r="E14" i="186"/>
  <c r="E13" i="186"/>
  <c r="E12" i="186"/>
  <c r="E11" i="186"/>
  <c r="E4" i="186"/>
  <c r="C15" i="186"/>
  <c r="L42" i="187"/>
  <c r="C61" i="187"/>
  <c r="E14" i="188" l="1"/>
  <c r="F14" i="188" s="1"/>
  <c r="E14" i="180"/>
  <c r="F14" i="180" s="1"/>
  <c r="F13" i="186"/>
  <c r="E13" i="180"/>
  <c r="F13" i="180" s="1"/>
  <c r="E13" i="188"/>
  <c r="F13" i="188" s="1"/>
  <c r="F11" i="186"/>
  <c r="E11" i="180"/>
  <c r="F11" i="180" s="1"/>
  <c r="F7" i="186"/>
  <c r="E12" i="188"/>
  <c r="F12" i="188" s="1"/>
  <c r="E12" i="180"/>
  <c r="F12" i="180" s="1"/>
  <c r="E11" i="188"/>
  <c r="F11" i="188" s="1"/>
  <c r="E47" i="181"/>
  <c r="G45" i="181"/>
  <c r="F47" i="181"/>
  <c r="I32" i="181"/>
  <c r="F14" i="186"/>
  <c r="F12" i="186"/>
  <c r="D15" i="186"/>
  <c r="F15" i="180" l="1"/>
  <c r="C24" i="171"/>
  <c r="H4" i="171"/>
  <c r="C6" i="198"/>
  <c r="I7" i="142"/>
  <c r="I9" i="142"/>
  <c r="I8" i="142"/>
  <c r="C30" i="196" l="1"/>
  <c r="C37" i="180"/>
  <c r="C30" i="184"/>
  <c r="C36" i="171"/>
  <c r="C30" i="177"/>
  <c r="C37" i="188"/>
  <c r="C37" i="186"/>
  <c r="C32" i="196"/>
  <c r="C39" i="180"/>
  <c r="C32" i="184"/>
  <c r="E15" i="180"/>
  <c r="H41" i="181"/>
  <c r="C31" i="196"/>
  <c r="C38" i="180"/>
  <c r="C31" i="184"/>
  <c r="O30" i="187"/>
  <c r="N30" i="187"/>
  <c r="M30" i="187"/>
  <c r="L30" i="187"/>
  <c r="G30" i="187"/>
  <c r="G60" i="187" s="1"/>
  <c r="F30" i="187"/>
  <c r="F60" i="187" s="1"/>
  <c r="F63" i="187" s="1"/>
  <c r="E30" i="187"/>
  <c r="E60" i="187" s="1"/>
  <c r="E63" i="187" s="1"/>
  <c r="D30" i="187"/>
  <c r="D60" i="187" s="1"/>
  <c r="D63" i="187" s="1"/>
  <c r="M42" i="187"/>
  <c r="L33" i="187"/>
  <c r="M33" i="187" s="1"/>
  <c r="H54" i="187"/>
  <c r="E3" i="159"/>
  <c r="F3" i="159" s="1"/>
  <c r="G3" i="159" s="1"/>
  <c r="H3" i="159" s="1"/>
  <c r="I3" i="159" s="1"/>
  <c r="J3" i="159" s="1"/>
  <c r="K3" i="159" s="1"/>
  <c r="L3" i="159" s="1"/>
  <c r="M3" i="159" s="1"/>
  <c r="N3" i="159" s="1"/>
  <c r="I6" i="142"/>
  <c r="C29" i="184" l="1"/>
  <c r="C36" i="186"/>
  <c r="C35" i="171"/>
  <c r="C36" i="180"/>
  <c r="C36" i="188"/>
  <c r="C29" i="177"/>
  <c r="I41" i="181"/>
  <c r="F116" i="198"/>
  <c r="G116" i="198"/>
  <c r="F117" i="198"/>
  <c r="G117" i="198"/>
  <c r="F118" i="198"/>
  <c r="G118" i="198"/>
  <c r="F119" i="198"/>
  <c r="G119" i="198"/>
  <c r="F120" i="198"/>
  <c r="G120" i="198"/>
  <c r="F121" i="198"/>
  <c r="G121" i="198"/>
  <c r="F122" i="198"/>
  <c r="G122" i="198"/>
  <c r="F123" i="198"/>
  <c r="G123" i="198"/>
  <c r="F124" i="198"/>
  <c r="G124" i="198"/>
  <c r="F125" i="198"/>
  <c r="G125" i="198"/>
  <c r="F126" i="198"/>
  <c r="G126" i="198"/>
  <c r="F127" i="198"/>
  <c r="G127" i="198"/>
  <c r="F128" i="198"/>
  <c r="G128" i="198"/>
  <c r="F129" i="198"/>
  <c r="G129" i="198"/>
  <c r="F130" i="198"/>
  <c r="G130" i="198"/>
  <c r="F131" i="198"/>
  <c r="G131" i="198"/>
  <c r="F132" i="198"/>
  <c r="G132" i="198"/>
  <c r="F133" i="198"/>
  <c r="G133" i="198"/>
  <c r="F134" i="198"/>
  <c r="G134" i="198"/>
  <c r="F135" i="198"/>
  <c r="G135" i="198"/>
  <c r="I109" i="198"/>
  <c r="J109" i="198"/>
  <c r="J91" i="198"/>
  <c r="J92" i="198"/>
  <c r="J93" i="198"/>
  <c r="J94" i="198"/>
  <c r="M94" i="198"/>
  <c r="J95" i="198"/>
  <c r="M95" i="198"/>
  <c r="J96" i="198"/>
  <c r="J97" i="198"/>
  <c r="M97" i="198"/>
  <c r="I98" i="198"/>
  <c r="K98" i="198"/>
  <c r="I62" i="198"/>
  <c r="J98" i="198" l="1"/>
  <c r="K72" i="198"/>
  <c r="K84" i="198"/>
  <c r="J84" i="198" s="1"/>
  <c r="J67" i="198"/>
  <c r="J68" i="198"/>
  <c r="I69" i="198"/>
  <c r="J69" i="198" s="1"/>
  <c r="J70" i="198"/>
  <c r="M70" i="198"/>
  <c r="L71" i="198"/>
  <c r="M71" i="198" s="1"/>
  <c r="O30" i="197"/>
  <c r="N30" i="197"/>
  <c r="M30" i="197"/>
  <c r="L30" i="197"/>
  <c r="K30" i="197"/>
  <c r="J30" i="197"/>
  <c r="I30" i="197"/>
  <c r="F30" i="197"/>
  <c r="E30" i="197"/>
  <c r="D30" i="197"/>
  <c r="O30" i="185"/>
  <c r="N30" i="185"/>
  <c r="M30" i="185"/>
  <c r="L30" i="185"/>
  <c r="K30" i="185"/>
  <c r="J30" i="185"/>
  <c r="E30" i="185"/>
  <c r="D30" i="185"/>
  <c r="O30" i="181"/>
  <c r="N30" i="181"/>
  <c r="M30" i="181"/>
  <c r="L30" i="181"/>
  <c r="K30" i="181"/>
  <c r="J30" i="181"/>
  <c r="I30" i="181"/>
  <c r="H30" i="181"/>
  <c r="D30" i="181"/>
  <c r="D67" i="181" s="1"/>
  <c r="C31" i="180"/>
  <c r="H10" i="171"/>
  <c r="K22" i="171"/>
  <c r="E7" i="184"/>
  <c r="E6" i="184"/>
  <c r="E5" i="184"/>
  <c r="E4" i="184"/>
  <c r="F43" i="189"/>
  <c r="F45" i="189" s="1"/>
  <c r="E43" i="189"/>
  <c r="E45" i="189" s="1"/>
  <c r="D43" i="189"/>
  <c r="D45" i="189" s="1"/>
  <c r="D46" i="189" s="1"/>
  <c r="D14" i="188"/>
  <c r="D12" i="188"/>
  <c r="D11" i="188"/>
  <c r="C15" i="188"/>
  <c r="D6" i="171"/>
  <c r="E44" i="170"/>
  <c r="F34" i="170"/>
  <c r="E34" i="170"/>
  <c r="D34" i="170"/>
  <c r="D36" i="170" s="1"/>
  <c r="F14" i="171"/>
  <c r="F13" i="171"/>
  <c r="F12" i="171"/>
  <c r="F11" i="171"/>
  <c r="D14" i="171"/>
  <c r="D13" i="171"/>
  <c r="D12" i="171"/>
  <c r="D11" i="171"/>
  <c r="D4" i="171"/>
  <c r="D5" i="171"/>
  <c r="C15" i="171"/>
  <c r="H10" i="196"/>
  <c r="H10" i="184"/>
  <c r="H10" i="180"/>
  <c r="H10" i="177"/>
  <c r="H10" i="188"/>
  <c r="C54" i="198"/>
  <c r="M52" i="198"/>
  <c r="M53" i="198"/>
  <c r="M54" i="198"/>
  <c r="M55" i="198"/>
  <c r="J56" i="198"/>
  <c r="M57" i="198"/>
  <c r="M58" i="198"/>
  <c r="J59" i="198"/>
  <c r="M59" i="198" s="1"/>
  <c r="M60" i="198"/>
  <c r="M61" i="198"/>
  <c r="K35" i="198"/>
  <c r="L35" i="198"/>
  <c r="K40" i="198"/>
  <c r="L40" i="198"/>
  <c r="K45" i="198"/>
  <c r="L45" i="198"/>
  <c r="K48" i="198"/>
  <c r="L48" i="198"/>
  <c r="R27" i="198"/>
  <c r="P27" i="198"/>
  <c r="R21" i="198"/>
  <c r="P21" i="198"/>
  <c r="J27" i="198"/>
  <c r="H27" i="198"/>
  <c r="J21" i="198"/>
  <c r="H21" i="198"/>
  <c r="K12" i="198"/>
  <c r="I12" i="198"/>
  <c r="M11" i="198"/>
  <c r="J11" i="198"/>
  <c r="J10" i="198"/>
  <c r="M9" i="198"/>
  <c r="J9" i="198"/>
  <c r="M8" i="198"/>
  <c r="J8" i="198"/>
  <c r="J7" i="198"/>
  <c r="J6" i="198"/>
  <c r="J5" i="198"/>
  <c r="J33" i="185"/>
  <c r="F15" i="188" l="1"/>
  <c r="G40" i="189" s="1"/>
  <c r="H40" i="189" s="1"/>
  <c r="M56" i="198"/>
  <c r="J62" i="198"/>
  <c r="I72" i="198"/>
  <c r="J71" i="198"/>
  <c r="J72" i="198" s="1"/>
  <c r="M62" i="198"/>
  <c r="D15" i="188"/>
  <c r="F15" i="171"/>
  <c r="E36" i="170"/>
  <c r="F36" i="170"/>
  <c r="D37" i="170"/>
  <c r="D15" i="171"/>
  <c r="M12" i="198"/>
  <c r="J12" i="198"/>
  <c r="E44" i="189" l="1"/>
  <c r="F44" i="189" s="1"/>
  <c r="F46" i="189" s="1"/>
  <c r="E15" i="188"/>
  <c r="E46" i="189"/>
  <c r="E15" i="171"/>
  <c r="G31" i="170"/>
  <c r="E35" i="170"/>
  <c r="F35" i="170" s="1"/>
  <c r="F37" i="170" s="1"/>
  <c r="B11" i="159"/>
  <c r="B20" i="159" s="1"/>
  <c r="B10" i="159"/>
  <c r="B19" i="159" s="1"/>
  <c r="B9" i="159"/>
  <c r="B18" i="159" s="1"/>
  <c r="B8" i="159"/>
  <c r="B17" i="159" s="1"/>
  <c r="B7" i="159"/>
  <c r="B16" i="159" s="1"/>
  <c r="B6" i="159"/>
  <c r="B15" i="159" s="1"/>
  <c r="B5" i="159"/>
  <c r="B14" i="159" s="1"/>
  <c r="H45" i="197"/>
  <c r="H4" i="184"/>
  <c r="H6" i="186"/>
  <c r="H5" i="186"/>
  <c r="I6" i="186" s="1"/>
  <c r="J42" i="185"/>
  <c r="K42" i="185" s="1"/>
  <c r="K33" i="185"/>
  <c r="B2" i="196"/>
  <c r="B2" i="184"/>
  <c r="B2" i="185"/>
  <c r="G45" i="185"/>
  <c r="H45" i="185" s="1"/>
  <c r="I45" i="185" s="1"/>
  <c r="G54" i="181"/>
  <c r="B2" i="181"/>
  <c r="I30" i="178"/>
  <c r="I4" i="178"/>
  <c r="B2" i="178"/>
  <c r="F61" i="189"/>
  <c r="G59" i="189"/>
  <c r="H59" i="189" s="1"/>
  <c r="G50" i="189"/>
  <c r="H50" i="189" s="1"/>
  <c r="G29" i="189"/>
  <c r="G32" i="189"/>
  <c r="H32" i="189" s="1"/>
  <c r="P14" i="140"/>
  <c r="P25" i="140" s="1"/>
  <c r="I11" i="140"/>
  <c r="I10" i="140"/>
  <c r="C27" i="197"/>
  <c r="C18" i="196"/>
  <c r="C17" i="196"/>
  <c r="I10" i="196" s="1"/>
  <c r="I18" i="196" s="1"/>
  <c r="C20" i="197" s="1"/>
  <c r="C61" i="197"/>
  <c r="E54" i="197"/>
  <c r="F54" i="197" s="1"/>
  <c r="F53" i="197"/>
  <c r="E53" i="197"/>
  <c r="D53" i="197"/>
  <c r="D55" i="197" s="1"/>
  <c r="F44" i="197"/>
  <c r="F46" i="197" s="1"/>
  <c r="E44" i="197"/>
  <c r="D44" i="197"/>
  <c r="F35" i="197"/>
  <c r="F37" i="197" s="1"/>
  <c r="E35" i="197"/>
  <c r="E37" i="197" s="1"/>
  <c r="D35" i="197"/>
  <c r="D37" i="197" s="1"/>
  <c r="C28" i="197"/>
  <c r="B28" i="197"/>
  <c r="B27" i="197"/>
  <c r="C26" i="197"/>
  <c r="B26" i="197"/>
  <c r="B25" i="197"/>
  <c r="B24" i="197"/>
  <c r="B23" i="197"/>
  <c r="C22" i="197"/>
  <c r="B22" i="197"/>
  <c r="B21" i="197"/>
  <c r="B20" i="197"/>
  <c r="B19" i="197"/>
  <c r="B18" i="197"/>
  <c r="B17" i="197"/>
  <c r="B16" i="197"/>
  <c r="C15" i="197"/>
  <c r="B15" i="197"/>
  <c r="B14" i="197"/>
  <c r="C13" i="197"/>
  <c r="B13" i="197"/>
  <c r="B12" i="197"/>
  <c r="C11" i="197"/>
  <c r="B11" i="197"/>
  <c r="B10" i="197"/>
  <c r="B9" i="197"/>
  <c r="B8" i="197"/>
  <c r="B7" i="197"/>
  <c r="P4" i="197"/>
  <c r="Q4" i="197" s="1"/>
  <c r="R4" i="197" s="1"/>
  <c r="S4" i="197" s="1"/>
  <c r="T4" i="197" s="1"/>
  <c r="U4" i="197" s="1"/>
  <c r="V4" i="197" s="1"/>
  <c r="W4" i="197" s="1"/>
  <c r="X4" i="197" s="1"/>
  <c r="Y4" i="197" s="1"/>
  <c r="Z4" i="197" s="1"/>
  <c r="AA4" i="197" s="1"/>
  <c r="AB4" i="197" s="1"/>
  <c r="AC4" i="197" s="1"/>
  <c r="AD4" i="197" s="1"/>
  <c r="AE4" i="197" s="1"/>
  <c r="AF4" i="197" s="1"/>
  <c r="AG4" i="197" s="1"/>
  <c r="AH4" i="197" s="1"/>
  <c r="AI4" i="197" s="1"/>
  <c r="AJ4" i="197" s="1"/>
  <c r="AK4" i="197" s="1"/>
  <c r="AL4" i="197" s="1"/>
  <c r="AM4" i="197" s="1"/>
  <c r="AN4" i="197" s="1"/>
  <c r="O4" i="197"/>
  <c r="I4" i="197"/>
  <c r="L4" i="197" s="1"/>
  <c r="F4" i="197"/>
  <c r="G4" i="197" s="1"/>
  <c r="H4" i="197" s="1"/>
  <c r="J4" i="197" s="1"/>
  <c r="D4" i="197"/>
  <c r="E4" i="197" s="1"/>
  <c r="E3" i="197"/>
  <c r="F3" i="197" s="1"/>
  <c r="G3" i="197" s="1"/>
  <c r="H3" i="197" s="1"/>
  <c r="E2" i="197"/>
  <c r="F2" i="197" s="1"/>
  <c r="G2" i="197" s="1"/>
  <c r="H22" i="196"/>
  <c r="D17" i="196"/>
  <c r="D18" i="196" s="1"/>
  <c r="D13" i="196"/>
  <c r="C13" i="196"/>
  <c r="E12" i="196"/>
  <c r="G50" i="197" s="1"/>
  <c r="E11" i="196"/>
  <c r="I41" i="197" s="1"/>
  <c r="C8" i="196"/>
  <c r="H7" i="196"/>
  <c r="D7" i="196"/>
  <c r="F7" i="196" s="1"/>
  <c r="H6" i="196"/>
  <c r="D6" i="196"/>
  <c r="F6" i="196" s="1"/>
  <c r="H5" i="196"/>
  <c r="D5" i="196"/>
  <c r="F5" i="196" s="1"/>
  <c r="H4" i="196"/>
  <c r="G4" i="196"/>
  <c r="B6" i="197" s="1"/>
  <c r="D4" i="196"/>
  <c r="D8" i="196" l="1"/>
  <c r="F4" i="196"/>
  <c r="I19" i="196"/>
  <c r="J19" i="196" s="1"/>
  <c r="C23" i="196"/>
  <c r="J24" i="196"/>
  <c r="J18" i="196"/>
  <c r="C21" i="197"/>
  <c r="G21" i="197" s="1"/>
  <c r="H21" i="197" s="1"/>
  <c r="G28" i="197"/>
  <c r="H28" i="197" s="1"/>
  <c r="G20" i="197"/>
  <c r="H20" i="197" s="1"/>
  <c r="G13" i="197"/>
  <c r="G22" i="197"/>
  <c r="H22" i="197" s="1"/>
  <c r="G15" i="197"/>
  <c r="H15" i="197" s="1"/>
  <c r="I5" i="186"/>
  <c r="G26" i="197"/>
  <c r="G27" i="197"/>
  <c r="H27" i="197" s="1"/>
  <c r="E37" i="170"/>
  <c r="H31" i="170"/>
  <c r="I23" i="196"/>
  <c r="J41" i="197"/>
  <c r="F12" i="196"/>
  <c r="E55" i="197"/>
  <c r="E56" i="197" s="1"/>
  <c r="K4" i="197"/>
  <c r="M4" i="197" s="1"/>
  <c r="N4" i="197" s="1"/>
  <c r="F55" i="197"/>
  <c r="F56" i="197" s="1"/>
  <c r="D46" i="197"/>
  <c r="D47" i="197" s="1"/>
  <c r="J13" i="196"/>
  <c r="J9" i="196"/>
  <c r="J11" i="196"/>
  <c r="J20" i="196"/>
  <c r="J3" i="197"/>
  <c r="I3" i="197"/>
  <c r="K3" i="197" s="1"/>
  <c r="L3" i="197" s="1"/>
  <c r="M3" i="197" s="1"/>
  <c r="N3" i="197" s="1"/>
  <c r="O3" i="197" s="1"/>
  <c r="H50" i="197"/>
  <c r="J10" i="196"/>
  <c r="C12" i="197"/>
  <c r="F38" i="197"/>
  <c r="F47" i="197"/>
  <c r="H2" i="197"/>
  <c r="I2" i="197" s="1"/>
  <c r="J2" i="197" s="1"/>
  <c r="K2" i="197" s="1"/>
  <c r="L2" i="197" s="1"/>
  <c r="F8" i="196"/>
  <c r="F11" i="196"/>
  <c r="I14" i="196"/>
  <c r="C24" i="196"/>
  <c r="J7" i="196"/>
  <c r="C9" i="197"/>
  <c r="I6" i="196"/>
  <c r="I5" i="196"/>
  <c r="I22" i="196"/>
  <c r="E46" i="197"/>
  <c r="E47" i="197" s="1"/>
  <c r="E38" i="197"/>
  <c r="D38" i="197"/>
  <c r="D56" i="197"/>
  <c r="C18" i="184"/>
  <c r="I59" i="197" l="1"/>
  <c r="F25" i="196" s="1"/>
  <c r="F27" i="196" s="1"/>
  <c r="F26" i="196"/>
  <c r="E8" i="196"/>
  <c r="C19" i="196"/>
  <c r="G11" i="140"/>
  <c r="G16" i="199" s="1"/>
  <c r="H9" i="197"/>
  <c r="G12" i="197"/>
  <c r="I4" i="196"/>
  <c r="I15" i="196" s="1"/>
  <c r="F13" i="196"/>
  <c r="E13" i="196" s="1"/>
  <c r="J14" i="196"/>
  <c r="C16" i="197"/>
  <c r="G44" i="197"/>
  <c r="I50" i="197"/>
  <c r="J5" i="196"/>
  <c r="C7" i="197"/>
  <c r="C24" i="197"/>
  <c r="J22" i="196"/>
  <c r="M2" i="197"/>
  <c r="N2" i="197" s="1"/>
  <c r="O2" i="197" s="1"/>
  <c r="C8" i="197"/>
  <c r="J6" i="196"/>
  <c r="F35" i="185"/>
  <c r="F37" i="185" s="1"/>
  <c r="E35" i="185"/>
  <c r="D35" i="185"/>
  <c r="D37" i="185" s="1"/>
  <c r="G16" i="197" l="1"/>
  <c r="H24" i="197"/>
  <c r="H7" i="197"/>
  <c r="H8" i="197"/>
  <c r="C6" i="197"/>
  <c r="I17" i="196"/>
  <c r="C19" i="197" s="1"/>
  <c r="J4" i="196"/>
  <c r="I8" i="196"/>
  <c r="J23" i="196"/>
  <c r="C25" i="197"/>
  <c r="J15" i="196"/>
  <c r="C17" i="197"/>
  <c r="J50" i="197"/>
  <c r="H44" i="197"/>
  <c r="G35" i="197"/>
  <c r="G46" i="197"/>
  <c r="G47" i="197" s="1"/>
  <c r="G35" i="185"/>
  <c r="E37" i="185"/>
  <c r="D38" i="185"/>
  <c r="C10" i="197" l="1"/>
  <c r="G25" i="197"/>
  <c r="H25" i="197" s="1"/>
  <c r="J17" i="196"/>
  <c r="H10" i="197"/>
  <c r="G19" i="197"/>
  <c r="H19" i="197" s="1"/>
  <c r="H6" i="197"/>
  <c r="J8" i="196"/>
  <c r="G17" i="197"/>
  <c r="H17" i="197"/>
  <c r="G37" i="197"/>
  <c r="G38" i="197" s="1"/>
  <c r="H35" i="197"/>
  <c r="H46" i="197"/>
  <c r="H47" i="197" s="1"/>
  <c r="G37" i="185"/>
  <c r="E22" i="140"/>
  <c r="C12" i="199" s="1"/>
  <c r="D16" i="140"/>
  <c r="F16" i="140" s="1"/>
  <c r="D15" i="140"/>
  <c r="Q14" i="140"/>
  <c r="Q25" i="140" s="1"/>
  <c r="O14" i="140"/>
  <c r="O25" i="140" s="1"/>
  <c r="M14" i="140"/>
  <c r="M25" i="140" s="1"/>
  <c r="K14" i="140"/>
  <c r="K25" i="140" s="1"/>
  <c r="I14" i="140"/>
  <c r="I25" i="140" s="1"/>
  <c r="G14" i="140"/>
  <c r="G25" i="140" s="1"/>
  <c r="H6" i="184"/>
  <c r="I6" i="184" s="1"/>
  <c r="H5" i="184"/>
  <c r="I9" i="140"/>
  <c r="I5" i="140"/>
  <c r="I6" i="140"/>
  <c r="I8" i="140"/>
  <c r="C27" i="180"/>
  <c r="H5" i="188"/>
  <c r="C25" i="188"/>
  <c r="Q16" i="140" l="1"/>
  <c r="P16" i="140"/>
  <c r="K16" i="140"/>
  <c r="I16" i="140"/>
  <c r="G16" i="140"/>
  <c r="D17" i="142"/>
  <c r="F15" i="186" s="1"/>
  <c r="D18" i="140"/>
  <c r="F18" i="140" s="1"/>
  <c r="D21" i="140"/>
  <c r="F21" i="140" s="1"/>
  <c r="D17" i="140"/>
  <c r="F17" i="140" s="1"/>
  <c r="D19" i="140"/>
  <c r="F19" i="140" s="1"/>
  <c r="D20" i="140"/>
  <c r="F20" i="140" s="1"/>
  <c r="H37" i="197"/>
  <c r="H38" i="197" s="1"/>
  <c r="I35" i="197"/>
  <c r="F15" i="140"/>
  <c r="C22" i="140"/>
  <c r="H4" i="180"/>
  <c r="H7" i="180"/>
  <c r="C28" i="180"/>
  <c r="I7" i="140"/>
  <c r="B2" i="180"/>
  <c r="I5" i="188"/>
  <c r="E7" i="188"/>
  <c r="F7" i="188" s="1"/>
  <c r="E6" i="188"/>
  <c r="F6" i="188" s="1"/>
  <c r="E5" i="188"/>
  <c r="F5" i="188" s="1"/>
  <c r="E4" i="188"/>
  <c r="F4" i="188" s="1"/>
  <c r="H7" i="188"/>
  <c r="I7" i="188" s="1"/>
  <c r="H7" i="186"/>
  <c r="I7" i="186" s="1"/>
  <c r="C24" i="188"/>
  <c r="I10" i="188" s="1"/>
  <c r="B2" i="188"/>
  <c r="H6" i="188"/>
  <c r="H4" i="188"/>
  <c r="C67" i="189"/>
  <c r="E62" i="189"/>
  <c r="F62" i="189" s="1"/>
  <c r="F63" i="189"/>
  <c r="E61" i="189"/>
  <c r="E63" i="189" s="1"/>
  <c r="D61" i="189"/>
  <c r="D63" i="189" s="1"/>
  <c r="D64" i="189" s="1"/>
  <c r="E53" i="189"/>
  <c r="F53" i="189" s="1"/>
  <c r="F52" i="189"/>
  <c r="E52" i="189"/>
  <c r="D52" i="189"/>
  <c r="F34" i="189"/>
  <c r="E34" i="189"/>
  <c r="D34" i="189"/>
  <c r="D36" i="189" s="1"/>
  <c r="D37" i="189" s="1"/>
  <c r="O29" i="189"/>
  <c r="N29" i="189"/>
  <c r="M29" i="189"/>
  <c r="L29" i="189"/>
  <c r="K29" i="189"/>
  <c r="J29" i="189"/>
  <c r="I29" i="189"/>
  <c r="H29" i="189"/>
  <c r="C28" i="189"/>
  <c r="D28" i="189" s="1"/>
  <c r="E28" i="189" s="1"/>
  <c r="F28" i="189" s="1"/>
  <c r="B28" i="189"/>
  <c r="B27" i="189"/>
  <c r="C26" i="189"/>
  <c r="D26" i="189" s="1"/>
  <c r="B26" i="189"/>
  <c r="B25" i="189"/>
  <c r="B24" i="189"/>
  <c r="B23" i="189"/>
  <c r="C22" i="189"/>
  <c r="B22" i="189"/>
  <c r="B21" i="189"/>
  <c r="B20" i="189"/>
  <c r="B19" i="189"/>
  <c r="B18" i="189"/>
  <c r="B17" i="189"/>
  <c r="B16" i="189"/>
  <c r="B15" i="189"/>
  <c r="B14" i="189"/>
  <c r="C13" i="189"/>
  <c r="D13" i="189" s="1"/>
  <c r="B13" i="189"/>
  <c r="B12" i="189"/>
  <c r="C11" i="189"/>
  <c r="B11" i="189"/>
  <c r="B10" i="189"/>
  <c r="B9" i="189"/>
  <c r="B8" i="189"/>
  <c r="B7" i="189"/>
  <c r="L4" i="189"/>
  <c r="K4" i="189"/>
  <c r="M4" i="189" s="1"/>
  <c r="N4" i="189" s="1"/>
  <c r="G4" i="189"/>
  <c r="H4" i="189" s="1"/>
  <c r="I4" i="189" s="1"/>
  <c r="J4" i="189" s="1"/>
  <c r="O4" i="189" s="1"/>
  <c r="F4" i="189"/>
  <c r="D4" i="189"/>
  <c r="E4" i="189" s="1"/>
  <c r="E3" i="189"/>
  <c r="E2" i="189"/>
  <c r="F2" i="189" s="1"/>
  <c r="G2" i="189" s="1"/>
  <c r="G42" i="189" s="1"/>
  <c r="C39" i="188"/>
  <c r="C38" i="188"/>
  <c r="H22" i="188"/>
  <c r="D24" i="188"/>
  <c r="D25" i="188" s="1"/>
  <c r="D20" i="188"/>
  <c r="C20" i="188"/>
  <c r="E19" i="188"/>
  <c r="G58" i="189" s="1"/>
  <c r="H58" i="189" s="1"/>
  <c r="E18" i="188"/>
  <c r="G49" i="189" s="1"/>
  <c r="C8" i="188"/>
  <c r="D7" i="188"/>
  <c r="D6" i="188"/>
  <c r="I6" i="188"/>
  <c r="D5" i="188"/>
  <c r="G4" i="188"/>
  <c r="B6" i="189" s="1"/>
  <c r="D4" i="188"/>
  <c r="G35" i="187"/>
  <c r="F35" i="187"/>
  <c r="E35" i="187"/>
  <c r="D35" i="187"/>
  <c r="D37" i="187" s="1"/>
  <c r="C59" i="185"/>
  <c r="C68" i="181"/>
  <c r="H4" i="186"/>
  <c r="C59" i="178"/>
  <c r="C60" i="170"/>
  <c r="I12" i="142"/>
  <c r="N5" i="140"/>
  <c r="C17" i="177"/>
  <c r="C23" i="177" s="1"/>
  <c r="P15" i="140" l="1"/>
  <c r="Q15" i="140"/>
  <c r="P17" i="140"/>
  <c r="Q17" i="140"/>
  <c r="Q21" i="140"/>
  <c r="P21" i="140"/>
  <c r="P20" i="140"/>
  <c r="Q20" i="140"/>
  <c r="Q19" i="140"/>
  <c r="P19" i="140"/>
  <c r="Q18" i="140"/>
  <c r="P18" i="140"/>
  <c r="I15" i="140"/>
  <c r="G15" i="140"/>
  <c r="K15" i="140"/>
  <c r="K19" i="140"/>
  <c r="G19" i="140"/>
  <c r="I19" i="140"/>
  <c r="K17" i="140"/>
  <c r="I17" i="140"/>
  <c r="G17" i="140"/>
  <c r="I18" i="140"/>
  <c r="K18" i="140"/>
  <c r="G18" i="140"/>
  <c r="K20" i="140"/>
  <c r="I20" i="140"/>
  <c r="G20" i="140"/>
  <c r="K21" i="140"/>
  <c r="G21" i="140"/>
  <c r="I21" i="140"/>
  <c r="J13" i="188"/>
  <c r="C15" i="189" s="1"/>
  <c r="L32" i="187"/>
  <c r="M32" i="187" s="1"/>
  <c r="E15" i="186"/>
  <c r="H51" i="181"/>
  <c r="I51" i="181" s="1"/>
  <c r="D18" i="142"/>
  <c r="G43" i="189"/>
  <c r="G45" i="189" s="1"/>
  <c r="H42" i="189"/>
  <c r="F8" i="186"/>
  <c r="L59" i="187" s="1"/>
  <c r="C8" i="189"/>
  <c r="F8" i="189" s="1"/>
  <c r="J6" i="188"/>
  <c r="J9" i="188"/>
  <c r="J11" i="188"/>
  <c r="J26" i="188"/>
  <c r="J24" i="188"/>
  <c r="J20" i="188"/>
  <c r="J25" i="188"/>
  <c r="J5" i="188"/>
  <c r="C9" i="189"/>
  <c r="F9" i="189" s="1"/>
  <c r="J7" i="188"/>
  <c r="I14" i="188"/>
  <c r="J14" i="188" s="1"/>
  <c r="I18" i="188"/>
  <c r="J10" i="188"/>
  <c r="I19" i="188"/>
  <c r="J19" i="188" s="1"/>
  <c r="C30" i="188"/>
  <c r="D22" i="140"/>
  <c r="I23" i="188"/>
  <c r="J23" i="188" s="1"/>
  <c r="H49" i="189"/>
  <c r="F3" i="189"/>
  <c r="G3" i="189" s="1"/>
  <c r="H3" i="189" s="1"/>
  <c r="I3" i="189" s="1"/>
  <c r="J3" i="189" s="1"/>
  <c r="K3" i="189" s="1"/>
  <c r="L3" i="189" s="1"/>
  <c r="M3" i="189" s="1"/>
  <c r="N3" i="189" s="1"/>
  <c r="O3" i="189" s="1"/>
  <c r="F64" i="189"/>
  <c r="F15" i="189"/>
  <c r="D15" i="189"/>
  <c r="F22" i="189"/>
  <c r="E22" i="189"/>
  <c r="H2" i="189"/>
  <c r="F54" i="189"/>
  <c r="F55" i="189" s="1"/>
  <c r="I37" i="197"/>
  <c r="M50" i="197"/>
  <c r="K44" i="197"/>
  <c r="J35" i="197"/>
  <c r="F8" i="188"/>
  <c r="G31" i="189" s="1"/>
  <c r="F19" i="188"/>
  <c r="I22" i="188"/>
  <c r="E36" i="189"/>
  <c r="D54" i="189"/>
  <c r="D55" i="189" s="1"/>
  <c r="D23" i="189" s="1"/>
  <c r="E54" i="189"/>
  <c r="E55" i="189" s="1"/>
  <c r="C12" i="189"/>
  <c r="D12" i="189" s="1"/>
  <c r="D8" i="188"/>
  <c r="F36" i="189"/>
  <c r="C31" i="188"/>
  <c r="F18" i="188"/>
  <c r="C27" i="189"/>
  <c r="D27" i="189" s="1"/>
  <c r="E27" i="189" s="1"/>
  <c r="F27" i="189" s="1"/>
  <c r="E64" i="189"/>
  <c r="E37" i="187"/>
  <c r="D38" i="187"/>
  <c r="G37" i="187"/>
  <c r="F37" i="187"/>
  <c r="F53" i="187"/>
  <c r="F55" i="187" s="1"/>
  <c r="F44" i="187"/>
  <c r="F46" i="187" s="1"/>
  <c r="F4" i="187"/>
  <c r="C24" i="186"/>
  <c r="I10" i="186" s="1"/>
  <c r="B2" i="186"/>
  <c r="I54" i="187"/>
  <c r="J54" i="187" s="1"/>
  <c r="K54" i="187" s="1"/>
  <c r="G53" i="187"/>
  <c r="G55" i="187" s="1"/>
  <c r="E53" i="187"/>
  <c r="E55" i="187" s="1"/>
  <c r="D53" i="187"/>
  <c r="D55" i="187" s="1"/>
  <c r="J45" i="187"/>
  <c r="K45" i="187" s="1"/>
  <c r="G44" i="187"/>
  <c r="E44" i="187"/>
  <c r="E46" i="187" s="1"/>
  <c r="D44" i="187"/>
  <c r="C28" i="187"/>
  <c r="H28" i="187" s="1"/>
  <c r="I28" i="187" s="1"/>
  <c r="J28" i="187" s="1"/>
  <c r="K28" i="187" s="1"/>
  <c r="B28" i="187"/>
  <c r="B27" i="187"/>
  <c r="C26" i="187"/>
  <c r="H26" i="187" s="1"/>
  <c r="B26" i="187"/>
  <c r="B25" i="187"/>
  <c r="B24" i="187"/>
  <c r="B23" i="187"/>
  <c r="C22" i="187"/>
  <c r="J22" i="187" s="1"/>
  <c r="K22" i="187" s="1"/>
  <c r="B22" i="187"/>
  <c r="B21" i="187"/>
  <c r="B20" i="187"/>
  <c r="B19" i="187"/>
  <c r="B18" i="187"/>
  <c r="B17" i="187"/>
  <c r="B16" i="187"/>
  <c r="C15" i="187"/>
  <c r="H15" i="187" s="1"/>
  <c r="K15" i="187" s="1"/>
  <c r="B15" i="187"/>
  <c r="B14" i="187"/>
  <c r="C13" i="187"/>
  <c r="H13" i="187" s="1"/>
  <c r="B13" i="187"/>
  <c r="B12" i="187"/>
  <c r="C11" i="187"/>
  <c r="H11" i="187" s="1"/>
  <c r="B11" i="187"/>
  <c r="B10" i="187"/>
  <c r="C9" i="187"/>
  <c r="B9" i="187"/>
  <c r="B8" i="187"/>
  <c r="B7" i="187"/>
  <c r="G4" i="187"/>
  <c r="H4" i="187" s="1"/>
  <c r="I4" i="187" s="1"/>
  <c r="J4" i="187" s="1"/>
  <c r="O4" i="187" s="1"/>
  <c r="D4" i="187"/>
  <c r="E4" i="187" s="1"/>
  <c r="E2" i="187"/>
  <c r="F2" i="187" s="1"/>
  <c r="G2" i="187" s="1"/>
  <c r="C39" i="186"/>
  <c r="C38" i="186"/>
  <c r="C27" i="187"/>
  <c r="H27" i="187" s="1"/>
  <c r="I27" i="187" s="1"/>
  <c r="J27" i="187" s="1"/>
  <c r="K27" i="187" s="1"/>
  <c r="H22" i="186"/>
  <c r="D24" i="186"/>
  <c r="D20" i="186"/>
  <c r="C20" i="186"/>
  <c r="J7" i="186" s="1"/>
  <c r="E19" i="186"/>
  <c r="E18" i="186"/>
  <c r="L41" i="187" s="1"/>
  <c r="C8" i="186"/>
  <c r="C8" i="187"/>
  <c r="G4" i="186"/>
  <c r="B6" i="187" s="1"/>
  <c r="C8" i="184"/>
  <c r="C17" i="184"/>
  <c r="F44" i="185"/>
  <c r="F4" i="185"/>
  <c r="G44" i="185"/>
  <c r="G46" i="185" s="1"/>
  <c r="E44" i="185"/>
  <c r="E46" i="185" s="1"/>
  <c r="D44" i="185"/>
  <c r="D46" i="185" s="1"/>
  <c r="D47" i="185" s="1"/>
  <c r="N58" i="185"/>
  <c r="M58" i="185"/>
  <c r="L58" i="185"/>
  <c r="C28" i="185"/>
  <c r="B28" i="185"/>
  <c r="C27" i="185"/>
  <c r="B27" i="185"/>
  <c r="C26" i="185"/>
  <c r="F26" i="185" s="1"/>
  <c r="B26" i="185"/>
  <c r="B25" i="185"/>
  <c r="B24" i="185"/>
  <c r="B23" i="185"/>
  <c r="C22" i="185"/>
  <c r="H22" i="185" s="1"/>
  <c r="I22" i="185" s="1"/>
  <c r="B22" i="185"/>
  <c r="B21" i="185"/>
  <c r="B20" i="185"/>
  <c r="B19" i="185"/>
  <c r="B18" i="185"/>
  <c r="B17" i="185"/>
  <c r="B16" i="185"/>
  <c r="C15" i="185"/>
  <c r="B15" i="185"/>
  <c r="B14" i="185"/>
  <c r="C13" i="185"/>
  <c r="F13" i="185" s="1"/>
  <c r="B13" i="185"/>
  <c r="B12" i="185"/>
  <c r="C11" i="185"/>
  <c r="G11" i="185" s="1"/>
  <c r="B11" i="185"/>
  <c r="B10" i="185"/>
  <c r="C9" i="185"/>
  <c r="B9" i="185"/>
  <c r="B8" i="185"/>
  <c r="B7" i="185"/>
  <c r="O4" i="185"/>
  <c r="J4" i="185"/>
  <c r="L4" i="185" s="1"/>
  <c r="G4" i="185"/>
  <c r="H4" i="185" s="1"/>
  <c r="I4" i="185" s="1"/>
  <c r="D4" i="185"/>
  <c r="E4" i="185" s="1"/>
  <c r="E3" i="185"/>
  <c r="F3" i="185" s="1"/>
  <c r="G3" i="185" s="1"/>
  <c r="H3" i="185" s="1"/>
  <c r="I3" i="185" s="1"/>
  <c r="J3" i="185" s="1"/>
  <c r="K3" i="185" s="1"/>
  <c r="E2" i="185"/>
  <c r="F2" i="185" s="1"/>
  <c r="G2" i="185" s="1"/>
  <c r="C24" i="184"/>
  <c r="H22" i="184"/>
  <c r="D17" i="184"/>
  <c r="D18" i="184" s="1"/>
  <c r="D13" i="184"/>
  <c r="C13" i="184"/>
  <c r="E12" i="184"/>
  <c r="E11" i="184"/>
  <c r="J41" i="185" s="1"/>
  <c r="I23" i="184" s="1"/>
  <c r="F7" i="184"/>
  <c r="D7" i="184"/>
  <c r="F6" i="184"/>
  <c r="D6" i="184"/>
  <c r="F5" i="184"/>
  <c r="D5" i="184"/>
  <c r="G4" i="184"/>
  <c r="B6" i="185" s="1"/>
  <c r="F4" i="184"/>
  <c r="D4" i="184"/>
  <c r="B2" i="177"/>
  <c r="C24" i="180"/>
  <c r="E63" i="181"/>
  <c r="F62" i="181"/>
  <c r="F64" i="181" s="1"/>
  <c r="E62" i="181"/>
  <c r="E64" i="181" s="1"/>
  <c r="D62" i="181"/>
  <c r="D64" i="181" s="1"/>
  <c r="F53" i="181"/>
  <c r="F55" i="181" s="1"/>
  <c r="E53" i="181"/>
  <c r="D53" i="181"/>
  <c r="C28" i="181"/>
  <c r="E28" i="181" s="1"/>
  <c r="F28" i="181" s="1"/>
  <c r="G28" i="181" s="1"/>
  <c r="B28" i="181"/>
  <c r="C27" i="181"/>
  <c r="E27" i="181" s="1"/>
  <c r="F27" i="181" s="1"/>
  <c r="G27" i="181" s="1"/>
  <c r="B27" i="181"/>
  <c r="C26" i="181"/>
  <c r="E26" i="181" s="1"/>
  <c r="B26" i="181"/>
  <c r="B25" i="181"/>
  <c r="B24" i="181"/>
  <c r="B23" i="181"/>
  <c r="C22" i="181"/>
  <c r="F22" i="181" s="1"/>
  <c r="G22" i="181" s="1"/>
  <c r="B22" i="181"/>
  <c r="B21" i="181"/>
  <c r="B20" i="181"/>
  <c r="B19" i="181"/>
  <c r="B18" i="181"/>
  <c r="B17" i="181"/>
  <c r="B16" i="181"/>
  <c r="C15" i="181"/>
  <c r="B15" i="181"/>
  <c r="B14" i="181"/>
  <c r="C13" i="181"/>
  <c r="E13" i="181" s="1"/>
  <c r="B13" i="181"/>
  <c r="B12" i="181"/>
  <c r="C11" i="181"/>
  <c r="B11" i="181"/>
  <c r="B10" i="181"/>
  <c r="C9" i="181"/>
  <c r="B9" i="181"/>
  <c r="B8" i="181"/>
  <c r="B7" i="181"/>
  <c r="O4" i="181"/>
  <c r="I4" i="181"/>
  <c r="L4" i="181" s="1"/>
  <c r="F4" i="181"/>
  <c r="G4" i="181" s="1"/>
  <c r="H4" i="181" s="1"/>
  <c r="J4" i="181" s="1"/>
  <c r="D4" i="181"/>
  <c r="E4" i="181" s="1"/>
  <c r="E3" i="181"/>
  <c r="E2" i="181"/>
  <c r="F2" i="181" s="1"/>
  <c r="H22" i="180"/>
  <c r="D24" i="180"/>
  <c r="D20" i="180"/>
  <c r="C20" i="180"/>
  <c r="E19" i="180"/>
  <c r="E18" i="180"/>
  <c r="H50" i="181" s="1"/>
  <c r="I23" i="180" s="1"/>
  <c r="J23" i="180" s="1"/>
  <c r="H6" i="180"/>
  <c r="H5" i="180"/>
  <c r="G4" i="180"/>
  <c r="B6" i="181" s="1"/>
  <c r="E11" i="177"/>
  <c r="F41" i="178" s="1"/>
  <c r="G41" i="178" s="1"/>
  <c r="E17" i="171"/>
  <c r="F36" i="181" l="1"/>
  <c r="G7" i="140"/>
  <c r="G7" i="199" s="1"/>
  <c r="D33" i="140"/>
  <c r="C20" i="199" s="1"/>
  <c r="F30" i="186"/>
  <c r="C13" i="199"/>
  <c r="C26" i="188"/>
  <c r="I5" i="180"/>
  <c r="J5" i="180" s="1"/>
  <c r="I6" i="180"/>
  <c r="J6" i="180" s="1"/>
  <c r="J11" i="186"/>
  <c r="J24" i="186"/>
  <c r="J26" i="186"/>
  <c r="J9" i="186"/>
  <c r="J20" i="186"/>
  <c r="J13" i="186"/>
  <c r="J25" i="186"/>
  <c r="J6" i="186"/>
  <c r="J5" i="186"/>
  <c r="J10" i="186"/>
  <c r="I33" i="181"/>
  <c r="I35" i="181" s="1"/>
  <c r="I37" i="181" s="1"/>
  <c r="H35" i="181"/>
  <c r="H37" i="181" s="1"/>
  <c r="I19" i="184"/>
  <c r="J19" i="184" s="1"/>
  <c r="I42" i="181"/>
  <c r="J20" i="180"/>
  <c r="J26" i="180"/>
  <c r="J24" i="180"/>
  <c r="J11" i="180"/>
  <c r="J13" i="180"/>
  <c r="J7" i="180"/>
  <c r="J9" i="180"/>
  <c r="F30" i="180"/>
  <c r="J25" i="180"/>
  <c r="J4" i="180"/>
  <c r="I10" i="184"/>
  <c r="I18" i="184" s="1"/>
  <c r="C23" i="184"/>
  <c r="I10" i="180"/>
  <c r="J10" i="180" s="1"/>
  <c r="C30" i="180"/>
  <c r="I19" i="180"/>
  <c r="H43" i="189"/>
  <c r="H45" i="189" s="1"/>
  <c r="I4" i="188"/>
  <c r="M41" i="187"/>
  <c r="I23" i="186"/>
  <c r="J23" i="186" s="1"/>
  <c r="C30" i="186"/>
  <c r="I19" i="186"/>
  <c r="J19" i="186" s="1"/>
  <c r="I8" i="187"/>
  <c r="H8" i="187"/>
  <c r="J8" i="187"/>
  <c r="K8" i="187"/>
  <c r="H9" i="187"/>
  <c r="J9" i="187"/>
  <c r="K9" i="187"/>
  <c r="I9" i="187"/>
  <c r="E8" i="189"/>
  <c r="C16" i="189"/>
  <c r="D16" i="189" s="1"/>
  <c r="D25" i="180"/>
  <c r="G15" i="181"/>
  <c r="E15" i="181"/>
  <c r="J18" i="188"/>
  <c r="C20" i="189"/>
  <c r="D20" i="189" s="1"/>
  <c r="E20" i="189" s="1"/>
  <c r="F20" i="189" s="1"/>
  <c r="C24" i="189"/>
  <c r="F24" i="189" s="1"/>
  <c r="J22" i="188"/>
  <c r="E9" i="189"/>
  <c r="G22" i="140"/>
  <c r="E8" i="188"/>
  <c r="H31" i="189"/>
  <c r="G33" i="189"/>
  <c r="H33" i="189" s="1"/>
  <c r="G9" i="181"/>
  <c r="F9" i="181"/>
  <c r="F28" i="185"/>
  <c r="H28" i="185"/>
  <c r="G28" i="185"/>
  <c r="I28" i="185"/>
  <c r="M22" i="140"/>
  <c r="I12" i="177" s="1"/>
  <c r="O22" i="140"/>
  <c r="Q22" i="140"/>
  <c r="P22" i="140"/>
  <c r="I12" i="184" s="1"/>
  <c r="K22" i="140"/>
  <c r="I22" i="140"/>
  <c r="H27" i="185"/>
  <c r="G27" i="185"/>
  <c r="F27" i="185"/>
  <c r="I27" i="185"/>
  <c r="I9" i="185"/>
  <c r="H9" i="185"/>
  <c r="G9" i="185"/>
  <c r="I15" i="185"/>
  <c r="F15" i="185"/>
  <c r="I2" i="189"/>
  <c r="J2" i="189" s="1"/>
  <c r="K2" i="189" s="1"/>
  <c r="L2" i="189" s="1"/>
  <c r="M2" i="189" s="1"/>
  <c r="K47" i="197"/>
  <c r="L44" i="197"/>
  <c r="K35" i="197"/>
  <c r="N50" i="197"/>
  <c r="J37" i="197"/>
  <c r="F20" i="188"/>
  <c r="E20" i="188" s="1"/>
  <c r="I22" i="180"/>
  <c r="J22" i="180" s="1"/>
  <c r="E8" i="186"/>
  <c r="F18" i="180"/>
  <c r="I22" i="184"/>
  <c r="J22" i="184" s="1"/>
  <c r="C21" i="189"/>
  <c r="C7" i="189"/>
  <c r="E35" i="189"/>
  <c r="E3" i="187"/>
  <c r="F56" i="187"/>
  <c r="F47" i="187"/>
  <c r="H2" i="187"/>
  <c r="I2" i="187" s="1"/>
  <c r="J2" i="187" s="1"/>
  <c r="D46" i="187"/>
  <c r="D47" i="187" s="1"/>
  <c r="E56" i="187"/>
  <c r="E47" i="187"/>
  <c r="D8" i="186"/>
  <c r="C12" i="187"/>
  <c r="H12" i="187" s="1"/>
  <c r="I14" i="186"/>
  <c r="J14" i="186" s="1"/>
  <c r="F18" i="186"/>
  <c r="D25" i="186"/>
  <c r="G46" i="187"/>
  <c r="G47" i="187" s="1"/>
  <c r="F19" i="186"/>
  <c r="L4" i="187"/>
  <c r="K4" i="187"/>
  <c r="M4" i="187" s="1"/>
  <c r="N4" i="187" s="1"/>
  <c r="G56" i="187"/>
  <c r="I22" i="186"/>
  <c r="J22" i="186" s="1"/>
  <c r="D56" i="187"/>
  <c r="H2" i="185"/>
  <c r="I2" i="185" s="1"/>
  <c r="J2" i="185" s="1"/>
  <c r="D8" i="184"/>
  <c r="J20" i="184"/>
  <c r="J24" i="184"/>
  <c r="J25" i="184"/>
  <c r="J11" i="184"/>
  <c r="J26" i="184"/>
  <c r="G47" i="185"/>
  <c r="F46" i="185"/>
  <c r="F47" i="185" s="1"/>
  <c r="K4" i="185"/>
  <c r="M4" i="185" s="1"/>
  <c r="N4" i="185" s="1"/>
  <c r="E47" i="185"/>
  <c r="J6" i="184"/>
  <c r="C8" i="185"/>
  <c r="C21" i="185"/>
  <c r="K41" i="185"/>
  <c r="J10" i="184"/>
  <c r="C12" i="185"/>
  <c r="F12" i="185" s="1"/>
  <c r="I14" i="184"/>
  <c r="F8" i="184"/>
  <c r="L3" i="185"/>
  <c r="M3" i="185" s="1"/>
  <c r="N3" i="185" s="1"/>
  <c r="O3" i="185" s="1"/>
  <c r="F12" i="184"/>
  <c r="J9" i="184"/>
  <c r="I5" i="184"/>
  <c r="J13" i="184"/>
  <c r="J7" i="184"/>
  <c r="F11" i="184"/>
  <c r="F3" i="181"/>
  <c r="G3" i="181" s="1"/>
  <c r="H3" i="181" s="1"/>
  <c r="G2" i="181"/>
  <c r="F65" i="181"/>
  <c r="C7" i="181"/>
  <c r="F56" i="181"/>
  <c r="D65" i="181"/>
  <c r="F19" i="180"/>
  <c r="D55" i="181"/>
  <c r="D56" i="181" s="1"/>
  <c r="E65" i="181"/>
  <c r="E55" i="181"/>
  <c r="E56" i="181" s="1"/>
  <c r="K4" i="181"/>
  <c r="M4" i="181" s="1"/>
  <c r="N4" i="181" s="1"/>
  <c r="F35" i="178"/>
  <c r="E35" i="178"/>
  <c r="E37" i="178" s="1"/>
  <c r="D35" i="178"/>
  <c r="D37" i="178" s="1"/>
  <c r="D38" i="142"/>
  <c r="E7" i="177"/>
  <c r="F7" i="177" s="1"/>
  <c r="E6" i="177"/>
  <c r="F6" i="177" s="1"/>
  <c r="E5" i="177"/>
  <c r="F5" i="177" s="1"/>
  <c r="E4" i="177"/>
  <c r="F4" i="177" s="1"/>
  <c r="E54" i="178"/>
  <c r="E53" i="178"/>
  <c r="D53" i="178"/>
  <c r="E45" i="178"/>
  <c r="E44" i="178"/>
  <c r="E46" i="178" s="1"/>
  <c r="D44" i="178"/>
  <c r="D46" i="178" s="1"/>
  <c r="O30" i="178"/>
  <c r="N30" i="178"/>
  <c r="M30" i="178"/>
  <c r="L30" i="178"/>
  <c r="K30" i="178"/>
  <c r="J30" i="178"/>
  <c r="H30" i="178"/>
  <c r="G30" i="178"/>
  <c r="C28" i="178"/>
  <c r="B28" i="178"/>
  <c r="C27" i="178"/>
  <c r="D27" i="178" s="1"/>
  <c r="E27" i="178" s="1"/>
  <c r="B27" i="178"/>
  <c r="C26" i="178"/>
  <c r="D26" i="178" s="1"/>
  <c r="B26" i="178"/>
  <c r="B25" i="178"/>
  <c r="B24" i="178"/>
  <c r="B23" i="178"/>
  <c r="C22" i="178"/>
  <c r="B22" i="178"/>
  <c r="B21" i="178"/>
  <c r="B20" i="178"/>
  <c r="B19" i="178"/>
  <c r="B18" i="178"/>
  <c r="B17" i="178"/>
  <c r="B16" i="178"/>
  <c r="C15" i="178"/>
  <c r="B15" i="178"/>
  <c r="B14" i="178"/>
  <c r="C13" i="178"/>
  <c r="D13" i="178" s="1"/>
  <c r="B13" i="178"/>
  <c r="B12" i="178"/>
  <c r="C11" i="178"/>
  <c r="D11" i="178" s="1"/>
  <c r="B11" i="178"/>
  <c r="B10" i="178"/>
  <c r="C9" i="178"/>
  <c r="B9" i="178"/>
  <c r="B8" i="178"/>
  <c r="B7" i="178"/>
  <c r="J4" i="178"/>
  <c r="L4" i="178" s="1"/>
  <c r="F4" i="178"/>
  <c r="G4" i="178" s="1"/>
  <c r="H4" i="178" s="1"/>
  <c r="O4" i="178" s="1"/>
  <c r="D4" i="178"/>
  <c r="E4" i="178" s="1"/>
  <c r="E3" i="178"/>
  <c r="F3" i="178" s="1"/>
  <c r="E2" i="178"/>
  <c r="F2" i="178" s="1"/>
  <c r="C24" i="177"/>
  <c r="H22" i="177"/>
  <c r="D17" i="177"/>
  <c r="D18" i="177" s="1"/>
  <c r="D13" i="177"/>
  <c r="C13" i="177"/>
  <c r="E12" i="177"/>
  <c r="F50" i="178" s="1"/>
  <c r="G50" i="178" s="1"/>
  <c r="I23" i="177" s="1"/>
  <c r="F11" i="177"/>
  <c r="I10" i="177"/>
  <c r="C8" i="177"/>
  <c r="D7" i="177"/>
  <c r="H6" i="177"/>
  <c r="I6" i="177" s="1"/>
  <c r="D6" i="177"/>
  <c r="H5" i="177"/>
  <c r="I5" i="177" s="1"/>
  <c r="J5" i="177" s="1"/>
  <c r="D5" i="177"/>
  <c r="H4" i="177"/>
  <c r="G4" i="177"/>
  <c r="B6" i="178" s="1"/>
  <c r="D4" i="177"/>
  <c r="J32" i="185" l="1"/>
  <c r="F26" i="184"/>
  <c r="C19" i="184"/>
  <c r="G10" i="140"/>
  <c r="G12" i="199" s="1"/>
  <c r="G13" i="199" s="1"/>
  <c r="D32" i="140"/>
  <c r="G6" i="140"/>
  <c r="G15" i="199" s="1"/>
  <c r="G17" i="199" s="1"/>
  <c r="I36" i="187"/>
  <c r="J24" i="177"/>
  <c r="J13" i="177"/>
  <c r="J20" i="177"/>
  <c r="J9" i="177"/>
  <c r="J26" i="177"/>
  <c r="J7" i="177"/>
  <c r="J11" i="177"/>
  <c r="J25" i="177"/>
  <c r="J6" i="177"/>
  <c r="E38" i="181"/>
  <c r="F23" i="177"/>
  <c r="J12" i="177"/>
  <c r="I18" i="177"/>
  <c r="J18" i="177" s="1"/>
  <c r="J10" i="177"/>
  <c r="C12" i="181"/>
  <c r="E12" i="181" s="1"/>
  <c r="J18" i="184"/>
  <c r="C20" i="185"/>
  <c r="F20" i="185" s="1"/>
  <c r="G20" i="185" s="1"/>
  <c r="H20" i="185" s="1"/>
  <c r="I20" i="185" s="1"/>
  <c r="C26" i="186"/>
  <c r="I4" i="186"/>
  <c r="C21" i="181"/>
  <c r="G21" i="181" s="1"/>
  <c r="J19" i="180"/>
  <c r="I18" i="180"/>
  <c r="J18" i="180" s="1"/>
  <c r="I14" i="180"/>
  <c r="J14" i="180" s="1"/>
  <c r="G2" i="178"/>
  <c r="D22" i="178"/>
  <c r="E22" i="178"/>
  <c r="D28" i="178"/>
  <c r="E28" i="178" s="1"/>
  <c r="I18" i="186"/>
  <c r="E24" i="189"/>
  <c r="J34" i="185"/>
  <c r="K34" i="185" s="1"/>
  <c r="H35" i="189"/>
  <c r="G44" i="189"/>
  <c r="I8" i="188"/>
  <c r="J8" i="188" s="1"/>
  <c r="J4" i="188"/>
  <c r="I19" i="177"/>
  <c r="C8" i="181"/>
  <c r="G8" i="181" s="1"/>
  <c r="G34" i="189"/>
  <c r="G36" i="189" s="1"/>
  <c r="J36" i="185"/>
  <c r="G36" i="185"/>
  <c r="H36" i="185" s="1"/>
  <c r="I36" i="185" s="1"/>
  <c r="G35" i="189"/>
  <c r="G7" i="181"/>
  <c r="F7" i="181"/>
  <c r="I15" i="188"/>
  <c r="C6" i="189"/>
  <c r="E6" i="189" s="1"/>
  <c r="I17" i="188"/>
  <c r="J17" i="188" s="1"/>
  <c r="I21" i="185"/>
  <c r="H21" i="185"/>
  <c r="G21" i="185"/>
  <c r="F21" i="185"/>
  <c r="I8" i="185"/>
  <c r="H8" i="185"/>
  <c r="G8" i="185"/>
  <c r="D15" i="178"/>
  <c r="E15" i="178" s="1"/>
  <c r="E9" i="178"/>
  <c r="D21" i="189"/>
  <c r="E21" i="189"/>
  <c r="F21" i="189"/>
  <c r="N2" i="189"/>
  <c r="O2" i="189" s="1"/>
  <c r="E7" i="189"/>
  <c r="F7" i="189"/>
  <c r="F3" i="187"/>
  <c r="G3" i="187" s="1"/>
  <c r="H3" i="187" s="1"/>
  <c r="I3" i="187" s="1"/>
  <c r="J3" i="187" s="1"/>
  <c r="K3" i="187" s="1"/>
  <c r="L3" i="187" s="1"/>
  <c r="M3" i="187" s="1"/>
  <c r="N3" i="187" s="1"/>
  <c r="O3" i="187" s="1"/>
  <c r="L47" i="197"/>
  <c r="O50" i="197"/>
  <c r="M44" i="197"/>
  <c r="K37" i="197"/>
  <c r="K38" i="197" s="1"/>
  <c r="L35" i="197"/>
  <c r="I17" i="180"/>
  <c r="F20" i="180"/>
  <c r="E20" i="180" s="1"/>
  <c r="C24" i="185"/>
  <c r="H24" i="185" s="1"/>
  <c r="I24" i="185" s="1"/>
  <c r="C7" i="178"/>
  <c r="C24" i="181"/>
  <c r="F24" i="181" s="1"/>
  <c r="G24" i="181" s="1"/>
  <c r="I4" i="184"/>
  <c r="F12" i="177"/>
  <c r="F13" i="177" s="1"/>
  <c r="E13" i="177" s="1"/>
  <c r="I50" i="181"/>
  <c r="F35" i="189"/>
  <c r="E37" i="189"/>
  <c r="C31" i="186"/>
  <c r="K2" i="187"/>
  <c r="L2" i="187" s="1"/>
  <c r="F20" i="186"/>
  <c r="E20" i="186" s="1"/>
  <c r="J23" i="177"/>
  <c r="C21" i="187"/>
  <c r="H21" i="187" s="1"/>
  <c r="I21" i="187" s="1"/>
  <c r="J21" i="187" s="1"/>
  <c r="K21" i="187" s="1"/>
  <c r="H53" i="187"/>
  <c r="C7" i="187"/>
  <c r="C16" i="187"/>
  <c r="H16" i="187" s="1"/>
  <c r="C24" i="187"/>
  <c r="K2" i="185"/>
  <c r="L2" i="185" s="1"/>
  <c r="C25" i="185"/>
  <c r="H25" i="185" s="1"/>
  <c r="I25" i="185" s="1"/>
  <c r="J23" i="184"/>
  <c r="J5" i="184"/>
  <c r="C7" i="185"/>
  <c r="H44" i="185"/>
  <c r="F13" i="184"/>
  <c r="E13" i="184" s="1"/>
  <c r="J14" i="184"/>
  <c r="C16" i="185"/>
  <c r="F16" i="185" s="1"/>
  <c r="I44" i="185"/>
  <c r="I3" i="181"/>
  <c r="K3" i="181" s="1"/>
  <c r="L3" i="181" s="1"/>
  <c r="M3" i="181" s="1"/>
  <c r="N3" i="181" s="1"/>
  <c r="O3" i="181" s="1"/>
  <c r="J3" i="181"/>
  <c r="H2" i="181"/>
  <c r="H43" i="181" s="1"/>
  <c r="H62" i="181"/>
  <c r="C16" i="181"/>
  <c r="E16" i="181" s="1"/>
  <c r="C25" i="181"/>
  <c r="F25" i="181" s="1"/>
  <c r="G25" i="181" s="1"/>
  <c r="F37" i="178"/>
  <c r="G3" i="178"/>
  <c r="D38" i="178"/>
  <c r="D47" i="178"/>
  <c r="I22" i="177"/>
  <c r="J22" i="177" s="1"/>
  <c r="D8" i="177"/>
  <c r="C19" i="177" s="1"/>
  <c r="F8" i="177"/>
  <c r="C8" i="178"/>
  <c r="C12" i="178"/>
  <c r="D12" i="178" s="1"/>
  <c r="I14" i="177"/>
  <c r="J14" i="177" s="1"/>
  <c r="E47" i="178"/>
  <c r="D55" i="178"/>
  <c r="D56" i="178" s="1"/>
  <c r="E55" i="178"/>
  <c r="E56" i="178" s="1"/>
  <c r="K4" i="178"/>
  <c r="M4" i="178" s="1"/>
  <c r="N4" i="178" s="1"/>
  <c r="H22" i="171"/>
  <c r="H6" i="171"/>
  <c r="H5" i="171"/>
  <c r="I6" i="171" s="1"/>
  <c r="C30" i="171"/>
  <c r="C19" i="171"/>
  <c r="G40" i="170"/>
  <c r="L29" i="170"/>
  <c r="E2" i="170"/>
  <c r="F2" i="170" s="1"/>
  <c r="E43" i="170"/>
  <c r="E45" i="170" s="1"/>
  <c r="F44" i="170"/>
  <c r="E52" i="170"/>
  <c r="E54" i="170" s="1"/>
  <c r="E53" i="170"/>
  <c r="F53" i="170" s="1"/>
  <c r="C28" i="170"/>
  <c r="C26" i="170"/>
  <c r="D26" i="170" s="1"/>
  <c r="C22" i="170"/>
  <c r="C15" i="170"/>
  <c r="C13" i="170"/>
  <c r="D13" i="170" s="1"/>
  <c r="C11" i="170"/>
  <c r="C9" i="170"/>
  <c r="B28" i="170"/>
  <c r="B27" i="170"/>
  <c r="B26" i="170"/>
  <c r="B25" i="170"/>
  <c r="B24" i="170"/>
  <c r="B23" i="170"/>
  <c r="B22" i="170"/>
  <c r="B21" i="170"/>
  <c r="B20" i="170"/>
  <c r="B19" i="170"/>
  <c r="B18" i="170"/>
  <c r="B17" i="170"/>
  <c r="B16" i="170"/>
  <c r="B15" i="170"/>
  <c r="B14" i="170"/>
  <c r="B13" i="170"/>
  <c r="B12" i="170"/>
  <c r="B11" i="170"/>
  <c r="B10" i="170"/>
  <c r="B9" i="170"/>
  <c r="B8" i="170"/>
  <c r="B7" i="170"/>
  <c r="D40" i="140" l="1"/>
  <c r="C19" i="199"/>
  <c r="D34" i="140"/>
  <c r="E32" i="140"/>
  <c r="F21" i="181"/>
  <c r="E21" i="181"/>
  <c r="C20" i="178"/>
  <c r="D20" i="178" s="1"/>
  <c r="E20" i="178" s="1"/>
  <c r="J4" i="186"/>
  <c r="C20" i="187"/>
  <c r="H20" i="187" s="1"/>
  <c r="I20" i="187" s="1"/>
  <c r="J20" i="187" s="1"/>
  <c r="K20" i="187" s="1"/>
  <c r="J18" i="186"/>
  <c r="G36" i="181"/>
  <c r="G38" i="181" s="1"/>
  <c r="F38" i="181"/>
  <c r="F23" i="181" s="1"/>
  <c r="I8" i="186"/>
  <c r="J8" i="186" s="1"/>
  <c r="H45" i="181"/>
  <c r="I45" i="181" s="1"/>
  <c r="I4" i="177"/>
  <c r="C6" i="178" s="1"/>
  <c r="H36" i="181"/>
  <c r="I43" i="181"/>
  <c r="I44" i="181" s="1"/>
  <c r="I46" i="181" s="1"/>
  <c r="H44" i="181"/>
  <c r="H46" i="181" s="1"/>
  <c r="I15" i="184"/>
  <c r="J15" i="184" s="1"/>
  <c r="J4" i="184"/>
  <c r="C21" i="178"/>
  <c r="D21" i="178" s="1"/>
  <c r="E21" i="178" s="1"/>
  <c r="J19" i="177"/>
  <c r="C19" i="181"/>
  <c r="F19" i="181" s="1"/>
  <c r="J17" i="180"/>
  <c r="G44" i="181"/>
  <c r="C20" i="181"/>
  <c r="E20" i="181" s="1"/>
  <c r="F20" i="181" s="1"/>
  <c r="G20" i="181" s="1"/>
  <c r="I21" i="177"/>
  <c r="E23" i="189"/>
  <c r="M2" i="187"/>
  <c r="L36" i="187"/>
  <c r="L34" i="187"/>
  <c r="M34" i="187" s="1"/>
  <c r="K24" i="187"/>
  <c r="J24" i="187"/>
  <c r="K7" i="187"/>
  <c r="I7" i="187"/>
  <c r="J7" i="187"/>
  <c r="H7" i="187"/>
  <c r="C10" i="189"/>
  <c r="E10" i="189" s="1"/>
  <c r="H44" i="189"/>
  <c r="H46" i="189" s="1"/>
  <c r="G47" i="189" s="1"/>
  <c r="G46" i="189"/>
  <c r="F8" i="181"/>
  <c r="C17" i="189"/>
  <c r="D17" i="189" s="1"/>
  <c r="J15" i="188"/>
  <c r="K36" i="185"/>
  <c r="F6" i="189"/>
  <c r="J38" i="197"/>
  <c r="I38" i="197"/>
  <c r="C19" i="189"/>
  <c r="F19" i="189" s="1"/>
  <c r="H7" i="185"/>
  <c r="G7" i="185"/>
  <c r="I7" i="185"/>
  <c r="E8" i="178"/>
  <c r="E7" i="178"/>
  <c r="H3" i="178"/>
  <c r="J3" i="178" s="1"/>
  <c r="K3" i="178" s="1"/>
  <c r="L3" i="178" s="1"/>
  <c r="M3" i="178" s="1"/>
  <c r="N3" i="178" s="1"/>
  <c r="O3" i="178" s="1"/>
  <c r="I3" i="178"/>
  <c r="I2" i="178"/>
  <c r="D23" i="178"/>
  <c r="N44" i="197"/>
  <c r="O44" i="197"/>
  <c r="L37" i="197"/>
  <c r="L38" i="197" s="1"/>
  <c r="M35" i="197"/>
  <c r="M47" i="197"/>
  <c r="F28" i="170"/>
  <c r="D28" i="170"/>
  <c r="E28" i="170"/>
  <c r="F9" i="170"/>
  <c r="E9" i="170"/>
  <c r="D15" i="170"/>
  <c r="F15" i="170"/>
  <c r="F22" i="170"/>
  <c r="E22" i="170"/>
  <c r="I8" i="180"/>
  <c r="J8" i="180" s="1"/>
  <c r="I15" i="180"/>
  <c r="C6" i="181"/>
  <c r="C6" i="185"/>
  <c r="I8" i="184"/>
  <c r="C10" i="185" s="1"/>
  <c r="G8" i="140"/>
  <c r="G8" i="199" s="1"/>
  <c r="I17" i="184"/>
  <c r="C19" i="185" s="1"/>
  <c r="H35" i="185"/>
  <c r="H37" i="185" s="1"/>
  <c r="H38" i="185" s="1"/>
  <c r="E38" i="185"/>
  <c r="I35" i="185"/>
  <c r="C25" i="189"/>
  <c r="C17" i="185"/>
  <c r="H17" i="185" s="1"/>
  <c r="G53" i="181"/>
  <c r="G55" i="181" s="1"/>
  <c r="G56" i="181" s="1"/>
  <c r="E38" i="187"/>
  <c r="E23" i="181"/>
  <c r="G37" i="189"/>
  <c r="F37" i="189"/>
  <c r="F23" i="189" s="1"/>
  <c r="I15" i="186"/>
  <c r="I44" i="187"/>
  <c r="N2" i="187"/>
  <c r="C6" i="187"/>
  <c r="I53" i="187"/>
  <c r="H44" i="187"/>
  <c r="H46" i="187" s="1"/>
  <c r="H47" i="187" s="1"/>
  <c r="I17" i="186"/>
  <c r="J17" i="186" s="1"/>
  <c r="C10" i="187"/>
  <c r="H55" i="187"/>
  <c r="H56" i="187" s="1"/>
  <c r="M2" i="185"/>
  <c r="H46" i="185"/>
  <c r="H47" i="185" s="1"/>
  <c r="I46" i="185"/>
  <c r="I47" i="185" s="1"/>
  <c r="I2" i="181"/>
  <c r="H64" i="181"/>
  <c r="H65" i="181" s="1"/>
  <c r="G62" i="181"/>
  <c r="G64" i="181" s="1"/>
  <c r="G65" i="181" s="1"/>
  <c r="G32" i="178"/>
  <c r="H2" i="178"/>
  <c r="J2" i="178" s="1"/>
  <c r="K2" i="178" s="1"/>
  <c r="L2" i="178" s="1"/>
  <c r="M2" i="178" s="1"/>
  <c r="C24" i="178"/>
  <c r="J4" i="177"/>
  <c r="C16" i="178"/>
  <c r="D16" i="178" s="1"/>
  <c r="E55" i="170"/>
  <c r="E46" i="170"/>
  <c r="E33" i="140" l="1"/>
  <c r="E34" i="140"/>
  <c r="I8" i="177"/>
  <c r="J8" i="177" s="1"/>
  <c r="I15" i="177"/>
  <c r="J15" i="177" s="1"/>
  <c r="I17" i="177"/>
  <c r="J17" i="177" s="1"/>
  <c r="I47" i="181"/>
  <c r="I36" i="181"/>
  <c r="I38" i="181" s="1"/>
  <c r="H39" i="181" s="1"/>
  <c r="H38" i="181"/>
  <c r="C17" i="187"/>
  <c r="H17" i="187" s="1"/>
  <c r="J15" i="186"/>
  <c r="H47" i="181"/>
  <c r="J21" i="177"/>
  <c r="G19" i="181"/>
  <c r="E19" i="181"/>
  <c r="C17" i="181"/>
  <c r="E17" i="181" s="1"/>
  <c r="J15" i="180"/>
  <c r="C10" i="181"/>
  <c r="G10" i="181" s="1"/>
  <c r="G46" i="181"/>
  <c r="G47" i="181" s="1"/>
  <c r="C23" i="189"/>
  <c r="I21" i="188" s="1"/>
  <c r="E23" i="170"/>
  <c r="D24" i="178"/>
  <c r="E24" i="178"/>
  <c r="I10" i="187"/>
  <c r="H10" i="187"/>
  <c r="K10" i="187"/>
  <c r="J10" i="187"/>
  <c r="K17" i="187"/>
  <c r="J17" i="187"/>
  <c r="I17" i="187"/>
  <c r="I6" i="187"/>
  <c r="H6" i="187"/>
  <c r="K6" i="187"/>
  <c r="J6" i="187"/>
  <c r="F10" i="189"/>
  <c r="E17" i="189"/>
  <c r="F17" i="189" s="1"/>
  <c r="H23" i="185"/>
  <c r="E19" i="189"/>
  <c r="D19" i="189"/>
  <c r="G6" i="181"/>
  <c r="F6" i="181"/>
  <c r="G6" i="185"/>
  <c r="I6" i="185"/>
  <c r="H6" i="185"/>
  <c r="I10" i="185"/>
  <c r="G10" i="185"/>
  <c r="H10" i="185"/>
  <c r="H19" i="185"/>
  <c r="I19" i="185"/>
  <c r="G19" i="185"/>
  <c r="F19" i="185"/>
  <c r="I17" i="185"/>
  <c r="G17" i="185"/>
  <c r="F17" i="185"/>
  <c r="J2" i="181"/>
  <c r="K2" i="181" s="1"/>
  <c r="L2" i="181" s="1"/>
  <c r="E6" i="178"/>
  <c r="F25" i="189"/>
  <c r="E25" i="189"/>
  <c r="O2" i="187"/>
  <c r="M37" i="197"/>
  <c r="M38" i="197" s="1"/>
  <c r="O47" i="197"/>
  <c r="N47" i="197"/>
  <c r="O35" i="197"/>
  <c r="N35" i="197"/>
  <c r="G38" i="187"/>
  <c r="J8" i="184"/>
  <c r="H34" i="189"/>
  <c r="H36" i="189" s="1"/>
  <c r="H37" i="189" s="1"/>
  <c r="G38" i="189" s="1"/>
  <c r="J17" i="184"/>
  <c r="E38" i="178"/>
  <c r="G38" i="185"/>
  <c r="G23" i="185" s="1"/>
  <c r="F38" i="185"/>
  <c r="K32" i="185"/>
  <c r="J35" i="185"/>
  <c r="I37" i="185"/>
  <c r="I38" i="185" s="1"/>
  <c r="I23" i="185" s="1"/>
  <c r="F38" i="187"/>
  <c r="I62" i="181"/>
  <c r="I64" i="181" s="1"/>
  <c r="I65" i="181" s="1"/>
  <c r="H35" i="187"/>
  <c r="H37" i="187" s="1"/>
  <c r="J53" i="187"/>
  <c r="C19" i="187"/>
  <c r="H19" i="187" s="1"/>
  <c r="I19" i="187" s="1"/>
  <c r="J19" i="187" s="1"/>
  <c r="K19" i="187" s="1"/>
  <c r="J44" i="187"/>
  <c r="I55" i="187"/>
  <c r="I56" i="187" s="1"/>
  <c r="I46" i="187"/>
  <c r="I47" i="187" s="1"/>
  <c r="N2" i="185"/>
  <c r="O2" i="185" s="1"/>
  <c r="G35" i="178"/>
  <c r="N2" i="178"/>
  <c r="O2" i="178" s="1"/>
  <c r="C10" i="178"/>
  <c r="C23" i="171"/>
  <c r="H48" i="181" l="1"/>
  <c r="I30" i="180"/>
  <c r="C17" i="178"/>
  <c r="C19" i="178"/>
  <c r="F32" i="180"/>
  <c r="F34" i="180" s="1"/>
  <c r="F33" i="180"/>
  <c r="F17" i="181"/>
  <c r="G17" i="181" s="1"/>
  <c r="F10" i="181"/>
  <c r="C23" i="178"/>
  <c r="E23" i="178"/>
  <c r="F32" i="188"/>
  <c r="C29" i="171"/>
  <c r="I10" i="171"/>
  <c r="I21" i="184"/>
  <c r="F23" i="185"/>
  <c r="G23" i="181"/>
  <c r="I21" i="180"/>
  <c r="J21" i="180" s="1"/>
  <c r="M2" i="181"/>
  <c r="N2" i="181" s="1"/>
  <c r="O2" i="181" s="1"/>
  <c r="E17" i="178"/>
  <c r="D17" i="178"/>
  <c r="E10" i="178"/>
  <c r="E19" i="178"/>
  <c r="D19" i="178"/>
  <c r="N37" i="197"/>
  <c r="N38" i="197" s="1"/>
  <c r="O37" i="197"/>
  <c r="O38" i="197" s="1"/>
  <c r="F38" i="178"/>
  <c r="J37" i="185"/>
  <c r="J38" i="185" s="1"/>
  <c r="K35" i="185"/>
  <c r="I35" i="187"/>
  <c r="K44" i="187"/>
  <c r="J46" i="187"/>
  <c r="J47" i="187" s="1"/>
  <c r="J55" i="187"/>
  <c r="J56" i="187" s="1"/>
  <c r="G37" i="178"/>
  <c r="G38" i="178" s="1"/>
  <c r="C10" i="199" l="1"/>
  <c r="H38" i="187"/>
  <c r="H23" i="187"/>
  <c r="K23" i="171"/>
  <c r="I18" i="171"/>
  <c r="C23" i="181"/>
  <c r="I58" i="178"/>
  <c r="C23" i="185"/>
  <c r="J21" i="184"/>
  <c r="K37" i="185"/>
  <c r="K38" i="185" s="1"/>
  <c r="J39" i="185" s="1"/>
  <c r="F25" i="184" s="1"/>
  <c r="J35" i="187"/>
  <c r="I37" i="187"/>
  <c r="K46" i="187"/>
  <c r="K47" i="187" s="1"/>
  <c r="K53" i="187"/>
  <c r="I5" i="171"/>
  <c r="C12" i="170"/>
  <c r="D12" i="170" s="1"/>
  <c r="I14" i="171"/>
  <c r="F27" i="184" l="1"/>
  <c r="C20" i="170"/>
  <c r="D20" i="170" s="1"/>
  <c r="E20" i="170" s="1"/>
  <c r="F20" i="170" s="1"/>
  <c r="I38" i="187"/>
  <c r="J36" i="187"/>
  <c r="J23" i="187" s="1"/>
  <c r="I23" i="187"/>
  <c r="J67" i="181"/>
  <c r="K35" i="187"/>
  <c r="K37" i="187" s="1"/>
  <c r="J37" i="187"/>
  <c r="C25" i="187"/>
  <c r="J25" i="187" s="1"/>
  <c r="K25" i="187" s="1"/>
  <c r="K55" i="187"/>
  <c r="K56" i="187" s="1"/>
  <c r="J58" i="178"/>
  <c r="C25" i="178"/>
  <c r="C7" i="170"/>
  <c r="C8" i="170"/>
  <c r="C16" i="170"/>
  <c r="D16" i="170" s="1"/>
  <c r="G2" i="170"/>
  <c r="F52" i="170"/>
  <c r="D52" i="170"/>
  <c r="D54" i="170" s="1"/>
  <c r="D55" i="170" s="1"/>
  <c r="F43" i="170"/>
  <c r="F45" i="170" s="1"/>
  <c r="D43" i="170"/>
  <c r="D45" i="170" s="1"/>
  <c r="E3" i="170"/>
  <c r="F3" i="170" s="1"/>
  <c r="D30" i="142"/>
  <c r="F54" i="178" l="1"/>
  <c r="G54" i="178" s="1"/>
  <c r="F43" i="178"/>
  <c r="F45" i="178"/>
  <c r="G45" i="178" s="1"/>
  <c r="L45" i="187"/>
  <c r="M45" i="187" s="1"/>
  <c r="F52" i="178"/>
  <c r="L43" i="187"/>
  <c r="G33" i="170"/>
  <c r="G35" i="170"/>
  <c r="H35" i="170" s="1"/>
  <c r="E25" i="178"/>
  <c r="D25" i="178"/>
  <c r="I43" i="197"/>
  <c r="H54" i="181"/>
  <c r="I54" i="181" s="1"/>
  <c r="I45" i="197"/>
  <c r="J45" i="197" s="1"/>
  <c r="H52" i="181"/>
  <c r="G52" i="197"/>
  <c r="G54" i="197"/>
  <c r="H54" i="197" s="1"/>
  <c r="G60" i="189"/>
  <c r="G53" i="189"/>
  <c r="H53" i="189" s="1"/>
  <c r="G51" i="189"/>
  <c r="G62" i="189"/>
  <c r="H62" i="189" s="1"/>
  <c r="J43" i="185"/>
  <c r="J45" i="185"/>
  <c r="K45" i="185" s="1"/>
  <c r="J38" i="187"/>
  <c r="K36" i="187"/>
  <c r="K23" i="187" s="1"/>
  <c r="F8" i="170"/>
  <c r="E8" i="170"/>
  <c r="F7" i="170"/>
  <c r="E7" i="170"/>
  <c r="K67" i="181"/>
  <c r="L35" i="187"/>
  <c r="L37" i="187" s="1"/>
  <c r="K58" i="178"/>
  <c r="G53" i="170"/>
  <c r="H53" i="170" s="1"/>
  <c r="G42" i="170"/>
  <c r="G51" i="170"/>
  <c r="H51" i="170" s="1"/>
  <c r="H2" i="170"/>
  <c r="I2" i="170" s="1"/>
  <c r="G44" i="170"/>
  <c r="H44" i="170" s="1"/>
  <c r="D46" i="170"/>
  <c r="D23" i="170" s="1"/>
  <c r="F54" i="170"/>
  <c r="F46" i="170"/>
  <c r="M43" i="187" l="1"/>
  <c r="M44" i="187" s="1"/>
  <c r="M46" i="187" s="1"/>
  <c r="M47" i="187" s="1"/>
  <c r="L48" i="187" s="1"/>
  <c r="F35" i="186" s="1"/>
  <c r="L44" i="187"/>
  <c r="L46" i="187" s="1"/>
  <c r="L47" i="187" s="1"/>
  <c r="G52" i="178"/>
  <c r="F53" i="178"/>
  <c r="F55" i="178" s="1"/>
  <c r="F56" i="178" s="1"/>
  <c r="G43" i="178"/>
  <c r="G44" i="178" s="1"/>
  <c r="G46" i="178" s="1"/>
  <c r="G47" i="178" s="1"/>
  <c r="F48" i="178" s="1"/>
  <c r="F44" i="178"/>
  <c r="H33" i="170"/>
  <c r="H34" i="170" s="1"/>
  <c r="H36" i="170" s="1"/>
  <c r="G34" i="170"/>
  <c r="H53" i="181"/>
  <c r="H55" i="181" s="1"/>
  <c r="H56" i="181" s="1"/>
  <c r="H67" i="181" s="1"/>
  <c r="H9" i="159" s="1"/>
  <c r="I52" i="181"/>
  <c r="I53" i="181" s="1"/>
  <c r="I55" i="181" s="1"/>
  <c r="I56" i="181" s="1"/>
  <c r="H57" i="181" s="1"/>
  <c r="J54" i="197"/>
  <c r="I54" i="197"/>
  <c r="K54" i="197" s="1"/>
  <c r="L54" i="197" s="1"/>
  <c r="M54" i="197" s="1"/>
  <c r="N54" i="197" s="1"/>
  <c r="O54" i="197" s="1"/>
  <c r="G53" i="178"/>
  <c r="G55" i="178" s="1"/>
  <c r="G56" i="178" s="1"/>
  <c r="F57" i="178" s="1"/>
  <c r="K43" i="185"/>
  <c r="K44" i="185" s="1"/>
  <c r="K46" i="185" s="1"/>
  <c r="K47" i="185" s="1"/>
  <c r="J48" i="185" s="1"/>
  <c r="J44" i="185"/>
  <c r="J46" i="185" s="1"/>
  <c r="J47" i="185" s="1"/>
  <c r="F28" i="184" s="1"/>
  <c r="F29" i="184" s="1"/>
  <c r="H51" i="189"/>
  <c r="H52" i="189" s="1"/>
  <c r="H54" i="189" s="1"/>
  <c r="H55" i="189" s="1"/>
  <c r="G56" i="189" s="1"/>
  <c r="G52" i="189"/>
  <c r="G54" i="189" s="1"/>
  <c r="G55" i="189" s="1"/>
  <c r="H52" i="197"/>
  <c r="G53" i="197"/>
  <c r="G55" i="197" s="1"/>
  <c r="G56" i="197" s="1"/>
  <c r="G61" i="189"/>
  <c r="H60" i="189"/>
  <c r="H61" i="189" s="1"/>
  <c r="H63" i="189" s="1"/>
  <c r="H64" i="189" s="1"/>
  <c r="G65" i="189" s="1"/>
  <c r="J43" i="197"/>
  <c r="J44" i="197" s="1"/>
  <c r="J46" i="197" s="1"/>
  <c r="J47" i="197" s="1"/>
  <c r="I48" i="197" s="1"/>
  <c r="I44" i="197"/>
  <c r="I46" i="197" s="1"/>
  <c r="I47" i="197" s="1"/>
  <c r="I29" i="196" s="1"/>
  <c r="K38" i="187"/>
  <c r="I21" i="186" s="1"/>
  <c r="J21" i="186" s="1"/>
  <c r="L67" i="181"/>
  <c r="M35" i="187"/>
  <c r="M37" i="187" s="1"/>
  <c r="L58" i="178"/>
  <c r="H42" i="170"/>
  <c r="G43" i="170"/>
  <c r="J2" i="170"/>
  <c r="F55" i="170"/>
  <c r="F23" i="170" s="1"/>
  <c r="J11" i="140" l="1"/>
  <c r="I29" i="184"/>
  <c r="F46" i="178"/>
  <c r="F47" i="178"/>
  <c r="I29" i="177" s="1"/>
  <c r="I29" i="180"/>
  <c r="F58" i="178"/>
  <c r="F8" i="159" s="1"/>
  <c r="I32" i="196"/>
  <c r="F28" i="177"/>
  <c r="G36" i="170"/>
  <c r="G37" i="170"/>
  <c r="H37" i="170"/>
  <c r="G38" i="170" s="1"/>
  <c r="I21" i="171"/>
  <c r="J21" i="171" s="1"/>
  <c r="C23" i="187"/>
  <c r="G63" i="189"/>
  <c r="G64" i="189" s="1"/>
  <c r="G66" i="189" s="1"/>
  <c r="G7" i="159" s="1"/>
  <c r="G23" i="197"/>
  <c r="F35" i="180"/>
  <c r="H53" i="197"/>
  <c r="H55" i="197" s="1"/>
  <c r="H56" i="197" s="1"/>
  <c r="H23" i="197" s="1"/>
  <c r="J52" i="197"/>
  <c r="J53" i="197" s="1"/>
  <c r="J55" i="197" s="1"/>
  <c r="J56" i="197" s="1"/>
  <c r="I57" i="197" s="1"/>
  <c r="I52" i="197"/>
  <c r="F35" i="188"/>
  <c r="J58" i="185"/>
  <c r="J10" i="159" s="1"/>
  <c r="M36" i="187"/>
  <c r="L38" i="187"/>
  <c r="M67" i="181"/>
  <c r="M58" i="178"/>
  <c r="K2" i="170"/>
  <c r="E18" i="171"/>
  <c r="G49" i="170" s="1"/>
  <c r="I23" i="171" s="1"/>
  <c r="J23" i="171" s="1"/>
  <c r="C8" i="171"/>
  <c r="G4" i="171"/>
  <c r="B6" i="170" s="1"/>
  <c r="I29" i="188" l="1"/>
  <c r="F28" i="196"/>
  <c r="F29" i="196" s="1"/>
  <c r="J32" i="196"/>
  <c r="J29" i="196"/>
  <c r="I32" i="180"/>
  <c r="J29" i="180"/>
  <c r="J7" i="140"/>
  <c r="I32" i="188"/>
  <c r="J32" i="188" s="1"/>
  <c r="J29" i="188"/>
  <c r="I32" i="184"/>
  <c r="J32" i="184" s="1"/>
  <c r="J29" i="184"/>
  <c r="F25" i="171"/>
  <c r="F29" i="171"/>
  <c r="J9" i="171"/>
  <c r="J25" i="171"/>
  <c r="J24" i="171"/>
  <c r="J6" i="171"/>
  <c r="J7" i="171"/>
  <c r="J13" i="171"/>
  <c r="J20" i="171"/>
  <c r="J11" i="171"/>
  <c r="J26" i="171"/>
  <c r="J10" i="171"/>
  <c r="J5" i="171"/>
  <c r="J14" i="171"/>
  <c r="J18" i="171"/>
  <c r="I32" i="177"/>
  <c r="J8" i="140"/>
  <c r="J29" i="177"/>
  <c r="I19" i="171"/>
  <c r="J19" i="171" s="1"/>
  <c r="I21" i="196"/>
  <c r="J21" i="188"/>
  <c r="K52" i="197"/>
  <c r="I53" i="197"/>
  <c r="M38" i="187"/>
  <c r="L39" i="187" s="1"/>
  <c r="I29" i="186" s="1"/>
  <c r="F36" i="188"/>
  <c r="F36" i="180"/>
  <c r="C23" i="170"/>
  <c r="L2" i="170"/>
  <c r="H49" i="170"/>
  <c r="G52" i="170"/>
  <c r="G54" i="170" s="1"/>
  <c r="G55" i="170" s="1"/>
  <c r="H40" i="170"/>
  <c r="H43" i="170" s="1"/>
  <c r="G45" i="170"/>
  <c r="G46" i="170" s="1"/>
  <c r="F18" i="171"/>
  <c r="F17" i="171"/>
  <c r="I55" i="197" l="1"/>
  <c r="I56" i="197"/>
  <c r="I60" i="197" s="1"/>
  <c r="I11" i="159" s="1"/>
  <c r="I32" i="186"/>
  <c r="J32" i="186" s="1"/>
  <c r="J29" i="186"/>
  <c r="L60" i="187"/>
  <c r="J32" i="177"/>
  <c r="J21" i="196"/>
  <c r="F32" i="186"/>
  <c r="F36" i="186" s="1"/>
  <c r="C23" i="197"/>
  <c r="L52" i="197"/>
  <c r="K53" i="197"/>
  <c r="K55" i="197" s="1"/>
  <c r="K56" i="197" s="1"/>
  <c r="N67" i="181"/>
  <c r="C21" i="170"/>
  <c r="J10" i="140"/>
  <c r="M2" i="170"/>
  <c r="N2" i="170" s="1"/>
  <c r="O2" i="170" s="1"/>
  <c r="H45" i="170"/>
  <c r="H46" i="170" s="1"/>
  <c r="G47" i="170" s="1"/>
  <c r="H52" i="170"/>
  <c r="H54" i="170" s="1"/>
  <c r="H55" i="170" s="1"/>
  <c r="G56" i="170" s="1"/>
  <c r="H9" i="174"/>
  <c r="H8" i="174"/>
  <c r="K7" i="174"/>
  <c r="K5" i="174"/>
  <c r="K4" i="174"/>
  <c r="I25" i="174"/>
  <c r="G25" i="174" s="1"/>
  <c r="H7" i="174"/>
  <c r="H6" i="174"/>
  <c r="H5" i="174"/>
  <c r="H4" i="174"/>
  <c r="D19" i="171"/>
  <c r="H5" i="140" s="1"/>
  <c r="D7" i="171"/>
  <c r="E7" i="171"/>
  <c r="E6" i="171"/>
  <c r="E5" i="171"/>
  <c r="E4" i="171"/>
  <c r="D23" i="171"/>
  <c r="D24" i="171" s="1"/>
  <c r="B2" i="171"/>
  <c r="D4" i="170"/>
  <c r="L6" i="159" l="1"/>
  <c r="L4" i="159"/>
  <c r="H12" i="140"/>
  <c r="J6" i="140"/>
  <c r="F21" i="170"/>
  <c r="E21" i="170"/>
  <c r="D21" i="170"/>
  <c r="M52" i="197"/>
  <c r="L53" i="197"/>
  <c r="L55" i="197" s="1"/>
  <c r="L56" i="197" s="1"/>
  <c r="F34" i="171"/>
  <c r="J32" i="180"/>
  <c r="J9" i="140"/>
  <c r="C31" i="177"/>
  <c r="C37" i="171"/>
  <c r="C32" i="177"/>
  <c r="C38" i="171"/>
  <c r="I22" i="171"/>
  <c r="J22" i="171" s="1"/>
  <c r="E4" i="170"/>
  <c r="F4" i="171"/>
  <c r="F5" i="171"/>
  <c r="F7" i="171"/>
  <c r="F6" i="171"/>
  <c r="D8" i="171"/>
  <c r="F19" i="171"/>
  <c r="E19" i="171" s="1"/>
  <c r="G5" i="140" l="1"/>
  <c r="G6" i="199" s="1"/>
  <c r="G9" i="199" s="1"/>
  <c r="G18" i="199" s="1"/>
  <c r="D37" i="140"/>
  <c r="C25" i="171"/>
  <c r="I4" i="171"/>
  <c r="F8" i="171"/>
  <c r="N52" i="197"/>
  <c r="M53" i="197"/>
  <c r="M55" i="197" s="1"/>
  <c r="M56" i="197" s="1"/>
  <c r="B2" i="189"/>
  <c r="F29" i="177"/>
  <c r="N58" i="178"/>
  <c r="C24" i="170"/>
  <c r="F4" i="170"/>
  <c r="G4" i="170" s="1"/>
  <c r="H4" i="170" s="1"/>
  <c r="I4" i="170" s="1"/>
  <c r="O4" i="170" s="1"/>
  <c r="J4" i="170"/>
  <c r="G3" i="170"/>
  <c r="H3" i="170" s="1"/>
  <c r="I3" i="170" s="1"/>
  <c r="J3" i="170" s="1"/>
  <c r="G58" i="170"/>
  <c r="B2" i="170"/>
  <c r="C21" i="199" l="1"/>
  <c r="C22" i="199" s="1"/>
  <c r="D38" i="140"/>
  <c r="E37" i="140"/>
  <c r="D41" i="140"/>
  <c r="D42" i="140" s="1"/>
  <c r="I29" i="171"/>
  <c r="J4" i="171"/>
  <c r="F31" i="171"/>
  <c r="O52" i="197"/>
  <c r="O53" i="197" s="1"/>
  <c r="O55" i="197" s="1"/>
  <c r="O56" i="197" s="1"/>
  <c r="N53" i="197"/>
  <c r="N55" i="197" s="1"/>
  <c r="N56" i="197" s="1"/>
  <c r="E24" i="170"/>
  <c r="F24" i="170"/>
  <c r="F32" i="171"/>
  <c r="F33" i="171" s="1"/>
  <c r="I17" i="171"/>
  <c r="J17" i="171" s="1"/>
  <c r="I15" i="171"/>
  <c r="J15" i="171" s="1"/>
  <c r="I8" i="171"/>
  <c r="J8" i="171" s="1"/>
  <c r="K4" i="170"/>
  <c r="M4" i="170" s="1"/>
  <c r="N4" i="170" s="1"/>
  <c r="L4" i="170"/>
  <c r="K3" i="170"/>
  <c r="M3" i="170" s="1"/>
  <c r="N3" i="170" s="1"/>
  <c r="O3" i="170" s="1"/>
  <c r="L3" i="170"/>
  <c r="C6" i="170"/>
  <c r="E8" i="171"/>
  <c r="I12" i="196"/>
  <c r="I12" i="180"/>
  <c r="I12" i="188"/>
  <c r="I12" i="186"/>
  <c r="I12" i="171"/>
  <c r="F22" i="140"/>
  <c r="E41" i="140" l="1"/>
  <c r="E42" i="140"/>
  <c r="E40" i="140"/>
  <c r="E38" i="140"/>
  <c r="E36" i="140"/>
  <c r="J12" i="171"/>
  <c r="J12" i="180"/>
  <c r="J5" i="140"/>
  <c r="I32" i="171"/>
  <c r="J32" i="171" s="1"/>
  <c r="J29" i="171"/>
  <c r="J12" i="186"/>
  <c r="J12" i="188"/>
  <c r="D22" i="199"/>
  <c r="D20" i="199"/>
  <c r="D17" i="199"/>
  <c r="D19" i="199"/>
  <c r="D18" i="199"/>
  <c r="D21" i="199"/>
  <c r="C17" i="170"/>
  <c r="E17" i="170" s="1"/>
  <c r="C14" i="197"/>
  <c r="J12" i="196"/>
  <c r="I16" i="196"/>
  <c r="I27" i="196" s="1"/>
  <c r="E6" i="170"/>
  <c r="F6" i="170"/>
  <c r="C14" i="189"/>
  <c r="D14" i="189" s="1"/>
  <c r="E14" i="189" s="1"/>
  <c r="F14" i="189" s="1"/>
  <c r="I16" i="188"/>
  <c r="I27" i="188" s="1"/>
  <c r="I16" i="171"/>
  <c r="I27" i="171" s="1"/>
  <c r="E24" i="171" s="1"/>
  <c r="C14" i="185"/>
  <c r="J12" i="184"/>
  <c r="I16" i="184"/>
  <c r="I27" i="184" s="1"/>
  <c r="I16" i="180"/>
  <c r="I27" i="180" s="1"/>
  <c r="E24" i="180" s="1"/>
  <c r="C14" i="178"/>
  <c r="I16" i="177"/>
  <c r="I27" i="177" s="1"/>
  <c r="C19" i="170"/>
  <c r="C25" i="170"/>
  <c r="F25" i="170" s="1"/>
  <c r="C10" i="170"/>
  <c r="F10" i="170" s="1"/>
  <c r="G12" i="140"/>
  <c r="E69" i="181" l="1"/>
  <c r="H69" i="181"/>
  <c r="I28" i="180"/>
  <c r="E26" i="180" s="1"/>
  <c r="K9" i="140"/>
  <c r="H11" i="199" s="1"/>
  <c r="K8" i="140"/>
  <c r="H8" i="199" s="1"/>
  <c r="E17" i="177"/>
  <c r="E17" i="184"/>
  <c r="K10" i="140"/>
  <c r="H12" i="199" s="1"/>
  <c r="E25" i="188"/>
  <c r="K7" i="140"/>
  <c r="H7" i="199" s="1"/>
  <c r="E17" i="196"/>
  <c r="K11" i="140"/>
  <c r="H16" i="199" s="1"/>
  <c r="I28" i="196"/>
  <c r="E19" i="196" s="1"/>
  <c r="E18" i="196" s="1"/>
  <c r="J27" i="196"/>
  <c r="I28" i="188"/>
  <c r="J28" i="188" s="1"/>
  <c r="J27" i="188"/>
  <c r="J16" i="177"/>
  <c r="J27" i="184"/>
  <c r="I28" i="184"/>
  <c r="I31" i="184" s="1"/>
  <c r="J16" i="171"/>
  <c r="J16" i="180"/>
  <c r="D17" i="170"/>
  <c r="E14" i="178"/>
  <c r="D14" i="178"/>
  <c r="G14" i="197"/>
  <c r="J16" i="188"/>
  <c r="H14" i="185"/>
  <c r="I14" i="185"/>
  <c r="F14" i="185"/>
  <c r="G14" i="185"/>
  <c r="C18" i="197"/>
  <c r="J16" i="196"/>
  <c r="D19" i="170"/>
  <c r="E19" i="170"/>
  <c r="F19" i="170"/>
  <c r="C14" i="170"/>
  <c r="C18" i="189"/>
  <c r="C14" i="187"/>
  <c r="I16" i="186"/>
  <c r="I27" i="186" s="1"/>
  <c r="C14" i="181"/>
  <c r="J16" i="184"/>
  <c r="C18" i="185"/>
  <c r="C18" i="178"/>
  <c r="C18" i="181"/>
  <c r="C18" i="170"/>
  <c r="E25" i="180" l="1"/>
  <c r="N9" i="140"/>
  <c r="H13" i="199"/>
  <c r="E24" i="186"/>
  <c r="K6" i="140"/>
  <c r="H15" i="199" s="1"/>
  <c r="H17" i="199" s="1"/>
  <c r="J16" i="186"/>
  <c r="I31" i="188"/>
  <c r="J28" i="184"/>
  <c r="E19" i="184"/>
  <c r="E18" i="184" s="1"/>
  <c r="C29" i="185"/>
  <c r="F29" i="185" s="1"/>
  <c r="C29" i="197"/>
  <c r="G29" i="197" s="1"/>
  <c r="J28" i="196"/>
  <c r="I31" i="196"/>
  <c r="K5" i="140"/>
  <c r="H6" i="199" s="1"/>
  <c r="H9" i="199" s="1"/>
  <c r="J27" i="171"/>
  <c r="I28" i="171"/>
  <c r="J28" i="171" s="1"/>
  <c r="I31" i="180"/>
  <c r="C29" i="181"/>
  <c r="C30" i="181" s="1"/>
  <c r="J27" i="177"/>
  <c r="I28" i="177"/>
  <c r="J27" i="180"/>
  <c r="L7" i="140"/>
  <c r="M8" i="140"/>
  <c r="N7" i="140"/>
  <c r="F26" i="188"/>
  <c r="D18" i="178"/>
  <c r="E18" i="178"/>
  <c r="E30" i="178" s="1"/>
  <c r="H14" i="187"/>
  <c r="E24" i="188"/>
  <c r="M7" i="140" s="1"/>
  <c r="H14" i="197"/>
  <c r="G62" i="197"/>
  <c r="H62" i="197" s="1"/>
  <c r="I62" i="197" s="1"/>
  <c r="F18" i="196"/>
  <c r="G18" i="197"/>
  <c r="H18" i="185"/>
  <c r="G18" i="185"/>
  <c r="G30" i="185" s="1"/>
  <c r="F18" i="185"/>
  <c r="I18" i="185"/>
  <c r="I30" i="185" s="1"/>
  <c r="F18" i="181"/>
  <c r="E18" i="181"/>
  <c r="G18" i="181"/>
  <c r="G14" i="181"/>
  <c r="E14" i="181"/>
  <c r="F14" i="181"/>
  <c r="C29" i="189"/>
  <c r="E18" i="189"/>
  <c r="D18" i="189"/>
  <c r="F18" i="189"/>
  <c r="F60" i="197"/>
  <c r="E60" i="197"/>
  <c r="D60" i="197"/>
  <c r="D18" i="170"/>
  <c r="F18" i="170"/>
  <c r="E18" i="170"/>
  <c r="E14" i="170"/>
  <c r="D14" i="170"/>
  <c r="F14" i="170"/>
  <c r="C18" i="187"/>
  <c r="H18" i="187" s="1"/>
  <c r="I18" i="187" s="1"/>
  <c r="J18" i="187" s="1"/>
  <c r="K18" i="187" s="1"/>
  <c r="D58" i="185"/>
  <c r="H18" i="199" l="1"/>
  <c r="I31" i="177"/>
  <c r="E19" i="177"/>
  <c r="F25" i="180"/>
  <c r="L9" i="140"/>
  <c r="F24" i="171"/>
  <c r="L5" i="140"/>
  <c r="F30" i="185"/>
  <c r="I31" i="171"/>
  <c r="F30" i="181"/>
  <c r="F67" i="181" s="1"/>
  <c r="C30" i="185"/>
  <c r="G5" i="185" s="1"/>
  <c r="F24" i="180"/>
  <c r="F69" i="181"/>
  <c r="G69" i="181" s="1"/>
  <c r="N11" i="140"/>
  <c r="O11" i="140" s="1"/>
  <c r="F19" i="196"/>
  <c r="G30" i="197"/>
  <c r="G63" i="197" s="1"/>
  <c r="J27" i="186"/>
  <c r="I28" i="186"/>
  <c r="I31" i="186" s="1"/>
  <c r="D68" i="189"/>
  <c r="E68" i="189" s="1"/>
  <c r="F68" i="189" s="1"/>
  <c r="G68" i="189"/>
  <c r="J28" i="177"/>
  <c r="F19" i="184"/>
  <c r="N10" i="140"/>
  <c r="O10" i="140" s="1"/>
  <c r="C30" i="197"/>
  <c r="F17" i="177"/>
  <c r="D60" i="178"/>
  <c r="E60" i="178" s="1"/>
  <c r="F60" i="178"/>
  <c r="F17" i="196"/>
  <c r="G61" i="197"/>
  <c r="J28" i="180"/>
  <c r="E29" i="180"/>
  <c r="F29" i="180" s="1"/>
  <c r="E68" i="181"/>
  <c r="O7" i="140"/>
  <c r="D59" i="178"/>
  <c r="D67" i="189"/>
  <c r="F67" i="189" s="1"/>
  <c r="I14" i="187"/>
  <c r="I30" i="187" s="1"/>
  <c r="I60" i="187" s="1"/>
  <c r="F24" i="188"/>
  <c r="F37" i="188"/>
  <c r="F38" i="188"/>
  <c r="E27" i="188"/>
  <c r="F25" i="188"/>
  <c r="E29" i="188"/>
  <c r="G30" i="181"/>
  <c r="G67" i="181" s="1"/>
  <c r="H30" i="185"/>
  <c r="H18" i="197"/>
  <c r="H30" i="197" s="1"/>
  <c r="H63" i="197" s="1"/>
  <c r="I58" i="185"/>
  <c r="I10" i="159" s="1"/>
  <c r="M60" i="187"/>
  <c r="M11" i="140"/>
  <c r="F30" i="196"/>
  <c r="E20" i="196"/>
  <c r="E22" i="196" s="1"/>
  <c r="L11" i="140"/>
  <c r="F31" i="196"/>
  <c r="N60" i="187"/>
  <c r="F38" i="180"/>
  <c r="M9" i="140"/>
  <c r="F37" i="180"/>
  <c r="E58" i="185"/>
  <c r="F30" i="177"/>
  <c r="E18" i="177" l="1"/>
  <c r="I63" i="187"/>
  <c r="I6" i="159"/>
  <c r="I4" i="159"/>
  <c r="G64" i="197"/>
  <c r="I5" i="185"/>
  <c r="H5" i="185"/>
  <c r="F20" i="196"/>
  <c r="F22" i="196" s="1"/>
  <c r="F19" i="177"/>
  <c r="C29" i="178"/>
  <c r="F31" i="184"/>
  <c r="F18" i="184"/>
  <c r="L10" i="140"/>
  <c r="F30" i="184"/>
  <c r="M10" i="140"/>
  <c r="E20" i="184"/>
  <c r="F60" i="185"/>
  <c r="G60" i="185" s="1"/>
  <c r="H60" i="185" s="1"/>
  <c r="I60" i="185" s="1"/>
  <c r="J60" i="185" s="1"/>
  <c r="F59" i="185"/>
  <c r="G59" i="185" s="1"/>
  <c r="H59" i="185" s="1"/>
  <c r="I59" i="185" s="1"/>
  <c r="F17" i="184"/>
  <c r="J28" i="186"/>
  <c r="E26" i="186"/>
  <c r="E25" i="186" s="1"/>
  <c r="C29" i="187"/>
  <c r="E27" i="180"/>
  <c r="F27" i="180" s="1"/>
  <c r="F26" i="180"/>
  <c r="O9" i="140"/>
  <c r="E29" i="181"/>
  <c r="G5" i="181"/>
  <c r="G9" i="159"/>
  <c r="F29" i="188"/>
  <c r="J14" i="187"/>
  <c r="J30" i="187" s="1"/>
  <c r="E67" i="189"/>
  <c r="F39" i="188"/>
  <c r="F27" i="188"/>
  <c r="H58" i="185"/>
  <c r="H10" i="159" s="1"/>
  <c r="F68" i="181"/>
  <c r="I61" i="185"/>
  <c r="G60" i="197"/>
  <c r="G5" i="197"/>
  <c r="H60" i="197"/>
  <c r="H11" i="159" s="1"/>
  <c r="H5" i="197"/>
  <c r="F58" i="185"/>
  <c r="F5" i="185"/>
  <c r="G58" i="185"/>
  <c r="G10" i="159" s="1"/>
  <c r="F32" i="196"/>
  <c r="F39" i="180"/>
  <c r="E59" i="178"/>
  <c r="J29" i="170"/>
  <c r="M29" i="170"/>
  <c r="O29" i="170"/>
  <c r="G29" i="170"/>
  <c r="G59" i="170" s="1"/>
  <c r="G5" i="159" s="1"/>
  <c r="H29" i="170"/>
  <c r="K29" i="170"/>
  <c r="I29" i="170"/>
  <c r="N29" i="170"/>
  <c r="F70" i="181" l="1"/>
  <c r="F71" i="181" s="1"/>
  <c r="F18" i="159" s="1"/>
  <c r="F9" i="159"/>
  <c r="G20" i="159"/>
  <c r="F10" i="159"/>
  <c r="F18" i="177"/>
  <c r="F20" i="177" s="1"/>
  <c r="L8" i="140"/>
  <c r="G4" i="159"/>
  <c r="G11" i="159"/>
  <c r="C60" i="197"/>
  <c r="F32" i="184"/>
  <c r="E30" i="181"/>
  <c r="E67" i="181" s="1"/>
  <c r="F20" i="184"/>
  <c r="F22" i="184" s="1"/>
  <c r="E22" i="184"/>
  <c r="H29" i="187"/>
  <c r="H30" i="187" s="1"/>
  <c r="C30" i="187"/>
  <c r="F26" i="186"/>
  <c r="N6" i="140"/>
  <c r="O6" i="140" s="1"/>
  <c r="M6" i="140"/>
  <c r="L6" i="140"/>
  <c r="D29" i="178"/>
  <c r="D30" i="178" s="1"/>
  <c r="C30" i="178"/>
  <c r="I62" i="185"/>
  <c r="I19" i="159" s="1"/>
  <c r="G70" i="181"/>
  <c r="F5" i="181"/>
  <c r="G67" i="189"/>
  <c r="G70" i="189" s="1"/>
  <c r="G16" i="159" s="1"/>
  <c r="E20" i="177"/>
  <c r="F31" i="177"/>
  <c r="F32" i="177" s="1"/>
  <c r="E22" i="177"/>
  <c r="F22" i="177" s="1"/>
  <c r="O8" i="140"/>
  <c r="K14" i="187"/>
  <c r="K30" i="187" s="1"/>
  <c r="H61" i="185"/>
  <c r="G68" i="181"/>
  <c r="H68" i="181" s="1"/>
  <c r="H71" i="181" s="1"/>
  <c r="G61" i="185"/>
  <c r="F61" i="185"/>
  <c r="C58" i="185"/>
  <c r="J59" i="185"/>
  <c r="J62" i="185" s="1"/>
  <c r="J19" i="159" s="1"/>
  <c r="F59" i="178"/>
  <c r="F62" i="178" s="1"/>
  <c r="F17" i="159" s="1"/>
  <c r="G71" i="181" l="1"/>
  <c r="G18" i="159" s="1"/>
  <c r="E9" i="159"/>
  <c r="C9" i="159" s="1"/>
  <c r="N12" i="140"/>
  <c r="O12" i="140" s="1"/>
  <c r="E5" i="181"/>
  <c r="E70" i="181"/>
  <c r="C67" i="181"/>
  <c r="P9" i="140" s="1"/>
  <c r="H60" i="187"/>
  <c r="H5" i="187"/>
  <c r="F25" i="186"/>
  <c r="F38" i="186"/>
  <c r="N5" i="187"/>
  <c r="M5" i="187"/>
  <c r="I5" i="187"/>
  <c r="L5" i="187"/>
  <c r="F37" i="186"/>
  <c r="L62" i="187"/>
  <c r="H62" i="187"/>
  <c r="I62" i="187" s="1"/>
  <c r="J62" i="187" s="1"/>
  <c r="K62" i="187" s="1"/>
  <c r="F24" i="186"/>
  <c r="H61" i="187"/>
  <c r="I61" i="187" s="1"/>
  <c r="G62" i="185"/>
  <c r="G19" i="159" s="1"/>
  <c r="H62" i="185"/>
  <c r="H19" i="159" s="1"/>
  <c r="F62" i="185"/>
  <c r="F19" i="159" s="1"/>
  <c r="P10" i="140"/>
  <c r="C27" i="184"/>
  <c r="J60" i="187"/>
  <c r="J5" i="187"/>
  <c r="K60" i="187"/>
  <c r="K5" i="187"/>
  <c r="C10" i="159"/>
  <c r="H18" i="159"/>
  <c r="C27" i="196"/>
  <c r="P11" i="140"/>
  <c r="F35" i="171"/>
  <c r="E71" i="181" l="1"/>
  <c r="E18" i="159" s="1"/>
  <c r="K63" i="187"/>
  <c r="K6" i="159"/>
  <c r="K4" i="159"/>
  <c r="J63" i="187"/>
  <c r="J4" i="159"/>
  <c r="J6" i="159"/>
  <c r="H4" i="159"/>
  <c r="H6" i="159"/>
  <c r="C34" i="180"/>
  <c r="I64" i="187"/>
  <c r="I15" i="159" s="1"/>
  <c r="J61" i="187"/>
  <c r="K61" i="187" s="1"/>
  <c r="L61" i="187" s="1"/>
  <c r="H63" i="187"/>
  <c r="H64" i="187" s="1"/>
  <c r="H15" i="159" s="1"/>
  <c r="C60" i="187"/>
  <c r="H61" i="197"/>
  <c r="H64" i="197" s="1"/>
  <c r="C6" i="199"/>
  <c r="C71" i="181" l="1"/>
  <c r="H20" i="159"/>
  <c r="H13" i="159"/>
  <c r="K64" i="187"/>
  <c r="L64" i="187"/>
  <c r="J64" i="187"/>
  <c r="C34" i="186"/>
  <c r="P6" i="140"/>
  <c r="C6" i="159"/>
  <c r="C18" i="159"/>
  <c r="I61" i="197"/>
  <c r="I64" i="197" s="1"/>
  <c r="C22" i="159"/>
  <c r="J13" i="159" l="1"/>
  <c r="J15" i="159"/>
  <c r="L15" i="159"/>
  <c r="L13" i="159"/>
  <c r="K13" i="159"/>
  <c r="K15" i="159"/>
  <c r="C64" i="197"/>
  <c r="I20" i="159"/>
  <c r="I13" i="159"/>
  <c r="C64" i="187"/>
  <c r="C19" i="159"/>
  <c r="C62" i="185" l="1"/>
  <c r="C28" i="184" s="1"/>
  <c r="C20" i="159" l="1"/>
  <c r="C11" i="159"/>
  <c r="Q10" i="140"/>
  <c r="C15" i="159" l="1"/>
  <c r="Q6" i="140"/>
  <c r="C35" i="186" l="1"/>
  <c r="C28" i="196" l="1"/>
  <c r="Q11" i="140"/>
  <c r="C35" i="180"/>
  <c r="Q9" i="140"/>
  <c r="C27" i="170" l="1"/>
  <c r="F27" i="170" l="1"/>
  <c r="E27" i="170"/>
  <c r="E29" i="170" s="1"/>
  <c r="E59" i="170" s="1"/>
  <c r="D27" i="170"/>
  <c r="D29" i="170" s="1"/>
  <c r="D59" i="170" s="1"/>
  <c r="E23" i="171"/>
  <c r="M5" i="140" s="1"/>
  <c r="C29" i="170"/>
  <c r="O5" i="140"/>
  <c r="F29" i="170"/>
  <c r="F59" i="170" s="1"/>
  <c r="D62" i="170" l="1"/>
  <c r="D5" i="159"/>
  <c r="F62" i="170"/>
  <c r="F5" i="159"/>
  <c r="E62" i="170"/>
  <c r="E5" i="159"/>
  <c r="F23" i="171"/>
  <c r="G61" i="170"/>
  <c r="D61" i="170"/>
  <c r="E61" i="170" s="1"/>
  <c r="F61" i="170" s="1"/>
  <c r="D60" i="170"/>
  <c r="C59" i="170"/>
  <c r="D5" i="170"/>
  <c r="F5" i="170"/>
  <c r="E5" i="170"/>
  <c r="M12" i="140"/>
  <c r="C4" i="199" s="1"/>
  <c r="F36" i="171"/>
  <c r="E26" i="171"/>
  <c r="F26" i="171" s="1"/>
  <c r="F37" i="171"/>
  <c r="E28" i="171"/>
  <c r="F28" i="171" s="1"/>
  <c r="K12" i="140"/>
  <c r="D63" i="170" l="1"/>
  <c r="D14" i="159" s="1"/>
  <c r="C11" i="199"/>
  <c r="C5" i="159"/>
  <c r="E60" i="170"/>
  <c r="E63" i="170" s="1"/>
  <c r="E14" i="159" s="1"/>
  <c r="F38" i="171"/>
  <c r="C14" i="199" l="1"/>
  <c r="F60" i="170"/>
  <c r="F63" i="170" s="1"/>
  <c r="F14" i="159" s="1"/>
  <c r="P5" i="140"/>
  <c r="C33" i="171"/>
  <c r="D14" i="199" l="1"/>
  <c r="D12" i="199"/>
  <c r="D13" i="199"/>
  <c r="D10" i="199"/>
  <c r="D11" i="199"/>
  <c r="G60" i="170"/>
  <c r="G63" i="170" s="1"/>
  <c r="G14" i="159" l="1"/>
  <c r="C14" i="159" s="1"/>
  <c r="G13" i="159"/>
  <c r="C63" i="170"/>
  <c r="C34" i="171" l="1"/>
  <c r="Q5" i="140" l="1"/>
  <c r="D29" i="189" l="1"/>
  <c r="E29" i="189"/>
  <c r="F29" i="189"/>
  <c r="D5" i="189" l="1"/>
  <c r="D66" i="189"/>
  <c r="D7" i="159" s="1"/>
  <c r="E5" i="189"/>
  <c r="E66" i="189"/>
  <c r="F66" i="189"/>
  <c r="F5" i="189"/>
  <c r="E69" i="189" l="1"/>
  <c r="E70" i="189" s="1"/>
  <c r="E7" i="159"/>
  <c r="F69" i="189"/>
  <c r="F70" i="189" s="1"/>
  <c r="F7" i="159"/>
  <c r="F4" i="159"/>
  <c r="D69" i="189"/>
  <c r="C66" i="189"/>
  <c r="P7" i="140" s="1"/>
  <c r="F13" i="159" l="1"/>
  <c r="F16" i="159"/>
  <c r="E16" i="159"/>
  <c r="D70" i="189"/>
  <c r="C7" i="159"/>
  <c r="C34" i="188"/>
  <c r="C70" i="189" l="1"/>
  <c r="Q7" i="140" s="1"/>
  <c r="D16" i="159"/>
  <c r="C16" i="159" s="1"/>
  <c r="D58" i="178"/>
  <c r="E58" i="178"/>
  <c r="F30" i="178"/>
  <c r="E61" i="178" l="1"/>
  <c r="E62" i="178" s="1"/>
  <c r="E8" i="159"/>
  <c r="E4" i="159"/>
  <c r="D61" i="178"/>
  <c r="D62" i="178" s="1"/>
  <c r="D4" i="159"/>
  <c r="D8" i="159"/>
  <c r="C35" i="188"/>
  <c r="E5" i="178"/>
  <c r="D5" i="178"/>
  <c r="D17" i="159" l="1"/>
  <c r="D13" i="159"/>
  <c r="C62" i="178"/>
  <c r="E17" i="159"/>
  <c r="E13" i="159"/>
  <c r="C8" i="159"/>
  <c r="C58" i="178"/>
  <c r="C13" i="159" l="1"/>
  <c r="C4" i="159"/>
  <c r="C28" i="177"/>
  <c r="C12" i="159"/>
  <c r="P12" i="140" s="1"/>
  <c r="P8" i="140"/>
  <c r="C27" i="177"/>
  <c r="C17" i="159" l="1"/>
  <c r="Q8" i="140"/>
  <c r="C21" i="159"/>
  <c r="Q12" i="140" s="1"/>
  <c r="L12" i="140"/>
  <c r="C5" i="199" s="1"/>
  <c r="C23" i="159" s="1"/>
  <c r="C24" i="159" s="1"/>
  <c r="F39" i="186"/>
  <c r="E27" i="186"/>
  <c r="E29" i="186" l="1"/>
  <c r="F29" i="186" s="1"/>
  <c r="F27" i="186"/>
  <c r="C7" i="199"/>
  <c r="D7" i="199" l="1"/>
  <c r="D6" i="199"/>
  <c r="D4" i="199"/>
  <c r="D5" i="199"/>
</calcChain>
</file>

<file path=xl/sharedStrings.xml><?xml version="1.0" encoding="utf-8"?>
<sst xmlns="http://schemas.openxmlformats.org/spreadsheetml/2006/main" count="5010" uniqueCount="699">
  <si>
    <t>Office</t>
  </si>
  <si>
    <t>Retail</t>
  </si>
  <si>
    <t>Development Costs</t>
  </si>
  <si>
    <t>High</t>
  </si>
  <si>
    <t>Low</t>
  </si>
  <si>
    <t>RESIDENTIAL</t>
  </si>
  <si>
    <t>Demolition</t>
  </si>
  <si>
    <t>RETAIL</t>
  </si>
  <si>
    <t>PARKING STRUCTURES</t>
  </si>
  <si>
    <t>Studio</t>
  </si>
  <si>
    <t>1BR</t>
  </si>
  <si>
    <t>2BR</t>
  </si>
  <si>
    <t>3BR</t>
  </si>
  <si>
    <t>Market Rate Housing Rents and Sales Prices</t>
  </si>
  <si>
    <t>Affordable Rental</t>
  </si>
  <si>
    <t>Market Rate Rental</t>
  </si>
  <si>
    <t>Parking Mix</t>
  </si>
  <si>
    <t>Type</t>
  </si>
  <si>
    <t>Basis</t>
  </si>
  <si>
    <t>Parking Costs</t>
  </si>
  <si>
    <t>Hard Cost Contingency</t>
  </si>
  <si>
    <t>Municipal Fees and Allowances</t>
  </si>
  <si>
    <t>Share of Infrastructure</t>
  </si>
  <si>
    <t>Legal</t>
  </si>
  <si>
    <t>Estimate</t>
  </si>
  <si>
    <t>Land Closing Costs/commissions</t>
  </si>
  <si>
    <t xml:space="preserve">Design </t>
  </si>
  <si>
    <t>Developer Fee</t>
  </si>
  <si>
    <t>Construction Management Fee</t>
  </si>
  <si>
    <t>Insurance</t>
  </si>
  <si>
    <t>Marketing, FFE and Preleasing</t>
  </si>
  <si>
    <t>Operating Deficit</t>
  </si>
  <si>
    <t>Commercial Tenant Improvements</t>
  </si>
  <si>
    <t>Construction Loan Origination</t>
  </si>
  <si>
    <t>Construction Interest</t>
  </si>
  <si>
    <t>Development Component</t>
  </si>
  <si>
    <t>Location of Development Component</t>
  </si>
  <si>
    <t>Land Use</t>
  </si>
  <si>
    <t>Total Project Costs</t>
  </si>
  <si>
    <t>GAP</t>
  </si>
  <si>
    <t>Leveraged IRR</t>
  </si>
  <si>
    <t>TOTALS</t>
  </si>
  <si>
    <t>Infrastructure Allocation</t>
  </si>
  <si>
    <t>Item</t>
  </si>
  <si>
    <t>Total Cost</t>
  </si>
  <si>
    <t>TOTAL</t>
  </si>
  <si>
    <t>Configuration</t>
  </si>
  <si>
    <t>Label</t>
  </si>
  <si>
    <r>
      <rPr>
        <b/>
        <sz val="11"/>
        <color theme="1"/>
        <rFont val="Arial"/>
        <family val="2"/>
      </rPr>
      <t>Rental</t>
    </r>
    <r>
      <rPr>
        <sz val="11"/>
        <color theme="1"/>
        <rFont val="Arial"/>
        <family val="2"/>
      </rPr>
      <t>: Residential Market Rate/Mixed use</t>
    </r>
  </si>
  <si>
    <t>Type III  6 stories</t>
  </si>
  <si>
    <t>Includes Retail and/or office components</t>
  </si>
  <si>
    <t>RES-Market-MU-Rental</t>
  </si>
  <si>
    <t>3 years</t>
  </si>
  <si>
    <r>
      <rPr>
        <b/>
        <sz val="11"/>
        <color theme="1"/>
        <rFont val="Arial"/>
        <family val="2"/>
      </rPr>
      <t>Rental</t>
    </r>
    <r>
      <rPr>
        <sz val="11"/>
        <color theme="1"/>
        <rFont val="Arial"/>
        <family val="2"/>
      </rPr>
      <t>: Retail/office stand alone</t>
    </r>
  </si>
  <si>
    <t>Type V--1 to 2 stories</t>
  </si>
  <si>
    <t>May include Retail and/or office components</t>
  </si>
  <si>
    <t>Suburban retail/office</t>
  </si>
  <si>
    <t>2 years</t>
  </si>
  <si>
    <r>
      <rPr>
        <b/>
        <sz val="11"/>
        <color theme="1"/>
        <rFont val="Arial"/>
        <family val="2"/>
      </rPr>
      <t>Rental</t>
    </r>
    <r>
      <rPr>
        <sz val="11"/>
        <color theme="1"/>
        <rFont val="Arial"/>
        <family val="2"/>
      </rPr>
      <t>: Office stand alone</t>
    </r>
  </si>
  <si>
    <t>Type 5-up to 4 stories  Type III up to 6 stories   Type I--up to 30 stories</t>
  </si>
  <si>
    <t>May include Retail</t>
  </si>
  <si>
    <r>
      <rPr>
        <b/>
        <sz val="11"/>
        <color theme="1"/>
        <rFont val="Arial"/>
        <family val="2"/>
      </rPr>
      <t>Rental</t>
    </r>
    <r>
      <rPr>
        <sz val="11"/>
        <color theme="1"/>
        <rFont val="Arial"/>
        <family val="2"/>
      </rPr>
      <t>: Residential Market Rate</t>
    </r>
  </si>
  <si>
    <t>RES-Market-Rental</t>
  </si>
  <si>
    <t>20% to 30% depending on building type</t>
  </si>
  <si>
    <t>2 years to 3 years</t>
  </si>
  <si>
    <r>
      <rPr>
        <b/>
        <sz val="11"/>
        <color theme="1"/>
        <rFont val="Arial"/>
        <family val="2"/>
      </rPr>
      <t>For Sale</t>
    </r>
    <r>
      <rPr>
        <sz val="11"/>
        <color theme="1"/>
        <rFont val="Arial"/>
        <family val="2"/>
      </rPr>
      <t>: Residential Market Rate</t>
    </r>
  </si>
  <si>
    <t>Type V--low density  Type I-high density</t>
  </si>
  <si>
    <t>RES-Market-Sale</t>
  </si>
  <si>
    <t>20% for low density     30% for high density</t>
  </si>
  <si>
    <t>2 years for low density                      3 years for high density</t>
  </si>
  <si>
    <r>
      <rPr>
        <b/>
        <sz val="11"/>
        <color theme="1"/>
        <rFont val="Arial"/>
        <family val="2"/>
      </rPr>
      <t>Rental</t>
    </r>
    <r>
      <rPr>
        <sz val="11"/>
        <color theme="1"/>
        <rFont val="Arial"/>
        <family val="2"/>
      </rPr>
      <t>: Residential Affordable Mixed use</t>
    </r>
  </si>
  <si>
    <t>Type III--6 stories</t>
  </si>
  <si>
    <t>RES-AFF-MU</t>
  </si>
  <si>
    <r>
      <rPr>
        <b/>
        <sz val="11"/>
        <color theme="1"/>
        <rFont val="Arial"/>
        <family val="2"/>
      </rPr>
      <t>For Sale</t>
    </r>
    <r>
      <rPr>
        <sz val="11"/>
        <color theme="1"/>
        <rFont val="Arial"/>
        <family val="2"/>
      </rPr>
      <t>: Residential Affordable</t>
    </r>
  </si>
  <si>
    <t>RES-AFF</t>
  </si>
  <si>
    <r>
      <t>Hotel: Lodging</t>
    </r>
    <r>
      <rPr>
        <sz val="11"/>
        <color theme="1"/>
        <rFont val="Arial"/>
        <family val="2"/>
      </rPr>
      <t xml:space="preserve"> and amenity income</t>
    </r>
  </si>
  <si>
    <t>Type I-high density</t>
  </si>
  <si>
    <t>HOTEL</t>
  </si>
  <si>
    <r>
      <t xml:space="preserve">Industrial Park:  </t>
    </r>
    <r>
      <rPr>
        <sz val="11"/>
        <color theme="1"/>
        <rFont val="Arial"/>
        <family val="2"/>
      </rPr>
      <t>Warehouse and manufacturing</t>
    </r>
  </si>
  <si>
    <t>Type V or III</t>
  </si>
  <si>
    <t>May include office components</t>
  </si>
  <si>
    <t>Industrial</t>
  </si>
  <si>
    <t>20% or 30% depending on building height</t>
  </si>
  <si>
    <t># of Units</t>
  </si>
  <si>
    <t>Total Annual</t>
  </si>
  <si>
    <t>Studios</t>
  </si>
  <si>
    <t>Totals:</t>
  </si>
  <si>
    <t>COMMERCIAL SPACE</t>
  </si>
  <si>
    <t>NNN Rent</t>
  </si>
  <si>
    <t>Residential</t>
  </si>
  <si>
    <t>Per Unit</t>
  </si>
  <si>
    <t>Gross Income</t>
  </si>
  <si>
    <t>$/SF</t>
  </si>
  <si>
    <t>Effective Gross Income</t>
  </si>
  <si>
    <t>Net Operating Income</t>
  </si>
  <si>
    <t>BASIS</t>
  </si>
  <si>
    <t xml:space="preserve">   Budget     </t>
  </si>
  <si>
    <t>Parking stalls</t>
  </si>
  <si>
    <t>Taxes</t>
  </si>
  <si>
    <t>Additional Contingency</t>
  </si>
  <si>
    <t>Total Project Cost</t>
  </si>
  <si>
    <t>Yield on cost</t>
  </si>
  <si>
    <t>Return on cost</t>
  </si>
  <si>
    <t>Total</t>
  </si>
  <si>
    <t>Total Sources</t>
  </si>
  <si>
    <t>SALES ANALYSIS</t>
  </si>
  <si>
    <t>LESS: Construction Debt</t>
  </si>
  <si>
    <t>LESS: Investor Equity</t>
  </si>
  <si>
    <t>Net Profit</t>
  </si>
  <si>
    <t>YIELD INDICATORS</t>
  </si>
  <si>
    <t>Hard Cost Draw Percentage</t>
  </si>
  <si>
    <t>Address</t>
  </si>
  <si>
    <t>City</t>
  </si>
  <si>
    <t>State</t>
  </si>
  <si>
    <t>Purchase Date</t>
  </si>
  <si>
    <t>Purchase Price</t>
  </si>
  <si>
    <t>Cap Rate (%)</t>
  </si>
  <si>
    <t>Size (SF)</t>
  </si>
  <si>
    <t>NOI / SF</t>
  </si>
  <si>
    <t>Year Built</t>
  </si>
  <si>
    <t>Rent ($/SF)</t>
  </si>
  <si>
    <t>Tenant</t>
  </si>
  <si>
    <t>Tenant Description</t>
  </si>
  <si>
    <t>Sum / Average</t>
  </si>
  <si>
    <t>Project Cost Estimating Parameters</t>
  </si>
  <si>
    <t>1 - King County Courthouse</t>
  </si>
  <si>
    <t>TBD</t>
  </si>
  <si>
    <t>Development Types</t>
  </si>
  <si>
    <t>Existing SF</t>
  </si>
  <si>
    <t>Proposed Commercial SF</t>
  </si>
  <si>
    <t>Expected Value</t>
  </si>
  <si>
    <t>Equity Portion</t>
  </si>
  <si>
    <t>Debt Portion</t>
  </si>
  <si>
    <t>Unleveraged IRR</t>
  </si>
  <si>
    <t>Construction Period</t>
  </si>
  <si>
    <t>Close-Out Period</t>
  </si>
  <si>
    <t>Pre-Development Period</t>
  </si>
  <si>
    <t>Demolition Period</t>
  </si>
  <si>
    <t>Development Schedule</t>
  </si>
  <si>
    <t>Median</t>
  </si>
  <si>
    <t>Region</t>
  </si>
  <si>
    <t>Market Grade Apartment</t>
  </si>
  <si>
    <t>Condominium</t>
  </si>
  <si>
    <t>Shell &amp; Core</t>
  </si>
  <si>
    <t>Tenant Improvement</t>
  </si>
  <si>
    <t>Life Sciences / Lab</t>
  </si>
  <si>
    <t>Office / Commercial</t>
  </si>
  <si>
    <t>Fashion' Center</t>
  </si>
  <si>
    <t>Above Grade-Multi-Level (330 SF / Stall)</t>
  </si>
  <si>
    <t>Above Grade-Multi-Level (400 SF / Stall)</t>
  </si>
  <si>
    <t>Multi-Family</t>
  </si>
  <si>
    <t>Seattle Submarket Vacancy Rate</t>
  </si>
  <si>
    <t>Average Seattle Submarket Rent per Unit</t>
  </si>
  <si>
    <t>Average Close-In Seattle Rent per Unit</t>
  </si>
  <si>
    <t>N/A</t>
  </si>
  <si>
    <t>Seattle CBD Class A Gross Rate PSF</t>
  </si>
  <si>
    <t>Average Seattle Submarket Rent PSF</t>
  </si>
  <si>
    <t>Average Close-In Seattle Rent PSF</t>
  </si>
  <si>
    <t>Pioneer Square Class A Gross Rate PSF</t>
  </si>
  <si>
    <t>Downtown Seattle Class A Gross Rate PSF</t>
  </si>
  <si>
    <t>Puget Sound Total Class A Gross Rate PSF</t>
  </si>
  <si>
    <t>Seattle CBD</t>
  </si>
  <si>
    <t>Pioneer Square</t>
  </si>
  <si>
    <t>Puget Sound Total</t>
  </si>
  <si>
    <t>Downtown Seattle Total</t>
  </si>
  <si>
    <t>Direct Vacancy Rate</t>
  </si>
  <si>
    <t>Office Vacancy &amp; Availability</t>
  </si>
  <si>
    <t>Net Absorption SF</t>
  </si>
  <si>
    <t>Q3 2023</t>
  </si>
  <si>
    <t>PSF Asking Rate Figures</t>
  </si>
  <si>
    <t>Capitalization Rates - Stabilized Asset</t>
  </si>
  <si>
    <t>4.50% - 5.00%</t>
  </si>
  <si>
    <t>Low / High (H1 2023)</t>
  </si>
  <si>
    <t>Seattle Capitalization Rate (H1 2023)</t>
  </si>
  <si>
    <t>6.25% - 7.00%</t>
  </si>
  <si>
    <t>Seattle Downtown</t>
  </si>
  <si>
    <t>Community Retail</t>
  </si>
  <si>
    <t>Neighborhood Retail</t>
  </si>
  <si>
    <t>Community Retail Net PSF</t>
  </si>
  <si>
    <t>Neighborhood Retail Net PSF</t>
  </si>
  <si>
    <t>Integra Figure</t>
  </si>
  <si>
    <t>Integra Vacancy Rate</t>
  </si>
  <si>
    <t>Total Inventory SF</t>
  </si>
  <si>
    <t>SF</t>
  </si>
  <si>
    <t>Total Retail</t>
  </si>
  <si>
    <t>2023 Mid Year</t>
  </si>
  <si>
    <t>For Sale Residential</t>
  </si>
  <si>
    <t>1 Bedroom / 1 Bath</t>
  </si>
  <si>
    <t>2 Bedroom / 2 Bath</t>
  </si>
  <si>
    <t>3 Bedroom / 3 Bath</t>
  </si>
  <si>
    <t>Net Saleable Square Feet</t>
  </si>
  <si>
    <t>$ / SF</t>
  </si>
  <si>
    <t>Total $</t>
  </si>
  <si>
    <t>Average Size (SF)</t>
  </si>
  <si>
    <t>1BR For Rent</t>
  </si>
  <si>
    <t>1BR For Sale</t>
  </si>
  <si>
    <t>2BR For Rent</t>
  </si>
  <si>
    <t>2BR For Sale</t>
  </si>
  <si>
    <t>3BR For Rent</t>
  </si>
  <si>
    <t>3BR For Sale</t>
  </si>
  <si>
    <t>Studio For Rent</t>
  </si>
  <si>
    <t>Studio For Sale</t>
  </si>
  <si>
    <t>-</t>
  </si>
  <si>
    <t>Financing Assumptions</t>
  </si>
  <si>
    <t>Building Type</t>
  </si>
  <si>
    <t>Commercial Component</t>
  </si>
  <si>
    <t>Return On Cost Requirement</t>
  </si>
  <si>
    <t>Typical Construction Period</t>
  </si>
  <si>
    <t>Canada - USD FX</t>
  </si>
  <si>
    <t>Size (Acres)</t>
  </si>
  <si>
    <t>$/Acre</t>
  </si>
  <si>
    <t>Notes</t>
  </si>
  <si>
    <t>1001 S Jackson Street</t>
  </si>
  <si>
    <t>Improvements (Y/N)</t>
  </si>
  <si>
    <t>Seattle</t>
  </si>
  <si>
    <t>WA</t>
  </si>
  <si>
    <t>High Density Residential</t>
  </si>
  <si>
    <t>508 Denny Way</t>
  </si>
  <si>
    <t>Yes (22,162 SF - Retail)</t>
  </si>
  <si>
    <t>Yes (9,409 SF - Auto)</t>
  </si>
  <si>
    <t>Hospitality</t>
  </si>
  <si>
    <t>Proposed to be redveloped into a hospitality building (details are scant).</t>
  </si>
  <si>
    <t>No</t>
  </si>
  <si>
    <t>Proposed Use</t>
  </si>
  <si>
    <t>Proposed to be redeveloped into a 71-unit apartment building with a 7,580 SF cultural center.</t>
  </si>
  <si>
    <t>1314 E Union</t>
  </si>
  <si>
    <t>Yes (10,279 SF - Retail)</t>
  </si>
  <si>
    <t>Buyer intends to develop apartments in the future.</t>
  </si>
  <si>
    <t>112-130 5th Ave N</t>
  </si>
  <si>
    <t>Yes (17,732 SF - Retail/Office)</t>
  </si>
  <si>
    <t>1221 S Main Street</t>
  </si>
  <si>
    <t>Low Income Housing</t>
  </si>
  <si>
    <t>Buyer intends to develop low income housing in the future.</t>
  </si>
  <si>
    <t>Yes (13,874 SF - Retail)</t>
  </si>
  <si>
    <t>2700 1st Ave</t>
  </si>
  <si>
    <t>Yes (20,920 SF - Religious)</t>
  </si>
  <si>
    <t>Bosa Properties intends to develop a 15-storey multi-family project called Belltown on First.</t>
  </si>
  <si>
    <t>213 Terry Avenue</t>
  </si>
  <si>
    <t>2302 &amp; 2310 4th Avenue</t>
  </si>
  <si>
    <t>The buyer will be redeveloping the property into a Multi-Family building. The plan as approved by the city calls for 285 residences, retail space and about 180 underground parking stalls. In addition, the interiors of the 36-unit Franklin are to be renovated. The site includes the vacant property between the Franklin and Seattle Fire Station 2.</t>
  </si>
  <si>
    <t>Yes (12,632 SF - Office)</t>
  </si>
  <si>
    <t>1729 17th Avenue</t>
  </si>
  <si>
    <t>On 2/14/2022 0.25 acres of land located at 1017 E Republican St Seattle, WA sold for $5,560,000 or $22,240,000 per acre. The buyers plan to build an 8-story 155 unit multi-family building after demolishing the existing three single family homes.</t>
  </si>
  <si>
    <t>Yes (3 Single Family Homes)</t>
  </si>
  <si>
    <t>1017 E Republican Street</t>
  </si>
  <si>
    <t>Averages</t>
  </si>
  <si>
    <t>701-711 E Pike Street</t>
  </si>
  <si>
    <t>6% Vacancy at Sale</t>
  </si>
  <si>
    <t>600 7th Avenue</t>
  </si>
  <si>
    <t>1300 East Pike Street</t>
  </si>
  <si>
    <t>1729 12th Ave</t>
  </si>
  <si>
    <t>80 South Main Street</t>
  </si>
  <si>
    <t>206 Bell Street</t>
  </si>
  <si>
    <t>1812 Broadway</t>
  </si>
  <si>
    <t>2100 4th Avenue</t>
  </si>
  <si>
    <t>1763 4th Avenue South</t>
  </si>
  <si>
    <t>1932 1st Avenue</t>
  </si>
  <si>
    <t>1201 Pine Street</t>
  </si>
  <si>
    <t>1912 / 1995</t>
  </si>
  <si>
    <t>119 Cedar Street (Unit A)</t>
  </si>
  <si>
    <t>213 1st Avenue South</t>
  </si>
  <si>
    <t>1900 / 1970</t>
  </si>
  <si>
    <t>1953 Westlake Avenue</t>
  </si>
  <si>
    <t>2019 / 2021</t>
  </si>
  <si>
    <t>2412 2nd Avenue</t>
  </si>
  <si>
    <t>1404 4th Avenue</t>
  </si>
  <si>
    <t>1700 7th Avenue</t>
  </si>
  <si>
    <t>920 5th Avenue (Madison Center)</t>
  </si>
  <si>
    <t>1101 &amp; 1191 2nd Avenue</t>
  </si>
  <si>
    <t>On 6/5/2023, Pebblebrook Hotel Trust sold the hospitality property in Seattle, WA to Pacifica Hotel Co for $33.7 MM or $269,600 per room.
At the time of sale the, the hotels NOI was $0.8 million and a 2.3% cap rate.
The 125-room hotel is located at 1100 Fifth Avenue in Seattle, WA and is known as Kimpton Hotel Vintage Seattle Downtown.
Pebblebrook Hotel Trust stated that the proceeds from the sale of Hotel Vintage Seattle will be used for general corporate purposes, which may include reducing outstanding debt and repurchasing common and preferred shares.
The sale price is broken down as follows:
Land: $3,369,767
Building Improvements including fixtures: $24,889,152
FF&amp;E and Personal Property: $286,430
Retail Inventory, Food and Beverage: $50,000
Liquor License: $50,000
Total: $33,700,000</t>
  </si>
  <si>
    <t>Kimpton Hotel Vintage Seattle Downtown</t>
  </si>
  <si>
    <t>Size (Rooms)</t>
  </si>
  <si>
    <t>NOI / Room</t>
  </si>
  <si>
    <t>$/Room</t>
  </si>
  <si>
    <t>1922 / 2014</t>
  </si>
  <si>
    <t>Kimpton Hotel Monaco Seattle Downtown</t>
  </si>
  <si>
    <t>On 5/9/2023, Pebblebrook Hotel Trust sold the hospitality property in Seattle, WA, known as Kimpton Hotel Monaco Seattle Downtown to InnVest Hotels for $63.25 MM or $334,656.
The sale included the Furniture, Fixtures, and Equipment which was valued at $5,624,008.50. The recorded price was $57,625,991.50. The cap rate at the time of sale was 2.53%
Kimpton Hotel Monaco Seattle Downtown is located at 1101 4th Ave in Seattle, WA and consists of 189 rooms.
The hotel will continue to be managed by Kimpton Hotels &amp; Restaurants
According to the buyer the hotel will undergo a comprehensive renovation, this marks as the first acquisition in the United States for InnVest Hotels.
For the seller proceeds from the sale of Hotel Monaco Seattle will be used for general corporate purposes, which may include reducing the Company’s outstanding debt and repurchasing common and preferred shares.</t>
  </si>
  <si>
    <t>The Charter Seattle, Curio Collection by Hilton</t>
  </si>
  <si>
    <t>On 10/24/2022, a total of 229 rooms at 1610 2nd Ave in Seattle, WA sold for $107,797,00, or $470,729 per room. The price includes the value of the furniture, fixtures, and equipment which comes out to be $ 24,717,000.
Completed in 2018 and is located on the corner of Stewart Street, the 16-story hotel has 229 rooms. It operates as part of Hilton's Curio Collection.</t>
  </si>
  <si>
    <t>Pan Pacific Seattle</t>
  </si>
  <si>
    <t>2006 / 2010</t>
  </si>
  <si>
    <t>On 10/19/2022, KHP Capital Partners under the fund name "KHP Fund V" acquired Pan Pacific Hotel from Hersha Hospitality Trust for $69,615,000 or $455,000 per key, the price included FF&amp;E which was $18.36MM. The hotel property is located at 2125 Terry Ave in Seattle, WA.
At the time of sale, the property transferred with a 2.9 % cap rate.
According to the seller the disposition fit their investment strategy for the year, helping them reduce dept load while generating unrestricted cash.</t>
  </si>
  <si>
    <t>The Arctic Club Seattle - a DoubleTree by Hilton Hotel</t>
  </si>
  <si>
    <t>1916 / 2006</t>
  </si>
  <si>
    <t>On 7/22/2022, GF Hotels &amp; Resorts sold the 120-room hotel, known as The Artic Club Seattle in Seattle, WA, for $30,320,000 to Oxford Collection.
Property was acquired as-is in distress sale due to seller's recent foreclosure.
Known as The Artic Club Seattle, the property is located at 700-706 3rd Ave, in Seattle WA, it was constructed in 1907 and renovated in 2006.</t>
  </si>
  <si>
    <t>Homewood Suites by Hilton Seattle Convention Center Pike Street</t>
  </si>
  <si>
    <t>1990 / 2019</t>
  </si>
  <si>
    <t>On June 24, 2022, Homewood Suites, a 195 room hotel located at 1011 Pike St in Seattle, WA sold for $59,944,432. The buyer also paid an additional $20,055,568 for the FF&amp;E.
The sale was part of the sellers commitment to reduce net leverage and better position their portfolio for long-term, sustainable growth.</t>
  </si>
  <si>
    <t>Development Name</t>
  </si>
  <si>
    <t>Unit Type</t>
  </si>
  <si>
    <t>KODA Condominiums</t>
  </si>
  <si>
    <t>450 South Main Street, Seattle, WA</t>
  </si>
  <si>
    <t>The Emerald</t>
  </si>
  <si>
    <t>121 Stewart Street, Seattle, WA</t>
  </si>
  <si>
    <t>SPIRE</t>
  </si>
  <si>
    <t>2510 6th Avenue, Seattle, WA</t>
  </si>
  <si>
    <t>Gridiron</t>
  </si>
  <si>
    <t>590 1st Avenue South, Seattle, WA</t>
  </si>
  <si>
    <t>Completion Date</t>
  </si>
  <si>
    <t>Under Construction</t>
  </si>
  <si>
    <t>October 2020 (Units for Sale)</t>
  </si>
  <si>
    <t>Spring 2021 (Units for Sale)</t>
  </si>
  <si>
    <t>2018 (Units for Sale)</t>
  </si>
  <si>
    <t>Preserved / Demolished</t>
  </si>
  <si>
    <t>Preserved</t>
  </si>
  <si>
    <t>Residential Condominium Hard Costs for Construction</t>
  </si>
  <si>
    <t>Office Shell &amp; Core Hard Costs for Construction</t>
  </si>
  <si>
    <t>Retail Hard Costs for Construction</t>
  </si>
  <si>
    <t>Land</t>
  </si>
  <si>
    <t>Recoveries</t>
  </si>
  <si>
    <t>(Y/N)</t>
  </si>
  <si>
    <t>Utilities</t>
  </si>
  <si>
    <t>Yes</t>
  </si>
  <si>
    <t>Repairs &amp; Management</t>
  </si>
  <si>
    <t>Cost $/SF GLA</t>
  </si>
  <si>
    <t>Commercial Operating Expenses (Year 1)</t>
  </si>
  <si>
    <t>Vacancy Allowance (5% of EGI)</t>
  </si>
  <si>
    <t>Terminal Sale (Less 2% Sale Costs)</t>
  </si>
  <si>
    <t>Construction Period?</t>
  </si>
  <si>
    <t>Category</t>
  </si>
  <si>
    <t>Rental Rate</t>
  </si>
  <si>
    <t>Sales Proceeds - Residential</t>
  </si>
  <si>
    <t>Sales Proceeds - Commercial</t>
  </si>
  <si>
    <t>Total Sales Proceeds</t>
  </si>
  <si>
    <t>Total Proceeds</t>
  </si>
  <si>
    <t>Retail Cash Flow</t>
  </si>
  <si>
    <t>Residential Condominium Component</t>
  </si>
  <si>
    <t>Sales</t>
  </si>
  <si>
    <t>Unleveraged Cash Flow / IRR</t>
  </si>
  <si>
    <t>Leveraged Cash Flow / IRR</t>
  </si>
  <si>
    <t>Year</t>
  </si>
  <si>
    <t>Debt Payments</t>
  </si>
  <si>
    <t>Equity Payment</t>
  </si>
  <si>
    <t>0-12 Storeys</t>
  </si>
  <si>
    <t>CAD - Low</t>
  </si>
  <si>
    <t>CAD - High</t>
  </si>
  <si>
    <t>USD - High</t>
  </si>
  <si>
    <t>USD - Low</t>
  </si>
  <si>
    <t>13-39 Storeys</t>
  </si>
  <si>
    <t>Condominiums/Apartments</t>
  </si>
  <si>
    <t>40-60 Storeys</t>
  </si>
  <si>
    <t>60+ Storeys</t>
  </si>
  <si>
    <t>Office Buildings</t>
  </si>
  <si>
    <t>5-30 Storeys (Class B)</t>
  </si>
  <si>
    <t>0-4 Storeys (Class B)</t>
  </si>
  <si>
    <t>5-30 Storeys (Class A)</t>
  </si>
  <si>
    <t>31-60 Storeys (Class A)</t>
  </si>
  <si>
    <t>Interior Fitout (Class B)</t>
  </si>
  <si>
    <t>Interior Fitout (Class A)</t>
  </si>
  <si>
    <t>Utilized Rate</t>
  </si>
  <si>
    <t>Strip Plaza</t>
  </si>
  <si>
    <t>Supermarket</t>
  </si>
  <si>
    <t>Big Box Store</t>
  </si>
  <si>
    <t>Enclosed Mall</t>
  </si>
  <si>
    <t>Hotels</t>
  </si>
  <si>
    <t>Budget</t>
  </si>
  <si>
    <t>Suite Hotel</t>
  </si>
  <si>
    <t>4 Star Full Service</t>
  </si>
  <si>
    <t>Parking</t>
  </si>
  <si>
    <t>Surface Parking</t>
  </si>
  <si>
    <t>Underground Parking Garages</t>
  </si>
  <si>
    <t>Land Closing Costs/Commissions</t>
  </si>
  <si>
    <t>Estimated Abatement</t>
  </si>
  <si>
    <t>See Cash Flow</t>
  </si>
  <si>
    <t>Commercial Interior Fitout Cost</t>
  </si>
  <si>
    <t>Commercial Brokerage Commission</t>
  </si>
  <si>
    <t>Management Fee</t>
  </si>
  <si>
    <t>Estimate from City of Seattle</t>
  </si>
  <si>
    <t>Parcel Allocation</t>
  </si>
  <si>
    <t>Downtime</t>
  </si>
  <si>
    <t>($)</t>
  </si>
  <si>
    <t>Building Metrics</t>
  </si>
  <si>
    <t>Total Land (Acres)</t>
  </si>
  <si>
    <t>Total Gross Buildable Area (SF)</t>
  </si>
  <si>
    <t>Total Gross Saleable/Leasable Area (SF)</t>
  </si>
  <si>
    <t>Amount</t>
  </si>
  <si>
    <t>Parking Count - Residential</t>
  </si>
  <si>
    <t>Parking Count - Commercial</t>
  </si>
  <si>
    <t>(Residential Sale per Unit - Gross)</t>
  </si>
  <si>
    <t>(Residential Sale per Unit - Net)</t>
  </si>
  <si>
    <t>Conversion/Demolition</t>
  </si>
  <si>
    <t>Conversion</t>
  </si>
  <si>
    <t>Gap Funding Amount</t>
  </si>
  <si>
    <t>Total Private Funding</t>
  </si>
  <si>
    <t>Exit Cap Rate - Retail</t>
  </si>
  <si>
    <t>Exit Cap Rate - Office</t>
  </si>
  <si>
    <t>Demolished</t>
  </si>
  <si>
    <t>Net Leasable Square Feet</t>
  </si>
  <si>
    <t>$ / Month</t>
  </si>
  <si>
    <t>Annual Rent</t>
  </si>
  <si>
    <t>Residential Cash Flow</t>
  </si>
  <si>
    <t>Office Cash Flow</t>
  </si>
  <si>
    <t>Residential Operating Expenses (Year 1)</t>
  </si>
  <si>
    <t>Remaining Debt Balance</t>
  </si>
  <si>
    <t>Exit Cap Rate Assumptions</t>
  </si>
  <si>
    <t>4 - King County Administration Building</t>
  </si>
  <si>
    <t>For Rent Residential</t>
  </si>
  <si>
    <t>Commercial Space</t>
  </si>
  <si>
    <t>Yield Indicators</t>
  </si>
  <si>
    <t>Sales Analysis</t>
  </si>
  <si>
    <t>Retail Hard Costs for Construction (50%)</t>
  </si>
  <si>
    <t>Proposed Residential SF</t>
  </si>
  <si>
    <t>Stories</t>
  </si>
  <si>
    <t>LTV Percentage</t>
  </si>
  <si>
    <t>Equity Percentage</t>
  </si>
  <si>
    <t>Capital Assumptions</t>
  </si>
  <si>
    <t>Interest Rate</t>
  </si>
  <si>
    <t>2 - King County Correctional Facility</t>
  </si>
  <si>
    <t>Retail &amp; Office</t>
  </si>
  <si>
    <t>Residential, Retail &amp; Office</t>
  </si>
  <si>
    <t>Chinook</t>
  </si>
  <si>
    <t>3 - Chinook Building</t>
  </si>
  <si>
    <t>Office Shell &amp; Core Hard Costs for Construction (0%)</t>
  </si>
  <si>
    <t>Parking stalls (0%)</t>
  </si>
  <si>
    <t>King's Court</t>
  </si>
  <si>
    <t>Hawk's Nest</t>
  </si>
  <si>
    <t>County Center</t>
  </si>
  <si>
    <t>5 - Goat Hill Site</t>
  </si>
  <si>
    <t>Goat Hill</t>
  </si>
  <si>
    <t>Preserved / Constructed</t>
  </si>
  <si>
    <t>Floor Space Index</t>
  </si>
  <si>
    <t>Parking Area (SF)</t>
  </si>
  <si>
    <t>Roof Public Space</t>
  </si>
  <si>
    <t>Housing Terrace</t>
  </si>
  <si>
    <t>Garage Roof (Rooftop Community Garden)</t>
  </si>
  <si>
    <t>Public Terrace (Housing)</t>
  </si>
  <si>
    <t>Public Terraces (Office)</t>
  </si>
  <si>
    <t>Site Size (Acres)</t>
  </si>
  <si>
    <t>None</t>
  </si>
  <si>
    <t>The Argyle</t>
  </si>
  <si>
    <t>Construction Cost</t>
  </si>
  <si>
    <t>71-87 Yesler Way</t>
  </si>
  <si>
    <t>Davidson Galleries</t>
  </si>
  <si>
    <t>Gallery</t>
  </si>
  <si>
    <t>103-107 1st Avenue South</t>
  </si>
  <si>
    <t>208 James Street</t>
  </si>
  <si>
    <t>Foggy Tea</t>
  </si>
  <si>
    <t>Food &amp; Beverage</t>
  </si>
  <si>
    <t>521 Stadium Place South</t>
  </si>
  <si>
    <t>308-316 Occidental Avenue South</t>
  </si>
  <si>
    <t>159 South Jackson Street</t>
  </si>
  <si>
    <t>Sales Comparables - Retail</t>
  </si>
  <si>
    <t>Lease Comparables - Retail</t>
  </si>
  <si>
    <t>Occupied by Chase Bank on a long-term lease.</t>
  </si>
  <si>
    <t>Investment Sale (No further details)</t>
  </si>
  <si>
    <t>The class C building was built in 1920.</t>
  </si>
  <si>
    <t>The building, which completed construction in 1975, is located on .21 acres of land and is zoned IG2 U/85. The buyer plans to operate their business on the premises.</t>
  </si>
  <si>
    <t>The Paul G Allen Foundation sold a 19,800 square foot movie theater to SIFF (Seattle International Film Festival) for $5,000,000, or $253 per square foot. The theater shuttered its operations in 2020 and remained closed until the time of sale. The theater was closed at the time of sale, and the new buyer plans to reopen it under their operation.</t>
  </si>
  <si>
    <t>Lease Comparables - Office</t>
  </si>
  <si>
    <t>Sales Comparables - Office</t>
  </si>
  <si>
    <t>605 5th Avenue South</t>
  </si>
  <si>
    <t>Start Date</t>
  </si>
  <si>
    <t>Paula's Choice</t>
  </si>
  <si>
    <t>Skincare Company</t>
  </si>
  <si>
    <t>119 South Main Street</t>
  </si>
  <si>
    <t>308-316 Occidential Avenue South</t>
  </si>
  <si>
    <t>1109 1st Avenue South</t>
  </si>
  <si>
    <t>701 5th Avenue</t>
  </si>
  <si>
    <t>Hiya</t>
  </si>
  <si>
    <t>Fraud Call Protection Company</t>
  </si>
  <si>
    <t>800 5th Avenue</t>
  </si>
  <si>
    <t>Helsell Fetterman</t>
  </si>
  <si>
    <t>Law Firm</t>
  </si>
  <si>
    <t>The class C building was built in 1948 and was only one third occupied at time of sale.</t>
  </si>
  <si>
    <t>The property is leased to Mens Warehouse on the first floor and ERA Living, a retirement community operator, occupies the top three floors.</t>
  </si>
  <si>
    <t>The subject property is a 760,971 SF, 37-story office building located at 920 5th Ave in Seattle, WA. Originally developed by the joint venture of Schnitzer West and Barings. The building sits on a .66-acre lot. It was constructed in 2017 in the Seattle CBD submarket. At the time of sale Madison Centre was 92% leased.</t>
  </si>
  <si>
    <t>Second &amp; Seneca, located at 1191 Second Ave.- 22 stories -amenities include a gym and shower facility, state-of-the art conference and training center, onsite cafe and bike storage. Eastdil Secured brokered the sale, 93% leased and traded at 4.5% cap rate. Standard arms-length transaction with a few seller credits due to unpaid leasing costs.</t>
  </si>
  <si>
    <t>Asking Rent ($/Month)</t>
  </si>
  <si>
    <t>The 96-unit property is located at 600 7th Ave in Seattle, WA. (6.3% Vacancy at Sale)</t>
  </si>
  <si>
    <t>The 45 unit property is located at 1300 E Pike St in Seattle, WA and is known as the Solis. (0% Vacancy at Sale)</t>
  </si>
  <si>
    <t>This 50-unit multifamily building was delivered in 1925 on .44 acres of land zoned NC3-75 and features studio, one-, and two-bedroom units. At the time of sale, there were 0 vacancies allowing for a 4.05% cap rate valuation.</t>
  </si>
  <si>
    <t>The brokers reported a cap rate of 4.7 percent which translates to an NOI of $709,700.</t>
  </si>
  <si>
    <t>The property was 89% occupied at the time of sale.</t>
  </si>
  <si>
    <t>The seller completed the community in 2021. At the time of sale the occupancy was at 96% and the property transferred with a 4.5% cap rate.</t>
  </si>
  <si>
    <t>Lease Comparables - Multi-Family</t>
  </si>
  <si>
    <t>Sales Comparables - Multi-Family</t>
  </si>
  <si>
    <t>Building Name</t>
  </si>
  <si>
    <t>123 Broadway</t>
  </si>
  <si>
    <t>1600 2nd Avenue</t>
  </si>
  <si>
    <t>Helios</t>
  </si>
  <si>
    <t>Batik Apartments</t>
  </si>
  <si>
    <t>1301 4th Avenue</t>
  </si>
  <si>
    <t>The Cobb</t>
  </si>
  <si>
    <t>1221 1st Avenue</t>
  </si>
  <si>
    <t>Harbor Steps</t>
  </si>
  <si>
    <t>Studio Average</t>
  </si>
  <si>
    <t>Zig</t>
  </si>
  <si>
    <t>800 Seneca Street</t>
  </si>
  <si>
    <t>Low $/PSF</t>
  </si>
  <si>
    <t>High $/PSF</t>
  </si>
  <si>
    <t>$ / SF Sale / $ per month</t>
  </si>
  <si>
    <t>Development Profit (Return on Cost)</t>
  </si>
  <si>
    <t>1 Bedroom</t>
  </si>
  <si>
    <t>1430 2nd Avenue</t>
  </si>
  <si>
    <t>West Edge</t>
  </si>
  <si>
    <t>520 Terry Avenue</t>
  </si>
  <si>
    <t>Saxton</t>
  </si>
  <si>
    <t>1 Bedroom Average</t>
  </si>
  <si>
    <t>2 Bedroom</t>
  </si>
  <si>
    <t>2 Bedroom Average</t>
  </si>
  <si>
    <t>3 Bedroom Average</t>
  </si>
  <si>
    <t>910 8th Avenue</t>
  </si>
  <si>
    <t>M Street</t>
  </si>
  <si>
    <t>112 Boren Avenue North</t>
  </si>
  <si>
    <t>Onni South Lake Union</t>
  </si>
  <si>
    <t>3 Bedroom</t>
  </si>
  <si>
    <t>The Ivey on Boren</t>
  </si>
  <si>
    <t>2019 Boren Avenue</t>
  </si>
  <si>
    <t>118 Broadway East</t>
  </si>
  <si>
    <t>Connection on Broadway</t>
  </si>
  <si>
    <t>2801 Western Avenue</t>
  </si>
  <si>
    <t>Olympus</t>
  </si>
  <si>
    <t>1100 University Street</t>
  </si>
  <si>
    <t>Panorama</t>
  </si>
  <si>
    <t>Commercial Stalls</t>
  </si>
  <si>
    <t>Residential Stalls</t>
  </si>
  <si>
    <t>SF per Space (including circulation)</t>
  </si>
  <si>
    <t>Public Space (Retail Roof)</t>
  </si>
  <si>
    <t>Public Space (working with Retail)</t>
  </si>
  <si>
    <t>Less: Construction Debt</t>
  </si>
  <si>
    <t>Less: Investor Equity</t>
  </si>
  <si>
    <t>Parking Income</t>
  </si>
  <si>
    <t>Parking Stalls</t>
  </si>
  <si>
    <t>The Yesler</t>
  </si>
  <si>
    <t>7 - Yesler Building</t>
  </si>
  <si>
    <t>Operating Expenses (Development Deficit in Above Budget)</t>
  </si>
  <si>
    <t>Retail Hard Costs for Construction (0%)</t>
  </si>
  <si>
    <t>Parking Stalls (Parking Preserved)</t>
  </si>
  <si>
    <t>Demolition (Included for Building Transformation)</t>
  </si>
  <si>
    <t>Year 0</t>
  </si>
  <si>
    <t>Year 1</t>
  </si>
  <si>
    <t>Year 2</t>
  </si>
  <si>
    <t>Year 3</t>
  </si>
  <si>
    <t>Year 4</t>
  </si>
  <si>
    <t>Year 5</t>
  </si>
  <si>
    <t>Year 6</t>
  </si>
  <si>
    <t>Year 7</t>
  </si>
  <si>
    <t>Year 8</t>
  </si>
  <si>
    <t>Year 9</t>
  </si>
  <si>
    <t>Year 10</t>
  </si>
  <si>
    <t>Total Draw (All Sites)</t>
  </si>
  <si>
    <t>Total Unleveraged Annual Cash Flow</t>
  </si>
  <si>
    <t>City of Seattle Fee Estimator</t>
  </si>
  <si>
    <t>Retail/Office Brokerage</t>
  </si>
  <si>
    <t>6.00% on a 5-Year Term</t>
  </si>
  <si>
    <t>$245 - $290, Depending on Quality &amp; Storey Count</t>
  </si>
  <si>
    <t>$245 - $290, Depending on Quality &amp; Storey Count (Utilized Office Figures)</t>
  </si>
  <si>
    <t>$260 - $305, Depending on Quality &amp; Storey Count</t>
  </si>
  <si>
    <t>$120 PSF Above-Grade, $130 PSF Below Grade</t>
  </si>
  <si>
    <t>10% of Above Costs</t>
  </si>
  <si>
    <t>Utilized City of Seattle's Fee Estimator</t>
  </si>
  <si>
    <t>Site-Dependent Assumption</t>
  </si>
  <si>
    <t>$400,000 per Site</t>
  </si>
  <si>
    <t>2% of Land Acquisition Price</t>
  </si>
  <si>
    <t>4% of Total Hard Costs</t>
  </si>
  <si>
    <t>3% of Project Budget</t>
  </si>
  <si>
    <t>2% of Total Hard Costs</t>
  </si>
  <si>
    <t>Taxes During Construction</t>
  </si>
  <si>
    <t>$6,000 per Unit</t>
  </si>
  <si>
    <t>1% of Loan Amount (Estimated to Eliminate Circular Reference)</t>
  </si>
  <si>
    <t>7% of Loan Amount (Estimated to Eliminate Circular Reference)</t>
  </si>
  <si>
    <t>Residential User Monthly Rental Rate</t>
  </si>
  <si>
    <t>Commercial User Monthly Rental Rate</t>
  </si>
  <si>
    <t>Affordable User Monthly Rental Rate</t>
  </si>
  <si>
    <t>6- 420 4th Avenue Building + Argyle</t>
  </si>
  <si>
    <t>Capitalization Rate - Regular</t>
  </si>
  <si>
    <t>Capitalization Rate - Affordable Housing</t>
  </si>
  <si>
    <t>Multi-Family Accepted Assumptions</t>
  </si>
  <si>
    <t>CBRE Figure (Q3 2023)</t>
  </si>
  <si>
    <t>Multi-Family Sales Research</t>
  </si>
  <si>
    <t>Sales Rate - Regular (Studio)</t>
  </si>
  <si>
    <t>Sales Rate - Regular (1 Bedroom)</t>
  </si>
  <si>
    <t>Sales Rate - Regular (2 Bedroom)</t>
  </si>
  <si>
    <t>Sales Rate - Regular (3 Bedroom)</t>
  </si>
  <si>
    <t>Multi-Family Sales Accepted Assumptions ($/PSF)</t>
  </si>
  <si>
    <t>Multi-Family Rental Market Research</t>
  </si>
  <si>
    <t>Land Sales Research</t>
  </si>
  <si>
    <t>The new owner will be redeveloping the property into 350-unit Multi-Family property called The Cascara. (SOLD BY SEATTLE HOUSING AUTHORITY)</t>
  </si>
  <si>
    <t>Regular Land Sales</t>
  </si>
  <si>
    <t>Land Sales Accepted Assumptions ($/Acre)</t>
  </si>
  <si>
    <t>*(Utilized Seattle Housing Authority Comparable)*</t>
  </si>
  <si>
    <t>Affordable Income For Rent Residential</t>
  </si>
  <si>
    <t>$/Month (Incl Utilities)</t>
  </si>
  <si>
    <t>Residential Cash Flow - Affordable Units</t>
  </si>
  <si>
    <t>Residential Cash Flow - Regular Units</t>
  </si>
  <si>
    <t>Yes / No (Affordable)</t>
  </si>
  <si>
    <t>Regular Units</t>
  </si>
  <si>
    <t>Affordable Units</t>
  </si>
  <si>
    <t>Assessed Value</t>
  </si>
  <si>
    <t>Parking Stalls (0%)</t>
  </si>
  <si>
    <t>Gap Funding (Assumed Land Discount)</t>
  </si>
  <si>
    <t>Office Market Research</t>
  </si>
  <si>
    <t>Caller ID Protection</t>
  </si>
  <si>
    <t>Capitalization Rate</t>
  </si>
  <si>
    <t>Lease Rate - NNN</t>
  </si>
  <si>
    <t>CBRE Figure Q3 2023</t>
  </si>
  <si>
    <t>Office Vacancy Rates</t>
  </si>
  <si>
    <t>Retail Market Research</t>
  </si>
  <si>
    <t>Office Accepted Assumptions</t>
  </si>
  <si>
    <t>Retail Accepted Assumptions</t>
  </si>
  <si>
    <t>Vancouver Construction Cost Guide 2023 (Source: Altus)</t>
  </si>
  <si>
    <t>West Region (Source: Cummings)</t>
  </si>
  <si>
    <t>Above Grade Parking Garages</t>
  </si>
  <si>
    <t>Cost Market Research</t>
  </si>
  <si>
    <t>Retail*</t>
  </si>
  <si>
    <t>*Retail figures not utilized due to product type discussed. Office build out cost has been utilized for retail space in this model.*</t>
  </si>
  <si>
    <t>Inflation Rate (All Properties, Income/Expenses)</t>
  </si>
  <si>
    <t>Total Leveraged Annual Cash Flow</t>
  </si>
  <si>
    <t>May 1, 2024 to April 30, 2025</t>
  </si>
  <si>
    <t>May 1, 2025 to January 31, 2026</t>
  </si>
  <si>
    <t>February 1, 2026 to April 30, 2026</t>
  </si>
  <si>
    <t>May 1, 2025 to April 30, 2026</t>
  </si>
  <si>
    <t>February 1, 2027 to April 30, 2027</t>
  </si>
  <si>
    <t>May 1, 2026 to January 31, 2028</t>
  </si>
  <si>
    <t>February 1, 2028 to April 30, 2028</t>
  </si>
  <si>
    <t>May 1, 2026 to April 30, 2027</t>
  </si>
  <si>
    <t>May 1, 2027 to August 31, 2027</t>
  </si>
  <si>
    <t>September 1, 2027 to April 31, 2029</t>
  </si>
  <si>
    <t>May 1, 2029 to April 31, 2030</t>
  </si>
  <si>
    <t>May 1, 2027 to April 31, 2028</t>
  </si>
  <si>
    <t>May 1, 2028 to January 31, 2029</t>
  </si>
  <si>
    <t>February 1, 2029 to April 31, 2029</t>
  </si>
  <si>
    <t>May 1, 2025 to January 31, 2027</t>
  </si>
  <si>
    <t>May 1, 2028 to April 31, 2029</t>
  </si>
  <si>
    <t>May 1, 2029 to December 31, 2029</t>
  </si>
  <si>
    <t>January 1, 2029 to December 31, 2031</t>
  </si>
  <si>
    <t>January 1, 2032 to April 30, 2032</t>
  </si>
  <si>
    <t>Rental Rate - Regular (Studio)</t>
  </si>
  <si>
    <t>Rental Rate - Regular (1 Bedroom)</t>
  </si>
  <si>
    <t>Rental Rate - Regular (2 Bedroom)</t>
  </si>
  <si>
    <t>Rental Rate - Regular (3 Bedroom)</t>
  </si>
  <si>
    <t>Sources</t>
  </si>
  <si>
    <t>Debt</t>
  </si>
  <si>
    <t>Equity</t>
  </si>
  <si>
    <t>Gap Funding</t>
  </si>
  <si>
    <t>Uses</t>
  </si>
  <si>
    <t>Building</t>
  </si>
  <si>
    <t>Infrastructure</t>
  </si>
  <si>
    <t>Financial</t>
  </si>
  <si>
    <t>Total Program</t>
  </si>
  <si>
    <t>Retail SF</t>
  </si>
  <si>
    <t>Office SF</t>
  </si>
  <si>
    <t>Affordable SF - Rental</t>
  </si>
  <si>
    <t>Regular SF - Rental</t>
  </si>
  <si>
    <t>Regular SF - Sale</t>
  </si>
  <si>
    <r>
      <rPr>
        <b/>
        <sz val="10"/>
        <color theme="1"/>
        <rFont val="Arial"/>
        <family val="2"/>
      </rPr>
      <t>TEAM:</t>
    </r>
    <r>
      <rPr>
        <sz val="10"/>
        <color theme="1"/>
        <rFont val="Arial"/>
        <family val="2"/>
      </rPr>
      <t xml:space="preserve"> The Stitch 2024-14202</t>
    </r>
  </si>
  <si>
    <t>Residential &amp; Retail</t>
  </si>
  <si>
    <t>Loan Type</t>
  </si>
  <si>
    <t>Interest-Only</t>
  </si>
  <si>
    <t>Total Equity Cost</t>
  </si>
  <si>
    <t>Debt Repayment</t>
  </si>
  <si>
    <t>Debt Payments (Interest Only)</t>
  </si>
  <si>
    <t>Exit Cap Rate - Residential</t>
  </si>
  <si>
    <t>Exit Cap Rate - Affordable Residential</t>
  </si>
  <si>
    <t>Total $PSF</t>
  </si>
  <si>
    <t>Total ($)</t>
  </si>
  <si>
    <t>Category - For Rent</t>
  </si>
  <si>
    <t>Category - Total</t>
  </si>
  <si>
    <t>Category - For Sale</t>
  </si>
  <si>
    <t>% OF SF TOTAL</t>
  </si>
  <si>
    <t>Sales Rate - Affordable Housing</t>
  </si>
  <si>
    <t>Phase 1 (Year 0 - 2)</t>
  </si>
  <si>
    <t>Phase 2 (Year 2 - 5)</t>
  </si>
  <si>
    <t>Phase 3 (Year 3 - 7)</t>
  </si>
  <si>
    <t>Phasing Schedule</t>
  </si>
  <si>
    <t>Phase 1 Total</t>
  </si>
  <si>
    <t>Phase 2 Total</t>
  </si>
  <si>
    <t>Phase 3 Total</t>
  </si>
  <si>
    <t>Project Total</t>
  </si>
  <si>
    <t>Residential Unit Count &amp; Breakdown - The Stitch</t>
  </si>
  <si>
    <t>Site Cost</t>
  </si>
  <si>
    <t>Rental Rate - 80% Income Affordable (Studio)</t>
  </si>
  <si>
    <t>Rental Rate - 80% Income Affordable (1 Bedroom)</t>
  </si>
  <si>
    <t>Rental Rate - 80% Income Affordable (2 Bedroom)</t>
  </si>
  <si>
    <t>Rental Rate - 80% Income Affordable (3 Bedroom)</t>
  </si>
  <si>
    <t>Commercial Market Leasing Assumptions*</t>
  </si>
  <si>
    <t>Build-Out Tenant Improvements PSF</t>
  </si>
  <si>
    <t>New Tenant Leasing Commissions</t>
  </si>
  <si>
    <t xml:space="preserve">*Market Leasing Assumptions are only for costs to stabilize assets upon construction completion. They do not address on-going market leasing assumptions (TI/LC rates on renewal deals, for example), given that the developments are assumed to be sold upon stabilization. </t>
  </si>
  <si>
    <t>$150 PSF (Retail &amp; Office)</t>
  </si>
  <si>
    <t>Office Units</t>
  </si>
  <si>
    <t>Retail Units</t>
  </si>
  <si>
    <t>Phasing Breakdown</t>
  </si>
  <si>
    <t>Parking SF</t>
  </si>
  <si>
    <t>For Rent Subtotal</t>
  </si>
  <si>
    <t>For Sale Subtotal</t>
  </si>
  <si>
    <t>Total Residential Units</t>
  </si>
  <si>
    <t>Phase 1 Subtotal</t>
  </si>
  <si>
    <t>Phase 2 Subtotal</t>
  </si>
  <si>
    <t>Phase 3 Subtotal</t>
  </si>
  <si>
    <t>Development Program - The Stitch</t>
  </si>
  <si>
    <t>Market Residential Units</t>
  </si>
  <si>
    <t>Market Residential SF</t>
  </si>
  <si>
    <t>Affordable Residential Units</t>
  </si>
  <si>
    <t>Affordable Residential SF</t>
  </si>
  <si>
    <t>Equity Multiple</t>
  </si>
  <si>
    <t>N/A (Sale &amp; Rental Units)</t>
  </si>
  <si>
    <t>Development Assumptions - The Stitch</t>
  </si>
  <si>
    <t>Affordable Land 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</si>
</sst>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
    <numFmt numFmtId="166" formatCode="&quot;$&quot;#,##0"/>
    <numFmt numFmtId="167" formatCode="0.0%"/>
    <numFmt numFmtId="168" formatCode="_(* #,##0_);_(* \(#,##0\);_(* &quot;-&quot;??_);_(@_)"/>
    <numFmt numFmtId="169" formatCode="#,##0.0"/>
    <numFmt numFmtId="170" formatCode="0.0"/>
    <numFmt numFmtId="171" formatCode="[$-409]mmm\-yy;@"/>
    <numFmt numFmtId="172" formatCode="&quot;LESS:&quot;\ #%\ \ &quot;Selling Costs&quot;"/>
    <numFmt numFmtId="173" formatCode="&quot;Density=&quot;#\ &quot;Units/Acre&quot;"/>
    <numFmt numFmtId="174" formatCode="##,###&quot; SF&quot;"/>
    <numFmt numFmtId="175" formatCode="&quot;Studio---&quot;#%"/>
    <numFmt numFmtId="176" formatCode="###\ &quot;Units&quot;"/>
    <numFmt numFmtId="177" formatCode="##%\ \ \ &quot;Debt&quot;"/>
    <numFmt numFmtId="178" formatCode="##%\ \ \ &quot;Equity&quot;"/>
    <numFmt numFmtId="179" formatCode="#.##%\ "/>
    <numFmt numFmtId="180" formatCode="&quot;$&quot;#,##0;\(&quot;$&quot;#,##0\)"/>
    <numFmt numFmtId="181" formatCode="&quot;$&quot;#,##0.0;\(&quot;$&quot;#,##0.0\)"/>
    <numFmt numFmtId="182" formatCode="&quot;$&quot;#,##0.00;\(&quot;$&quot;#,##0.00\)"/>
    <numFmt numFmtId="183" formatCode="0.0_)\%;\(0.0\)\%;0.0_)\%;@_)_%"/>
    <numFmt numFmtId="184" formatCode="#,##0.0_)_%;\(#,##0.0\)_%;0.0_)_%;@_)_%"/>
    <numFmt numFmtId="185" formatCode="#,##0.0_);\(#,##0.0\);#,##0.0_);@_)"/>
    <numFmt numFmtId="186" formatCode="#,##0.0_);\(#,##0.0\)"/>
    <numFmt numFmtId="187" formatCode="&quot;$&quot;_(#,##0.00_);&quot;$&quot;\(#,##0.00\);&quot;$&quot;_(0.00_);@_)"/>
    <numFmt numFmtId="188" formatCode="&quot;$&quot;_(#,##0.00_);&quot;$&quot;\(#,##0.00\)"/>
    <numFmt numFmtId="189" formatCode="&quot;\&quot;_(#,##0.00_);&quot;\&quot;\(#,##0.00\)"/>
    <numFmt numFmtId="190" formatCode="#,##0.00_);\(#,##0.00\);0.00_);@_)"/>
    <numFmt numFmtId="191" formatCode="\€_(#,##0.00_);\€\(#,##0.00\);\€_(0.00_);@_)"/>
    <numFmt numFmtId="192" formatCode="#,##0_)\x;\(#,##0\)\x;0_)\x;@_)_x"/>
    <numFmt numFmtId="193" formatCode="#,##0.0_)\x;\(#,##0.0\)\x"/>
    <numFmt numFmtId="194" formatCode="#,##0_)_x;\(#,##0\)_x;0_)_x;@_)_x"/>
    <numFmt numFmtId="195" formatCode="m/d/yy\ h:mm\ AM/PM"/>
    <numFmt numFmtId="196" formatCode="#,##0.0_)_x;\(#,##0.0\)_x"/>
    <numFmt numFmtId="197" formatCode="0.0_)\%;\(0.0\)\%"/>
    <numFmt numFmtId="198" formatCode="mmmm\ d\,\ yyyy"/>
    <numFmt numFmtId="199" formatCode="#,##0.0_)_%;\(#,##0.0\)_%"/>
    <numFmt numFmtId="200" formatCode="General_)"/>
    <numFmt numFmtId="201" formatCode="0.0\ \x"/>
    <numFmt numFmtId="202" formatCode="&quot;$&quot;#,##0.000_);\(&quot;$&quot;#,##0.000\)"/>
    <numFmt numFmtId="203" formatCode="m\-d\-yy"/>
    <numFmt numFmtId="204" formatCode="#,##0_);\(#,##0\);&quot;- &quot;"/>
    <numFmt numFmtId="205" formatCode="0.0%;\(0.0%\);&quot;- &quot;"/>
    <numFmt numFmtId="206" formatCode="mm/dd/yy_)"/>
    <numFmt numFmtId="207" formatCode="#,##0;\-#,##0;&quot;-&quot;"/>
    <numFmt numFmtId="208" formatCode="#,##0.00;\(#,##0.00"/>
    <numFmt numFmtId="209" formatCode="d\ mmm\ yy"/>
    <numFmt numFmtId="210" formatCode="#,##0.0_);[Red]\(#,##0.0\)"/>
    <numFmt numFmtId="211" formatCode="_(* #,##0.0_);_(* \(#,##0.0\);_(* &quot;-&quot;?_);_(@_)"/>
    <numFmt numFmtId="212" formatCode="#,##0_%_);\(#,##0\)_%;**;@_%_)"/>
    <numFmt numFmtId="213" formatCode="#,##0_%_);\(#,##0\)_%;#,##0_%_);@_%_)"/>
    <numFmt numFmtId="214" formatCode="&quot;$&quot;#,##0\ ;\(&quot;$&quot;#,##0\)"/>
    <numFmt numFmtId="215" formatCode="&quot;$&quot;#,##0.0\ ;\(&quot;$&quot;#,##0.0\)"/>
    <numFmt numFmtId="216" formatCode="0.00\x"/>
    <numFmt numFmtId="217" formatCode="m/d/yyyy\ \ h:mm\ AM/PM"/>
    <numFmt numFmtId="218" formatCode="#,##0;\(#,##0\)"/>
    <numFmt numFmtId="219" formatCode="#,##0.0;\(#,##0.0\)"/>
    <numFmt numFmtId="220" formatCode="\ #,##0.0_);\(#,##0.0\);\-\ \ ??"/>
    <numFmt numFmtId="221" formatCode="&quot;$&quot;#,##0.0_);\(&quot;$&quot;#,##0.0\)"/>
    <numFmt numFmtId="222" formatCode="&quot;$&quot;#,##0.0"/>
    <numFmt numFmtId="223" formatCode="_-* #,##0.00\ [$€-1]_-;\-* #,##0.00\ [$€-1]_-;_-* &quot;-&quot;??\ [$€-1]_-"/>
    <numFmt numFmtId="224" formatCode="00"/>
    <numFmt numFmtId="225" formatCode=";;;"/>
    <numFmt numFmtId="226" formatCode="0.00_)"/>
    <numFmt numFmtId="227" formatCode="mm/yyyy"/>
    <numFmt numFmtId="228" formatCode="&quot;Standard&quot;_);;&quot;Reverse&quot;_)"/>
    <numFmt numFmtId="229" formatCode="_-* #,##0_-;\-* #,##0_-;_-* &quot;-&quot;_-;_-@_-"/>
    <numFmt numFmtId="230" formatCode="_-* #,##0.00_-;\-* #,##0.00_-;_-* &quot;-&quot;??_-;_-@_-"/>
    <numFmt numFmtId="231" formatCode="#,##0.00&quot; F&quot;_);\(#,##0.00&quot; F&quot;\)"/>
    <numFmt numFmtId="232" formatCode="#,##0&quot; $&quot;;\-#,##0&quot; $&quot;"/>
    <numFmt numFmtId="233" formatCode="_-* #,##0\ _F_-;\-* #,##0\ _F_-;_-* &quot;-&quot;\ _F_-;_-@_-"/>
    <numFmt numFmtId="234" formatCode="_-* #,##0.00\ &quot;F&quot;_-;\-* #,##0.00\ &quot;F&quot;_-;_-* &quot;-&quot;??\ &quot;F&quot;_-;_-@_-"/>
    <numFmt numFmtId="235" formatCode="_-* #,##0\ &quot;Esc.&quot;_-;\-* #,##0\ &quot;Esc.&quot;_-;_-* &quot;-&quot;\ &quot;Esc.&quot;_-;_-@_-"/>
    <numFmt numFmtId="236" formatCode="#,##0.00&quot;$&quot;;[Red]\-#,##0.00&quot;$&quot;"/>
    <numFmt numFmtId="237" formatCode="#,##0&quot; F&quot;_);[Red]\(#,##0&quot; F&quot;\)"/>
    <numFmt numFmtId="238" formatCode="#,##0.00&quot; F&quot;_);[Red]\(#,##0.00&quot; F&quot;\)"/>
    <numFmt numFmtId="239" formatCode="_-* #,##0\ &quot;F&quot;_-;\-* #,##0\ &quot;F&quot;_-;_-* &quot;-&quot;\ &quot;F&quot;_-;_-@_-"/>
    <numFmt numFmtId="240" formatCode="0.0_x_);\(0.0\)_x"/>
    <numFmt numFmtId="241" formatCode="0.0\x_);\(0.0\x\)"/>
    <numFmt numFmtId="242" formatCode="0.0\x_)_);&quot;NM&quot;_x_)_);0.0\x_)_);@_%_)"/>
    <numFmt numFmtId="243" formatCode="_(* #,##0.0000_);_(* \(#,##0.0000\);_(* &quot;-&quot;??_);_(@_)"/>
    <numFmt numFmtId="244" formatCode="0.0%;\(0.0%\)"/>
    <numFmt numFmtId="245" formatCode="#,##0_ "/>
    <numFmt numFmtId="246" formatCode="&quot;$&quot;#,##0.00_);\(&quot;$&quot;#,##0.00\);\-\ ??"/>
    <numFmt numFmtId="247" formatCode="[&lt;=9999999]###\-####;\(###\)\ ###\-####"/>
    <numFmt numFmtId="248" formatCode="#,##0.0\%_);\(#,##0.0\%\);#,##0.0\%_);@_%_)"/>
    <numFmt numFmtId="249" formatCode="#,##0.0_x\);\(#,##0.0\)"/>
    <numFmt numFmtId="250" formatCode="_(&quot;$&quot;* #,##0.0000000000000_);_(&quot;$&quot;* \(#,##0.0000000000000\);_(&quot;$&quot;* &quot;-&quot;??_);_(@_)"/>
    <numFmt numFmtId="251" formatCode="_-* #,##0\ _E_s_c_._-;\-* #,##0\ _E_s_c_._-;_-* &quot;-&quot;\ _E_s_c_._-;_-@_-"/>
    <numFmt numFmtId="252" formatCode="_(&quot;$&quot;* #,##0.000_);_(&quot;$&quot;* \(#,##0.000\);_(&quot;$&quot;* &quot;-&quot;??_);_(@_)"/>
    <numFmt numFmtId="253" formatCode="_-&quot;L.&quot;\ * #,##0_-;\-&quot;L.&quot;\ * #,##0_-;_-&quot;L.&quot;\ * &quot;-&quot;_-;_-@_-"/>
    <numFmt numFmtId="254" formatCode="_-&quot;L.&quot;\ * #,##0.00_-;\-&quot;L.&quot;\ * #,##0.00_-;_-&quot;L.&quot;\ * &quot;-&quot;??_-;_-@_-"/>
    <numFmt numFmtId="255" formatCode="0\ \ ;\(0\)\ \ \ "/>
    <numFmt numFmtId="256" formatCode="&quot;Yes&quot;;;&quot;No&quot;"/>
    <numFmt numFmtId="257" formatCode="#,###\ &quot;SF Retail Income&quot;"/>
    <numFmt numFmtId="258" formatCode="##%\ &quot;of GMP costs&quot;"/>
    <numFmt numFmtId="259" formatCode="&quot;$&quot;##,###\ &quot;per unit&quot;"/>
    <numFmt numFmtId="260" formatCode="##%\ &quot;of total hard costs&quot;"/>
    <numFmt numFmtId="261" formatCode="##.00%\ &quot;of loan amount&quot;"/>
    <numFmt numFmtId="262" formatCode="&quot;Residual land value at&quot;\ ##%\ &quot;ROC&quot;"/>
    <numFmt numFmtId="263" formatCode="#\ &quot;Months of OPEX&quot;"/>
    <numFmt numFmtId="264" formatCode="#.#%\ &quot;of soft costs&quot;"/>
    <numFmt numFmtId="265" formatCode="#%\ &quot;on a five year term&quot;"/>
    <numFmt numFmtId="266" formatCode="##%\ &quot;of Project Budget&quot;"/>
    <numFmt numFmtId="267" formatCode="&quot;$&quot;##,###\ &quot;per stall&quot;"/>
    <numFmt numFmtId="268" formatCode="&quot;Gap at&quot;\ ##%"/>
    <numFmt numFmtId="269" formatCode="##%\ &quot;of loan amount&quot;"/>
    <numFmt numFmtId="270" formatCode="&quot;Building footprint at&quot;\ ##\ &quot;stories&quot;"/>
    <numFmt numFmtId="271" formatCode="&quot;Building area at&quot;\ ##%\ &quot;circulation&quot;"/>
    <numFmt numFmtId="272" formatCode="&quot;Parking area at&quot;\ ###\ &quot;sf per stall&quot;"/>
    <numFmt numFmtId="273" formatCode="&quot;Fee/unit=&quot;&quot;$&quot;##,###"/>
    <numFmt numFmtId="274" formatCode="&quot;$&quot;###\ &quot;per SF net lease or sale&quot;"/>
    <numFmt numFmtId="275" formatCode="&quot;Feasible Project Costs at&quot;\ ##%\ &quot;ROC&quot;"/>
    <numFmt numFmtId="276" formatCode="[$-1009]d/mmm/yy;@"/>
    <numFmt numFmtId="277" formatCode="[$-409]d/mmm/yyyy;@"/>
    <numFmt numFmtId="278" formatCode="&quot;$&quot;###\ &quot;per SF net saleable&quot;"/>
    <numFmt numFmtId="279" formatCode="&quot;$&quot;##,###\ &quot;per net leasable&quot;"/>
    <numFmt numFmtId="280" formatCode="##%\ &quot;of Above Costs&quot;"/>
    <numFmt numFmtId="281" formatCode="&quot;$&quot;##,###\ &quot;per acre&quot;"/>
    <numFmt numFmtId="282" formatCode="&quot;$&quot;###\ &quot;per SF&quot;"/>
    <numFmt numFmtId="283" formatCode="#,###\ &quot;SF Commercial Income&quot;"/>
    <numFmt numFmtId="284" formatCode="##%\ &quot;of land acquisition price&quot;"/>
    <numFmt numFmtId="285" formatCode="#,##0\ &quot;SF&quot;"/>
    <numFmt numFmtId="286" formatCode="##\ &quot;Stories&quot;"/>
    <numFmt numFmtId="287" formatCode="##,###\ &quot;Stories&quot;"/>
    <numFmt numFmtId="288" formatCode="#,##0.000000"/>
    <numFmt numFmtId="289" formatCode="0##.#####%\ &quot;of land value&quot;"/>
  </numFmts>
  <fonts count="20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Times New Roman"/>
      <family val="2"/>
    </font>
    <font>
      <sz val="12"/>
      <color theme="1"/>
      <name val="Calibri"/>
      <family val="2"/>
      <scheme val="minor"/>
    </font>
    <font>
      <sz val="12"/>
      <color theme="1"/>
      <name val="Calibri"/>
      <family val="2"/>
      <scheme val="minor"/>
    </font>
    <font>
      <sz val="12"/>
      <color theme="1"/>
      <name val="Times New Roman"/>
      <family val="2"/>
    </font>
    <font>
      <sz val="12"/>
      <color theme="1"/>
      <name val="Times New Roman"/>
      <family val="2"/>
    </font>
    <font>
      <sz val="12"/>
      <color theme="1"/>
      <name val="Calibri"/>
      <family val="2"/>
      <scheme val="minor"/>
    </font>
    <font>
      <sz val="11"/>
      <color theme="1"/>
      <name val="Calibri"/>
      <family val="2"/>
      <scheme val="minor"/>
    </font>
    <font>
      <sz val="12"/>
      <name val="Times New Roman"/>
      <family val="1"/>
    </font>
    <font>
      <sz val="10"/>
      <name val="Times New Roman"/>
      <family val="1"/>
    </font>
    <font>
      <b/>
      <sz val="10"/>
      <name val="Times New Roman"/>
      <family val="1"/>
    </font>
    <font>
      <b/>
      <sz val="12"/>
      <name val="Times New Roman"/>
      <family val="1"/>
    </font>
    <font>
      <b/>
      <sz val="11"/>
      <name val="Times New Roman"/>
      <family val="1"/>
    </font>
    <font>
      <sz val="12"/>
      <name val="Arial"/>
      <family val="2"/>
    </font>
    <font>
      <b/>
      <sz val="8"/>
      <name val="Times New Roman"/>
      <family val="1"/>
    </font>
    <font>
      <sz val="10"/>
      <name val="Arial"/>
      <family val="2"/>
    </font>
    <font>
      <sz val="14"/>
      <name val="Times New Roman"/>
      <family val="1"/>
    </font>
    <font>
      <sz val="12"/>
      <name val="Times New Roman"/>
      <family val="1"/>
    </font>
    <font>
      <sz val="12"/>
      <name val="Arial MT"/>
    </font>
    <font>
      <b/>
      <sz val="18"/>
      <name val="Times New Roman"/>
      <family val="1"/>
    </font>
    <font>
      <b/>
      <sz val="16"/>
      <name val="Times New Roman"/>
      <family val="1"/>
    </font>
    <font>
      <b/>
      <sz val="14"/>
      <name val="Times New Roman"/>
      <family val="1"/>
    </font>
    <font>
      <u/>
      <sz val="11"/>
      <color theme="11"/>
      <name val="Calibri"/>
      <family val="2"/>
      <scheme val="minor"/>
    </font>
    <font>
      <b/>
      <sz val="10"/>
      <name val="Arial"/>
      <family val="2"/>
    </font>
    <font>
      <sz val="10"/>
      <color indexed="8"/>
      <name val="Arial"/>
      <family val="2"/>
    </font>
    <font>
      <sz val="8"/>
      <name val="Times New Roman"/>
      <family val="1"/>
    </font>
    <font>
      <sz val="11"/>
      <name val="ＭＳ Ｐゴシック"/>
      <family val="2"/>
      <charset val="128"/>
    </font>
    <font>
      <sz val="8"/>
      <name val="Palatino"/>
      <family val="1"/>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Palatino"/>
      <family val="1"/>
    </font>
    <font>
      <b/>
      <sz val="12"/>
      <name val="Helv"/>
    </font>
    <font>
      <b/>
      <i/>
      <sz val="10"/>
      <name val="Helv"/>
      <family val="2"/>
    </font>
    <font>
      <b/>
      <sz val="8"/>
      <name val="Helv"/>
      <family val="2"/>
    </font>
    <font>
      <sz val="7"/>
      <color indexed="12"/>
      <name val="Times New Roman"/>
      <family val="1"/>
    </font>
    <font>
      <sz val="9"/>
      <name val="Tahoma"/>
      <family val="2"/>
    </font>
    <font>
      <sz val="8"/>
      <name val="Times"/>
      <family val="1"/>
    </font>
    <font>
      <sz val="9"/>
      <color indexed="8"/>
      <name val="Times New Roman"/>
      <family val="1"/>
    </font>
    <font>
      <sz val="8"/>
      <color indexed="12"/>
      <name val="Tms Rmn"/>
    </font>
    <font>
      <sz val="10"/>
      <color indexed="12"/>
      <name val="Times New Roman"/>
      <family val="1"/>
    </font>
    <font>
      <sz val="12"/>
      <name val="Tms Rmn"/>
      <family val="1"/>
    </font>
    <font>
      <b/>
      <sz val="12"/>
      <name val="SWISS"/>
    </font>
    <font>
      <b/>
      <i/>
      <sz val="10"/>
      <color indexed="30"/>
      <name val="Comic Sans MS"/>
      <family val="4"/>
    </font>
    <font>
      <sz val="8"/>
      <color indexed="30"/>
      <name val="Comic Sans MS"/>
      <family val="4"/>
    </font>
    <font>
      <b/>
      <sz val="8"/>
      <color indexed="30"/>
      <name val="Comic Sans MS"/>
      <family val="4"/>
    </font>
    <font>
      <sz val="10"/>
      <color indexed="30"/>
      <name val="Comic Sans MS"/>
      <family val="4"/>
    </font>
    <font>
      <sz val="8"/>
      <name val="Helvetica-Narrow"/>
    </font>
    <font>
      <u val="singleAccounting"/>
      <sz val="10"/>
      <name val="Arial"/>
      <family val="2"/>
    </font>
    <font>
      <sz val="12"/>
      <name val="±¼¸²Ã¼"/>
      <family val="3"/>
      <charset val="129"/>
    </font>
    <font>
      <sz val="9"/>
      <color indexed="8"/>
      <name val="Helvetica-Narrow"/>
    </font>
    <font>
      <sz val="8"/>
      <color indexed="13"/>
      <name val="Helvetica-Narrow"/>
    </font>
    <font>
      <b/>
      <sz val="7"/>
      <name val="Helvetica-Narrow"/>
      <family val="2"/>
    </font>
    <font>
      <b/>
      <sz val="7"/>
      <name val="GillSans"/>
    </font>
    <font>
      <b/>
      <sz val="9"/>
      <name val="Tahoma"/>
      <family val="2"/>
    </font>
    <font>
      <sz val="12"/>
      <color indexed="24"/>
      <name val="Arial"/>
      <family val="2"/>
    </font>
    <font>
      <sz val="10"/>
      <name val="Helv"/>
    </font>
    <font>
      <sz val="12"/>
      <name val="Helv"/>
    </font>
    <font>
      <b/>
      <sz val="24"/>
      <name val="Courier New"/>
      <family val="3"/>
    </font>
    <font>
      <b/>
      <sz val="10"/>
      <color indexed="30"/>
      <name val="Comic Sans MS"/>
      <family val="4"/>
    </font>
    <font>
      <sz val="12"/>
      <color indexed="30"/>
      <name val="Comic Sans MS"/>
      <family val="4"/>
    </font>
    <font>
      <sz val="10"/>
      <name val="MS Serif"/>
      <family val="1"/>
    </font>
    <font>
      <sz val="10"/>
      <name val="Courier"/>
      <family val="3"/>
    </font>
    <font>
      <sz val="10"/>
      <name val="Book Antiqua"/>
      <family val="1"/>
    </font>
    <font>
      <sz val="10"/>
      <name val="Times New Roman Special G1"/>
    </font>
    <font>
      <sz val="10"/>
      <color indexed="24"/>
      <name val="Arial"/>
      <family val="2"/>
    </font>
    <font>
      <sz val="9"/>
      <name val="Times New Roman"/>
      <family val="1"/>
    </font>
    <font>
      <u/>
      <sz val="8"/>
      <color indexed="12"/>
      <name val="Times New Roman"/>
      <family val="1"/>
    </font>
    <font>
      <sz val="9"/>
      <name val="Arial"/>
      <family val="2"/>
    </font>
    <font>
      <sz val="8"/>
      <color indexed="12"/>
      <name val="Times New Roman"/>
      <family val="1"/>
    </font>
    <font>
      <u val="doubleAccounting"/>
      <sz val="10"/>
      <name val="Arial"/>
      <family val="2"/>
    </font>
    <font>
      <sz val="14"/>
      <color indexed="8"/>
      <name val="Times New Roman"/>
      <family val="1"/>
    </font>
    <font>
      <b/>
      <sz val="10"/>
      <color indexed="8"/>
      <name val="Times New Roman"/>
      <family val="1"/>
    </font>
    <font>
      <sz val="8"/>
      <color indexed="8"/>
      <name val="Times New Roman"/>
      <family val="1"/>
    </font>
    <font>
      <i/>
      <sz val="9"/>
      <name val="Times New Roman"/>
      <family val="1"/>
    </font>
    <font>
      <i/>
      <sz val="10"/>
      <name val="Times New Roman"/>
      <family val="1"/>
    </font>
    <font>
      <i/>
      <sz val="9"/>
      <color indexed="8"/>
      <name val="Times New Roman"/>
      <family val="1"/>
    </font>
    <font>
      <b/>
      <sz val="9"/>
      <name val="Times New Roman"/>
      <family val="1"/>
    </font>
    <font>
      <sz val="22"/>
      <name val="Times New Roman"/>
      <family val="1"/>
    </font>
    <font>
      <b/>
      <i/>
      <sz val="8"/>
      <color indexed="12"/>
      <name val="Arial"/>
      <family val="2"/>
    </font>
    <font>
      <sz val="10"/>
      <color indexed="16"/>
      <name val="MS Serif"/>
      <family val="1"/>
    </font>
    <font>
      <sz val="7"/>
      <name val="Palatino"/>
      <family val="1"/>
    </font>
    <font>
      <sz val="9"/>
      <name val="CharterITC BT"/>
      <family val="1"/>
    </font>
    <font>
      <b/>
      <sz val="10"/>
      <name val="Tahoma"/>
      <family val="2"/>
    </font>
    <font>
      <sz val="8"/>
      <name val="Arial"/>
      <family val="2"/>
    </font>
    <font>
      <b/>
      <sz val="12"/>
      <color indexed="9"/>
      <name val="Tms Rmn"/>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b/>
      <u/>
      <sz val="11"/>
      <color indexed="37"/>
      <name val="Arial"/>
      <family val="2"/>
    </font>
    <font>
      <b/>
      <sz val="12"/>
      <name val="Arial"/>
      <family val="2"/>
    </font>
    <font>
      <b/>
      <i/>
      <sz val="22"/>
      <name val="Times New Roman"/>
      <family val="1"/>
    </font>
    <font>
      <b/>
      <sz val="8"/>
      <name val="MS Sans Serif"/>
      <family val="2"/>
    </font>
    <font>
      <b/>
      <sz val="24"/>
      <name val="Geneva"/>
      <family val="2"/>
    </font>
    <font>
      <b/>
      <u/>
      <sz val="8"/>
      <name val="Arial"/>
      <family val="2"/>
    </font>
    <font>
      <sz val="10"/>
      <color indexed="12"/>
      <name val="Arial"/>
      <family val="2"/>
    </font>
    <font>
      <i/>
      <sz val="10"/>
      <name val="Arial"/>
      <family val="2"/>
    </font>
    <font>
      <sz val="10"/>
      <color indexed="16"/>
      <name val="MS Sans Serif"/>
      <family val="2"/>
    </font>
    <font>
      <sz val="10"/>
      <name val="Geneva"/>
      <family val="2"/>
    </font>
    <font>
      <sz val="14"/>
      <name val="Architecture"/>
      <family val="2"/>
    </font>
    <font>
      <sz val="7"/>
      <name val="Small Fonts"/>
      <family val="2"/>
    </font>
    <font>
      <sz val="11"/>
      <name val="明朝"/>
      <family val="1"/>
      <charset val="128"/>
    </font>
    <font>
      <sz val="10"/>
      <name val="Palatino"/>
      <family val="1"/>
    </font>
    <font>
      <sz val="10"/>
      <name val="ＭＳ Ｐゴシック"/>
      <family val="3"/>
      <charset val="128"/>
    </font>
    <font>
      <sz val="11"/>
      <name val="Times New Roman"/>
      <family val="1"/>
    </font>
    <font>
      <sz val="11"/>
      <name val="‚l‚r –¾’©"/>
      <family val="3"/>
      <charset val="128"/>
    </font>
    <font>
      <b/>
      <i/>
      <sz val="10"/>
      <color indexed="8"/>
      <name val="Arial"/>
      <family val="2"/>
    </font>
    <font>
      <b/>
      <sz val="10"/>
      <color indexed="8"/>
      <name val="Arial"/>
      <family val="2"/>
    </font>
    <font>
      <b/>
      <i/>
      <sz val="22"/>
      <color indexed="8"/>
      <name val="Times New Roman"/>
      <family val="1"/>
    </font>
    <font>
      <b/>
      <sz val="26"/>
      <name val="Times New Roman"/>
      <family val="1"/>
    </font>
    <font>
      <sz val="10"/>
      <color indexed="16"/>
      <name val="Helvetica-Black"/>
    </font>
    <font>
      <b/>
      <sz val="14"/>
      <color indexed="12"/>
      <name val="Arial"/>
      <family val="2"/>
    </font>
    <font>
      <sz val="22"/>
      <name val="UBSHeadline"/>
      <family val="1"/>
    </font>
    <font>
      <sz val="10"/>
      <name val="Tms Rmn"/>
      <family val="1"/>
    </font>
    <font>
      <sz val="10"/>
      <name val="MS Sans Serif"/>
      <family val="2"/>
    </font>
    <font>
      <b/>
      <sz val="10"/>
      <name val="MS Sans Serif"/>
      <family val="2"/>
    </font>
    <font>
      <sz val="8"/>
      <name val="Wingdings"/>
      <charset val="2"/>
    </font>
    <font>
      <sz val="8"/>
      <name val="Helv"/>
    </font>
    <font>
      <sz val="10"/>
      <name val="GillSans Light"/>
    </font>
    <font>
      <sz val="9.5"/>
      <color indexed="23"/>
      <name val="Helvetica-Black"/>
    </font>
    <font>
      <b/>
      <sz val="16"/>
      <color indexed="16"/>
      <name val="Arial"/>
      <family val="2"/>
    </font>
    <font>
      <sz val="8"/>
      <name val="MS Sans Serif"/>
      <family val="2"/>
    </font>
    <font>
      <sz val="10"/>
      <color indexed="14"/>
      <name val="Century Schoolbook"/>
      <family val="1"/>
    </font>
    <font>
      <b/>
      <sz val="11"/>
      <name val="Helv"/>
    </font>
    <font>
      <b/>
      <u/>
      <sz val="10"/>
      <name val="Tahoma"/>
      <family val="2"/>
    </font>
    <font>
      <b/>
      <sz val="9"/>
      <name val="Arial"/>
      <family val="2"/>
    </font>
    <font>
      <b/>
      <sz val="9"/>
      <name val="Palatino"/>
      <family val="1"/>
    </font>
    <font>
      <sz val="9"/>
      <color indexed="21"/>
      <name val="Helvetica-Black"/>
    </font>
    <font>
      <b/>
      <sz val="10"/>
      <name val="Palatino"/>
      <family val="1"/>
    </font>
    <font>
      <b/>
      <sz val="8"/>
      <name val="Arial"/>
      <family val="2"/>
    </font>
    <font>
      <b/>
      <sz val="7"/>
      <name val="Arial"/>
      <family val="2"/>
    </font>
    <font>
      <sz val="9"/>
      <name val="Helvetica-Black"/>
    </font>
    <font>
      <sz val="9"/>
      <name val="Palatino"/>
      <family val="1"/>
    </font>
    <font>
      <sz val="12"/>
      <color indexed="8"/>
      <name val="Palatino"/>
      <family val="1"/>
    </font>
    <font>
      <sz val="11"/>
      <color indexed="8"/>
      <name val="Helvetica-Black"/>
    </font>
    <font>
      <b/>
      <sz val="11"/>
      <name val="Tahoma"/>
      <family val="2"/>
    </font>
    <font>
      <u/>
      <sz val="8"/>
      <name val="Times New Roman"/>
      <family val="1"/>
    </font>
    <font>
      <b/>
      <sz val="12"/>
      <name val="CG Times (W1)"/>
      <family val="1"/>
    </font>
    <font>
      <b/>
      <i/>
      <sz val="12"/>
      <name val="CG Times (W1)"/>
      <family val="1"/>
    </font>
    <font>
      <b/>
      <i/>
      <sz val="24"/>
      <name val="Arial"/>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0"/>
      <color indexed="30"/>
      <name val="Arial"/>
      <family val="2"/>
    </font>
    <font>
      <b/>
      <sz val="7"/>
      <color indexed="12"/>
      <name val="Arial"/>
      <family val="2"/>
    </font>
    <font>
      <u/>
      <sz val="8"/>
      <color indexed="8"/>
      <name val="Arial"/>
      <family val="2"/>
    </font>
    <font>
      <sz val="8"/>
      <color indexed="12"/>
      <name val="Arial"/>
      <family val="2"/>
    </font>
    <font>
      <sz val="10"/>
      <color indexed="9"/>
      <name val="Tms Rmn"/>
    </font>
    <font>
      <sz val="7"/>
      <name val="Times New Roman"/>
      <family val="1"/>
    </font>
    <font>
      <b/>
      <i/>
      <sz val="8"/>
      <name val="Helv"/>
    </font>
    <font>
      <sz val="10"/>
      <name val="ＭＳ 明朝"/>
      <family val="1"/>
      <charset val="128"/>
    </font>
    <font>
      <sz val="9"/>
      <color indexed="8"/>
      <name val="ＭＳ Ｐゴシック"/>
      <family val="3"/>
      <charset val="128"/>
    </font>
    <font>
      <u/>
      <sz val="11"/>
      <color theme="10"/>
      <name val="Calibri"/>
      <family val="2"/>
      <scheme val="minor"/>
    </font>
    <font>
      <sz val="10"/>
      <color theme="1"/>
      <name val="Calibri"/>
      <family val="2"/>
      <scheme val="minor"/>
    </font>
    <font>
      <sz val="11"/>
      <color rgb="FF006100"/>
      <name val="Calibri"/>
      <family val="2"/>
      <scheme val="minor"/>
    </font>
    <font>
      <b/>
      <sz val="13"/>
      <color theme="1"/>
      <name val="Arial"/>
      <family val="2"/>
    </font>
    <font>
      <sz val="8"/>
      <name val="Calibri"/>
      <family val="2"/>
      <scheme val="minor"/>
    </font>
    <font>
      <u/>
      <sz val="12"/>
      <color theme="10"/>
      <name val="Calibri"/>
      <family val="2"/>
      <scheme val="minor"/>
    </font>
    <font>
      <sz val="11"/>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sz val="10"/>
      <color rgb="FF00B0F0"/>
      <name val="Arial"/>
      <family val="2"/>
    </font>
    <font>
      <b/>
      <sz val="12"/>
      <color theme="1"/>
      <name val="Arial"/>
      <family val="2"/>
    </font>
    <font>
      <sz val="12"/>
      <color theme="1"/>
      <name val="Arial"/>
      <family val="2"/>
    </font>
    <font>
      <b/>
      <sz val="12"/>
      <color theme="0"/>
      <name val="Arial"/>
      <family val="2"/>
    </font>
    <font>
      <b/>
      <sz val="48"/>
      <color theme="0"/>
      <name val="Arial"/>
      <family val="2"/>
    </font>
    <font>
      <sz val="11"/>
      <name val="Arial"/>
      <family val="2"/>
    </font>
    <font>
      <sz val="36"/>
      <color theme="1"/>
      <name val="Arial"/>
      <family val="2"/>
    </font>
    <font>
      <sz val="48"/>
      <color theme="0"/>
      <name val="Arial"/>
      <family val="2"/>
    </font>
    <font>
      <b/>
      <sz val="40"/>
      <color theme="1"/>
      <name val="Arial"/>
      <family val="2"/>
    </font>
    <font>
      <b/>
      <sz val="36"/>
      <color theme="1"/>
      <name val="Arial"/>
      <family val="2"/>
    </font>
    <font>
      <sz val="12"/>
      <color theme="0"/>
      <name val="Arial"/>
      <family val="2"/>
    </font>
    <font>
      <b/>
      <sz val="16"/>
      <color theme="0"/>
      <name val="Arial"/>
      <family val="2"/>
    </font>
    <font>
      <b/>
      <sz val="11"/>
      <color theme="0"/>
      <name val="Arial"/>
      <family val="2"/>
    </font>
    <font>
      <b/>
      <sz val="14"/>
      <name val="Arial"/>
      <family val="2"/>
    </font>
    <font>
      <b/>
      <sz val="11"/>
      <name val="Arial"/>
      <family val="2"/>
    </font>
    <font>
      <b/>
      <sz val="12"/>
      <color rgb="FF4C4C4C"/>
      <name val="Arial"/>
      <family val="2"/>
    </font>
    <font>
      <sz val="12"/>
      <color rgb="FF4C4C4C"/>
      <name val="Arial"/>
      <family val="2"/>
    </font>
    <font>
      <b/>
      <sz val="9"/>
      <color theme="0"/>
      <name val="Arial"/>
      <family val="2"/>
    </font>
    <font>
      <sz val="1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name val="Calibri"/>
      <family val="2"/>
      <scheme val="minor"/>
    </font>
    <font>
      <i/>
      <sz val="10"/>
      <color theme="1"/>
      <name val="Arial"/>
      <family val="2"/>
    </font>
    <font>
      <b/>
      <i/>
      <sz val="10"/>
      <name val="Arial"/>
      <family val="2"/>
    </font>
    <font>
      <i/>
      <sz val="12"/>
      <color theme="1"/>
      <name val="Arial"/>
      <family val="2"/>
    </font>
    <font>
      <i/>
      <sz val="11"/>
      <color theme="1"/>
      <name val="Arial"/>
      <family val="2"/>
    </font>
    <font>
      <b/>
      <i/>
      <sz val="11"/>
      <name val="Calibri"/>
      <family val="2"/>
      <scheme val="minor"/>
    </font>
    <font>
      <b/>
      <sz val="28"/>
      <color theme="1"/>
      <name val="Arial"/>
      <family val="2"/>
    </font>
    <font>
      <b/>
      <i/>
      <sz val="12"/>
      <color theme="1"/>
      <name val="Arial"/>
      <family val="2"/>
    </font>
  </fonts>
  <fills count="30">
    <fill>
      <patternFill patternType="none"/>
    </fill>
    <fill>
      <patternFill patternType="gray125"/>
    </fill>
    <fill>
      <patternFill patternType="solid">
        <fgColor indexed="8"/>
        <bgColor indexed="64"/>
      </patternFill>
    </fill>
    <fill>
      <patternFill patternType="solid">
        <fgColor rgb="FFFFFF00"/>
        <bgColor indexed="64"/>
      </patternFill>
    </fill>
    <fill>
      <patternFill patternType="solid">
        <fgColor theme="3" tint="-0.249977111117893"/>
        <bgColor indexed="64"/>
      </patternFill>
    </fill>
    <fill>
      <patternFill patternType="solid">
        <fgColor indexed="43"/>
      </patternFill>
    </fill>
    <fill>
      <patternFill patternType="solid">
        <fgColor indexed="44"/>
        <bgColor indexed="64"/>
      </patternFill>
    </fill>
    <fill>
      <patternFill patternType="lightGray">
        <fgColor indexed="15"/>
      </patternFill>
    </fill>
    <fill>
      <patternFill patternType="solid">
        <fgColor indexed="24"/>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42"/>
        <bgColor indexed="64"/>
      </patternFill>
    </fill>
    <fill>
      <patternFill patternType="solid">
        <fgColor indexed="10"/>
        <bgColor indexed="10"/>
      </patternFill>
    </fill>
    <fill>
      <patternFill patternType="solid">
        <fgColor indexed="22"/>
        <bgColor indexed="22"/>
      </patternFill>
    </fill>
    <fill>
      <patternFill patternType="solid">
        <fgColor indexed="41"/>
        <bgColor indexed="64"/>
      </patternFill>
    </fill>
    <fill>
      <patternFill patternType="mediumGray">
        <fgColor indexed="22"/>
      </patternFill>
    </fill>
    <fill>
      <patternFill patternType="darkVertical"/>
    </fill>
    <fill>
      <patternFill patternType="solid">
        <fgColor indexed="63"/>
        <bgColor indexed="64"/>
      </patternFill>
    </fill>
    <fill>
      <patternFill patternType="solid">
        <fgColor indexed="16"/>
        <bgColor indexed="64"/>
      </patternFill>
    </fill>
    <fill>
      <patternFill patternType="solid">
        <fgColor indexed="43"/>
        <bgColor indexed="64"/>
      </patternFill>
    </fill>
    <fill>
      <patternFill patternType="solid">
        <fgColor indexed="13"/>
      </patternFill>
    </fill>
    <fill>
      <patternFill patternType="solid">
        <fgColor rgb="FFC6EFCE"/>
      </patternFill>
    </fill>
    <fill>
      <patternFill patternType="solid">
        <fgColor theme="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1"/>
        <bgColor indexed="64"/>
      </patternFill>
    </fill>
  </fills>
  <borders count="24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top style="thin">
        <color auto="1"/>
      </top>
      <bottom style="double">
        <color auto="1"/>
      </bottom>
      <diagonal/>
    </border>
    <border>
      <left/>
      <right style="medium">
        <color auto="1"/>
      </right>
      <top/>
      <bottom/>
      <diagonal/>
    </border>
    <border>
      <left/>
      <right/>
      <top style="medium">
        <color auto="1"/>
      </top>
      <bottom style="medium">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style="medium">
        <color auto="1"/>
      </left>
      <right/>
      <top/>
      <bottom/>
      <diagonal/>
    </border>
    <border>
      <left/>
      <right/>
      <top style="hair">
        <color indexed="8"/>
      </top>
      <bottom style="hair">
        <color indexed="8"/>
      </bottom>
      <diagonal/>
    </border>
    <border>
      <left/>
      <right/>
      <top/>
      <bottom style="medium">
        <color indexed="18"/>
      </bottom>
      <diagonal/>
    </border>
    <border>
      <left style="hair">
        <color auto="1"/>
      </left>
      <right style="hair">
        <color auto="1"/>
      </right>
      <top style="hair">
        <color auto="1"/>
      </top>
      <bottom style="hair">
        <color auto="1"/>
      </bottom>
      <diagonal/>
    </border>
    <border>
      <left style="double">
        <color auto="1"/>
      </left>
      <right/>
      <top/>
      <bottom style="hair">
        <color auto="1"/>
      </bottom>
      <diagonal/>
    </border>
    <border>
      <left/>
      <right/>
      <top style="thick">
        <color indexed="30"/>
      </top>
      <bottom/>
      <diagonal/>
    </border>
    <border>
      <left style="thin">
        <color indexed="30"/>
      </left>
      <right style="thin">
        <color indexed="30"/>
      </right>
      <top/>
      <bottom style="double">
        <color indexed="30"/>
      </bottom>
      <diagonal/>
    </border>
    <border>
      <left/>
      <right/>
      <top/>
      <bottom style="thin">
        <color indexed="30"/>
      </bottom>
      <diagonal/>
    </border>
    <border>
      <left/>
      <right/>
      <top/>
      <bottom style="medium">
        <color auto="1"/>
      </bottom>
      <diagonal/>
    </border>
    <border>
      <left/>
      <right/>
      <top/>
      <bottom style="thin">
        <color indexed="22"/>
      </bottom>
      <diagonal/>
    </border>
    <border>
      <left/>
      <right/>
      <top/>
      <bottom style="thick">
        <color indexed="30"/>
      </bottom>
      <diagonal/>
    </border>
    <border>
      <left style="thin">
        <color indexed="30"/>
      </left>
      <right style="thin">
        <color indexed="30"/>
      </right>
      <top/>
      <bottom style="thin">
        <color indexed="30"/>
      </bottom>
      <diagonal/>
    </border>
    <border>
      <left/>
      <right/>
      <top/>
      <bottom style="hair">
        <color auto="1"/>
      </bottom>
      <diagonal/>
    </border>
    <border>
      <left/>
      <right/>
      <top/>
      <bottom style="thin">
        <color auto="1"/>
      </bottom>
      <diagonal/>
    </border>
    <border>
      <left style="thin">
        <color indexed="30"/>
      </left>
      <right/>
      <top/>
      <bottom/>
      <diagonal/>
    </border>
    <border>
      <left style="thin">
        <color indexed="30"/>
      </left>
      <right style="thin">
        <color indexed="30"/>
      </right>
      <top/>
      <bottom/>
      <diagonal/>
    </border>
    <border>
      <left/>
      <right/>
      <top/>
      <bottom style="dotted">
        <color auto="1"/>
      </bottom>
      <diagonal/>
    </border>
    <border>
      <left/>
      <right/>
      <top/>
      <bottom style="medium">
        <color indexed="63"/>
      </bottom>
      <diagonal/>
    </border>
    <border>
      <left/>
      <right/>
      <top style="hair">
        <color auto="1"/>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ashed">
        <color auto="1"/>
      </left>
      <right style="dashed">
        <color auto="1"/>
      </right>
      <top style="dashed">
        <color auto="1"/>
      </top>
      <bottom style="dashed">
        <color auto="1"/>
      </bottom>
      <diagonal/>
    </border>
    <border>
      <left/>
      <right/>
      <top/>
      <bottom style="hair">
        <color indexed="22"/>
      </bottom>
      <diagonal/>
    </border>
    <border>
      <left/>
      <right/>
      <top/>
      <bottom style="thick">
        <color auto="1"/>
      </bottom>
      <diagonal/>
    </border>
    <border>
      <left style="double">
        <color auto="1"/>
      </left>
      <right style="double">
        <color auto="1"/>
      </right>
      <top style="double">
        <color auto="1"/>
      </top>
      <bottom style="double">
        <color auto="1"/>
      </bottom>
      <diagonal/>
    </border>
    <border>
      <left style="thin">
        <color indexed="30"/>
      </left>
      <right/>
      <top/>
      <bottom style="thin">
        <color indexed="30"/>
      </bottom>
      <diagonal/>
    </border>
    <border>
      <left/>
      <right style="thin">
        <color indexed="30"/>
      </right>
      <top/>
      <bottom/>
      <diagonal/>
    </border>
    <border>
      <left style="thin">
        <color auto="1"/>
      </left>
      <right style="thin">
        <color auto="1"/>
      </right>
      <top style="hair">
        <color auto="1"/>
      </top>
      <bottom style="hair">
        <color auto="1"/>
      </bottom>
      <diagonal/>
    </border>
    <border>
      <left style="thick">
        <color indexed="30"/>
      </left>
      <right style="thin">
        <color indexed="30"/>
      </right>
      <top style="thick">
        <color indexed="30"/>
      </top>
      <bottom style="thick">
        <color indexed="30"/>
      </bottom>
      <diagonal/>
    </border>
    <border>
      <left/>
      <right/>
      <top style="thin">
        <color auto="1"/>
      </top>
      <bottom style="hair">
        <color indexed="22"/>
      </bottom>
      <diagonal/>
    </border>
    <border>
      <left style="medium">
        <color indexed="8"/>
      </left>
      <right/>
      <top style="medium">
        <color indexed="8"/>
      </top>
      <bottom style="thin">
        <color indexed="8"/>
      </bottom>
      <diagonal/>
    </border>
    <border>
      <left/>
      <right/>
      <top/>
      <bottom style="medium">
        <color indexed="45"/>
      </bottom>
      <diagonal/>
    </border>
    <border>
      <left style="thin">
        <color auto="1"/>
      </left>
      <right style="thin">
        <color auto="1"/>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thin">
        <color auto="1"/>
      </left>
      <right/>
      <top/>
      <bottom/>
      <diagonal/>
    </border>
    <border>
      <left style="thin">
        <color indexed="8"/>
      </left>
      <right/>
      <top style="thin">
        <color indexed="8"/>
      </top>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right/>
      <top/>
      <bottom style="thick">
        <color theme="4" tint="0.39997558519241921"/>
      </bottom>
      <diagonal/>
    </border>
    <border>
      <left/>
      <right style="medium">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thin">
        <color indexed="64"/>
      </left>
      <right style="thin">
        <color indexed="64"/>
      </right>
      <top/>
      <bottom/>
      <diagonal/>
    </border>
    <border>
      <left style="thin">
        <color auto="1"/>
      </left>
      <right/>
      <top/>
      <bottom style="medium">
        <color indexed="64"/>
      </bottom>
      <diagonal/>
    </border>
    <border>
      <left/>
      <right style="thin">
        <color auto="1"/>
      </right>
      <top/>
      <bottom style="medium">
        <color indexed="64"/>
      </bottom>
      <diagonal/>
    </border>
    <border>
      <left style="medium">
        <color auto="1"/>
      </left>
      <right style="thin">
        <color auto="1"/>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auto="1"/>
      </left>
      <right/>
      <top style="thin">
        <color auto="1"/>
      </top>
      <bottom/>
      <diagonal/>
    </border>
    <border>
      <left/>
      <right style="medium">
        <color auto="1"/>
      </right>
      <top style="thin">
        <color indexed="64"/>
      </top>
      <bottom style="medium">
        <color indexed="64"/>
      </bottom>
      <diagonal/>
    </border>
    <border>
      <left style="medium">
        <color auto="1"/>
      </left>
      <right style="medium">
        <color auto="1"/>
      </right>
      <top style="thin">
        <color auto="1"/>
      </top>
      <bottom style="thin">
        <color auto="1"/>
      </bottom>
      <diagonal/>
    </border>
    <border>
      <left style="thin">
        <color auto="1"/>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top style="thin">
        <color auto="1"/>
      </top>
      <bottom style="medium">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
      <left style="thin">
        <color auto="1"/>
      </left>
      <right style="medium">
        <color auto="1"/>
      </right>
      <top/>
      <bottom/>
      <diagonal/>
    </border>
    <border>
      <left/>
      <right style="medium">
        <color auto="1"/>
      </right>
      <top style="thin">
        <color indexed="64"/>
      </top>
      <bottom style="thin">
        <color auto="1"/>
      </bottom>
      <diagonal/>
    </border>
    <border>
      <left/>
      <right/>
      <top style="thin">
        <color auto="1"/>
      </top>
      <bottom style="hair">
        <color auto="1"/>
      </bottom>
      <diagonal/>
    </border>
    <border>
      <left style="medium">
        <color auto="1"/>
      </left>
      <right style="thin">
        <color auto="1"/>
      </right>
      <top style="thin">
        <color auto="1"/>
      </top>
      <bottom style="hair">
        <color auto="1"/>
      </bottom>
      <diagonal/>
    </border>
    <border>
      <left style="thin">
        <color indexed="64"/>
      </left>
      <right style="thin">
        <color indexed="64"/>
      </right>
      <top style="thin">
        <color auto="1"/>
      </top>
      <bottom style="hair">
        <color auto="1"/>
      </bottom>
      <diagonal/>
    </border>
    <border>
      <left style="thin">
        <color auto="1"/>
      </left>
      <right style="medium">
        <color indexed="64"/>
      </right>
      <top style="thin">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top style="thin">
        <color auto="1"/>
      </top>
      <bottom style="hair">
        <color auto="1"/>
      </bottom>
      <diagonal/>
    </border>
    <border>
      <left style="medium">
        <color indexed="64"/>
      </left>
      <right/>
      <top style="hair">
        <color auto="1"/>
      </top>
      <bottom style="hair">
        <color auto="1"/>
      </bottom>
      <diagonal/>
    </border>
    <border>
      <left style="medium">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style="thin">
        <color auto="1"/>
      </right>
      <top style="hair">
        <color auto="1"/>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auto="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auto="1"/>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auto="1"/>
      </right>
      <top style="medium">
        <color indexed="64"/>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auto="1"/>
      </right>
      <top style="medium">
        <color auto="1"/>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auto="1"/>
      </top>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hair">
        <color auto="1"/>
      </bottom>
      <diagonal/>
    </border>
    <border>
      <left style="medium">
        <color auto="1"/>
      </left>
      <right style="thin">
        <color indexed="64"/>
      </right>
      <top style="hair">
        <color auto="1"/>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top style="medium">
        <color indexed="64"/>
      </top>
      <bottom style="thin">
        <color auto="1"/>
      </bottom>
      <diagonal/>
    </border>
    <border>
      <left/>
      <right style="thin">
        <color auto="1"/>
      </right>
      <top style="thin">
        <color indexed="64"/>
      </top>
      <bottom style="hair">
        <color auto="1"/>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indexed="64"/>
      </left>
      <right style="medium">
        <color indexed="64"/>
      </right>
      <top style="hair">
        <color auto="1"/>
      </top>
      <bottom style="thin">
        <color auto="1"/>
      </bottom>
      <diagonal/>
    </border>
    <border>
      <left style="medium">
        <color indexed="64"/>
      </left>
      <right style="thin">
        <color indexed="64"/>
      </right>
      <top style="hair">
        <color indexed="64"/>
      </top>
      <bottom style="medium">
        <color indexed="64"/>
      </bottom>
      <diagonal/>
    </border>
    <border>
      <left style="medium">
        <color indexed="64"/>
      </left>
      <right style="thin">
        <color auto="1"/>
      </right>
      <top/>
      <bottom style="hair">
        <color auto="1"/>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auto="1"/>
      </right>
      <top style="hair">
        <color auto="1"/>
      </top>
      <bottom/>
      <diagonal/>
    </border>
    <border>
      <left style="medium">
        <color indexed="64"/>
      </left>
      <right style="thin">
        <color indexed="64"/>
      </right>
      <top style="hair">
        <color auto="1"/>
      </top>
      <bottom/>
      <diagonal/>
    </border>
    <border>
      <left style="thin">
        <color auto="1"/>
      </left>
      <right style="thin">
        <color indexed="64"/>
      </right>
      <top style="hair">
        <color auto="1"/>
      </top>
      <bottom/>
      <diagonal/>
    </border>
    <border>
      <left/>
      <right style="medium">
        <color auto="1"/>
      </right>
      <top/>
      <bottom style="hair">
        <color indexed="64"/>
      </bottom>
      <diagonal/>
    </border>
    <border>
      <left style="thin">
        <color indexed="64"/>
      </left>
      <right style="medium">
        <color indexed="64"/>
      </right>
      <top style="medium">
        <color indexed="64"/>
      </top>
      <bottom/>
      <diagonal/>
    </border>
    <border>
      <left style="thick">
        <color indexed="64"/>
      </left>
      <right/>
      <top style="thin">
        <color indexed="64"/>
      </top>
      <bottom style="thick">
        <color indexed="64"/>
      </bottom>
      <diagonal/>
    </border>
    <border>
      <left/>
      <right/>
      <top style="thin">
        <color auto="1"/>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medium">
        <color indexed="64"/>
      </bottom>
      <diagonal/>
    </border>
    <border>
      <left style="medium">
        <color auto="1"/>
      </left>
      <right style="medium">
        <color auto="1"/>
      </right>
      <top/>
      <bottom/>
      <diagonal/>
    </border>
    <border>
      <left/>
      <right style="thin">
        <color indexed="64"/>
      </right>
      <top style="medium">
        <color indexed="64"/>
      </top>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indexed="64"/>
      </right>
      <top style="medium">
        <color indexed="64"/>
      </top>
      <bottom style="thin">
        <color auto="1"/>
      </bottom>
      <diagonal/>
    </border>
    <border>
      <left/>
      <right/>
      <top/>
      <bottom style="thick">
        <color indexed="64"/>
      </bottom>
      <diagonal/>
    </border>
    <border>
      <left/>
      <right/>
      <top style="thick">
        <color indexed="64"/>
      </top>
      <bottom/>
      <diagonal/>
    </border>
    <border>
      <left/>
      <right style="thick">
        <color indexed="64"/>
      </right>
      <top/>
      <bottom style="thin">
        <color indexed="64"/>
      </bottom>
      <diagonal/>
    </border>
    <border>
      <left style="thin">
        <color auto="1"/>
      </left>
      <right style="medium">
        <color auto="1"/>
      </right>
      <top/>
      <bottom style="hair">
        <color indexed="64"/>
      </bottom>
      <diagonal/>
    </border>
    <border>
      <left style="thin">
        <color indexed="64"/>
      </left>
      <right/>
      <top style="hair">
        <color indexed="64"/>
      </top>
      <bottom style="medium">
        <color auto="1"/>
      </bottom>
      <diagonal/>
    </border>
    <border>
      <left/>
      <right style="thin">
        <color auto="1"/>
      </right>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thin">
        <color auto="1"/>
      </top>
      <bottom style="medium">
        <color auto="1"/>
      </bottom>
      <diagonal/>
    </border>
    <border>
      <left/>
      <right style="thick">
        <color indexed="64"/>
      </right>
      <top style="thin">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n">
        <color auto="1"/>
      </left>
      <right style="medium">
        <color indexed="64"/>
      </right>
      <top style="hair">
        <color auto="1"/>
      </top>
      <bottom/>
      <diagonal/>
    </border>
    <border>
      <left/>
      <right style="thin">
        <color indexed="64"/>
      </right>
      <top/>
      <bottom/>
      <diagonal/>
    </border>
    <border>
      <left style="thick">
        <color indexed="64"/>
      </left>
      <right/>
      <top style="medium">
        <color indexed="64"/>
      </top>
      <bottom/>
      <diagonal/>
    </border>
    <border>
      <left style="thick">
        <color indexed="64"/>
      </left>
      <right/>
      <top style="thin">
        <color auto="1"/>
      </top>
      <bottom style="hair">
        <color auto="1"/>
      </bottom>
      <diagonal/>
    </border>
    <border>
      <left style="thick">
        <color indexed="64"/>
      </left>
      <right/>
      <top style="hair">
        <color auto="1"/>
      </top>
      <bottom style="hair">
        <color auto="1"/>
      </bottom>
      <diagonal/>
    </border>
    <border>
      <left style="thick">
        <color indexed="64"/>
      </left>
      <right/>
      <top style="hair">
        <color auto="1"/>
      </top>
      <bottom style="thin">
        <color auto="1"/>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auto="1"/>
      </right>
      <top/>
      <bottom style="hair">
        <color auto="1"/>
      </bottom>
      <diagonal/>
    </border>
    <border>
      <left style="thick">
        <color indexed="64"/>
      </left>
      <right style="thin">
        <color indexed="64"/>
      </right>
      <top style="hair">
        <color auto="1"/>
      </top>
      <bottom/>
      <diagonal/>
    </border>
    <border>
      <left style="thick">
        <color indexed="64"/>
      </left>
      <right style="thin">
        <color indexed="64"/>
      </right>
      <top/>
      <bottom style="thin">
        <color indexed="64"/>
      </bottom>
      <diagonal/>
    </border>
    <border>
      <left style="thick">
        <color indexed="64"/>
      </left>
      <right/>
      <top style="hair">
        <color auto="1"/>
      </top>
      <bottom style="thick">
        <color indexed="64"/>
      </bottom>
      <diagonal/>
    </border>
    <border>
      <left style="thick">
        <color indexed="64"/>
      </left>
      <right/>
      <top style="hair">
        <color auto="1"/>
      </top>
      <bottom style="medium">
        <color indexed="64"/>
      </bottom>
      <diagonal/>
    </border>
    <border>
      <left style="thin">
        <color indexed="64"/>
      </left>
      <right style="thick">
        <color indexed="64"/>
      </right>
      <top style="thin">
        <color indexed="64"/>
      </top>
      <bottom/>
      <diagonal/>
    </border>
    <border>
      <left style="thin">
        <color auto="1"/>
      </left>
      <right style="thick">
        <color indexed="64"/>
      </right>
      <top/>
      <bottom/>
      <diagonal/>
    </border>
    <border>
      <left style="thin">
        <color indexed="64"/>
      </left>
      <right style="thick">
        <color indexed="64"/>
      </right>
      <top/>
      <bottom style="thin">
        <color indexed="64"/>
      </bottom>
      <diagonal/>
    </border>
    <border>
      <left style="thin">
        <color auto="1"/>
      </left>
      <right/>
      <top/>
      <bottom style="thick">
        <color indexed="64"/>
      </bottom>
      <diagonal/>
    </border>
    <border>
      <left/>
      <right style="thin">
        <color auto="1"/>
      </right>
      <top/>
      <bottom style="thick">
        <color indexed="64"/>
      </bottom>
      <diagonal/>
    </border>
    <border>
      <left style="thin">
        <color indexed="64"/>
      </left>
      <right style="thick">
        <color indexed="64"/>
      </right>
      <top/>
      <bottom style="thick">
        <color indexed="64"/>
      </bottom>
      <diagonal/>
    </border>
    <border>
      <left/>
      <right style="medium">
        <color indexed="64"/>
      </right>
      <top style="thick">
        <color indexed="64"/>
      </top>
      <bottom/>
      <diagonal/>
    </border>
    <border>
      <left/>
      <right style="thick">
        <color indexed="64"/>
      </right>
      <top style="thin">
        <color indexed="64"/>
      </top>
      <bottom style="hair">
        <color auto="1"/>
      </bottom>
      <diagonal/>
    </border>
    <border>
      <left/>
      <right style="thick">
        <color indexed="64"/>
      </right>
      <top style="hair">
        <color indexed="64"/>
      </top>
      <bottom style="hair">
        <color indexed="64"/>
      </bottom>
      <diagonal/>
    </border>
    <border>
      <left/>
      <right style="thick">
        <color indexed="64"/>
      </right>
      <top style="hair">
        <color auto="1"/>
      </top>
      <bottom style="thin">
        <color auto="1"/>
      </bottom>
      <diagonal/>
    </border>
    <border>
      <left style="thin">
        <color indexed="64"/>
      </left>
      <right/>
      <top style="hair">
        <color indexed="64"/>
      </top>
      <bottom style="thick">
        <color indexed="64"/>
      </bottom>
      <diagonal/>
    </border>
    <border>
      <left/>
      <right/>
      <top style="hair">
        <color auto="1"/>
      </top>
      <bottom style="thick">
        <color indexed="64"/>
      </bottom>
      <diagonal/>
    </border>
    <border>
      <left/>
      <right style="thick">
        <color indexed="64"/>
      </right>
      <top style="hair">
        <color auto="1"/>
      </top>
      <bottom style="thick">
        <color indexed="64"/>
      </bottom>
      <diagonal/>
    </border>
    <border>
      <left/>
      <right style="thick">
        <color indexed="64"/>
      </right>
      <top/>
      <bottom style="hair">
        <color auto="1"/>
      </bottom>
      <diagonal/>
    </border>
    <border>
      <left/>
      <right style="medium">
        <color indexed="64"/>
      </right>
      <top/>
      <bottom style="thick">
        <color indexed="64"/>
      </bottom>
      <diagonal/>
    </border>
    <border>
      <left/>
      <right style="thin">
        <color auto="1"/>
      </right>
      <top style="hair">
        <color indexed="64"/>
      </top>
      <bottom style="thick">
        <color indexed="64"/>
      </bottom>
      <diagonal/>
    </border>
    <border>
      <left style="thick">
        <color indexed="64"/>
      </left>
      <right/>
      <top style="thick">
        <color indexed="64"/>
      </top>
      <bottom style="hair">
        <color indexed="64"/>
      </bottom>
      <diagonal/>
    </border>
    <border>
      <left/>
      <right style="thin">
        <color auto="1"/>
      </right>
      <top style="thick">
        <color indexed="64"/>
      </top>
      <bottom style="hair">
        <color indexed="64"/>
      </bottom>
      <diagonal/>
    </border>
    <border>
      <left style="medium">
        <color indexed="64"/>
      </left>
      <right/>
      <top style="thick">
        <color indexed="64"/>
      </top>
      <bottom/>
      <diagonal/>
    </border>
    <border>
      <left/>
      <right style="thin">
        <color indexed="64"/>
      </right>
      <top style="thin">
        <color indexed="64"/>
      </top>
      <bottom style="thick">
        <color indexed="64"/>
      </bottom>
      <diagonal/>
    </border>
    <border>
      <left style="medium">
        <color auto="1"/>
      </left>
      <right/>
      <top/>
      <bottom style="medium">
        <color indexed="64"/>
      </bottom>
      <diagonal/>
    </border>
    <border>
      <left style="thin">
        <color auto="1"/>
      </left>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362">
    <xf numFmtId="0" fontId="0" fillId="0" borderId="0"/>
    <xf numFmtId="9"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9" fontId="10" fillId="0" borderId="0" applyFont="0" applyFill="0" applyBorder="0" applyAlignment="0" applyProtection="0"/>
    <xf numFmtId="0" fontId="11"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0" fontId="20" fillId="0" borderId="0"/>
    <xf numFmtId="43" fontId="20" fillId="0" borderId="0" applyFont="0" applyFill="0" applyBorder="0" applyAlignment="0" applyProtection="0"/>
    <xf numFmtId="0" fontId="10" fillId="0" borderId="0"/>
    <xf numFmtId="43" fontId="18" fillId="0" borderId="0" applyFont="0" applyFill="0" applyBorder="0" applyAlignment="0" applyProtection="0"/>
    <xf numFmtId="0" fontId="21" fillId="0" borderId="0"/>
    <xf numFmtId="9" fontId="1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180" fontId="28" fillId="0" borderId="0">
      <alignment horizontal="right"/>
    </xf>
    <xf numFmtId="181" fontId="28" fillId="0" borderId="0">
      <alignment horizontal="right"/>
    </xf>
    <xf numFmtId="182" fontId="28" fillId="0" borderId="0">
      <alignment horizontal="right"/>
    </xf>
    <xf numFmtId="183"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18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2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29"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86" fontId="29"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5"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0" fontId="30"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9" fontId="29"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9" fontId="29"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67" fontId="30"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9" fontId="29"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2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29"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90" fontId="18" fillId="0" borderId="0" applyFont="0" applyFill="0" applyBorder="0" applyAlignment="0" applyProtection="0"/>
    <xf numFmtId="39" fontId="29"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9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1" fillId="0" borderId="0" applyNumberFormat="0" applyFill="0" applyBorder="0" applyAlignment="0" applyProtection="0"/>
    <xf numFmtId="0" fontId="18" fillId="5" borderId="0" applyNumberFormat="0" applyFont="0" applyAlignment="0" applyProtection="0"/>
    <xf numFmtId="192" fontId="18" fillId="0" borderId="0" applyFont="0" applyFill="0" applyBorder="0" applyAlignment="0" applyProtection="0"/>
    <xf numFmtId="193" fontId="18" fillId="0" borderId="0" applyFont="0" applyFill="0" applyBorder="0" applyAlignment="0" applyProtection="0"/>
    <xf numFmtId="167" fontId="30"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67" fontId="30"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29"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29"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2" fontId="18" fillId="0" borderId="0" applyFont="0" applyFill="0" applyBorder="0" applyAlignment="0" applyProtection="0"/>
    <xf numFmtId="193" fontId="29"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194" fontId="18" fillId="0" borderId="0" applyFont="0" applyFill="0" applyBorder="0" applyProtection="0">
      <alignment horizontal="right"/>
    </xf>
    <xf numFmtId="195" fontId="30" fillId="0" borderId="0" applyFont="0" applyFill="0" applyBorder="0" applyAlignment="0" applyProtection="0"/>
    <xf numFmtId="194" fontId="18" fillId="0" borderId="0" applyFont="0" applyFill="0" applyBorder="0" applyProtection="0">
      <alignment horizontal="right"/>
    </xf>
    <xf numFmtId="195" fontId="30" fillId="0" borderId="0" applyFont="0" applyFill="0" applyBorder="0" applyAlignment="0" applyProtection="0"/>
    <xf numFmtId="194" fontId="18" fillId="0" borderId="0" applyFont="0" applyFill="0" applyBorder="0" applyProtection="0">
      <alignment horizontal="right"/>
    </xf>
    <xf numFmtId="194" fontId="18" fillId="0" borderId="0" applyFont="0" applyFill="0" applyBorder="0" applyProtection="0">
      <alignment horizontal="right"/>
    </xf>
    <xf numFmtId="196" fontId="29" fillId="0" borderId="0" applyFont="0" applyFill="0" applyBorder="0" applyAlignment="0" applyProtection="0"/>
    <xf numFmtId="194" fontId="18" fillId="0" borderId="0" applyFont="0" applyFill="0" applyBorder="0" applyProtection="0">
      <alignment horizontal="right"/>
    </xf>
    <xf numFmtId="196" fontId="29" fillId="0" borderId="0" applyFont="0" applyFill="0" applyBorder="0" applyAlignment="0" applyProtection="0"/>
    <xf numFmtId="194" fontId="18" fillId="0" borderId="0" applyFont="0" applyFill="0" applyBorder="0" applyProtection="0">
      <alignment horizontal="right"/>
    </xf>
    <xf numFmtId="196" fontId="29" fillId="0" borderId="0" applyFont="0" applyFill="0" applyBorder="0" applyAlignment="0" applyProtection="0"/>
    <xf numFmtId="197" fontId="29"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9" fontId="29" fillId="0" borderId="0" applyFont="0" applyFill="0" applyBorder="0" applyAlignment="0" applyProtection="0"/>
    <xf numFmtId="200" fontId="30" fillId="0" borderId="0" applyFont="0" applyFill="0" applyBorder="0" applyAlignment="0" applyProtection="0"/>
    <xf numFmtId="200" fontId="30" fillId="0" borderId="0" applyFont="0" applyFill="0" applyBorder="0" applyAlignment="0" applyProtection="0"/>
    <xf numFmtId="0" fontId="32" fillId="0" borderId="0" applyNumberFormat="0" applyFill="0" applyBorder="0" applyProtection="0">
      <alignment vertical="top"/>
    </xf>
    <xf numFmtId="0" fontId="33" fillId="0" borderId="12" applyNumberFormat="0" applyFill="0" applyAlignment="0" applyProtection="0"/>
    <xf numFmtId="0" fontId="34" fillId="0" borderId="13" applyNumberFormat="0" applyFill="0" applyProtection="0">
      <alignment horizontal="center"/>
    </xf>
    <xf numFmtId="0" fontId="34" fillId="0" borderId="0" applyNumberFormat="0" applyFill="0" applyBorder="0" applyProtection="0">
      <alignment horizontal="left"/>
    </xf>
    <xf numFmtId="0" fontId="35" fillId="0" borderId="0" applyNumberFormat="0" applyFill="0" applyBorder="0" applyProtection="0">
      <alignment horizontal="centerContinuous"/>
    </xf>
    <xf numFmtId="201" fontId="36" fillId="0" borderId="0">
      <alignment horizontal="left"/>
      <protection locked="0"/>
    </xf>
    <xf numFmtId="38" fontId="12" fillId="0" borderId="14"/>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39"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0" fontId="37" fillId="0" borderId="0">
      <alignment horizontal="center"/>
    </xf>
    <xf numFmtId="39" fontId="37" fillId="0" borderId="0">
      <alignment horizontal="center"/>
    </xf>
    <xf numFmtId="39" fontId="37"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0" fontId="38" fillId="0" borderId="0">
      <alignment horizontal="center"/>
    </xf>
    <xf numFmtId="39" fontId="39" fillId="0" borderId="0">
      <alignment horizontal="center"/>
    </xf>
    <xf numFmtId="202" fontId="40" fillId="0" borderId="0">
      <protection locked="0"/>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39" fontId="39" fillId="0" borderId="0">
      <alignment horizontal="center"/>
    </xf>
    <xf numFmtId="14" fontId="41" fillId="0" borderId="0"/>
    <xf numFmtId="203" fontId="26" fillId="6" borderId="15">
      <alignment horizontal="center" vertical="center"/>
    </xf>
    <xf numFmtId="0" fontId="42" fillId="0" borderId="0"/>
    <xf numFmtId="37" fontId="24" fillId="0" borderId="0" applyFont="0" applyAlignment="0">
      <alignment horizontal="centerContinuous" vertical="top"/>
    </xf>
    <xf numFmtId="0" fontId="28" fillId="0" borderId="0">
      <alignment horizontal="center" wrapText="1"/>
      <protection locked="0"/>
    </xf>
    <xf numFmtId="0" fontId="18" fillId="0" borderId="0" applyNumberFormat="0" applyFill="0" applyBorder="0" applyAlignment="0" applyProtection="0"/>
    <xf numFmtId="0" fontId="16" fillId="0" borderId="0" applyNumberFormat="0" applyFill="0" applyBorder="0" applyAlignment="0" applyProtection="0"/>
    <xf numFmtId="0" fontId="18" fillId="0" borderId="0" applyNumberFormat="0" applyFill="0" applyBorder="0" applyAlignment="0" applyProtection="0"/>
    <xf numFmtId="204" fontId="18" fillId="0" borderId="0" applyFont="0" applyFill="0" applyBorder="0" applyAlignment="0"/>
    <xf numFmtId="205" fontId="43" fillId="0" borderId="0" applyFont="0" applyFill="0" applyBorder="0" applyAlignment="0">
      <alignment horizontal="right"/>
    </xf>
    <xf numFmtId="0" fontId="44" fillId="0" borderId="0" applyNumberFormat="0" applyFill="0" applyBorder="0" applyAlignment="0" applyProtection="0"/>
    <xf numFmtId="0" fontId="40" fillId="0" borderId="0">
      <protection locked="0"/>
    </xf>
    <xf numFmtId="206" fontId="40" fillId="0" borderId="0">
      <alignment horizontal="right"/>
      <protection locked="0"/>
    </xf>
    <xf numFmtId="7" fontId="45" fillId="0" borderId="0">
      <alignment horizontal="right"/>
      <protection locked="0"/>
    </xf>
    <xf numFmtId="200" fontId="40" fillId="0" borderId="0">
      <alignment horizontal="right"/>
      <protection locked="0"/>
    </xf>
    <xf numFmtId="0" fontId="46" fillId="0" borderId="0" applyNumberFormat="0" applyFill="0" applyBorder="0" applyAlignment="0" applyProtection="0"/>
    <xf numFmtId="0" fontId="47" fillId="0" borderId="0"/>
    <xf numFmtId="0" fontId="48" fillId="0" borderId="16"/>
    <xf numFmtId="0" fontId="49" fillId="6" borderId="17" applyAlignment="0">
      <alignment horizontal="center"/>
    </xf>
    <xf numFmtId="0" fontId="50" fillId="0" borderId="18"/>
    <xf numFmtId="0" fontId="28" fillId="0" borderId="19" applyNumberFormat="0" applyFont="0" applyFill="0" applyAlignment="0" applyProtection="0"/>
    <xf numFmtId="200" fontId="18" fillId="0" borderId="20" applyNumberFormat="0" applyFill="0" applyAlignment="0" applyProtection="0"/>
    <xf numFmtId="0" fontId="51" fillId="0" borderId="21"/>
    <xf numFmtId="0" fontId="51" fillId="0" borderId="22"/>
    <xf numFmtId="0" fontId="52" fillId="0" borderId="0"/>
    <xf numFmtId="0" fontId="53" fillId="0" borderId="0" applyFont="0" applyFill="0" applyBorder="0" applyAlignment="0" applyProtection="0"/>
    <xf numFmtId="0" fontId="54" fillId="0" borderId="0"/>
    <xf numFmtId="207" fontId="27"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08" fontId="55" fillId="0" borderId="8" applyFill="0" applyBorder="0" applyAlignment="0" applyProtection="0">
      <alignment horizontal="right"/>
    </xf>
    <xf numFmtId="209" fontId="56" fillId="0" borderId="0" applyFont="0" applyFill="0"/>
    <xf numFmtId="39" fontId="28" fillId="7" borderId="0" applyNumberFormat="0" applyFont="0" applyBorder="0" applyAlignment="0"/>
    <xf numFmtId="210" fontId="18" fillId="0" borderId="0" applyFill="0" applyBorder="0" applyProtection="0"/>
    <xf numFmtId="0" fontId="14" fillId="0" borderId="9" applyNumberFormat="0" applyFont="0" applyFill="0" applyProtection="0">
      <alignment horizontal="centerContinuous" vertical="center"/>
    </xf>
    <xf numFmtId="0" fontId="57" fillId="0" borderId="23" applyNumberFormat="0" applyFill="0" applyProtection="0">
      <alignment horizontal="center" vertical="center"/>
    </xf>
    <xf numFmtId="0" fontId="58" fillId="0" borderId="24" applyNumberFormat="0" applyFill="0" applyBorder="0" applyProtection="0">
      <alignment horizontal="right" vertical="center"/>
    </xf>
    <xf numFmtId="0" fontId="14" fillId="0" borderId="0" applyNumberFormat="0" applyFill="0" applyBorder="0" applyProtection="0">
      <alignment horizontal="center" vertical="center"/>
    </xf>
    <xf numFmtId="0" fontId="59" fillId="6" borderId="0" applyNumberFormat="0">
      <alignment horizontal="center"/>
    </xf>
    <xf numFmtId="0" fontId="18" fillId="0" borderId="0" applyFont="0" applyFill="0" applyBorder="0" applyAlignment="0" applyProtection="0"/>
    <xf numFmtId="211" fontId="18" fillId="0" borderId="0" applyFont="0" applyFill="0" applyBorder="0" applyAlignment="0" applyProtection="0"/>
    <xf numFmtId="0" fontId="30" fillId="0" borderId="0" applyFont="0" applyFill="0" applyBorder="0" applyAlignment="0" applyProtection="0">
      <alignment horizontal="right"/>
    </xf>
    <xf numFmtId="212"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60" fillId="0" borderId="0" applyFont="0" applyFill="0" applyBorder="0" applyAlignment="0" applyProtection="0"/>
    <xf numFmtId="0" fontId="61" fillId="0" borderId="0"/>
    <xf numFmtId="0" fontId="62" fillId="0" borderId="0"/>
    <xf numFmtId="3" fontId="63" fillId="0" borderId="0" applyFill="0" applyBorder="0" applyAlignment="0" applyProtection="0"/>
    <xf numFmtId="0" fontId="61" fillId="0" borderId="0"/>
    <xf numFmtId="41" fontId="49" fillId="0" borderId="25">
      <alignment horizontal="center"/>
      <protection locked="0" hidden="1"/>
    </xf>
    <xf numFmtId="41" fontId="49" fillId="0" borderId="26">
      <alignment horizontal="center"/>
      <protection locked="0"/>
    </xf>
    <xf numFmtId="41" fontId="64" fillId="0" borderId="16">
      <protection hidden="1"/>
    </xf>
    <xf numFmtId="41" fontId="65" fillId="0" borderId="16"/>
    <xf numFmtId="41" fontId="49" fillId="0" borderId="16">
      <alignment horizontal="right"/>
    </xf>
    <xf numFmtId="0" fontId="66" fillId="0" borderId="0" applyNumberFormat="0" applyAlignment="0">
      <alignment horizontal="left"/>
    </xf>
    <xf numFmtId="0" fontId="67" fillId="0" borderId="0" applyNumberFormat="0" applyAlignment="0"/>
    <xf numFmtId="0" fontId="62" fillId="0" borderId="0"/>
    <xf numFmtId="0" fontId="61" fillId="0" borderId="0"/>
    <xf numFmtId="0" fontId="18" fillId="0" borderId="0" applyFont="0" applyFill="0" applyBorder="0" applyAlignment="0" applyProtection="0"/>
    <xf numFmtId="8" fontId="68" fillId="0" borderId="0" applyBorder="0"/>
    <xf numFmtId="0" fontId="30" fillId="0" borderId="0" applyFont="0" applyFill="0" applyBorder="0" applyAlignment="0" applyProtection="0">
      <alignment horizontal="right"/>
    </xf>
    <xf numFmtId="44" fontId="69"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14" fontId="70" fillId="0" borderId="0" applyFont="0" applyFill="0" applyBorder="0" applyAlignment="0" applyProtection="0"/>
    <xf numFmtId="215" fontId="71" fillId="0" borderId="0"/>
    <xf numFmtId="44" fontId="64" fillId="0" borderId="16">
      <alignment horizontal="center"/>
      <protection hidden="1"/>
    </xf>
    <xf numFmtId="39" fontId="41" fillId="0" borderId="0">
      <alignment horizontal="right"/>
    </xf>
    <xf numFmtId="14" fontId="49" fillId="0" borderId="26">
      <alignment horizontal="center"/>
    </xf>
    <xf numFmtId="0" fontId="30" fillId="0" borderId="0" applyFont="0" applyFill="0" applyBorder="0" applyAlignment="0" applyProtection="0"/>
    <xf numFmtId="216" fontId="18" fillId="0" borderId="0">
      <alignment horizontal="right"/>
    </xf>
    <xf numFmtId="14" fontId="27" fillId="0" borderId="0" applyFill="0" applyBorder="0" applyAlignment="0"/>
    <xf numFmtId="14" fontId="28" fillId="0" borderId="0">
      <alignment horizontal="right"/>
    </xf>
    <xf numFmtId="14" fontId="72" fillId="0" borderId="0">
      <alignment horizontal="right"/>
      <protection locked="0"/>
    </xf>
    <xf numFmtId="217" fontId="73" fillId="0" borderId="0" applyFill="0" applyProtection="0">
      <alignment vertical="center"/>
    </xf>
    <xf numFmtId="218" fontId="28" fillId="0" borderId="0">
      <alignment horizontal="right"/>
    </xf>
    <xf numFmtId="219" fontId="28" fillId="0" borderId="0">
      <alignment horizontal="right"/>
    </xf>
    <xf numFmtId="220" fontId="18" fillId="0" borderId="0">
      <alignment horizontal="right"/>
    </xf>
    <xf numFmtId="8" fontId="18" fillId="0" borderId="0" applyFill="0" applyBorder="0" applyProtection="0"/>
    <xf numFmtId="221" fontId="28" fillId="0" borderId="0"/>
    <xf numFmtId="221" fontId="74" fillId="0" borderId="0">
      <protection locked="0"/>
    </xf>
    <xf numFmtId="7" fontId="28" fillId="0" borderId="0"/>
    <xf numFmtId="0" fontId="30" fillId="0" borderId="27" applyNumberFormat="0" applyFont="0" applyFill="0" applyAlignment="0" applyProtection="0"/>
    <xf numFmtId="42" fontId="75" fillId="0" borderId="0" applyFill="0" applyBorder="0" applyAlignment="0" applyProtection="0"/>
    <xf numFmtId="170" fontId="12" fillId="8" borderId="0">
      <alignment vertical="center"/>
    </xf>
    <xf numFmtId="170" fontId="13" fillId="0" borderId="0">
      <alignment vertical="center"/>
    </xf>
    <xf numFmtId="170" fontId="13" fillId="0" borderId="0">
      <alignment vertical="center"/>
    </xf>
    <xf numFmtId="170" fontId="76" fillId="9" borderId="28" applyNumberFormat="0" applyAlignment="0">
      <alignment horizontal="center" vertical="center"/>
    </xf>
    <xf numFmtId="170" fontId="77" fillId="9" borderId="0">
      <alignment horizontal="center" vertical="center"/>
    </xf>
    <xf numFmtId="14" fontId="12" fillId="9" borderId="0">
      <alignment horizontal="center" vertical="center"/>
    </xf>
    <xf numFmtId="17" fontId="71" fillId="9" borderId="0">
      <alignment horizontal="center" vertical="center"/>
    </xf>
    <xf numFmtId="170" fontId="19" fillId="0" borderId="0">
      <alignment vertical="center"/>
    </xf>
    <xf numFmtId="170" fontId="78" fillId="9" borderId="0">
      <alignment vertical="center"/>
    </xf>
    <xf numFmtId="170" fontId="79" fillId="9" borderId="0">
      <alignment vertical="center"/>
    </xf>
    <xf numFmtId="167" fontId="80" fillId="9" borderId="29">
      <alignment vertical="center"/>
    </xf>
    <xf numFmtId="0" fontId="12" fillId="9" borderId="29">
      <alignment vertical="center"/>
    </xf>
    <xf numFmtId="37" fontId="71" fillId="9" borderId="0">
      <alignment horizontal="left" vertical="center"/>
    </xf>
    <xf numFmtId="170" fontId="71" fillId="9" borderId="0">
      <alignment horizontal="center" vertical="center"/>
    </xf>
    <xf numFmtId="222" fontId="43" fillId="9" borderId="0">
      <alignment horizontal="right" vertical="center"/>
    </xf>
    <xf numFmtId="165" fontId="43" fillId="9" borderId="0">
      <alignment horizontal="right" vertical="center"/>
    </xf>
    <xf numFmtId="167" fontId="81" fillId="9" borderId="0">
      <alignment horizontal="right" vertical="center"/>
    </xf>
    <xf numFmtId="167" fontId="81" fillId="9" borderId="7">
      <alignment horizontal="right" vertical="center"/>
    </xf>
    <xf numFmtId="165" fontId="82" fillId="9" borderId="29">
      <alignment horizontal="right" vertical="center"/>
    </xf>
    <xf numFmtId="169" fontId="33" fillId="9" borderId="0">
      <alignment horizontal="right" vertical="center"/>
    </xf>
    <xf numFmtId="4" fontId="43" fillId="9" borderId="0">
      <alignment horizontal="right" vertical="center"/>
    </xf>
    <xf numFmtId="169" fontId="71" fillId="9" borderId="24">
      <alignment horizontal="right" vertical="center"/>
    </xf>
    <xf numFmtId="165" fontId="71" fillId="9" borderId="24">
      <alignment horizontal="right" vertical="center"/>
    </xf>
    <xf numFmtId="165" fontId="82" fillId="9" borderId="0">
      <alignment horizontal="right" vertical="center"/>
    </xf>
    <xf numFmtId="216" fontId="71" fillId="9" borderId="0">
      <alignment horizontal="right" vertical="center"/>
    </xf>
    <xf numFmtId="170" fontId="12" fillId="0" borderId="0">
      <alignment vertical="center"/>
    </xf>
    <xf numFmtId="170" fontId="19" fillId="9" borderId="24" applyBorder="0">
      <alignment horizontal="left" vertical="center"/>
    </xf>
    <xf numFmtId="170" fontId="83" fillId="9" borderId="0">
      <alignment horizontal="left" vertical="center"/>
    </xf>
    <xf numFmtId="170" fontId="19" fillId="9" borderId="30">
      <alignment horizontal="left"/>
    </xf>
    <xf numFmtId="170" fontId="28" fillId="9" borderId="31">
      <alignment vertical="center"/>
    </xf>
    <xf numFmtId="170" fontId="28" fillId="9" borderId="32">
      <alignment vertical="center"/>
    </xf>
    <xf numFmtId="170" fontId="28" fillId="9" borderId="7">
      <alignment vertical="center"/>
    </xf>
    <xf numFmtId="170" fontId="13" fillId="9" borderId="33">
      <alignment horizontal="center" vertical="center"/>
    </xf>
    <xf numFmtId="170" fontId="13" fillId="0" borderId="0">
      <alignment vertical="center"/>
    </xf>
    <xf numFmtId="170" fontId="13" fillId="0" borderId="0">
      <alignment vertical="center"/>
    </xf>
    <xf numFmtId="170" fontId="13" fillId="0" borderId="0">
      <alignment vertical="center"/>
    </xf>
    <xf numFmtId="167" fontId="84" fillId="0" borderId="34" applyNumberFormat="0" applyAlignment="0" applyProtection="0">
      <alignment vertical="top"/>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85" fillId="0" borderId="0" applyNumberFormat="0" applyAlignment="0">
      <alignment horizontal="left"/>
    </xf>
    <xf numFmtId="223" fontId="18" fillId="0" borderId="0" applyFont="0" applyFill="0" applyBorder="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1" fillId="0" borderId="0" applyNumberFormat="0" applyFill="0" applyBorder="0" applyAlignment="0" applyProtection="0"/>
    <xf numFmtId="167" fontId="41" fillId="0" borderId="0" applyBorder="0"/>
    <xf numFmtId="224" fontId="12" fillId="0" borderId="0">
      <protection locked="0"/>
    </xf>
    <xf numFmtId="0" fontId="62" fillId="0" borderId="0"/>
    <xf numFmtId="0" fontId="86" fillId="0" borderId="0" applyFill="0" applyBorder="0" applyProtection="0">
      <alignment horizontal="left"/>
    </xf>
    <xf numFmtId="213" fontId="87" fillId="0" borderId="0"/>
    <xf numFmtId="0" fontId="88" fillId="0" borderId="0">
      <alignment horizontal="left" indent="2"/>
    </xf>
    <xf numFmtId="38" fontId="89" fillId="10" borderId="0" applyNumberFormat="0" applyBorder="0" applyAlignment="0" applyProtection="0"/>
    <xf numFmtId="0" fontId="30" fillId="0" borderId="0" applyFont="0" applyFill="0" applyBorder="0" applyAlignment="0" applyProtection="0">
      <alignment horizontal="right"/>
    </xf>
    <xf numFmtId="0" fontId="90" fillId="11" borderId="0"/>
    <xf numFmtId="0" fontId="18" fillId="0" borderId="0"/>
    <xf numFmtId="0" fontId="91" fillId="0" borderId="0" applyNumberFormat="0" applyFill="0" applyBorder="0" applyAlignment="0" applyProtection="0">
      <alignment horizontal="left"/>
    </xf>
    <xf numFmtId="0" fontId="92" fillId="0" borderId="0" applyNumberFormat="0" applyFill="0" applyBorder="0" applyAlignment="0" applyProtection="0">
      <alignment horizontal="left"/>
    </xf>
    <xf numFmtId="0" fontId="93" fillId="0" borderId="0" applyNumberFormat="0" applyFill="0" applyBorder="0" applyAlignment="0" applyProtection="0">
      <alignment horizontal="left"/>
    </xf>
    <xf numFmtId="0" fontId="94" fillId="0" borderId="0" applyNumberFormat="0" applyFill="0" applyBorder="0" applyAlignment="0" applyProtection="0">
      <alignment horizontal="left"/>
    </xf>
    <xf numFmtId="0" fontId="95" fillId="0" borderId="0" applyNumberFormat="0" applyFill="0" applyAlignment="0" applyProtection="0">
      <alignment horizontal="left"/>
    </xf>
    <xf numFmtId="0" fontId="94" fillId="0" borderId="0" applyNumberFormat="0" applyFill="0" applyBorder="0" applyAlignment="0" applyProtection="0">
      <alignment horizontal="left"/>
    </xf>
    <xf numFmtId="0" fontId="95" fillId="0" borderId="0" applyNumberFormat="0" applyFill="0" applyBorder="0" applyAlignment="0" applyProtection="0">
      <alignment horizontal="left"/>
    </xf>
    <xf numFmtId="0" fontId="96" fillId="0" borderId="0" applyNumberFormat="0" applyFill="0" applyBorder="0" applyAlignment="0" applyProtection="0">
      <alignment horizontal="left"/>
    </xf>
    <xf numFmtId="0" fontId="97" fillId="0" borderId="0" applyNumberFormat="0" applyFill="0" applyBorder="0" applyAlignment="0" applyProtection="0">
      <alignment horizontal="left"/>
    </xf>
    <xf numFmtId="0" fontId="98" fillId="0" borderId="0" applyNumberFormat="0" applyFill="0" applyBorder="0" applyAlignment="0" applyProtection="0"/>
    <xf numFmtId="0" fontId="99" fillId="0" borderId="6" applyNumberFormat="0" applyAlignment="0" applyProtection="0">
      <alignment horizontal="left" vertical="center"/>
    </xf>
    <xf numFmtId="0" fontId="99" fillId="0" borderId="3">
      <alignment horizontal="left" vertical="center"/>
    </xf>
    <xf numFmtId="8" fontId="37" fillId="0" borderId="0" applyProtection="0">
      <alignment horizontal="center"/>
    </xf>
    <xf numFmtId="0" fontId="23" fillId="0" borderId="0">
      <alignment horizontal="right"/>
    </xf>
    <xf numFmtId="0" fontId="23" fillId="0" borderId="0">
      <alignment horizontal="left"/>
    </xf>
    <xf numFmtId="0" fontId="18" fillId="0" borderId="0">
      <protection locked="0"/>
    </xf>
    <xf numFmtId="0" fontId="18" fillId="0" borderId="0">
      <protection locked="0"/>
    </xf>
    <xf numFmtId="0" fontId="100" fillId="0" borderId="36" applyNumberFormat="0" applyFill="0" applyBorder="0" applyAlignment="0" applyProtection="0">
      <alignment horizontal="left"/>
    </xf>
    <xf numFmtId="0" fontId="101" fillId="0" borderId="0">
      <alignment horizontal="center"/>
    </xf>
    <xf numFmtId="0" fontId="102" fillId="0" borderId="9"/>
    <xf numFmtId="0" fontId="18" fillId="6" borderId="5" applyNumberFormat="0" applyFont="0" applyBorder="0" applyAlignment="0" applyProtection="0"/>
    <xf numFmtId="0" fontId="18" fillId="6" borderId="5" applyNumberFormat="0" applyFont="0" applyBorder="0" applyAlignment="0" applyProtection="0"/>
    <xf numFmtId="0" fontId="18" fillId="6" borderId="5" applyNumberFormat="0" applyFont="0" applyBorder="0" applyAlignment="0" applyProtection="0"/>
    <xf numFmtId="0" fontId="18" fillId="6" borderId="5" applyNumberFormat="0" applyFont="0" applyBorder="0" applyAlignment="0" applyProtection="0"/>
    <xf numFmtId="0" fontId="18" fillId="6" borderId="5" applyNumberFormat="0" applyFont="0" applyBorder="0" applyAlignment="0" applyProtection="0"/>
    <xf numFmtId="0" fontId="18" fillId="6" borderId="5" applyNumberFormat="0" applyFont="0" applyBorder="0" applyAlignment="0" applyProtection="0"/>
    <xf numFmtId="3" fontId="52" fillId="0" borderId="0" applyNumberFormat="0" applyFill="0" applyBorder="0" applyAlignment="0" applyProtection="0"/>
    <xf numFmtId="225" fontId="12" fillId="0" borderId="0"/>
    <xf numFmtId="225" fontId="103" fillId="0" borderId="0" applyFont="0" applyFill="0" applyBorder="0" applyAlignment="0" applyProtection="0"/>
    <xf numFmtId="0" fontId="104" fillId="0" borderId="37" applyNumberFormat="0" applyFill="0" applyAlignment="0" applyProtection="0"/>
    <xf numFmtId="37" fontId="41" fillId="0" borderId="0" applyBorder="0"/>
    <xf numFmtId="10" fontId="89" fillId="12" borderId="1" applyNumberFormat="0" applyBorder="0" applyAlignment="0" applyProtection="0"/>
    <xf numFmtId="40" fontId="45" fillId="0" borderId="1">
      <protection locked="0"/>
    </xf>
    <xf numFmtId="38" fontId="45" fillId="0" borderId="1">
      <protection locked="0"/>
    </xf>
    <xf numFmtId="8" fontId="45" fillId="0" borderId="1">
      <protection locked="0"/>
    </xf>
    <xf numFmtId="6" fontId="45" fillId="0" borderId="1">
      <protection locked="0"/>
    </xf>
    <xf numFmtId="10" fontId="45" fillId="0" borderId="1">
      <protection locked="0"/>
    </xf>
    <xf numFmtId="9" fontId="45" fillId="0" borderId="1">
      <protection locked="0"/>
    </xf>
    <xf numFmtId="38" fontId="104" fillId="0" borderId="0"/>
    <xf numFmtId="40" fontId="12" fillId="0" borderId="0"/>
    <xf numFmtId="226" fontId="28" fillId="0" borderId="0">
      <alignment horizontal="left"/>
    </xf>
    <xf numFmtId="0" fontId="18" fillId="0" borderId="25"/>
    <xf numFmtId="2" fontId="105" fillId="0" borderId="1"/>
    <xf numFmtId="0" fontId="89" fillId="10" borderId="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37" fontId="106" fillId="0" borderId="0" applyNumberFormat="0" applyFill="0" applyBorder="0" applyAlignment="0" applyProtection="0">
      <alignment horizontal="right"/>
    </xf>
    <xf numFmtId="44" fontId="11" fillId="0" borderId="0">
      <alignment horizontal="justify"/>
    </xf>
    <xf numFmtId="227" fontId="41" fillId="0" borderId="0"/>
    <xf numFmtId="228" fontId="30" fillId="0" borderId="0" applyFill="0" applyBorder="0" applyAlignment="0" applyProtection="0">
      <alignment horizontal="right"/>
    </xf>
    <xf numFmtId="229" fontId="18" fillId="0" borderId="0" applyFont="0" applyFill="0" applyBorder="0" applyAlignment="0" applyProtection="0"/>
    <xf numFmtId="230" fontId="18" fillId="0" borderId="0" applyFont="0" applyFill="0" applyBorder="0" applyAlignment="0" applyProtection="0"/>
    <xf numFmtId="231" fontId="18" fillId="0" borderId="0" applyFont="0" applyFill="0" applyBorder="0" applyAlignment="0" applyProtection="0"/>
    <xf numFmtId="232" fontId="18" fillId="0" borderId="0" applyFont="0" applyFill="0" applyBorder="0" applyAlignment="0" applyProtection="0"/>
    <xf numFmtId="233" fontId="18" fillId="0" borderId="0" applyFont="0" applyFill="0" applyBorder="0" applyAlignment="0" applyProtection="0"/>
    <xf numFmtId="234" fontId="18" fillId="0" borderId="0" applyFont="0" applyFill="0" applyBorder="0" applyAlignment="0" applyProtection="0"/>
    <xf numFmtId="235" fontId="18" fillId="0" borderId="0" applyFont="0" applyFill="0" applyBorder="0" applyAlignment="0" applyProtection="0"/>
    <xf numFmtId="236" fontId="107" fillId="0" borderId="0" applyFont="0" applyFill="0" applyBorder="0" applyAlignment="0" applyProtection="0"/>
    <xf numFmtId="237" fontId="18" fillId="0" borderId="0" applyFont="0" applyFill="0" applyBorder="0" applyAlignment="0" applyProtection="0"/>
    <xf numFmtId="238" fontId="18" fillId="0" borderId="0" applyFont="0" applyFill="0" applyBorder="0" applyAlignment="0" applyProtection="0"/>
    <xf numFmtId="239" fontId="18" fillId="0" borderId="0" applyFont="0" applyFill="0" applyBorder="0" applyAlignment="0" applyProtection="0"/>
    <xf numFmtId="234" fontId="18" fillId="0" borderId="0" applyFont="0" applyFill="0" applyBorder="0" applyAlignment="0" applyProtection="0"/>
    <xf numFmtId="0" fontId="108" fillId="0" borderId="0"/>
    <xf numFmtId="0" fontId="30" fillId="0" borderId="0" applyFont="0" applyFill="0" applyBorder="0" applyAlignment="0" applyProtection="0">
      <alignment horizontal="right"/>
    </xf>
    <xf numFmtId="240" fontId="28" fillId="0" borderId="0" applyFont="0" applyFill="0" applyBorder="0" applyAlignment="0" applyProtection="0"/>
    <xf numFmtId="241" fontId="28" fillId="0" borderId="0" applyFont="0" applyFill="0" applyBorder="0" applyAlignment="0" applyProtection="0"/>
    <xf numFmtId="242" fontId="30" fillId="0" borderId="0" applyFont="0" applyFill="0" applyBorder="0" applyAlignment="0" applyProtection="0">
      <alignment horizontal="right"/>
    </xf>
    <xf numFmtId="37" fontId="109" fillId="0" borderId="0"/>
    <xf numFmtId="38" fontId="29" fillId="0" borderId="1"/>
    <xf numFmtId="243" fontId="110" fillId="0" borderId="0"/>
    <xf numFmtId="0" fontId="18" fillId="0" borderId="0"/>
    <xf numFmtId="0" fontId="64" fillId="6" borderId="38"/>
    <xf numFmtId="17" fontId="64" fillId="0" borderId="26">
      <alignment horizontal="center"/>
    </xf>
    <xf numFmtId="0" fontId="18" fillId="0" borderId="0"/>
    <xf numFmtId="0" fontId="111" fillId="0" borderId="0"/>
    <xf numFmtId="0" fontId="51" fillId="0" borderId="26"/>
    <xf numFmtId="244" fontId="12" fillId="9" borderId="0" applyBorder="0">
      <alignment vertical="center"/>
    </xf>
    <xf numFmtId="3" fontId="49" fillId="0" borderId="39">
      <protection locked="0"/>
    </xf>
    <xf numFmtId="9" fontId="49" fillId="0" borderId="39"/>
    <xf numFmtId="245" fontId="29" fillId="0" borderId="14"/>
    <xf numFmtId="3" fontId="12" fillId="0" borderId="1"/>
    <xf numFmtId="245" fontId="112" fillId="13" borderId="1"/>
    <xf numFmtId="186" fontId="113" fillId="0" borderId="0"/>
    <xf numFmtId="3" fontId="29" fillId="0" borderId="40"/>
    <xf numFmtId="0" fontId="29" fillId="0" borderId="1"/>
    <xf numFmtId="1" fontId="74" fillId="0" borderId="0">
      <alignment horizontal="right"/>
      <protection locked="0"/>
    </xf>
    <xf numFmtId="170" fontId="78" fillId="0" borderId="0">
      <alignment horizontal="right"/>
      <protection locked="0"/>
    </xf>
    <xf numFmtId="0" fontId="74" fillId="0" borderId="0">
      <protection locked="0"/>
    </xf>
    <xf numFmtId="2" fontId="78" fillId="0" borderId="0">
      <alignment horizontal="right"/>
      <protection locked="0"/>
    </xf>
    <xf numFmtId="2" fontId="74" fillId="0" borderId="0">
      <alignment horizontal="right"/>
      <protection locked="0"/>
    </xf>
    <xf numFmtId="246" fontId="18" fillId="0" borderId="0" applyFont="0" applyBorder="0" applyAlignment="0">
      <alignment horizontal="centerContinuous"/>
    </xf>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0" fontId="18" fillId="0" borderId="35" applyNumberFormat="0" applyFont="0" applyFill="0" applyAlignment="0" applyProtection="0"/>
    <xf numFmtId="40" fontId="114" fillId="0" borderId="0" applyFont="0" applyFill="0" applyBorder="0" applyAlignment="0" applyProtection="0"/>
    <xf numFmtId="38" fontId="114" fillId="0" borderId="0" applyFont="0" applyFill="0" applyBorder="0" applyAlignment="0" applyProtection="0"/>
    <xf numFmtId="0" fontId="88" fillId="14" borderId="1" applyNumberFormat="0" applyAlignment="0">
      <protection locked="0"/>
    </xf>
    <xf numFmtId="0" fontId="50" fillId="0" borderId="41">
      <alignment horizontal="left" wrapText="1"/>
    </xf>
    <xf numFmtId="4" fontId="27" fillId="9" borderId="0">
      <alignment horizontal="right"/>
    </xf>
    <xf numFmtId="0" fontId="115" fillId="9" borderId="0">
      <alignment horizontal="center" vertical="center"/>
    </xf>
    <xf numFmtId="0" fontId="116" fillId="9" borderId="10"/>
    <xf numFmtId="0" fontId="115" fillId="9" borderId="0" applyBorder="0">
      <alignment horizontal="centerContinuous"/>
    </xf>
    <xf numFmtId="0" fontId="117" fillId="9" borderId="0" applyBorder="0">
      <alignment horizontal="centerContinuous"/>
    </xf>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2" applyNumberFormat="0" applyFont="0" applyFill="0" applyAlignment="0" applyProtection="0"/>
    <xf numFmtId="0" fontId="18" fillId="0" borderId="4" applyNumberFormat="0" applyFont="0" applyFill="0" applyAlignment="0" applyProtection="0"/>
    <xf numFmtId="247" fontId="41" fillId="0" borderId="19" applyBorder="0"/>
    <xf numFmtId="0" fontId="118" fillId="0" borderId="0" applyProtection="0">
      <alignment horizontal="left"/>
    </xf>
    <xf numFmtId="0" fontId="118" fillId="0" borderId="0" applyFill="0" applyBorder="0" applyProtection="0">
      <alignment horizontal="left"/>
    </xf>
    <xf numFmtId="0" fontId="22" fillId="0" borderId="0" applyFill="0" applyBorder="0" applyProtection="0">
      <alignment horizontal="left"/>
    </xf>
    <xf numFmtId="1" fontId="119" fillId="0" borderId="0" applyProtection="0">
      <alignment horizontal="right" vertical="center"/>
    </xf>
    <xf numFmtId="0" fontId="120" fillId="15" borderId="43"/>
    <xf numFmtId="170" fontId="18" fillId="0" borderId="0" applyFill="0"/>
    <xf numFmtId="0" fontId="13" fillId="0" borderId="44" applyNumberFormat="0" applyAlignment="0" applyProtection="0"/>
    <xf numFmtId="0" fontId="12" fillId="13" borderId="0" applyNumberFormat="0" applyFont="0" applyBorder="0" applyAlignment="0" applyProtection="0"/>
    <xf numFmtId="0" fontId="89" fillId="16" borderId="45" applyNumberFormat="0" applyFont="0" applyBorder="0" applyAlignment="0" applyProtection="0">
      <alignment horizontal="center"/>
    </xf>
    <xf numFmtId="0" fontId="89" fillId="6" borderId="45" applyNumberFormat="0" applyFont="0" applyBorder="0" applyAlignment="0" applyProtection="0">
      <alignment horizontal="center"/>
    </xf>
    <xf numFmtId="0" fontId="12" fillId="0" borderId="46" applyNumberFormat="0" applyAlignment="0" applyProtection="0"/>
    <xf numFmtId="0" fontId="12" fillId="0" borderId="47" applyNumberFormat="0" applyAlignment="0" applyProtection="0"/>
    <xf numFmtId="0" fontId="13" fillId="0" borderId="48" applyNumberFormat="0" applyAlignment="0" applyProtection="0"/>
    <xf numFmtId="49" fontId="121" fillId="0" borderId="24" applyFill="0" applyProtection="0">
      <alignment vertical="center"/>
    </xf>
    <xf numFmtId="14" fontId="28" fillId="0" borderId="0">
      <alignment horizontal="center" wrapText="1"/>
      <protection locked="0"/>
    </xf>
    <xf numFmtId="0" fontId="28" fillId="0" borderId="0">
      <alignment horizontal="right"/>
    </xf>
    <xf numFmtId="0" fontId="62" fillId="0" borderId="0"/>
    <xf numFmtId="0" fontId="61" fillId="0" borderId="0"/>
    <xf numFmtId="0" fontId="62" fillId="0" borderId="0"/>
    <xf numFmtId="9" fontId="12" fillId="0" borderId="0" applyFont="0" applyFill="0" applyBorder="0" applyAlignment="0" applyProtection="0"/>
    <xf numFmtId="10" fontId="12"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8" fillId="0" borderId="0" applyFont="0" applyFill="0" applyBorder="0" applyAlignment="0" applyProtection="0"/>
    <xf numFmtId="167" fontId="28" fillId="0" borderId="0">
      <alignment horizontal="right"/>
    </xf>
    <xf numFmtId="10" fontId="28" fillId="0" borderId="0">
      <alignment horizontal="right"/>
    </xf>
    <xf numFmtId="248" fontId="28" fillId="0" borderId="0" applyFont="0" applyFill="0" applyBorder="0" applyProtection="0">
      <alignment horizontal="right"/>
    </xf>
    <xf numFmtId="9" fontId="28" fillId="0" borderId="0">
      <alignment horizontal="right"/>
    </xf>
    <xf numFmtId="9" fontId="64" fillId="0" borderId="16">
      <alignment horizontal="center"/>
    </xf>
    <xf numFmtId="167" fontId="28" fillId="0" borderId="0"/>
    <xf numFmtId="167" fontId="74" fillId="0" borderId="0"/>
    <xf numFmtId="10" fontId="28" fillId="0" borderId="0"/>
    <xf numFmtId="10" fontId="74" fillId="0" borderId="0">
      <protection locked="0"/>
    </xf>
    <xf numFmtId="9" fontId="64" fillId="0" borderId="16">
      <alignment horizontal="right"/>
    </xf>
    <xf numFmtId="249" fontId="18" fillId="0" borderId="0"/>
    <xf numFmtId="9" fontId="18"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50" fontId="18" fillId="0" borderId="0" applyProtection="0">
      <alignment horizontal="right"/>
    </xf>
    <xf numFmtId="250" fontId="18" fillId="0" borderId="0">
      <alignment horizontal="right"/>
      <protection locked="0"/>
    </xf>
    <xf numFmtId="5" fontId="122" fillId="0" borderId="0"/>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0" fontId="124" fillId="0" borderId="19">
      <alignment horizontal="center"/>
    </xf>
    <xf numFmtId="3" fontId="123" fillId="0" borderId="0" applyFont="0" applyFill="0" applyBorder="0" applyAlignment="0" applyProtection="0"/>
    <xf numFmtId="0" fontId="123" fillId="17" borderId="0" applyNumberFormat="0" applyFon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25" fillId="18" borderId="0" applyNumberFormat="0" applyFont="0" applyBorder="0" applyAlignment="0">
      <alignment horizontal="center"/>
    </xf>
    <xf numFmtId="14" fontId="126" fillId="0" borderId="0" applyNumberFormat="0" applyFill="0" applyBorder="0" applyAlignment="0" applyProtection="0">
      <alignment horizontal="left"/>
    </xf>
    <xf numFmtId="0" fontId="127" fillId="0" borderId="0" applyNumberFormat="0" applyFill="0" applyBorder="0" applyProtection="0">
      <alignment horizontal="right" vertical="center"/>
    </xf>
    <xf numFmtId="0" fontId="67" fillId="0" borderId="0"/>
    <xf numFmtId="0" fontId="128" fillId="0" borderId="49">
      <alignment vertical="center"/>
    </xf>
    <xf numFmtId="0" fontId="122" fillId="0" borderId="50"/>
    <xf numFmtId="170" fontId="18" fillId="0" borderId="0" applyProtection="0">
      <alignment horizontal="center"/>
    </xf>
    <xf numFmtId="251" fontId="18" fillId="0" borderId="0" applyFont="0" applyFill="0" applyBorder="0" applyAlignment="0" applyProtection="0"/>
    <xf numFmtId="0" fontId="12" fillId="19" borderId="0" applyNumberFormat="0" applyFont="0" applyBorder="0" applyAlignment="0" applyProtection="0"/>
    <xf numFmtId="0" fontId="125" fillId="1" borderId="3" applyNumberFormat="0" applyFont="0" applyAlignment="0">
      <alignment horizontal="center"/>
    </xf>
    <xf numFmtId="42" fontId="53" fillId="0" borderId="0" applyFill="0" applyBorder="0" applyAlignment="0" applyProtection="0"/>
    <xf numFmtId="0" fontId="129" fillId="0" borderId="0" applyNumberFormat="0">
      <alignment horizontal="left"/>
    </xf>
    <xf numFmtId="2" fontId="26" fillId="0" borderId="51"/>
    <xf numFmtId="0" fontId="18" fillId="6" borderId="0" applyNumberFormat="0" applyBorder="0" applyProtection="0">
      <alignment horizontal="center"/>
    </xf>
    <xf numFmtId="0" fontId="130" fillId="0" borderId="0" applyNumberFormat="0" applyFill="0" applyBorder="0" applyAlignment="0">
      <alignment horizontal="center"/>
    </xf>
    <xf numFmtId="0" fontId="18" fillId="0" borderId="0"/>
    <xf numFmtId="0" fontId="131" fillId="0" borderId="0"/>
    <xf numFmtId="0" fontId="18" fillId="0" borderId="0">
      <alignment horizontal="left" wrapText="1"/>
    </xf>
    <xf numFmtId="0" fontId="112" fillId="0" borderId="52"/>
    <xf numFmtId="0" fontId="132" fillId="0" borderId="0"/>
    <xf numFmtId="0" fontId="133" fillId="0" borderId="0">
      <alignment horizontal="left"/>
    </xf>
    <xf numFmtId="210" fontId="18" fillId="0" borderId="0" applyFill="0" applyBorder="0" applyAlignment="0" applyProtection="0"/>
    <xf numFmtId="0" fontId="22" fillId="0" borderId="0"/>
    <xf numFmtId="0" fontId="59" fillId="0" borderId="0">
      <alignment horizontal="left" indent="1"/>
    </xf>
    <xf numFmtId="49" fontId="41" fillId="0" borderId="0"/>
    <xf numFmtId="0" fontId="134" fillId="0" borderId="0" applyFill="0" applyBorder="0" applyProtection="0">
      <alignment horizontal="center" vertical="center"/>
    </xf>
    <xf numFmtId="0" fontId="135" fillId="0" borderId="0" applyBorder="0" applyProtection="0">
      <alignment vertical="center"/>
    </xf>
    <xf numFmtId="0" fontId="135" fillId="0" borderId="24" applyBorder="0" applyProtection="0">
      <alignment horizontal="right" vertical="center"/>
    </xf>
    <xf numFmtId="0" fontId="136" fillId="20" borderId="0" applyBorder="0" applyProtection="0">
      <alignment horizontal="centerContinuous" vertical="center"/>
    </xf>
    <xf numFmtId="0" fontId="136" fillId="2" borderId="24" applyBorder="0" applyProtection="0">
      <alignment horizontal="centerContinuous" vertical="center"/>
    </xf>
    <xf numFmtId="0" fontId="137" fillId="0" borderId="0"/>
    <xf numFmtId="0" fontId="138" fillId="0" borderId="0" applyBorder="0" applyProtection="0">
      <alignment horizontal="left"/>
    </xf>
    <xf numFmtId="0" fontId="139" fillId="0" borderId="0" applyFill="0" applyBorder="0" applyProtection="0"/>
    <xf numFmtId="0" fontId="111" fillId="0" borderId="0"/>
    <xf numFmtId="0" fontId="140" fillId="0" borderId="0" applyFill="0" applyBorder="0" applyProtection="0">
      <alignment horizontal="left"/>
    </xf>
    <xf numFmtId="0" fontId="86" fillId="0" borderId="53" applyFill="0" applyBorder="0" applyProtection="0">
      <alignment horizontal="left" vertical="top"/>
    </xf>
    <xf numFmtId="0" fontId="13" fillId="0" borderId="0">
      <alignment horizontal="centerContinuous"/>
    </xf>
    <xf numFmtId="200" fontId="141" fillId="0" borderId="0" applyNumberFormat="0" applyFill="0" applyBorder="0">
      <alignment horizontal="left"/>
    </xf>
    <xf numFmtId="0" fontId="142" fillId="0" borderId="0"/>
    <xf numFmtId="0" fontId="74" fillId="0" borderId="0">
      <alignment horizontal="left"/>
      <protection locked="0"/>
    </xf>
    <xf numFmtId="0" fontId="143" fillId="0" borderId="0"/>
    <xf numFmtId="49" fontId="27" fillId="0" borderId="0" applyFill="0" applyBorder="0" applyAlignment="0"/>
    <xf numFmtId="0" fontId="18" fillId="0" borderId="0" applyFill="0" applyBorder="0" applyAlignment="0"/>
    <xf numFmtId="0" fontId="18" fillId="0" borderId="0" applyFill="0" applyBorder="0" applyAlignment="0"/>
    <xf numFmtId="18" fontId="41" fillId="0" borderId="0" applyFill="0" applyProtection="0">
      <alignment horizontal="center"/>
    </xf>
    <xf numFmtId="0" fontId="12" fillId="0" borderId="0" applyNumberFormat="0" applyFill="0" applyBorder="0" applyAlignment="0" applyProtection="0"/>
    <xf numFmtId="0" fontId="11" fillId="0" borderId="0" applyNumberFormat="0" applyFill="0" applyBorder="0" applyAlignment="0" applyProtection="0"/>
    <xf numFmtId="40" fontId="15" fillId="0" borderId="0"/>
    <xf numFmtId="0" fontId="14" fillId="0" borderId="0" applyNumberFormat="0" applyFont="0" applyBorder="0" applyAlignment="0"/>
    <xf numFmtId="0" fontId="144" fillId="0" borderId="0">
      <alignment horizontal="center"/>
    </xf>
    <xf numFmtId="226" fontId="13" fillId="0" borderId="0">
      <alignment horizontal="centerContinuous"/>
    </xf>
    <xf numFmtId="226" fontId="145" fillId="0" borderId="54">
      <alignment horizontal="centerContinuous"/>
    </xf>
    <xf numFmtId="226" fontId="17" fillId="0" borderId="0">
      <alignment horizontal="centerContinuous"/>
      <protection locked="0"/>
    </xf>
    <xf numFmtId="226" fontId="17" fillId="0" borderId="0">
      <alignment horizontal="left"/>
    </xf>
    <xf numFmtId="0" fontId="39" fillId="0" borderId="0">
      <alignment horizontal="center"/>
    </xf>
    <xf numFmtId="0" fontId="39" fillId="0" borderId="0">
      <alignment horizontal="left"/>
    </xf>
    <xf numFmtId="0" fontId="88" fillId="0" borderId="0">
      <alignment horizontal="center"/>
    </xf>
    <xf numFmtId="39" fontId="146" fillId="0" borderId="0">
      <alignment vertical="center"/>
    </xf>
    <xf numFmtId="39" fontId="146" fillId="0" borderId="0">
      <alignment vertical="center"/>
    </xf>
    <xf numFmtId="39" fontId="147" fillId="0" borderId="0">
      <alignment vertical="center"/>
    </xf>
    <xf numFmtId="0" fontId="148" fillId="0" borderId="0"/>
    <xf numFmtId="44" fontId="64" fillId="0" borderId="16"/>
    <xf numFmtId="0" fontId="149" fillId="0" borderId="0" applyNumberFormat="0" applyFill="0" applyBorder="0" applyAlignment="0" applyProtection="0">
      <alignment horizontal="left"/>
    </xf>
    <xf numFmtId="0" fontId="150" fillId="0" borderId="0" applyNumberFormat="0" applyFill="0" applyBorder="0" applyAlignment="0" applyProtection="0">
      <alignment horizontal="left"/>
    </xf>
    <xf numFmtId="0" fontId="151" fillId="0" borderId="0" applyNumberFormat="0" applyFill="0" applyBorder="0" applyAlignment="0" applyProtection="0">
      <alignment horizontal="left"/>
    </xf>
    <xf numFmtId="0" fontId="152" fillId="0" borderId="0" applyNumberFormat="0" applyFill="0" applyBorder="0" applyAlignment="0" applyProtection="0">
      <alignment horizontal="left"/>
    </xf>
    <xf numFmtId="0" fontId="153" fillId="0" borderId="0" applyNumberFormat="0" applyFill="0" applyBorder="0" applyAlignment="0" applyProtection="0">
      <alignment horizontal="left"/>
    </xf>
    <xf numFmtId="0" fontId="152" fillId="0" borderId="0" applyNumberFormat="0" applyFill="0" applyBorder="0" applyAlignment="0" applyProtection="0">
      <alignment horizontal="left"/>
    </xf>
    <xf numFmtId="0" fontId="153" fillId="0" borderId="0" applyNumberFormat="0" applyFill="0" applyBorder="0" applyAlignment="0" applyProtection="0">
      <alignment horizontal="left"/>
    </xf>
    <xf numFmtId="0" fontId="154" fillId="0" borderId="0">
      <alignment horizontal="left"/>
    </xf>
    <xf numFmtId="0" fontId="41" fillId="0" borderId="0" applyNumberFormat="0" applyFill="0" applyBorder="0" applyAlignment="0" applyProtection="0">
      <alignment horizontal="left"/>
    </xf>
    <xf numFmtId="44" fontId="155" fillId="0" borderId="16"/>
    <xf numFmtId="37" fontId="64" fillId="0" borderId="16"/>
    <xf numFmtId="0" fontId="18" fillId="6" borderId="0" applyNumberFormat="0" applyFont="0" applyBorder="0" applyAlignment="0" applyProtection="0"/>
    <xf numFmtId="0" fontId="18" fillId="6" borderId="0" applyNumberFormat="0" applyFont="0" applyBorder="0" applyAlignment="0" applyProtection="0"/>
    <xf numFmtId="0" fontId="18" fillId="6" borderId="0" applyNumberFormat="0" applyFont="0" applyBorder="0" applyAlignment="0" applyProtection="0"/>
    <xf numFmtId="0" fontId="18" fillId="6" borderId="0" applyNumberFormat="0" applyFont="0" applyBorder="0" applyAlignment="0" applyProtection="0"/>
    <xf numFmtId="0" fontId="18" fillId="6" borderId="0" applyNumberFormat="0" applyFont="0" applyBorder="0" applyAlignment="0" applyProtection="0"/>
    <xf numFmtId="0" fontId="18" fillId="6" borderId="0" applyNumberFormat="0" applyFont="0" applyBorder="0" applyAlignment="0" applyProtection="0"/>
    <xf numFmtId="252" fontId="18" fillId="0" borderId="0">
      <alignment horizontal="right"/>
    </xf>
    <xf numFmtId="200" fontId="156" fillId="0" borderId="0">
      <alignment horizontal="left"/>
      <protection locked="0"/>
    </xf>
    <xf numFmtId="219" fontId="145" fillId="0" borderId="0">
      <alignment horizontal="right"/>
    </xf>
    <xf numFmtId="220" fontId="18" fillId="0" borderId="0">
      <alignment horizontal="right"/>
    </xf>
    <xf numFmtId="1" fontId="145" fillId="0" borderId="0">
      <alignment horizontal="left"/>
    </xf>
    <xf numFmtId="218" fontId="145" fillId="0" borderId="0">
      <alignment horizontal="right"/>
    </xf>
    <xf numFmtId="0" fontId="157" fillId="0" borderId="0">
      <alignment horizontal="fill"/>
    </xf>
    <xf numFmtId="0" fontId="18" fillId="0" borderId="19" applyNumberFormat="0" applyFont="0" applyFill="0" applyAlignment="0" applyProtection="0"/>
    <xf numFmtId="0" fontId="18" fillId="0" borderId="19" applyNumberFormat="0" applyFont="0" applyFill="0" applyAlignment="0" applyProtection="0"/>
    <xf numFmtId="0" fontId="18" fillId="0" borderId="19" applyNumberFormat="0" applyFont="0" applyFill="0" applyAlignment="0" applyProtection="0"/>
    <xf numFmtId="0" fontId="18" fillId="0" borderId="19" applyNumberFormat="0" applyFont="0" applyFill="0" applyAlignment="0" applyProtection="0"/>
    <xf numFmtId="0" fontId="18" fillId="0" borderId="19" applyNumberFormat="0" applyFont="0" applyFill="0" applyAlignment="0" applyProtection="0"/>
    <xf numFmtId="0" fontId="18" fillId="0" borderId="19" applyNumberFormat="0" applyFont="0" applyFill="0" applyAlignment="0" applyProtection="0"/>
    <xf numFmtId="37" fontId="89" fillId="21" borderId="0" applyNumberFormat="0" applyBorder="0" applyAlignment="0" applyProtection="0"/>
    <xf numFmtId="37" fontId="89" fillId="0" borderId="0"/>
    <xf numFmtId="3" fontId="158" fillId="0" borderId="37" applyProtection="0"/>
    <xf numFmtId="0" fontId="18" fillId="0" borderId="0"/>
    <xf numFmtId="253" fontId="18" fillId="0" borderId="0" applyFont="0" applyFill="0" applyBorder="0" applyAlignment="0" applyProtection="0"/>
    <xf numFmtId="254" fontId="18" fillId="0" borderId="0" applyFont="0" applyFill="0" applyBorder="0" applyAlignment="0" applyProtection="0"/>
    <xf numFmtId="4" fontId="107" fillId="0" borderId="0" applyFont="0" applyFill="0" applyBorder="0" applyAlignment="0" applyProtection="0"/>
    <xf numFmtId="186" fontId="159" fillId="0" borderId="0"/>
    <xf numFmtId="0" fontId="160" fillId="22" borderId="0">
      <alignment horizontal="right"/>
    </xf>
    <xf numFmtId="186" fontId="160" fillId="22" borderId="0">
      <alignment horizontal="right"/>
    </xf>
    <xf numFmtId="186" fontId="160" fillId="22" borderId="0">
      <alignment horizontal="right"/>
    </xf>
    <xf numFmtId="0" fontId="160" fillId="22" borderId="0">
      <alignment horizontal="right"/>
    </xf>
    <xf numFmtId="186" fontId="160" fillId="22" borderId="0">
      <alignment horizontal="right"/>
    </xf>
    <xf numFmtId="186" fontId="160" fillId="22" borderId="0">
      <alignment horizontal="right"/>
    </xf>
    <xf numFmtId="255" fontId="161" fillId="0" borderId="24" applyBorder="0" applyProtection="0">
      <alignment horizontal="right"/>
    </xf>
    <xf numFmtId="0" fontId="53" fillId="0" borderId="0" applyFont="0" applyFill="0" applyBorder="0" applyAlignment="0" applyProtection="0"/>
    <xf numFmtId="256" fontId="17" fillId="0" borderId="45">
      <alignment horizontal="center"/>
    </xf>
    <xf numFmtId="0" fontId="162" fillId="0" borderId="0">
      <alignment vertical="center"/>
    </xf>
    <xf numFmtId="40" fontId="123" fillId="0" borderId="0" applyFont="0" applyFill="0" applyBorder="0" applyAlignment="0" applyProtection="0"/>
    <xf numFmtId="41" fontId="163" fillId="0" borderId="0" applyFont="0" applyFill="0" applyBorder="0" applyAlignment="0" applyProtection="0"/>
    <xf numFmtId="0" fontId="29" fillId="0" borderId="0"/>
    <xf numFmtId="8" fontId="123" fillId="0" borderId="0" applyFont="0" applyFill="0" applyBorder="0" applyAlignment="0" applyProtection="0"/>
    <xf numFmtId="6" fontId="123"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9" fontId="4" fillId="0" borderId="0" applyFont="0" applyFill="0" applyBorder="0" applyAlignment="0" applyProtection="0"/>
    <xf numFmtId="0" fontId="164" fillId="0" borderId="0" applyNumberFormat="0" applyFill="0" applyBorder="0" applyAlignment="0" applyProtection="0"/>
    <xf numFmtId="0" fontId="25" fillId="0" borderId="0" applyNumberFormat="0" applyFill="0" applyBorder="0" applyAlignment="0" applyProtection="0"/>
    <xf numFmtId="0" fontId="164" fillId="0" borderId="0" applyNumberFormat="0" applyFill="0" applyBorder="0" applyAlignment="0" applyProtection="0"/>
    <xf numFmtId="0" fontId="25" fillId="0" borderId="0" applyNumberFormat="0" applyFill="0" applyBorder="0" applyAlignment="0" applyProtection="0"/>
    <xf numFmtId="0" fontId="166" fillId="23" borderId="0" applyNumberFormat="0" applyBorder="0" applyAlignment="0" applyProtection="0"/>
    <xf numFmtId="0" fontId="25" fillId="0" borderId="0" applyNumberFormat="0" applyFill="0" applyBorder="0" applyAlignment="0" applyProtection="0"/>
    <xf numFmtId="0" fontId="5" fillId="0" borderId="0"/>
    <xf numFmtId="0" fontId="5" fillId="0" borderId="0"/>
    <xf numFmtId="0" fontId="18" fillId="0" borderId="0"/>
    <xf numFmtId="43" fontId="165" fillId="0" borderId="0" applyFont="0" applyFill="0" applyBorder="0" applyAlignment="0" applyProtection="0"/>
    <xf numFmtId="0" fontId="167" fillId="0" borderId="57" applyNumberFormat="0" applyFill="0" applyAlignment="0" applyProtection="0"/>
    <xf numFmtId="0" fontId="165" fillId="0" borderId="0"/>
    <xf numFmtId="0" fontId="5" fillId="0" borderId="0"/>
    <xf numFmtId="9" fontId="5" fillId="0" borderId="0" applyFont="0" applyFill="0" applyBorder="0" applyAlignment="0" applyProtection="0"/>
    <xf numFmtId="44" fontId="10" fillId="0" borderId="0" applyFont="0" applyFill="0" applyBorder="0" applyAlignment="0" applyProtection="0"/>
    <xf numFmtId="0" fontId="10" fillId="0" borderId="0"/>
    <xf numFmtId="0" fontId="169"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3" fillId="0" borderId="0"/>
    <xf numFmtId="0" fontId="2" fillId="0" borderId="0"/>
    <xf numFmtId="0" fontId="1" fillId="0" borderId="0"/>
  </cellStyleXfs>
  <cellXfs count="1299">
    <xf numFmtId="0" fontId="0" fillId="0" borderId="0" xfId="0"/>
    <xf numFmtId="0" fontId="170" fillId="24" borderId="0" xfId="0" applyFont="1" applyFill="1" applyAlignment="1">
      <alignment horizontal="center" vertical="center"/>
    </xf>
    <xf numFmtId="10" fontId="170" fillId="24" borderId="0" xfId="0" applyNumberFormat="1" applyFont="1" applyFill="1" applyAlignment="1">
      <alignment horizontal="center" vertical="center"/>
    </xf>
    <xf numFmtId="0" fontId="179" fillId="25" borderId="88" xfId="0" applyFont="1" applyFill="1" applyBorder="1" applyAlignment="1">
      <alignment horizontal="center" vertical="center"/>
    </xf>
    <xf numFmtId="0" fontId="179" fillId="25" borderId="89" xfId="0" applyFont="1" applyFill="1" applyBorder="1" applyAlignment="1">
      <alignment horizontal="center" vertical="center" wrapText="1"/>
    </xf>
    <xf numFmtId="0" fontId="179" fillId="25" borderId="89" xfId="0" applyFont="1" applyFill="1" applyBorder="1" applyAlignment="1">
      <alignment horizontal="center" vertical="center"/>
    </xf>
    <xf numFmtId="0" fontId="179" fillId="25" borderId="90" xfId="0" applyFont="1" applyFill="1" applyBorder="1" applyAlignment="1">
      <alignment horizontal="center" vertical="center" wrapText="1"/>
    </xf>
    <xf numFmtId="0" fontId="180" fillId="24" borderId="0" xfId="0" applyFont="1" applyFill="1" applyAlignment="1">
      <alignment horizontal="center" vertical="center"/>
    </xf>
    <xf numFmtId="0" fontId="181" fillId="24" borderId="93" xfId="0" quotePrefix="1" applyFont="1" applyFill="1" applyBorder="1" applyAlignment="1">
      <alignment horizontal="center" vertical="center" wrapText="1"/>
    </xf>
    <xf numFmtId="0" fontId="181" fillId="24" borderId="76" xfId="0" quotePrefix="1" applyFont="1" applyFill="1" applyBorder="1" applyAlignment="1">
      <alignment horizontal="center" vertical="center" wrapText="1"/>
    </xf>
    <xf numFmtId="276" fontId="181" fillId="24" borderId="76" xfId="0" quotePrefix="1" applyNumberFormat="1" applyFont="1" applyFill="1" applyBorder="1" applyAlignment="1">
      <alignment horizontal="center" vertical="center" wrapText="1"/>
    </xf>
    <xf numFmtId="166" fontId="181" fillId="24" borderId="76" xfId="0" quotePrefix="1" applyNumberFormat="1" applyFont="1" applyFill="1" applyBorder="1" applyAlignment="1">
      <alignment horizontal="center" vertical="center" wrapText="1"/>
    </xf>
    <xf numFmtId="10" fontId="181" fillId="24" borderId="76" xfId="0" quotePrefix="1" applyNumberFormat="1" applyFont="1" applyFill="1" applyBorder="1" applyAlignment="1">
      <alignment horizontal="center" vertical="center" wrapText="1"/>
    </xf>
    <xf numFmtId="3" fontId="181" fillId="24" borderId="76" xfId="0" quotePrefix="1" applyNumberFormat="1" applyFont="1" applyFill="1" applyBorder="1" applyAlignment="1">
      <alignment horizontal="center" vertical="center" wrapText="1"/>
    </xf>
    <xf numFmtId="0" fontId="181" fillId="24" borderId="94" xfId="0" quotePrefix="1" applyFont="1" applyFill="1" applyBorder="1" applyAlignment="1">
      <alignment horizontal="center" vertical="center" wrapText="1"/>
    </xf>
    <xf numFmtId="0" fontId="181" fillId="24" borderId="95" xfId="0" quotePrefix="1" applyFont="1" applyFill="1" applyBorder="1" applyAlignment="1">
      <alignment horizontal="center" vertical="center" wrapText="1"/>
    </xf>
    <xf numFmtId="0" fontId="181" fillId="24" borderId="7" xfId="0" quotePrefix="1" applyFont="1" applyFill="1" applyBorder="1" applyAlignment="1">
      <alignment horizontal="center" vertical="center" wrapText="1"/>
    </xf>
    <xf numFmtId="3" fontId="181" fillId="24" borderId="7" xfId="0" quotePrefix="1" applyNumberFormat="1" applyFont="1" applyFill="1" applyBorder="1" applyAlignment="1">
      <alignment horizontal="center" vertical="center" wrapText="1"/>
    </xf>
    <xf numFmtId="0" fontId="181" fillId="24" borderId="97" xfId="0" quotePrefix="1" applyFont="1" applyFill="1" applyBorder="1" applyAlignment="1">
      <alignment horizontal="center" vertical="center" wrapText="1"/>
    </xf>
    <xf numFmtId="0" fontId="181" fillId="24" borderId="98" xfId="0" quotePrefix="1" applyFont="1" applyFill="1" applyBorder="1" applyAlignment="1">
      <alignment horizontal="center" vertical="center" wrapText="1"/>
    </xf>
    <xf numFmtId="276" fontId="181" fillId="24" borderId="98" xfId="0" applyNumberFormat="1" applyFont="1" applyFill="1" applyBorder="1" applyAlignment="1">
      <alignment horizontal="center" vertical="center" wrapText="1"/>
    </xf>
    <xf numFmtId="165" fontId="181" fillId="24" borderId="98" xfId="0" quotePrefix="1" applyNumberFormat="1" applyFont="1" applyFill="1" applyBorder="1" applyAlignment="1">
      <alignment horizontal="center" vertical="center" wrapText="1"/>
    </xf>
    <xf numFmtId="3" fontId="181" fillId="24" borderId="98" xfId="0" applyNumberFormat="1" applyFont="1" applyFill="1" applyBorder="1" applyAlignment="1">
      <alignment horizontal="center" vertical="center" wrapText="1"/>
    </xf>
    <xf numFmtId="276" fontId="181" fillId="24" borderId="76" xfId="0" applyNumberFormat="1" applyFont="1" applyFill="1" applyBorder="1" applyAlignment="1">
      <alignment horizontal="center" vertical="center" wrapText="1"/>
    </xf>
    <xf numFmtId="165" fontId="181" fillId="24" borderId="76" xfId="0" applyNumberFormat="1" applyFont="1" applyFill="1" applyBorder="1" applyAlignment="1">
      <alignment horizontal="center" vertical="center" wrapText="1"/>
    </xf>
    <xf numFmtId="1" fontId="181" fillId="24" borderId="76" xfId="0" quotePrefix="1" applyNumberFormat="1" applyFont="1" applyFill="1" applyBorder="1" applyAlignment="1">
      <alignment horizontal="center" vertical="center" wrapText="1"/>
    </xf>
    <xf numFmtId="0" fontId="181" fillId="24" borderId="100" xfId="0" quotePrefix="1" applyFont="1" applyFill="1" applyBorder="1" applyAlignment="1">
      <alignment horizontal="center" vertical="center" wrapText="1"/>
    </xf>
    <xf numFmtId="0" fontId="181" fillId="24" borderId="101" xfId="0" quotePrefix="1" applyFont="1" applyFill="1" applyBorder="1" applyAlignment="1">
      <alignment horizontal="center" vertical="center" wrapText="1"/>
    </xf>
    <xf numFmtId="276" fontId="181" fillId="24" borderId="101" xfId="0" applyNumberFormat="1" applyFont="1" applyFill="1" applyBorder="1" applyAlignment="1">
      <alignment horizontal="center" vertical="center" wrapText="1"/>
    </xf>
    <xf numFmtId="165" fontId="181" fillId="24" borderId="101" xfId="0" applyNumberFormat="1" applyFont="1" applyFill="1" applyBorder="1" applyAlignment="1">
      <alignment horizontal="center" vertical="center" wrapText="1"/>
    </xf>
    <xf numFmtId="1" fontId="181" fillId="24" borderId="101" xfId="0" quotePrefix="1" applyNumberFormat="1" applyFont="1" applyFill="1" applyBorder="1" applyAlignment="1">
      <alignment horizontal="center" vertical="center" wrapText="1"/>
    </xf>
    <xf numFmtId="3" fontId="181" fillId="24" borderId="101" xfId="0" quotePrefix="1" applyNumberFormat="1" applyFont="1" applyFill="1" applyBorder="1" applyAlignment="1">
      <alignment horizontal="center" vertical="center" wrapText="1"/>
    </xf>
    <xf numFmtId="276" fontId="181" fillId="24" borderId="7" xfId="0" applyNumberFormat="1" applyFont="1" applyFill="1" applyBorder="1" applyAlignment="1">
      <alignment horizontal="center" vertical="center" wrapText="1"/>
    </xf>
    <xf numFmtId="165" fontId="181" fillId="24" borderId="7" xfId="0" applyNumberFormat="1" applyFont="1" applyFill="1" applyBorder="1" applyAlignment="1">
      <alignment horizontal="center" vertical="center" wrapText="1"/>
    </xf>
    <xf numFmtId="1" fontId="181" fillId="24" borderId="7" xfId="0" quotePrefix="1" applyNumberFormat="1" applyFont="1" applyFill="1" applyBorder="1" applyAlignment="1">
      <alignment horizontal="center" vertical="center" wrapText="1"/>
    </xf>
    <xf numFmtId="276" fontId="179" fillId="25" borderId="89" xfId="0" applyNumberFormat="1" applyFont="1" applyFill="1" applyBorder="1" applyAlignment="1">
      <alignment horizontal="center" vertical="center" wrapText="1"/>
    </xf>
    <xf numFmtId="165" fontId="179" fillId="25" borderId="89" xfId="0" applyNumberFormat="1" applyFont="1" applyFill="1" applyBorder="1" applyAlignment="1">
      <alignment horizontal="center" vertical="center" wrapText="1"/>
    </xf>
    <xf numFmtId="1" fontId="179" fillId="25" borderId="89" xfId="0" applyNumberFormat="1" applyFont="1" applyFill="1" applyBorder="1" applyAlignment="1">
      <alignment horizontal="center" vertical="center" wrapText="1"/>
    </xf>
    <xf numFmtId="3" fontId="179" fillId="25" borderId="89" xfId="0" applyNumberFormat="1" applyFont="1" applyFill="1" applyBorder="1" applyAlignment="1">
      <alignment horizontal="center" vertical="center" wrapText="1"/>
    </xf>
    <xf numFmtId="0" fontId="182" fillId="25" borderId="89" xfId="0" applyFont="1" applyFill="1" applyBorder="1"/>
    <xf numFmtId="0" fontId="182" fillId="25" borderId="90" xfId="0" applyFont="1" applyFill="1" applyBorder="1"/>
    <xf numFmtId="165" fontId="181" fillId="24" borderId="0" xfId="0" applyNumberFormat="1" applyFont="1" applyFill="1" applyAlignment="1">
      <alignment horizontal="center" vertical="center" wrapText="1"/>
    </xf>
    <xf numFmtId="3" fontId="181" fillId="24" borderId="0" xfId="0" quotePrefix="1" applyNumberFormat="1" applyFont="1" applyFill="1" applyAlignment="1">
      <alignment horizontal="center" vertical="center" wrapText="1"/>
    </xf>
    <xf numFmtId="165" fontId="184" fillId="24" borderId="0" xfId="0" applyNumberFormat="1" applyFont="1" applyFill="1" applyAlignment="1">
      <alignment horizontal="center" vertical="center" wrapText="1"/>
    </xf>
    <xf numFmtId="0" fontId="172" fillId="24" borderId="0" xfId="1346" applyFont="1" applyFill="1" applyAlignment="1">
      <alignment horizontal="center" vertical="center"/>
    </xf>
    <xf numFmtId="14" fontId="175" fillId="24" borderId="0" xfId="1346" applyNumberFormat="1" applyFont="1" applyFill="1" applyAlignment="1">
      <alignment horizontal="center" vertical="center"/>
    </xf>
    <xf numFmtId="14" fontId="172" fillId="24" borderId="0" xfId="1346" applyNumberFormat="1" applyFont="1" applyFill="1" applyAlignment="1">
      <alignment horizontal="center" vertical="center"/>
    </xf>
    <xf numFmtId="0" fontId="172" fillId="24" borderId="0" xfId="0" applyFont="1" applyFill="1" applyAlignment="1">
      <alignment horizontal="center" vertical="center"/>
    </xf>
    <xf numFmtId="0" fontId="172" fillId="0" borderId="0" xfId="0" applyFont="1" applyAlignment="1">
      <alignment horizontal="center" vertical="center"/>
    </xf>
    <xf numFmtId="0" fontId="187" fillId="25" borderId="152" xfId="0" applyFont="1" applyFill="1" applyBorder="1" applyAlignment="1">
      <alignment horizontal="center" vertical="center" wrapText="1"/>
    </xf>
    <xf numFmtId="0" fontId="187" fillId="25" borderId="153" xfId="0" applyFont="1" applyFill="1" applyBorder="1" applyAlignment="1">
      <alignment horizontal="center" vertical="center" wrapText="1"/>
    </xf>
    <xf numFmtId="0" fontId="187" fillId="25" borderId="153" xfId="0" applyFont="1" applyFill="1" applyBorder="1" applyAlignment="1">
      <alignment horizontal="center" vertical="center"/>
    </xf>
    <xf numFmtId="0" fontId="187" fillId="25" borderId="151" xfId="0" applyFont="1" applyFill="1" applyBorder="1" applyAlignment="1">
      <alignment horizontal="center" vertical="center" wrapText="1"/>
    </xf>
    <xf numFmtId="0" fontId="187" fillId="25" borderId="151" xfId="0" applyFont="1" applyFill="1" applyBorder="1" applyAlignment="1">
      <alignment horizontal="center" vertical="center"/>
    </xf>
    <xf numFmtId="0" fontId="187" fillId="25" borderId="139" xfId="0" applyFont="1" applyFill="1" applyBorder="1" applyAlignment="1">
      <alignment horizontal="center" vertical="center" wrapText="1"/>
    </xf>
    <xf numFmtId="3" fontId="16" fillId="0" borderId="111" xfId="0" applyNumberFormat="1" applyFont="1" applyBorder="1" applyAlignment="1">
      <alignment horizontal="center" vertical="center"/>
    </xf>
    <xf numFmtId="0" fontId="16" fillId="0" borderId="115" xfId="0" applyFont="1" applyBorder="1" applyAlignment="1">
      <alignment horizontal="center" vertical="center"/>
    </xf>
    <xf numFmtId="0" fontId="178" fillId="25" borderId="82" xfId="0" applyFont="1" applyFill="1" applyBorder="1" applyAlignment="1">
      <alignment horizontal="center" vertical="center"/>
    </xf>
    <xf numFmtId="10" fontId="178" fillId="25" borderId="7" xfId="0" applyNumberFormat="1" applyFont="1" applyFill="1" applyBorder="1" applyAlignment="1">
      <alignment horizontal="center" vertical="center"/>
    </xf>
    <xf numFmtId="3" fontId="178" fillId="25" borderId="83" xfId="0" applyNumberFormat="1" applyFont="1" applyFill="1" applyBorder="1" applyAlignment="1">
      <alignment horizontal="center" vertical="center"/>
    </xf>
    <xf numFmtId="0" fontId="185" fillId="25" borderId="83" xfId="0" applyFont="1" applyFill="1" applyBorder="1" applyAlignment="1">
      <alignment horizontal="center" vertical="center"/>
    </xf>
    <xf numFmtId="166" fontId="178" fillId="25" borderId="83" xfId="0" applyNumberFormat="1" applyFont="1" applyFill="1" applyBorder="1" applyAlignment="1">
      <alignment horizontal="center" vertical="center"/>
    </xf>
    <xf numFmtId="0" fontId="170" fillId="0" borderId="0" xfId="0" applyFont="1" applyAlignment="1">
      <alignment vertical="center"/>
    </xf>
    <xf numFmtId="0" fontId="170" fillId="0" borderId="0" xfId="0" applyFont="1" applyAlignment="1">
      <alignment horizontal="center" vertical="center"/>
    </xf>
    <xf numFmtId="0" fontId="180" fillId="0" borderId="0" xfId="0" applyFont="1" applyAlignment="1">
      <alignment vertical="center"/>
    </xf>
    <xf numFmtId="0" fontId="171" fillId="0" borderId="0" xfId="0" applyFont="1" applyAlignment="1">
      <alignment vertical="center"/>
    </xf>
    <xf numFmtId="6" fontId="177" fillId="24" borderId="156" xfId="1346" applyNumberFormat="1" applyFont="1" applyFill="1" applyBorder="1" applyAlignment="1">
      <alignment horizontal="center" vertical="center"/>
    </xf>
    <xf numFmtId="6" fontId="177" fillId="24" borderId="115" xfId="1346" applyNumberFormat="1" applyFont="1" applyFill="1" applyBorder="1" applyAlignment="1">
      <alignment horizontal="center" vertical="center"/>
    </xf>
    <xf numFmtId="6" fontId="177" fillId="24" borderId="164" xfId="1346" applyNumberFormat="1" applyFont="1" applyFill="1" applyBorder="1" applyAlignment="1">
      <alignment horizontal="center" vertical="center"/>
    </xf>
    <xf numFmtId="6" fontId="177" fillId="24" borderId="158" xfId="1346" applyNumberFormat="1" applyFont="1" applyFill="1" applyBorder="1" applyAlignment="1">
      <alignment horizontal="center" vertical="center"/>
    </xf>
    <xf numFmtId="6" fontId="177" fillId="24" borderId="154" xfId="1346" applyNumberFormat="1" applyFont="1" applyFill="1" applyBorder="1" applyAlignment="1">
      <alignment horizontal="center" vertical="center"/>
    </xf>
    <xf numFmtId="6" fontId="177" fillId="24" borderId="111" xfId="1346" applyNumberFormat="1" applyFont="1" applyFill="1" applyBorder="1" applyAlignment="1">
      <alignment horizontal="center" vertical="center"/>
    </xf>
    <xf numFmtId="0" fontId="177" fillId="24" borderId="0" xfId="1346" applyFont="1" applyFill="1" applyAlignment="1">
      <alignment vertical="center"/>
    </xf>
    <xf numFmtId="8" fontId="177" fillId="24" borderId="113" xfId="1346" applyNumberFormat="1" applyFont="1" applyFill="1" applyBorder="1" applyAlignment="1">
      <alignment horizontal="center" vertical="center"/>
    </xf>
    <xf numFmtId="8" fontId="177" fillId="24" borderId="40" xfId="1346" applyNumberFormat="1" applyFont="1" applyFill="1" applyBorder="1" applyAlignment="1">
      <alignment horizontal="center" vertical="center"/>
    </xf>
    <xf numFmtId="8" fontId="177" fillId="24" borderId="159" xfId="1346" applyNumberFormat="1" applyFont="1" applyFill="1" applyBorder="1" applyAlignment="1">
      <alignment horizontal="center" vertical="center"/>
    </xf>
    <xf numFmtId="167" fontId="177" fillId="24" borderId="113" xfId="1346" applyNumberFormat="1" applyFont="1" applyFill="1" applyBorder="1" applyAlignment="1">
      <alignment horizontal="center" vertical="center"/>
    </xf>
    <xf numFmtId="167" fontId="177" fillId="24" borderId="40" xfId="1346" applyNumberFormat="1" applyFont="1" applyFill="1" applyBorder="1" applyAlignment="1">
      <alignment horizontal="center" vertical="center"/>
    </xf>
    <xf numFmtId="167" fontId="177" fillId="24" borderId="159" xfId="1346" applyNumberFormat="1" applyFont="1" applyFill="1" applyBorder="1" applyAlignment="1">
      <alignment horizontal="center" vertical="center"/>
    </xf>
    <xf numFmtId="3" fontId="177" fillId="24" borderId="113" xfId="1346" applyNumberFormat="1" applyFont="1" applyFill="1" applyBorder="1" applyAlignment="1">
      <alignment horizontal="center" vertical="center"/>
    </xf>
    <xf numFmtId="3" fontId="177" fillId="24" borderId="40" xfId="1346" applyNumberFormat="1" applyFont="1" applyFill="1" applyBorder="1" applyAlignment="1">
      <alignment horizontal="center" vertical="center"/>
    </xf>
    <xf numFmtId="3" fontId="177" fillId="24" borderId="159" xfId="1346" applyNumberFormat="1" applyFont="1" applyFill="1" applyBorder="1" applyAlignment="1">
      <alignment horizontal="center" vertical="center"/>
    </xf>
    <xf numFmtId="10" fontId="177" fillId="24" borderId="124" xfId="1346" applyNumberFormat="1" applyFont="1" applyFill="1" applyBorder="1" applyAlignment="1">
      <alignment horizontal="center" vertical="center"/>
    </xf>
    <xf numFmtId="10" fontId="177" fillId="24" borderId="113" xfId="1346" applyNumberFormat="1" applyFont="1" applyFill="1" applyBorder="1" applyAlignment="1">
      <alignment horizontal="center" vertical="center"/>
    </xf>
    <xf numFmtId="3" fontId="176" fillId="24" borderId="159" xfId="1346" applyNumberFormat="1" applyFont="1" applyFill="1" applyBorder="1" applyAlignment="1">
      <alignment horizontal="center" vertical="center"/>
    </xf>
    <xf numFmtId="0" fontId="172" fillId="24" borderId="0" xfId="1346" applyFont="1" applyFill="1" applyAlignment="1">
      <alignment horizontal="left" vertical="center"/>
    </xf>
    <xf numFmtId="0" fontId="171" fillId="0" borderId="0" xfId="0" applyFont="1" applyAlignment="1">
      <alignment horizontal="center" vertical="center"/>
    </xf>
    <xf numFmtId="0" fontId="173" fillId="25" borderId="11" xfId="0" applyFont="1" applyFill="1" applyBorder="1" applyAlignment="1">
      <alignment horizontal="center" vertical="center"/>
    </xf>
    <xf numFmtId="0" fontId="173" fillId="25" borderId="71" xfId="0" applyFont="1" applyFill="1" applyBorder="1" applyAlignment="1">
      <alignment horizontal="center" vertical="center"/>
    </xf>
    <xf numFmtId="0" fontId="0" fillId="0" borderId="0" xfId="0" applyAlignment="1">
      <alignment horizontal="center" vertical="center"/>
    </xf>
    <xf numFmtId="171" fontId="173" fillId="25" borderId="104" xfId="0" applyNumberFormat="1" applyFont="1" applyFill="1" applyBorder="1" applyAlignment="1">
      <alignment horizontal="center" vertical="center"/>
    </xf>
    <xf numFmtId="171" fontId="173" fillId="25" borderId="105" xfId="0" applyNumberFormat="1" applyFont="1" applyFill="1" applyBorder="1" applyAlignment="1">
      <alignment horizontal="center" vertical="center"/>
    </xf>
    <xf numFmtId="0" fontId="173" fillId="25" borderId="142" xfId="0" applyFont="1" applyFill="1" applyBorder="1" applyAlignment="1">
      <alignment horizontal="center" vertical="center"/>
    </xf>
    <xf numFmtId="167" fontId="173" fillId="25" borderId="172" xfId="0" applyNumberFormat="1" applyFont="1" applyFill="1" applyBorder="1" applyAlignment="1">
      <alignment horizontal="center" vertical="center"/>
    </xf>
    <xf numFmtId="167" fontId="173" fillId="25" borderId="149" xfId="0" applyNumberFormat="1" applyFont="1" applyFill="1" applyBorder="1" applyAlignment="1">
      <alignment horizontal="center" vertical="center"/>
    </xf>
    <xf numFmtId="167" fontId="173" fillId="25" borderId="55" xfId="0" applyNumberFormat="1" applyFont="1" applyFill="1" applyBorder="1" applyAlignment="1">
      <alignment horizontal="center" vertical="center"/>
    </xf>
    <xf numFmtId="6" fontId="18" fillId="3" borderId="79" xfId="0" applyNumberFormat="1" applyFont="1" applyFill="1" applyBorder="1" applyAlignment="1">
      <alignment horizontal="center" vertical="center"/>
    </xf>
    <xf numFmtId="6" fontId="26" fillId="28" borderId="172" xfId="0" applyNumberFormat="1" applyFont="1" applyFill="1" applyBorder="1" applyAlignment="1">
      <alignment horizontal="center" vertical="center"/>
    </xf>
    <xf numFmtId="171" fontId="173" fillId="25" borderId="106" xfId="0" applyNumberFormat="1" applyFont="1" applyFill="1" applyBorder="1" applyAlignment="1">
      <alignment horizontal="center" vertical="center"/>
    </xf>
    <xf numFmtId="0" fontId="173" fillId="25" borderId="135" xfId="0" applyFont="1" applyFill="1" applyBorder="1" applyAlignment="1">
      <alignment horizontal="center" vertical="center"/>
    </xf>
    <xf numFmtId="0" fontId="192" fillId="25" borderId="135" xfId="0" applyFont="1" applyFill="1" applyBorder="1" applyAlignment="1">
      <alignment horizontal="center" vertical="center"/>
    </xf>
    <xf numFmtId="6" fontId="174" fillId="24" borderId="79" xfId="0" applyNumberFormat="1" applyFont="1" applyFill="1" applyBorder="1" applyAlignment="1">
      <alignment horizontal="center" vertical="center"/>
    </xf>
    <xf numFmtId="6" fontId="174" fillId="24" borderId="80" xfId="0" applyNumberFormat="1" applyFont="1" applyFill="1" applyBorder="1" applyAlignment="1">
      <alignment horizontal="center" vertical="center"/>
    </xf>
    <xf numFmtId="6" fontId="18" fillId="3" borderId="80" xfId="0" applyNumberFormat="1" applyFont="1" applyFill="1" applyBorder="1" applyAlignment="1">
      <alignment horizontal="center" vertical="center"/>
    </xf>
    <xf numFmtId="6" fontId="18" fillId="3" borderId="0" xfId="0" applyNumberFormat="1" applyFont="1" applyFill="1" applyAlignment="1">
      <alignment horizontal="center" vertical="center"/>
    </xf>
    <xf numFmtId="6" fontId="26" fillId="3" borderId="79" xfId="0" applyNumberFormat="1" applyFont="1" applyFill="1" applyBorder="1" applyAlignment="1">
      <alignment horizontal="center" vertical="center"/>
    </xf>
    <xf numFmtId="6" fontId="26" fillId="3" borderId="80" xfId="0" applyNumberFormat="1" applyFont="1" applyFill="1" applyBorder="1" applyAlignment="1">
      <alignment horizontal="center" vertical="center"/>
    </xf>
    <xf numFmtId="6" fontId="26" fillId="28" borderId="149" xfId="0" applyNumberFormat="1" applyFont="1" applyFill="1" applyBorder="1" applyAlignment="1">
      <alignment horizontal="center" vertical="center"/>
    </xf>
    <xf numFmtId="171" fontId="173" fillId="25" borderId="171" xfId="0" applyNumberFormat="1" applyFont="1" applyFill="1" applyBorder="1" applyAlignment="1">
      <alignment horizontal="center" vertical="center"/>
    </xf>
    <xf numFmtId="6" fontId="174" fillId="24" borderId="85" xfId="0" applyNumberFormat="1" applyFont="1" applyFill="1" applyBorder="1" applyAlignment="1">
      <alignment horizontal="center" vertical="center"/>
    </xf>
    <xf numFmtId="6" fontId="174" fillId="24" borderId="81" xfId="0" applyNumberFormat="1" applyFont="1" applyFill="1" applyBorder="1" applyAlignment="1">
      <alignment horizontal="center" vertical="center"/>
    </xf>
    <xf numFmtId="0" fontId="192" fillId="25" borderId="144" xfId="0" applyFont="1" applyFill="1" applyBorder="1" applyAlignment="1">
      <alignment horizontal="center" vertical="center"/>
    </xf>
    <xf numFmtId="167" fontId="173" fillId="25" borderId="69" xfId="0" applyNumberFormat="1" applyFont="1" applyFill="1" applyBorder="1" applyAlignment="1">
      <alignment horizontal="center" vertical="center"/>
    </xf>
    <xf numFmtId="168" fontId="172" fillId="0" borderId="0" xfId="0" applyNumberFormat="1" applyFont="1" applyAlignment="1">
      <alignment horizontal="center" vertical="center"/>
    </xf>
    <xf numFmtId="0" fontId="173" fillId="25" borderId="5" xfId="0" applyFont="1" applyFill="1" applyBorder="1" applyAlignment="1">
      <alignment horizontal="center" vertical="center"/>
    </xf>
    <xf numFmtId="0" fontId="26" fillId="0" borderId="0" xfId="5" applyFont="1" applyAlignment="1">
      <alignment horizontal="center" vertical="center"/>
    </xf>
    <xf numFmtId="1" fontId="116" fillId="0" borderId="0" xfId="0" applyNumberFormat="1" applyFont="1" applyAlignment="1">
      <alignment horizontal="center" vertical="center"/>
    </xf>
    <xf numFmtId="0" fontId="26" fillId="28" borderId="150" xfId="0" applyFont="1" applyFill="1" applyBorder="1" applyAlignment="1">
      <alignment horizontal="center" vertical="center"/>
    </xf>
    <xf numFmtId="0" fontId="172" fillId="0" borderId="85" xfId="0" applyFont="1" applyBorder="1" applyAlignment="1">
      <alignment horizontal="center" vertical="center"/>
    </xf>
    <xf numFmtId="6" fontId="174" fillId="24" borderId="0" xfId="0" applyNumberFormat="1" applyFont="1" applyFill="1" applyAlignment="1">
      <alignment horizontal="center" vertical="center"/>
    </xf>
    <xf numFmtId="0" fontId="172" fillId="0" borderId="171" xfId="0" applyFont="1" applyBorder="1" applyAlignment="1">
      <alignment horizontal="center" vertical="center" wrapText="1"/>
    </xf>
    <xf numFmtId="0" fontId="172" fillId="0" borderId="82" xfId="0" applyFont="1" applyBorder="1" applyAlignment="1">
      <alignment horizontal="center" vertical="center"/>
    </xf>
    <xf numFmtId="0" fontId="26" fillId="28" borderId="134" xfId="0" applyFont="1" applyFill="1" applyBorder="1" applyAlignment="1">
      <alignment horizontal="center" vertical="center"/>
    </xf>
    <xf numFmtId="0" fontId="26" fillId="28" borderId="116" xfId="0" applyFont="1" applyFill="1" applyBorder="1" applyAlignment="1">
      <alignment horizontal="center" vertical="center"/>
    </xf>
    <xf numFmtId="6" fontId="172" fillId="24" borderId="0" xfId="0" applyNumberFormat="1" applyFont="1" applyFill="1" applyAlignment="1">
      <alignment horizontal="center" vertical="center"/>
    </xf>
    <xf numFmtId="0" fontId="0" fillId="24" borderId="0" xfId="0" applyFill="1" applyAlignment="1">
      <alignment horizontal="center" vertical="center"/>
    </xf>
    <xf numFmtId="6" fontId="0" fillId="24" borderId="0" xfId="0" applyNumberFormat="1" applyFill="1" applyAlignment="1">
      <alignment horizontal="center" vertical="center"/>
    </xf>
    <xf numFmtId="171" fontId="173" fillId="25" borderId="55" xfId="0" applyNumberFormat="1" applyFont="1" applyFill="1" applyBorder="1" applyAlignment="1">
      <alignment horizontal="center" vertical="center"/>
    </xf>
    <xf numFmtId="0" fontId="173" fillId="25" borderId="152" xfId="0" applyFont="1" applyFill="1" applyBorder="1" applyAlignment="1">
      <alignment horizontal="center" vertical="center"/>
    </xf>
    <xf numFmtId="0" fontId="173" fillId="25" borderId="153" xfId="0" applyFont="1" applyFill="1" applyBorder="1" applyAlignment="1">
      <alignment horizontal="center" vertical="center"/>
    </xf>
    <xf numFmtId="171" fontId="173" fillId="25" borderId="68" xfId="0" applyNumberFormat="1" applyFont="1" applyFill="1" applyBorder="1" applyAlignment="1">
      <alignment horizontal="center" vertical="center"/>
    </xf>
    <xf numFmtId="0" fontId="187" fillId="25" borderId="152" xfId="0" applyFont="1" applyFill="1" applyBorder="1" applyAlignment="1">
      <alignment horizontal="center" vertical="center"/>
    </xf>
    <xf numFmtId="0" fontId="187" fillId="25" borderId="178" xfId="0" applyFont="1" applyFill="1" applyBorder="1" applyAlignment="1">
      <alignment horizontal="center" vertical="center" wrapText="1"/>
    </xf>
    <xf numFmtId="0" fontId="171" fillId="26" borderId="145" xfId="0" applyFont="1" applyFill="1" applyBorder="1" applyAlignment="1">
      <alignment horizontal="center" vertical="center"/>
    </xf>
    <xf numFmtId="0" fontId="173" fillId="25" borderId="59" xfId="0" applyFont="1" applyFill="1" applyBorder="1" applyAlignment="1">
      <alignment horizontal="center" vertical="center"/>
    </xf>
    <xf numFmtId="0" fontId="173" fillId="25" borderId="70" xfId="0" applyFont="1" applyFill="1" applyBorder="1" applyAlignment="1">
      <alignment horizontal="center" vertical="center"/>
    </xf>
    <xf numFmtId="0" fontId="174" fillId="0" borderId="0" xfId="0" applyFont="1" applyAlignment="1">
      <alignment horizontal="center" vertical="center"/>
    </xf>
    <xf numFmtId="0" fontId="194" fillId="24" borderId="0" xfId="0" applyFont="1" applyFill="1" applyAlignment="1">
      <alignment horizontal="center" vertical="center"/>
    </xf>
    <xf numFmtId="0" fontId="0" fillId="24" borderId="7" xfId="0" applyFill="1" applyBorder="1" applyAlignment="1">
      <alignment horizontal="center" vertical="center"/>
    </xf>
    <xf numFmtId="6" fontId="0" fillId="24" borderId="7" xfId="0" applyNumberFormat="1" applyFill="1" applyBorder="1" applyAlignment="1">
      <alignment horizontal="center" vertical="center"/>
    </xf>
    <xf numFmtId="0" fontId="195" fillId="25" borderId="0" xfId="0" applyFont="1" applyFill="1" applyAlignment="1">
      <alignment horizontal="center" vertical="center"/>
    </xf>
    <xf numFmtId="0" fontId="0" fillId="24" borderId="11" xfId="0" applyFill="1" applyBorder="1" applyAlignment="1">
      <alignment horizontal="center" vertical="center"/>
    </xf>
    <xf numFmtId="0" fontId="195" fillId="25" borderId="11" xfId="0" applyFont="1" applyFill="1" applyBorder="1" applyAlignment="1">
      <alignment horizontal="center" vertical="center"/>
    </xf>
    <xf numFmtId="0" fontId="180" fillId="24" borderId="113" xfId="0" applyFont="1" applyFill="1" applyBorder="1" applyAlignment="1">
      <alignment horizontal="center" vertical="center" wrapText="1"/>
    </xf>
    <xf numFmtId="3" fontId="16" fillId="24" borderId="113" xfId="0" applyNumberFormat="1" applyFont="1" applyFill="1" applyBorder="1" applyAlignment="1">
      <alignment horizontal="center" vertical="center"/>
    </xf>
    <xf numFmtId="3" fontId="16" fillId="24" borderId="112" xfId="0" applyNumberFormat="1" applyFont="1" applyFill="1" applyBorder="1" applyAlignment="1">
      <alignment horizontal="center" vertical="center"/>
    </xf>
    <xf numFmtId="175" fontId="18" fillId="24" borderId="134" xfId="0" applyNumberFormat="1" applyFont="1" applyFill="1" applyBorder="1" applyAlignment="1">
      <alignment horizontal="center" vertical="center"/>
    </xf>
    <xf numFmtId="38" fontId="172" fillId="24" borderId="129" xfId="21" applyNumberFormat="1" applyFont="1" applyFill="1" applyBorder="1" applyAlignment="1">
      <alignment horizontal="center" vertical="center"/>
    </xf>
    <xf numFmtId="38" fontId="18" fillId="24" borderId="130" xfId="21" applyNumberFormat="1" applyFont="1" applyFill="1" applyBorder="1" applyAlignment="1">
      <alignment horizontal="center" vertical="center"/>
    </xf>
    <xf numFmtId="6" fontId="18" fillId="24" borderId="130" xfId="0" applyNumberFormat="1" applyFont="1" applyFill="1" applyBorder="1" applyAlignment="1">
      <alignment horizontal="center" vertical="center"/>
    </xf>
    <xf numFmtId="164" fontId="18" fillId="24" borderId="131" xfId="21" applyNumberFormat="1" applyFont="1" applyFill="1" applyBorder="1" applyAlignment="1">
      <alignment horizontal="center" vertical="center"/>
    </xf>
    <xf numFmtId="175" fontId="18" fillId="24" borderId="116" xfId="0" applyNumberFormat="1" applyFont="1" applyFill="1" applyBorder="1" applyAlignment="1">
      <alignment horizontal="center" vertical="center"/>
    </xf>
    <xf numFmtId="38" fontId="172" fillId="24" borderId="133" xfId="21" applyNumberFormat="1" applyFont="1" applyFill="1" applyBorder="1" applyAlignment="1">
      <alignment horizontal="center" vertical="center"/>
    </xf>
    <xf numFmtId="38" fontId="18" fillId="24" borderId="40" xfId="21" applyNumberFormat="1" applyFont="1" applyFill="1" applyBorder="1" applyAlignment="1">
      <alignment horizontal="center" vertical="center"/>
    </xf>
    <xf numFmtId="6" fontId="18" fillId="24" borderId="40" xfId="0" applyNumberFormat="1" applyFont="1" applyFill="1" applyBorder="1" applyAlignment="1">
      <alignment horizontal="center" vertical="center"/>
    </xf>
    <xf numFmtId="164" fontId="18" fillId="24" borderId="117" xfId="21" applyNumberFormat="1" applyFont="1" applyFill="1" applyBorder="1" applyAlignment="1">
      <alignment horizontal="center" vertical="center"/>
    </xf>
    <xf numFmtId="175" fontId="18" fillId="24" borderId="166" xfId="0" applyNumberFormat="1" applyFont="1" applyFill="1" applyBorder="1" applyAlignment="1">
      <alignment horizontal="center" vertical="center"/>
    </xf>
    <xf numFmtId="38" fontId="172" fillId="24" borderId="123" xfId="21" applyNumberFormat="1" applyFont="1" applyFill="1" applyBorder="1" applyAlignment="1">
      <alignment horizontal="center" vertical="center"/>
    </xf>
    <xf numFmtId="38" fontId="18" fillId="24" borderId="124" xfId="21" applyNumberFormat="1" applyFont="1" applyFill="1" applyBorder="1" applyAlignment="1">
      <alignment horizontal="center" vertical="center"/>
    </xf>
    <xf numFmtId="6" fontId="18" fillId="24" borderId="124" xfId="0" applyNumberFormat="1" applyFont="1" applyFill="1" applyBorder="1" applyAlignment="1">
      <alignment horizontal="center" vertical="center"/>
    </xf>
    <xf numFmtId="164" fontId="18" fillId="24" borderId="125" xfId="21" applyNumberFormat="1" applyFont="1" applyFill="1" applyBorder="1" applyAlignment="1">
      <alignment horizontal="center" vertical="center"/>
    </xf>
    <xf numFmtId="0" fontId="27" fillId="24" borderId="134" xfId="14" applyFont="1" applyFill="1" applyBorder="1" applyAlignment="1">
      <alignment horizontal="center" vertical="center"/>
    </xf>
    <xf numFmtId="0" fontId="27" fillId="24" borderId="129" xfId="14" applyFont="1" applyFill="1" applyBorder="1" applyAlignment="1">
      <alignment horizontal="center" vertical="center"/>
    </xf>
    <xf numFmtId="3" fontId="174" fillId="24" borderId="130" xfId="14" applyNumberFormat="1" applyFont="1" applyFill="1" applyBorder="1" applyAlignment="1">
      <alignment horizontal="center" vertical="center"/>
    </xf>
    <xf numFmtId="8" fontId="18" fillId="24" borderId="130" xfId="0" applyNumberFormat="1" applyFont="1" applyFill="1" applyBorder="1" applyAlignment="1">
      <alignment horizontal="center" vertical="center"/>
    </xf>
    <xf numFmtId="6" fontId="18" fillId="24" borderId="131" xfId="0" applyNumberFormat="1" applyFont="1" applyFill="1" applyBorder="1" applyAlignment="1">
      <alignment horizontal="center" vertical="center"/>
    </xf>
    <xf numFmtId="0" fontId="27" fillId="24" borderId="166" xfId="14" applyFont="1" applyFill="1" applyBorder="1" applyAlignment="1">
      <alignment horizontal="center" vertical="center"/>
    </xf>
    <xf numFmtId="0" fontId="27" fillId="24" borderId="123" xfId="14" applyFont="1" applyFill="1" applyBorder="1" applyAlignment="1">
      <alignment horizontal="center" vertical="center"/>
    </xf>
    <xf numFmtId="3" fontId="174" fillId="24" borderId="124" xfId="14" applyNumberFormat="1" applyFont="1" applyFill="1" applyBorder="1" applyAlignment="1">
      <alignment horizontal="center" vertical="center"/>
    </xf>
    <xf numFmtId="8" fontId="18" fillId="24" borderId="124" xfId="0" applyNumberFormat="1" applyFont="1" applyFill="1" applyBorder="1" applyAlignment="1">
      <alignment horizontal="center" vertical="center"/>
    </xf>
    <xf numFmtId="6" fontId="18" fillId="24" borderId="125" xfId="0" applyNumberFormat="1" applyFont="1" applyFill="1" applyBorder="1" applyAlignment="1">
      <alignment horizontal="center" vertical="center"/>
    </xf>
    <xf numFmtId="6" fontId="172" fillId="0" borderId="0" xfId="0" applyNumberFormat="1" applyFont="1" applyAlignment="1">
      <alignment horizontal="center" vertical="center"/>
    </xf>
    <xf numFmtId="0" fontId="196" fillId="24" borderId="11" xfId="0" applyFont="1" applyFill="1" applyBorder="1" applyAlignment="1">
      <alignment horizontal="center" vertical="center"/>
    </xf>
    <xf numFmtId="0" fontId="0" fillId="24" borderId="59" xfId="0" applyFill="1" applyBorder="1" applyAlignment="1">
      <alignment horizontal="center" vertical="center"/>
    </xf>
    <xf numFmtId="0" fontId="0" fillId="24" borderId="70" xfId="0" applyFill="1" applyBorder="1" applyAlignment="1">
      <alignment horizontal="center" vertical="center"/>
    </xf>
    <xf numFmtId="8" fontId="0" fillId="24" borderId="70" xfId="0" applyNumberFormat="1" applyFill="1" applyBorder="1" applyAlignment="1">
      <alignment horizontal="center" vertical="center"/>
    </xf>
    <xf numFmtId="6" fontId="174" fillId="0" borderId="0" xfId="0" applyNumberFormat="1" applyFont="1" applyAlignment="1">
      <alignment horizontal="center" vertical="center"/>
    </xf>
    <xf numFmtId="0" fontId="173" fillId="25" borderId="67" xfId="0" applyFont="1" applyFill="1" applyBorder="1" applyAlignment="1">
      <alignment horizontal="center" vertical="center"/>
    </xf>
    <xf numFmtId="0" fontId="173" fillId="24" borderId="0" xfId="0" applyFont="1" applyFill="1" applyAlignment="1">
      <alignment horizontal="center" vertical="center"/>
    </xf>
    <xf numFmtId="0" fontId="18" fillId="24" borderId="0" xfId="0" applyFont="1" applyFill="1" applyAlignment="1">
      <alignment horizontal="center" vertical="center"/>
    </xf>
    <xf numFmtId="5" fontId="18" fillId="24" borderId="0" xfId="21" applyNumberFormat="1" applyFont="1" applyFill="1" applyBorder="1" applyAlignment="1">
      <alignment horizontal="center" vertical="center"/>
    </xf>
    <xf numFmtId="165" fontId="18" fillId="24" borderId="0" xfId="21" applyNumberFormat="1" applyFont="1" applyFill="1" applyBorder="1" applyAlignment="1">
      <alignment horizontal="center" vertical="center"/>
    </xf>
    <xf numFmtId="283" fontId="18" fillId="24" borderId="0" xfId="0" applyNumberFormat="1" applyFont="1" applyFill="1" applyAlignment="1">
      <alignment horizontal="center" vertical="center"/>
    </xf>
    <xf numFmtId="257" fontId="18" fillId="24" borderId="0" xfId="0" applyNumberFormat="1" applyFont="1" applyFill="1" applyAlignment="1">
      <alignment horizontal="center" vertical="center"/>
    </xf>
    <xf numFmtId="5" fontId="26" fillId="24" borderId="0" xfId="21" applyNumberFormat="1" applyFont="1" applyFill="1" applyBorder="1" applyAlignment="1">
      <alignment horizontal="center" vertical="center"/>
    </xf>
    <xf numFmtId="262" fontId="26" fillId="28" borderId="138" xfId="0" applyNumberFormat="1" applyFont="1" applyFill="1" applyBorder="1" applyAlignment="1">
      <alignment horizontal="center" vertical="center"/>
    </xf>
    <xf numFmtId="6" fontId="172" fillId="24" borderId="11" xfId="0" applyNumberFormat="1" applyFont="1" applyFill="1" applyBorder="1" applyAlignment="1">
      <alignment horizontal="center" vertical="center"/>
    </xf>
    <xf numFmtId="6" fontId="18" fillId="24" borderId="0" xfId="0" applyNumberFormat="1" applyFont="1" applyFill="1" applyAlignment="1">
      <alignment horizontal="center" vertical="center"/>
    </xf>
    <xf numFmtId="6" fontId="18" fillId="24" borderId="5" xfId="0" applyNumberFormat="1" applyFont="1" applyFill="1" applyBorder="1" applyAlignment="1">
      <alignment horizontal="center" vertical="center"/>
    </xf>
    <xf numFmtId="6" fontId="172" fillId="24" borderId="59" xfId="0" applyNumberFormat="1" applyFont="1" applyFill="1" applyBorder="1" applyAlignment="1">
      <alignment horizontal="center" vertical="center"/>
    </xf>
    <xf numFmtId="0" fontId="173" fillId="25" borderId="60" xfId="0" applyFont="1" applyFill="1" applyBorder="1" applyAlignment="1">
      <alignment horizontal="center" vertical="center"/>
    </xf>
    <xf numFmtId="0" fontId="196" fillId="24" borderId="0" xfId="0" applyFont="1" applyFill="1" applyAlignment="1">
      <alignment horizontal="center" vertical="center"/>
    </xf>
    <xf numFmtId="8" fontId="196" fillId="24" borderId="0" xfId="0" applyNumberFormat="1" applyFont="1" applyFill="1" applyAlignment="1">
      <alignment horizontal="center" vertical="center"/>
    </xf>
    <xf numFmtId="8" fontId="0" fillId="24" borderId="0" xfId="0" applyNumberFormat="1" applyFill="1" applyAlignment="1">
      <alignment horizontal="center" vertical="center"/>
    </xf>
    <xf numFmtId="0" fontId="172" fillId="24" borderId="5" xfId="0" applyFont="1" applyFill="1" applyBorder="1" applyAlignment="1">
      <alignment horizontal="center" vertical="center"/>
    </xf>
    <xf numFmtId="8" fontId="26" fillId="24" borderId="71" xfId="1346" applyNumberFormat="1" applyFont="1" applyFill="1" applyBorder="1" applyAlignment="1">
      <alignment horizontal="center" vertical="center"/>
    </xf>
    <xf numFmtId="8" fontId="26" fillId="24" borderId="139" xfId="1346" applyNumberFormat="1" applyFont="1" applyFill="1" applyBorder="1" applyAlignment="1">
      <alignment horizontal="center" vertical="center"/>
    </xf>
    <xf numFmtId="0" fontId="172" fillId="24" borderId="11" xfId="0" applyFont="1" applyFill="1" applyBorder="1" applyAlignment="1">
      <alignment horizontal="center" vertical="center"/>
    </xf>
    <xf numFmtId="0" fontId="18" fillId="24" borderId="138" xfId="1346" applyFont="1" applyFill="1" applyBorder="1" applyAlignment="1">
      <alignment horizontal="center" vertical="center"/>
    </xf>
    <xf numFmtId="0" fontId="18" fillId="24" borderId="11" xfId="0" applyFont="1" applyFill="1" applyBorder="1" applyAlignment="1">
      <alignment horizontal="center" vertical="center"/>
    </xf>
    <xf numFmtId="171" fontId="26" fillId="28" borderId="171" xfId="0" applyNumberFormat="1" applyFont="1" applyFill="1" applyBorder="1" applyAlignment="1">
      <alignment horizontal="center" vertical="center"/>
    </xf>
    <xf numFmtId="171" fontId="26" fillId="28" borderId="105" xfId="0" applyNumberFormat="1" applyFont="1" applyFill="1" applyBorder="1" applyAlignment="1">
      <alignment horizontal="center" vertical="center"/>
    </xf>
    <xf numFmtId="171" fontId="26" fillId="28" borderId="106" xfId="0" applyNumberFormat="1" applyFont="1" applyFill="1" applyBorder="1" applyAlignment="1">
      <alignment horizontal="center" vertical="center"/>
    </xf>
    <xf numFmtId="6" fontId="18" fillId="28" borderId="85" xfId="0" applyNumberFormat="1" applyFont="1" applyFill="1" applyBorder="1" applyAlignment="1">
      <alignment horizontal="center" vertical="center"/>
    </xf>
    <xf numFmtId="6" fontId="18" fillId="28" borderId="79" xfId="0" applyNumberFormat="1" applyFont="1" applyFill="1" applyBorder="1" applyAlignment="1">
      <alignment horizontal="center" vertical="center"/>
    </xf>
    <xf numFmtId="6" fontId="18" fillId="28" borderId="81" xfId="0" applyNumberFormat="1" applyFont="1" applyFill="1" applyBorder="1" applyAlignment="1">
      <alignment horizontal="center" vertical="center"/>
    </xf>
    <xf numFmtId="6" fontId="26" fillId="24" borderId="64" xfId="0" applyNumberFormat="1" applyFont="1" applyFill="1" applyBorder="1" applyAlignment="1">
      <alignment horizontal="center" vertical="center"/>
    </xf>
    <xf numFmtId="6" fontId="26" fillId="24" borderId="109" xfId="0" applyNumberFormat="1" applyFont="1" applyFill="1" applyBorder="1" applyAlignment="1">
      <alignment horizontal="center" vertical="center"/>
    </xf>
    <xf numFmtId="6" fontId="26" fillId="24" borderId="10" xfId="0" applyNumberFormat="1" applyFont="1" applyFill="1" applyBorder="1" applyAlignment="1">
      <alignment horizontal="center" vertical="center"/>
    </xf>
    <xf numFmtId="0" fontId="172" fillId="24" borderId="59" xfId="0" applyFont="1" applyFill="1" applyBorder="1" applyAlignment="1">
      <alignment horizontal="center" vertical="center"/>
    </xf>
    <xf numFmtId="277" fontId="192" fillId="25" borderId="150" xfId="0" applyNumberFormat="1" applyFont="1" applyFill="1" applyBorder="1" applyAlignment="1">
      <alignment horizontal="center" vertical="center"/>
    </xf>
    <xf numFmtId="277" fontId="192" fillId="25" borderId="149" xfId="0" applyNumberFormat="1" applyFont="1" applyFill="1" applyBorder="1" applyAlignment="1">
      <alignment horizontal="center" vertical="center"/>
    </xf>
    <xf numFmtId="277" fontId="192" fillId="25" borderId="148" xfId="0" applyNumberFormat="1" applyFont="1" applyFill="1" applyBorder="1" applyAlignment="1">
      <alignment horizontal="center" vertical="center"/>
    </xf>
    <xf numFmtId="167" fontId="173" fillId="25" borderId="68" xfId="0" applyNumberFormat="1" applyFont="1" applyFill="1" applyBorder="1" applyAlignment="1">
      <alignment horizontal="center" vertical="center"/>
    </xf>
    <xf numFmtId="0" fontId="26" fillId="28" borderId="149" xfId="0" applyFont="1" applyFill="1" applyBorder="1" applyAlignment="1">
      <alignment horizontal="center" vertical="center"/>
    </xf>
    <xf numFmtId="0" fontId="26" fillId="28" borderId="148" xfId="0" applyFont="1" applyFill="1" applyBorder="1" applyAlignment="1">
      <alignment horizontal="center" vertical="center"/>
    </xf>
    <xf numFmtId="6" fontId="26" fillId="28" borderId="173" xfId="0" applyNumberFormat="1" applyFont="1" applyFill="1" applyBorder="1" applyAlignment="1">
      <alignment horizontal="center" vertical="center"/>
    </xf>
    <xf numFmtId="6" fontId="26" fillId="24" borderId="183" xfId="0" applyNumberFormat="1" applyFont="1" applyFill="1" applyBorder="1" applyAlignment="1">
      <alignment horizontal="center" vertical="center"/>
    </xf>
    <xf numFmtId="6" fontId="26" fillId="24" borderId="56" xfId="0" applyNumberFormat="1" applyFont="1" applyFill="1" applyBorder="1" applyAlignment="1">
      <alignment horizontal="center" vertical="center"/>
    </xf>
    <xf numFmtId="6" fontId="172" fillId="24" borderId="183" xfId="0" applyNumberFormat="1" applyFont="1" applyFill="1" applyBorder="1" applyAlignment="1">
      <alignment horizontal="center" vertical="center"/>
    </xf>
    <xf numFmtId="6" fontId="26" fillId="28" borderId="77" xfId="0" applyNumberFormat="1" applyFont="1" applyFill="1" applyBorder="1" applyAlignment="1">
      <alignment horizontal="center" vertical="center"/>
    </xf>
    <xf numFmtId="14" fontId="26" fillId="28" borderId="138" xfId="0" applyNumberFormat="1" applyFont="1" applyFill="1" applyBorder="1" applyAlignment="1">
      <alignment horizontal="center" vertical="center"/>
    </xf>
    <xf numFmtId="14" fontId="26" fillId="28" borderId="142" xfId="0" applyNumberFormat="1" applyFont="1" applyFill="1" applyBorder="1" applyAlignment="1">
      <alignment horizontal="center" vertical="center"/>
    </xf>
    <xf numFmtId="0" fontId="26" fillId="28" borderId="108" xfId="0" applyFont="1" applyFill="1" applyBorder="1" applyAlignment="1">
      <alignment horizontal="center" vertical="center"/>
    </xf>
    <xf numFmtId="10" fontId="26" fillId="28" borderId="138" xfId="0" applyNumberFormat="1" applyFont="1" applyFill="1" applyBorder="1" applyAlignment="1">
      <alignment horizontal="center" vertical="center"/>
    </xf>
    <xf numFmtId="6" fontId="174" fillId="24" borderId="77" xfId="0" applyNumberFormat="1" applyFont="1" applyFill="1" applyBorder="1" applyAlignment="1">
      <alignment horizontal="center" vertical="center"/>
    </xf>
    <xf numFmtId="6" fontId="26" fillId="24" borderId="74" xfId="0" applyNumberFormat="1" applyFont="1" applyFill="1" applyBorder="1" applyAlignment="1">
      <alignment horizontal="center" vertical="center"/>
    </xf>
    <xf numFmtId="6" fontId="26" fillId="28" borderId="153" xfId="0" applyNumberFormat="1" applyFont="1" applyFill="1" applyBorder="1" applyAlignment="1">
      <alignment horizontal="center" vertical="center"/>
    </xf>
    <xf numFmtId="6" fontId="26" fillId="28" borderId="178" xfId="0" applyNumberFormat="1" applyFont="1" applyFill="1" applyBorder="1" applyAlignment="1">
      <alignment horizontal="center" vertical="center"/>
    </xf>
    <xf numFmtId="6" fontId="172" fillId="24" borderId="64" xfId="0" applyNumberFormat="1" applyFont="1" applyFill="1" applyBorder="1" applyAlignment="1">
      <alignment horizontal="center" vertical="center"/>
    </xf>
    <xf numFmtId="6" fontId="172" fillId="24" borderId="109" xfId="0" applyNumberFormat="1" applyFont="1" applyFill="1" applyBorder="1" applyAlignment="1">
      <alignment horizontal="center" vertical="center"/>
    </xf>
    <xf numFmtId="6" fontId="172" fillId="24" borderId="55" xfId="0" applyNumberFormat="1" applyFont="1" applyFill="1" applyBorder="1" applyAlignment="1">
      <alignment horizontal="center" vertical="center"/>
    </xf>
    <xf numFmtId="6" fontId="172" fillId="24" borderId="69" xfId="0" applyNumberFormat="1" applyFont="1" applyFill="1" applyBorder="1" applyAlignment="1">
      <alignment horizontal="center" vertical="center"/>
    </xf>
    <xf numFmtId="9" fontId="26" fillId="28" borderId="153" xfId="0" applyNumberFormat="1" applyFont="1" applyFill="1" applyBorder="1" applyAlignment="1">
      <alignment horizontal="center" vertical="center"/>
    </xf>
    <xf numFmtId="6" fontId="18" fillId="24" borderId="64" xfId="0" applyNumberFormat="1" applyFont="1" applyFill="1" applyBorder="1" applyAlignment="1">
      <alignment horizontal="center" vertical="center"/>
    </xf>
    <xf numFmtId="6" fontId="18" fillId="24" borderId="109" xfId="0" applyNumberFormat="1" applyFont="1" applyFill="1" applyBorder="1" applyAlignment="1">
      <alignment horizontal="center" vertical="center"/>
    </xf>
    <xf numFmtId="6" fontId="26" fillId="28" borderId="152" xfId="0" applyNumberFormat="1" applyFont="1" applyFill="1" applyBorder="1" applyAlignment="1">
      <alignment horizontal="center" vertical="center"/>
    </xf>
    <xf numFmtId="6" fontId="172" fillId="24" borderId="67" xfId="0" applyNumberFormat="1" applyFont="1" applyFill="1" applyBorder="1" applyAlignment="1">
      <alignment horizontal="center" vertical="center"/>
    </xf>
    <xf numFmtId="6" fontId="172" fillId="24" borderId="68" xfId="0" applyNumberFormat="1" applyFont="1" applyFill="1" applyBorder="1" applyAlignment="1">
      <alignment horizontal="center" vertical="center"/>
    </xf>
    <xf numFmtId="6" fontId="18" fillId="24" borderId="67" xfId="0" applyNumberFormat="1" applyFont="1" applyFill="1" applyBorder="1" applyAlignment="1">
      <alignment horizontal="center" vertical="center"/>
    </xf>
    <xf numFmtId="6" fontId="173" fillId="25" borderId="142" xfId="0" applyNumberFormat="1" applyFont="1" applyFill="1" applyBorder="1" applyAlignment="1">
      <alignment horizontal="center" vertical="center"/>
    </xf>
    <xf numFmtId="6" fontId="173" fillId="25" borderId="150" xfId="0" applyNumberFormat="1" applyFont="1" applyFill="1" applyBorder="1" applyAlignment="1">
      <alignment horizontal="center" vertical="center"/>
    </xf>
    <xf numFmtId="6" fontId="173" fillId="25" borderId="149" xfId="0" applyNumberFormat="1" applyFont="1" applyFill="1" applyBorder="1" applyAlignment="1">
      <alignment horizontal="center" vertical="center"/>
    </xf>
    <xf numFmtId="6" fontId="173" fillId="25" borderId="148" xfId="0" applyNumberFormat="1" applyFont="1" applyFill="1" applyBorder="1" applyAlignment="1">
      <alignment horizontal="center" vertical="center"/>
    </xf>
    <xf numFmtId="10" fontId="172" fillId="24" borderId="183" xfId="0" applyNumberFormat="1" applyFont="1" applyFill="1" applyBorder="1" applyAlignment="1">
      <alignment horizontal="center" vertical="center"/>
    </xf>
    <xf numFmtId="0" fontId="173" fillId="4" borderId="144" xfId="0" applyFont="1" applyFill="1" applyBorder="1" applyAlignment="1">
      <alignment horizontal="center" vertical="center"/>
    </xf>
    <xf numFmtId="0" fontId="173" fillId="25" borderId="178" xfId="0" applyFont="1" applyFill="1" applyBorder="1" applyAlignment="1">
      <alignment horizontal="center" vertical="center"/>
    </xf>
    <xf numFmtId="10" fontId="26" fillId="24" borderId="0" xfId="0" applyNumberFormat="1" applyFont="1" applyFill="1" applyAlignment="1">
      <alignment horizontal="center" vertical="center"/>
    </xf>
    <xf numFmtId="0" fontId="174" fillId="24" borderId="0" xfId="0" applyFont="1" applyFill="1" applyAlignment="1">
      <alignment horizontal="center" vertical="center"/>
    </xf>
    <xf numFmtId="0" fontId="193" fillId="24" borderId="7" xfId="0" applyFont="1" applyFill="1" applyBorder="1" applyAlignment="1">
      <alignment horizontal="center" vertical="center"/>
    </xf>
    <xf numFmtId="6" fontId="193" fillId="24" borderId="7" xfId="0" applyNumberFormat="1" applyFont="1" applyFill="1" applyBorder="1" applyAlignment="1">
      <alignment horizontal="center" vertical="center"/>
    </xf>
    <xf numFmtId="7" fontId="172" fillId="0" borderId="0" xfId="0" applyNumberFormat="1" applyFont="1" applyAlignment="1">
      <alignment horizontal="center" vertical="center"/>
    </xf>
    <xf numFmtId="6" fontId="18" fillId="24" borderId="85" xfId="0" applyNumberFormat="1" applyFont="1" applyFill="1" applyBorder="1" applyAlignment="1">
      <alignment horizontal="center" vertical="center"/>
    </xf>
    <xf numFmtId="6" fontId="18" fillId="24" borderId="79" xfId="0" applyNumberFormat="1" applyFont="1" applyFill="1" applyBorder="1" applyAlignment="1">
      <alignment horizontal="center" vertical="center"/>
    </xf>
    <xf numFmtId="6" fontId="18" fillId="24" borderId="81" xfId="0" applyNumberFormat="1" applyFont="1" applyFill="1" applyBorder="1" applyAlignment="1">
      <alignment horizontal="center" vertical="center"/>
    </xf>
    <xf numFmtId="6" fontId="26" fillId="24" borderId="85" xfId="0" applyNumberFormat="1" applyFont="1" applyFill="1" applyBorder="1" applyAlignment="1">
      <alignment horizontal="center" vertical="center"/>
    </xf>
    <xf numFmtId="6" fontId="26" fillId="24" borderId="79" xfId="0" applyNumberFormat="1" applyFont="1" applyFill="1" applyBorder="1" applyAlignment="1">
      <alignment horizontal="center" vertical="center"/>
    </xf>
    <xf numFmtId="6" fontId="26" fillId="24" borderId="81" xfId="0" applyNumberFormat="1" applyFont="1" applyFill="1" applyBorder="1" applyAlignment="1">
      <alignment horizontal="center" vertical="center"/>
    </xf>
    <xf numFmtId="0" fontId="18" fillId="24" borderId="72" xfId="0" applyFont="1" applyFill="1" applyBorder="1" applyAlignment="1">
      <alignment horizontal="center" vertical="center"/>
    </xf>
    <xf numFmtId="264" fontId="172" fillId="24" borderId="83" xfId="1" applyNumberFormat="1" applyFont="1" applyFill="1" applyBorder="1" applyAlignment="1">
      <alignment horizontal="center" vertical="center"/>
    </xf>
    <xf numFmtId="5" fontId="172" fillId="24" borderId="83" xfId="21" applyNumberFormat="1" applyFont="1" applyFill="1" applyBorder="1" applyAlignment="1">
      <alignment horizontal="center" vertical="center"/>
    </xf>
    <xf numFmtId="0" fontId="172" fillId="24" borderId="79" xfId="0" applyFont="1" applyFill="1" applyBorder="1" applyAlignment="1">
      <alignment horizontal="center" vertical="center"/>
    </xf>
    <xf numFmtId="5" fontId="172" fillId="24" borderId="79" xfId="21" applyNumberFormat="1" applyFont="1" applyFill="1" applyBorder="1" applyAlignment="1">
      <alignment horizontal="center" vertical="center"/>
    </xf>
    <xf numFmtId="260" fontId="172" fillId="24" borderId="79" xfId="0" applyNumberFormat="1" applyFont="1" applyFill="1" applyBorder="1" applyAlignment="1">
      <alignment horizontal="center" vertical="center"/>
    </xf>
    <xf numFmtId="266" fontId="172" fillId="24" borderId="79" xfId="0" applyNumberFormat="1" applyFont="1" applyFill="1" applyBorder="1" applyAlignment="1">
      <alignment horizontal="center" vertical="center"/>
    </xf>
    <xf numFmtId="259" fontId="172" fillId="24" borderId="79" xfId="0" applyNumberFormat="1" applyFont="1" applyFill="1" applyBorder="1" applyAlignment="1">
      <alignment horizontal="center" vertical="center"/>
    </xf>
    <xf numFmtId="263" fontId="172" fillId="24" borderId="79" xfId="0" applyNumberFormat="1" applyFont="1" applyFill="1" applyBorder="1" applyAlignment="1">
      <alignment horizontal="center" vertical="center"/>
    </xf>
    <xf numFmtId="282" fontId="172" fillId="24" borderId="64" xfId="0" applyNumberFormat="1" applyFont="1" applyFill="1" applyBorder="1" applyAlignment="1">
      <alignment horizontal="center" vertical="center"/>
    </xf>
    <xf numFmtId="265" fontId="172" fillId="24" borderId="79" xfId="0" applyNumberFormat="1" applyFont="1" applyFill="1" applyBorder="1" applyAlignment="1">
      <alignment horizontal="center" vertical="center"/>
    </xf>
    <xf numFmtId="278" fontId="172" fillId="24" borderId="105" xfId="0" applyNumberFormat="1" applyFont="1" applyFill="1" applyBorder="1" applyAlignment="1">
      <alignment horizontal="center" vertical="center"/>
    </xf>
    <xf numFmtId="5" fontId="172" fillId="24" borderId="105" xfId="21" applyNumberFormat="1" applyFont="1" applyFill="1" applyBorder="1" applyAlignment="1">
      <alignment horizontal="center" vertical="center"/>
    </xf>
    <xf numFmtId="279" fontId="172" fillId="24" borderId="79" xfId="0" applyNumberFormat="1" applyFont="1" applyFill="1" applyBorder="1" applyAlignment="1">
      <alignment horizontal="center" vertical="center"/>
    </xf>
    <xf numFmtId="267" fontId="172" fillId="24" borderId="79" xfId="0" applyNumberFormat="1" applyFont="1" applyFill="1" applyBorder="1" applyAlignment="1">
      <alignment horizontal="center" vertical="center"/>
    </xf>
    <xf numFmtId="280" fontId="172" fillId="24" borderId="79" xfId="0" applyNumberFormat="1" applyFont="1" applyFill="1" applyBorder="1" applyAlignment="1">
      <alignment horizontal="center" vertical="center"/>
    </xf>
    <xf numFmtId="258" fontId="172" fillId="24" borderId="79" xfId="0" applyNumberFormat="1" applyFont="1" applyFill="1" applyBorder="1" applyAlignment="1">
      <alignment horizontal="center" vertical="center"/>
    </xf>
    <xf numFmtId="281" fontId="172" fillId="24" borderId="79" xfId="0" applyNumberFormat="1" applyFont="1" applyFill="1" applyBorder="1" applyAlignment="1">
      <alignment horizontal="center" vertical="center"/>
    </xf>
    <xf numFmtId="277" fontId="26" fillId="28" borderId="150" xfId="1346" applyNumberFormat="1" applyFont="1" applyFill="1" applyBorder="1" applyAlignment="1">
      <alignment horizontal="center" vertical="center"/>
    </xf>
    <xf numFmtId="277" fontId="26" fillId="28" borderId="149" xfId="1346" applyNumberFormat="1" applyFont="1" applyFill="1" applyBorder="1" applyAlignment="1">
      <alignment horizontal="center" vertical="center"/>
    </xf>
    <xf numFmtId="277" fontId="26" fillId="28" borderId="148" xfId="1346" applyNumberFormat="1" applyFont="1" applyFill="1" applyBorder="1" applyAlignment="1">
      <alignment horizontal="center" vertical="center"/>
    </xf>
    <xf numFmtId="9" fontId="0" fillId="24" borderId="0" xfId="0" applyNumberFormat="1" applyFill="1" applyAlignment="1">
      <alignment horizontal="center" vertical="center"/>
    </xf>
    <xf numFmtId="9" fontId="26" fillId="28" borderId="138" xfId="0" applyNumberFormat="1" applyFont="1" applyFill="1" applyBorder="1" applyAlignment="1">
      <alignment horizontal="center" vertical="center"/>
    </xf>
    <xf numFmtId="9" fontId="26" fillId="28" borderId="173" xfId="0" applyNumberFormat="1" applyFont="1" applyFill="1" applyBorder="1" applyAlignment="1">
      <alignment horizontal="center" vertical="center"/>
    </xf>
    <xf numFmtId="9" fontId="26" fillId="28" borderId="152" xfId="0" applyNumberFormat="1" applyFont="1" applyFill="1" applyBorder="1" applyAlignment="1">
      <alignment horizontal="center" vertical="center"/>
    </xf>
    <xf numFmtId="9" fontId="26" fillId="28" borderId="178" xfId="0" applyNumberFormat="1" applyFont="1" applyFill="1" applyBorder="1" applyAlignment="1">
      <alignment horizontal="center" vertical="center"/>
    </xf>
    <xf numFmtId="9" fontId="172" fillId="24" borderId="0" xfId="0" applyNumberFormat="1" applyFont="1" applyFill="1" applyAlignment="1">
      <alignment horizontal="center" vertical="center"/>
    </xf>
    <xf numFmtId="284" fontId="172" fillId="24" borderId="79" xfId="0" applyNumberFormat="1" applyFont="1" applyFill="1" applyBorder="1" applyAlignment="1">
      <alignment horizontal="center" vertical="center"/>
    </xf>
    <xf numFmtId="0" fontId="26" fillId="28" borderId="134" xfId="0" applyFont="1" applyFill="1" applyBorder="1" applyAlignment="1">
      <alignment vertical="center"/>
    </xf>
    <xf numFmtId="0" fontId="26" fillId="28" borderId="116" xfId="0" applyFont="1" applyFill="1" applyBorder="1" applyAlignment="1">
      <alignment vertical="center"/>
    </xf>
    <xf numFmtId="0" fontId="26" fillId="28" borderId="166" xfId="0" applyFont="1" applyFill="1" applyBorder="1" applyAlignment="1">
      <alignment vertical="center"/>
    </xf>
    <xf numFmtId="6" fontId="172" fillId="24" borderId="106" xfId="21" applyNumberFormat="1" applyFont="1" applyFill="1" applyBorder="1" applyAlignment="1">
      <alignment horizontal="center" vertical="center"/>
    </xf>
    <xf numFmtId="6" fontId="172" fillId="24" borderId="81" xfId="21" applyNumberFormat="1" applyFont="1" applyFill="1" applyBorder="1" applyAlignment="1">
      <alignment horizontal="center" vertical="center"/>
    </xf>
    <xf numFmtId="6" fontId="172" fillId="24" borderId="84" xfId="21" applyNumberFormat="1" applyFont="1" applyFill="1" applyBorder="1" applyAlignment="1">
      <alignment horizontal="center" vertical="center"/>
    </xf>
    <xf numFmtId="5" fontId="172" fillId="0" borderId="0" xfId="0" applyNumberFormat="1" applyFont="1" applyAlignment="1">
      <alignment horizontal="center" vertical="center"/>
    </xf>
    <xf numFmtId="0" fontId="172" fillId="24" borderId="126" xfId="0" applyFont="1" applyFill="1" applyBorder="1" applyAlignment="1">
      <alignment horizontal="center" vertical="center"/>
    </xf>
    <xf numFmtId="4" fontId="18" fillId="24" borderId="128" xfId="21" applyNumberFormat="1" applyFont="1" applyFill="1" applyBorder="1" applyAlignment="1">
      <alignment horizontal="center" vertical="center"/>
    </xf>
    <xf numFmtId="0" fontId="172" fillId="24" borderId="119" xfId="0" applyFont="1" applyFill="1" applyBorder="1" applyAlignment="1">
      <alignment horizontal="center" vertical="center"/>
    </xf>
    <xf numFmtId="3" fontId="18" fillId="24" borderId="132" xfId="21" applyNumberFormat="1" applyFont="1" applyFill="1" applyBorder="1" applyAlignment="1">
      <alignment horizontal="center" vertical="center"/>
    </xf>
    <xf numFmtId="0" fontId="172" fillId="24" borderId="132" xfId="0" applyFont="1" applyFill="1" applyBorder="1" applyAlignment="1">
      <alignment horizontal="center" vertical="center"/>
    </xf>
    <xf numFmtId="272" fontId="18" fillId="24" borderId="119" xfId="0" applyNumberFormat="1" applyFont="1" applyFill="1" applyBorder="1" applyAlignment="1">
      <alignment horizontal="center" vertical="center"/>
    </xf>
    <xf numFmtId="0" fontId="172" fillId="24" borderId="120" xfId="0" applyFont="1" applyFill="1" applyBorder="1" applyAlignment="1">
      <alignment horizontal="center" vertical="center"/>
    </xf>
    <xf numFmtId="0" fontId="172" fillId="24" borderId="122" xfId="0" applyFont="1" applyFill="1" applyBorder="1" applyAlignment="1">
      <alignment horizontal="center" vertical="center"/>
    </xf>
    <xf numFmtId="5" fontId="18" fillId="24" borderId="115" xfId="21" applyNumberFormat="1" applyFont="1" applyFill="1" applyBorder="1" applyAlignment="1">
      <alignment horizontal="center" vertical="center"/>
    </xf>
    <xf numFmtId="5" fontId="18" fillId="24" borderId="132" xfId="21" applyNumberFormat="1" applyFont="1" applyFill="1" applyBorder="1" applyAlignment="1">
      <alignment horizontal="center" vertical="center"/>
    </xf>
    <xf numFmtId="177" fontId="18" fillId="24" borderId="126" xfId="0" applyNumberFormat="1" applyFont="1" applyFill="1" applyBorder="1" applyAlignment="1">
      <alignment horizontal="center" vertical="center"/>
    </xf>
    <xf numFmtId="5" fontId="18" fillId="24" borderId="127" xfId="21" applyNumberFormat="1" applyFont="1" applyFill="1" applyBorder="1" applyAlignment="1">
      <alignment horizontal="center" vertical="center"/>
    </xf>
    <xf numFmtId="5" fontId="18" fillId="24" borderId="128" xfId="21" applyNumberFormat="1" applyFont="1" applyFill="1" applyBorder="1" applyAlignment="1">
      <alignment horizontal="center" vertical="center"/>
    </xf>
    <xf numFmtId="178" fontId="18" fillId="24" borderId="119" xfId="0" applyNumberFormat="1" applyFont="1" applyFill="1" applyBorder="1" applyAlignment="1">
      <alignment horizontal="center" vertical="center"/>
    </xf>
    <xf numFmtId="5" fontId="172" fillId="24" borderId="115" xfId="0" applyNumberFormat="1" applyFont="1" applyFill="1" applyBorder="1" applyAlignment="1">
      <alignment horizontal="center" vertical="center"/>
    </xf>
    <xf numFmtId="5" fontId="172" fillId="24" borderId="132" xfId="0" applyNumberFormat="1" applyFont="1" applyFill="1" applyBorder="1" applyAlignment="1">
      <alignment horizontal="center" vertical="center"/>
    </xf>
    <xf numFmtId="0" fontId="172" fillId="24" borderId="121" xfId="0" applyFont="1" applyFill="1" applyBorder="1" applyAlignment="1">
      <alignment horizontal="center" vertical="center"/>
    </xf>
    <xf numFmtId="0" fontId="173" fillId="25" borderId="0" xfId="0" applyFont="1" applyFill="1" applyAlignment="1">
      <alignment horizontal="center" vertical="center"/>
    </xf>
    <xf numFmtId="0" fontId="173" fillId="25" borderId="0" xfId="0" applyFont="1" applyFill="1" applyAlignment="1">
      <alignment horizontal="center" vertical="center" wrapText="1"/>
    </xf>
    <xf numFmtId="6" fontId="172" fillId="24" borderId="115" xfId="0" applyNumberFormat="1" applyFont="1" applyFill="1" applyBorder="1" applyAlignment="1">
      <alignment horizontal="center" vertical="center"/>
    </xf>
    <xf numFmtId="6" fontId="18" fillId="24" borderId="132" xfId="21" applyNumberFormat="1" applyFont="1" applyFill="1" applyBorder="1" applyAlignment="1">
      <alignment horizontal="center" vertical="center"/>
    </xf>
    <xf numFmtId="6" fontId="18" fillId="24" borderId="170" xfId="21" applyNumberFormat="1" applyFont="1" applyFill="1" applyBorder="1" applyAlignment="1">
      <alignment horizontal="center" vertical="center"/>
    </xf>
    <xf numFmtId="6" fontId="172" fillId="24" borderId="5" xfId="0" applyNumberFormat="1" applyFont="1" applyFill="1" applyBorder="1" applyAlignment="1">
      <alignment horizontal="center" vertical="center"/>
    </xf>
    <xf numFmtId="6" fontId="18" fillId="24" borderId="117" xfId="21" applyNumberFormat="1" applyFont="1" applyFill="1" applyBorder="1" applyAlignment="1">
      <alignment horizontal="center" vertical="center"/>
    </xf>
    <xf numFmtId="6" fontId="26" fillId="24" borderId="117" xfId="21" applyNumberFormat="1" applyFont="1" applyFill="1" applyBorder="1" applyAlignment="1">
      <alignment horizontal="center" vertical="center"/>
    </xf>
    <xf numFmtId="6" fontId="26" fillId="24" borderId="125" xfId="21" applyNumberFormat="1" applyFont="1" applyFill="1" applyBorder="1" applyAlignment="1">
      <alignment horizontal="center" vertical="center"/>
    </xf>
    <xf numFmtId="5" fontId="26" fillId="28" borderId="130" xfId="0" applyNumberFormat="1" applyFont="1" applyFill="1" applyBorder="1" applyAlignment="1">
      <alignment horizontal="center" vertical="center"/>
    </xf>
    <xf numFmtId="5" fontId="26" fillId="28" borderId="130" xfId="21" applyNumberFormat="1" applyFont="1" applyFill="1" applyBorder="1" applyAlignment="1">
      <alignment horizontal="center" vertical="center"/>
    </xf>
    <xf numFmtId="6" fontId="26" fillId="28" borderId="131" xfId="21" applyNumberFormat="1" applyFont="1" applyFill="1" applyBorder="1" applyAlignment="1">
      <alignment horizontal="center" vertical="center"/>
    </xf>
    <xf numFmtId="167" fontId="26" fillId="28" borderId="40" xfId="1" applyNumberFormat="1" applyFont="1" applyFill="1" applyBorder="1" applyAlignment="1">
      <alignment horizontal="center" vertical="center"/>
    </xf>
    <xf numFmtId="6" fontId="26" fillId="28" borderId="40" xfId="0" applyNumberFormat="1" applyFont="1" applyFill="1" applyBorder="1" applyAlignment="1">
      <alignment horizontal="center" vertical="center"/>
    </xf>
    <xf numFmtId="6" fontId="26" fillId="28" borderId="117" xfId="0" applyNumberFormat="1" applyFont="1" applyFill="1" applyBorder="1" applyAlignment="1">
      <alignment horizontal="center" vertical="center"/>
    </xf>
    <xf numFmtId="0" fontId="26" fillId="28" borderId="117" xfId="0" applyFont="1" applyFill="1" applyBorder="1" applyAlignment="1">
      <alignment horizontal="center" vertical="center"/>
    </xf>
    <xf numFmtId="7" fontId="26" fillId="28" borderId="117" xfId="0" applyNumberFormat="1" applyFont="1" applyFill="1" applyBorder="1" applyAlignment="1">
      <alignment horizontal="center" vertical="center"/>
    </xf>
    <xf numFmtId="6" fontId="26" fillId="28" borderId="124" xfId="1" applyNumberFormat="1" applyFont="1" applyFill="1" applyBorder="1" applyAlignment="1">
      <alignment horizontal="center" vertical="center"/>
    </xf>
    <xf numFmtId="166" fontId="180" fillId="24" borderId="113" xfId="0" applyNumberFormat="1" applyFont="1" applyFill="1" applyBorder="1" applyAlignment="1">
      <alignment horizontal="center" vertical="center"/>
    </xf>
    <xf numFmtId="6" fontId="180" fillId="24" borderId="113" xfId="0" applyNumberFormat="1" applyFont="1" applyFill="1" applyBorder="1" applyAlignment="1">
      <alignment horizontal="center" vertical="center"/>
    </xf>
    <xf numFmtId="6" fontId="180" fillId="24" borderId="154" xfId="0" applyNumberFormat="1" applyFont="1" applyFill="1" applyBorder="1" applyAlignment="1">
      <alignment horizontal="center" vertical="center"/>
    </xf>
    <xf numFmtId="9" fontId="180" fillId="24" borderId="113" xfId="0" applyNumberFormat="1" applyFont="1" applyFill="1" applyBorder="1" applyAlignment="1">
      <alignment horizontal="center" vertical="center"/>
    </xf>
    <xf numFmtId="3" fontId="171" fillId="27" borderId="140" xfId="0" applyNumberFormat="1" applyFont="1" applyFill="1" applyBorder="1" applyAlignment="1">
      <alignment horizontal="center" vertical="center" wrapText="1"/>
    </xf>
    <xf numFmtId="0" fontId="170" fillId="0" borderId="0" xfId="0" applyFont="1" applyAlignment="1">
      <alignment vertical="center" wrapText="1"/>
    </xf>
    <xf numFmtId="167" fontId="180" fillId="24" borderId="113" xfId="0" applyNumberFormat="1" applyFont="1" applyFill="1" applyBorder="1" applyAlignment="1">
      <alignment horizontal="center" vertical="center"/>
    </xf>
    <xf numFmtId="167" fontId="180" fillId="24" borderId="155" xfId="0" applyNumberFormat="1" applyFont="1" applyFill="1" applyBorder="1" applyAlignment="1">
      <alignment horizontal="center" vertical="center"/>
    </xf>
    <xf numFmtId="167" fontId="173" fillId="25" borderId="135" xfId="0" applyNumberFormat="1" applyFont="1" applyFill="1" applyBorder="1" applyAlignment="1">
      <alignment horizontal="center" vertical="center"/>
    </xf>
    <xf numFmtId="6" fontId="198" fillId="24" borderId="11" xfId="0" applyNumberFormat="1" applyFont="1" applyFill="1" applyBorder="1" applyAlignment="1">
      <alignment horizontal="center" vertical="center"/>
    </xf>
    <xf numFmtId="10" fontId="198" fillId="24" borderId="183" xfId="0" applyNumberFormat="1" applyFont="1" applyFill="1" applyBorder="1" applyAlignment="1">
      <alignment horizontal="center" vertical="center"/>
    </xf>
    <xf numFmtId="6" fontId="105" fillId="24" borderId="67" xfId="0" applyNumberFormat="1" applyFont="1" applyFill="1" applyBorder="1" applyAlignment="1">
      <alignment horizontal="center" vertical="center"/>
    </xf>
    <xf numFmtId="6" fontId="105" fillId="24" borderId="64" xfId="0" applyNumberFormat="1" applyFont="1" applyFill="1" applyBorder="1" applyAlignment="1">
      <alignment horizontal="center" vertical="center"/>
    </xf>
    <xf numFmtId="6" fontId="199" fillId="24" borderId="109" xfId="0" applyNumberFormat="1" applyFont="1" applyFill="1" applyBorder="1" applyAlignment="1">
      <alignment horizontal="center" vertical="center"/>
    </xf>
    <xf numFmtId="6" fontId="199" fillId="24" borderId="10" xfId="0" applyNumberFormat="1" applyFont="1" applyFill="1" applyBorder="1" applyAlignment="1">
      <alignment horizontal="center" vertical="center"/>
    </xf>
    <xf numFmtId="6" fontId="199" fillId="24" borderId="64" xfId="0" applyNumberFormat="1" applyFont="1" applyFill="1" applyBorder="1" applyAlignment="1">
      <alignment horizontal="center" vertical="center"/>
    </xf>
    <xf numFmtId="0" fontId="198" fillId="24" borderId="0" xfId="0" applyFont="1" applyFill="1" applyAlignment="1">
      <alignment horizontal="center" vertical="center"/>
    </xf>
    <xf numFmtId="6" fontId="26" fillId="28" borderId="125" xfId="0" applyNumberFormat="1" applyFont="1" applyFill="1" applyBorder="1" applyAlignment="1">
      <alignment horizontal="center" vertical="center"/>
    </xf>
    <xf numFmtId="6" fontId="26" fillId="24" borderId="117" xfId="1346" applyNumberFormat="1" applyFont="1" applyFill="1" applyBorder="1" applyAlignment="1">
      <alignment horizontal="center" vertical="center"/>
    </xf>
    <xf numFmtId="6" fontId="26" fillId="24" borderId="125" xfId="1346" applyNumberFormat="1" applyFont="1" applyFill="1" applyBorder="1" applyAlignment="1">
      <alignment horizontal="center" vertical="center"/>
    </xf>
    <xf numFmtId="3" fontId="26" fillId="24" borderId="113" xfId="1346" applyNumberFormat="1" applyFont="1" applyFill="1" applyBorder="1" applyAlignment="1">
      <alignment horizontal="center" vertical="center"/>
    </xf>
    <xf numFmtId="3" fontId="26" fillId="24" borderId="40" xfId="1357" applyNumberFormat="1" applyFont="1" applyFill="1" applyBorder="1" applyAlignment="1">
      <alignment horizontal="center" vertical="center"/>
    </xf>
    <xf numFmtId="3" fontId="26" fillId="24" borderId="40" xfId="1346" applyNumberFormat="1" applyFont="1" applyFill="1" applyBorder="1" applyAlignment="1">
      <alignment horizontal="center" vertical="center"/>
    </xf>
    <xf numFmtId="3" fontId="26" fillId="24" borderId="124" xfId="1357" applyNumberFormat="1" applyFont="1" applyFill="1" applyBorder="1" applyAlignment="1">
      <alignment horizontal="center" vertical="center"/>
    </xf>
    <xf numFmtId="0" fontId="173" fillId="25" borderId="79" xfId="1346" applyFont="1" applyFill="1" applyBorder="1" applyAlignment="1">
      <alignment horizontal="center" vertical="center"/>
    </xf>
    <xf numFmtId="37" fontId="173" fillId="25" borderId="106" xfId="1346" applyNumberFormat="1" applyFont="1" applyFill="1" applyBorder="1" applyAlignment="1">
      <alignment horizontal="center" vertical="center"/>
    </xf>
    <xf numFmtId="6" fontId="26" fillId="24" borderId="114" xfId="1346" applyNumberFormat="1" applyFont="1" applyFill="1" applyBorder="1" applyAlignment="1">
      <alignment horizontal="center" vertical="center"/>
    </xf>
    <xf numFmtId="167" fontId="26" fillId="28" borderId="40" xfId="0" applyNumberFormat="1" applyFont="1" applyFill="1" applyBorder="1" applyAlignment="1">
      <alignment horizontal="center" vertical="center"/>
    </xf>
    <xf numFmtId="6" fontId="172" fillId="24" borderId="117" xfId="0" applyNumberFormat="1" applyFont="1" applyFill="1" applyBorder="1" applyAlignment="1">
      <alignment horizontal="center" vertical="center"/>
    </xf>
    <xf numFmtId="3" fontId="16" fillId="0" borderId="29" xfId="0" applyNumberFormat="1" applyFont="1" applyBorder="1" applyAlignment="1">
      <alignment horizontal="center" vertical="center"/>
    </xf>
    <xf numFmtId="0" fontId="26" fillId="28" borderId="182" xfId="0" applyFont="1" applyFill="1" applyBorder="1" applyAlignment="1">
      <alignment horizontal="center" vertical="center"/>
    </xf>
    <xf numFmtId="277" fontId="26" fillId="28" borderId="182" xfId="1346" applyNumberFormat="1" applyFont="1" applyFill="1" applyBorder="1" applyAlignment="1">
      <alignment horizontal="center" vertical="center"/>
    </xf>
    <xf numFmtId="171" fontId="26" fillId="28" borderId="147" xfId="0" applyNumberFormat="1" applyFont="1" applyFill="1" applyBorder="1" applyAlignment="1">
      <alignment horizontal="center" vertical="center"/>
    </xf>
    <xf numFmtId="6" fontId="18" fillId="28" borderId="78" xfId="0" applyNumberFormat="1" applyFont="1" applyFill="1" applyBorder="1" applyAlignment="1">
      <alignment horizontal="center" vertical="center"/>
    </xf>
    <xf numFmtId="6" fontId="173" fillId="25" borderId="182" xfId="0" applyNumberFormat="1" applyFont="1" applyFill="1" applyBorder="1" applyAlignment="1">
      <alignment horizontal="center" vertical="center"/>
    </xf>
    <xf numFmtId="6" fontId="26" fillId="28" borderId="151" xfId="0" applyNumberFormat="1" applyFont="1" applyFill="1" applyBorder="1" applyAlignment="1">
      <alignment horizontal="center" vertical="center"/>
    </xf>
    <xf numFmtId="6" fontId="172" fillId="24" borderId="53" xfId="0" applyNumberFormat="1" applyFont="1" applyFill="1" applyBorder="1" applyAlignment="1">
      <alignment horizontal="center" vertical="center"/>
    </xf>
    <xf numFmtId="6" fontId="174" fillId="24" borderId="78" xfId="0" applyNumberFormat="1" applyFont="1" applyFill="1" applyBorder="1" applyAlignment="1">
      <alignment horizontal="center" vertical="center"/>
    </xf>
    <xf numFmtId="6" fontId="172" fillId="24" borderId="65" xfId="0" applyNumberFormat="1" applyFont="1" applyFill="1" applyBorder="1" applyAlignment="1">
      <alignment horizontal="center" vertical="center"/>
    </xf>
    <xf numFmtId="6" fontId="18" fillId="24" borderId="53" xfId="0" applyNumberFormat="1" applyFont="1" applyFill="1" applyBorder="1" applyAlignment="1">
      <alignment horizontal="center" vertical="center"/>
    </xf>
    <xf numFmtId="6" fontId="105" fillId="24" borderId="53" xfId="0" applyNumberFormat="1" applyFont="1" applyFill="1" applyBorder="1" applyAlignment="1">
      <alignment horizontal="center" vertical="center"/>
    </xf>
    <xf numFmtId="3" fontId="16" fillId="24" borderId="40" xfId="0" applyNumberFormat="1" applyFont="1" applyFill="1" applyBorder="1" applyAlignment="1">
      <alignment horizontal="center" vertical="center"/>
    </xf>
    <xf numFmtId="3" fontId="180" fillId="24" borderId="40" xfId="0" applyNumberFormat="1" applyFont="1" applyFill="1" applyBorder="1" applyAlignment="1">
      <alignment horizontal="center" vertical="center" wrapText="1"/>
    </xf>
    <xf numFmtId="0" fontId="16" fillId="24" borderId="116" xfId="0" applyFont="1" applyFill="1" applyBorder="1" applyAlignment="1">
      <alignment horizontal="center" vertical="center"/>
    </xf>
    <xf numFmtId="3" fontId="16" fillId="24" borderId="40" xfId="0" applyNumberFormat="1" applyFont="1" applyFill="1" applyBorder="1" applyAlignment="1">
      <alignment horizontal="center" vertical="center" wrapText="1"/>
    </xf>
    <xf numFmtId="0" fontId="180" fillId="24" borderId="40" xfId="0" applyFont="1" applyFill="1" applyBorder="1" applyAlignment="1">
      <alignment horizontal="center" vertical="center" wrapText="1"/>
    </xf>
    <xf numFmtId="0" fontId="173" fillId="25" borderId="184" xfId="0" applyFont="1" applyFill="1" applyBorder="1" applyAlignment="1">
      <alignment horizontal="center" vertical="center"/>
    </xf>
    <xf numFmtId="277" fontId="192" fillId="25" borderId="172" xfId="0" applyNumberFormat="1" applyFont="1" applyFill="1" applyBorder="1" applyAlignment="1">
      <alignment horizontal="center" vertical="center"/>
    </xf>
    <xf numFmtId="167" fontId="173" fillId="25" borderId="66" xfId="0" applyNumberFormat="1" applyFont="1" applyFill="1" applyBorder="1" applyAlignment="1">
      <alignment horizontal="center" vertical="center"/>
    </xf>
    <xf numFmtId="6" fontId="18" fillId="24" borderId="80" xfId="0" applyNumberFormat="1" applyFont="1" applyFill="1" applyBorder="1" applyAlignment="1">
      <alignment horizontal="center" vertical="center"/>
    </xf>
    <xf numFmtId="6" fontId="26" fillId="24" borderId="80" xfId="0" applyNumberFormat="1" applyFont="1" applyFill="1" applyBorder="1" applyAlignment="1">
      <alignment horizontal="center" vertical="center"/>
    </xf>
    <xf numFmtId="6" fontId="173" fillId="25" borderId="172" xfId="0" applyNumberFormat="1" applyFont="1" applyFill="1" applyBorder="1" applyAlignment="1">
      <alignment horizontal="center" vertical="center"/>
    </xf>
    <xf numFmtId="6" fontId="26" fillId="28" borderId="184" xfId="0" applyNumberFormat="1" applyFont="1" applyFill="1" applyBorder="1" applyAlignment="1">
      <alignment horizontal="center" vertical="center"/>
    </xf>
    <xf numFmtId="6" fontId="172" fillId="24" borderId="10" xfId="0" applyNumberFormat="1" applyFont="1" applyFill="1" applyBorder="1" applyAlignment="1">
      <alignment horizontal="center" vertical="center"/>
    </xf>
    <xf numFmtId="6" fontId="172" fillId="24" borderId="66" xfId="0" applyNumberFormat="1" applyFont="1" applyFill="1" applyBorder="1" applyAlignment="1">
      <alignment horizontal="center" vertical="center"/>
    </xf>
    <xf numFmtId="9" fontId="26" fillId="28" borderId="184" xfId="0" applyNumberFormat="1" applyFont="1" applyFill="1" applyBorder="1" applyAlignment="1">
      <alignment horizontal="center" vertical="center"/>
    </xf>
    <xf numFmtId="6" fontId="18" fillId="24" borderId="10" xfId="0" applyNumberFormat="1" applyFont="1" applyFill="1" applyBorder="1" applyAlignment="1">
      <alignment horizontal="center" vertical="center"/>
    </xf>
    <xf numFmtId="6" fontId="105" fillId="24" borderId="10" xfId="0" applyNumberFormat="1" applyFont="1" applyFill="1" applyBorder="1" applyAlignment="1">
      <alignment horizontal="center" vertical="center"/>
    </xf>
    <xf numFmtId="6" fontId="105" fillId="24" borderId="109" xfId="0" applyNumberFormat="1" applyFont="1" applyFill="1" applyBorder="1" applyAlignment="1">
      <alignment horizontal="center" vertical="center"/>
    </xf>
    <xf numFmtId="0" fontId="171" fillId="26" borderId="141" xfId="0" applyFont="1" applyFill="1" applyBorder="1" applyAlignment="1">
      <alignment horizontal="center" vertical="center"/>
    </xf>
    <xf numFmtId="0" fontId="171" fillId="26" borderId="146" xfId="0" applyFont="1" applyFill="1" applyBorder="1" applyAlignment="1">
      <alignment horizontal="center" vertical="center"/>
    </xf>
    <xf numFmtId="166" fontId="171" fillId="26" borderId="65" xfId="0" applyNumberFormat="1" applyFont="1" applyFill="1" applyBorder="1" applyAlignment="1">
      <alignment horizontal="center" vertical="center"/>
    </xf>
    <xf numFmtId="0" fontId="171" fillId="26" borderId="59" xfId="0" applyFont="1" applyFill="1" applyBorder="1" applyAlignment="1">
      <alignment horizontal="center" vertical="center"/>
    </xf>
    <xf numFmtId="270" fontId="172" fillId="24" borderId="119" xfId="0" applyNumberFormat="1" applyFont="1" applyFill="1" applyBorder="1" applyAlignment="1">
      <alignment horizontal="center" vertical="center"/>
    </xf>
    <xf numFmtId="3" fontId="172" fillId="24" borderId="132" xfId="0" applyNumberFormat="1" applyFont="1" applyFill="1" applyBorder="1" applyAlignment="1">
      <alignment horizontal="center" vertical="center"/>
    </xf>
    <xf numFmtId="3" fontId="16" fillId="24" borderId="116" xfId="0" applyNumberFormat="1" applyFont="1" applyFill="1" applyBorder="1" applyAlignment="1">
      <alignment horizontal="center" vertical="center"/>
    </xf>
    <xf numFmtId="285" fontId="170" fillId="24" borderId="40" xfId="21" applyNumberFormat="1" applyFont="1" applyFill="1" applyBorder="1" applyAlignment="1">
      <alignment horizontal="center" vertical="center"/>
    </xf>
    <xf numFmtId="285" fontId="170" fillId="24" borderId="176" xfId="21" applyNumberFormat="1" applyFont="1" applyFill="1" applyBorder="1" applyAlignment="1">
      <alignment horizontal="center" vertical="center"/>
    </xf>
    <xf numFmtId="285" fontId="187" fillId="25" borderId="86" xfId="21" applyNumberFormat="1" applyFont="1" applyFill="1" applyBorder="1" applyAlignment="1">
      <alignment horizontal="center" vertical="center"/>
    </xf>
    <xf numFmtId="3" fontId="16" fillId="24" borderId="115" xfId="0" applyNumberFormat="1" applyFont="1" applyFill="1" applyBorder="1" applyAlignment="1">
      <alignment horizontal="center" vertical="center"/>
    </xf>
    <xf numFmtId="6" fontId="180" fillId="24" borderId="40" xfId="0" applyNumberFormat="1" applyFont="1" applyFill="1" applyBorder="1" applyAlignment="1">
      <alignment horizontal="center" vertical="center"/>
    </xf>
    <xf numFmtId="9" fontId="180" fillId="24" borderId="40" xfId="0" applyNumberFormat="1" applyFont="1" applyFill="1" applyBorder="1" applyAlignment="1">
      <alignment horizontal="center" vertical="center"/>
    </xf>
    <xf numFmtId="167" fontId="180" fillId="24" borderId="40" xfId="0" applyNumberFormat="1" applyFont="1" applyFill="1" applyBorder="1" applyAlignment="1">
      <alignment horizontal="center" vertical="center"/>
    </xf>
    <xf numFmtId="167" fontId="180" fillId="24" borderId="132" xfId="0" applyNumberFormat="1" applyFont="1" applyFill="1" applyBorder="1" applyAlignment="1">
      <alignment horizontal="center" vertical="center"/>
    </xf>
    <xf numFmtId="166" fontId="180" fillId="24" borderId="40" xfId="0" applyNumberFormat="1" applyFont="1" applyFill="1" applyBorder="1" applyAlignment="1">
      <alignment horizontal="center" vertical="center"/>
    </xf>
    <xf numFmtId="6" fontId="180" fillId="24" borderId="156" xfId="0" applyNumberFormat="1" applyFont="1" applyFill="1" applyBorder="1" applyAlignment="1">
      <alignment horizontal="center" vertical="center"/>
    </xf>
    <xf numFmtId="3" fontId="16" fillId="24" borderId="175" xfId="0" applyNumberFormat="1" applyFont="1" applyFill="1" applyBorder="1" applyAlignment="1">
      <alignment horizontal="center" vertical="center"/>
    </xf>
    <xf numFmtId="3" fontId="16" fillId="24" borderId="176" xfId="0" applyNumberFormat="1" applyFont="1" applyFill="1" applyBorder="1" applyAlignment="1">
      <alignment horizontal="center" vertical="center" wrapText="1"/>
    </xf>
    <xf numFmtId="3" fontId="180" fillId="24" borderId="176" xfId="0" applyNumberFormat="1" applyFont="1" applyFill="1" applyBorder="1" applyAlignment="1">
      <alignment horizontal="center" vertical="center" wrapText="1"/>
    </xf>
    <xf numFmtId="6" fontId="180" fillId="24" borderId="176" xfId="0" applyNumberFormat="1" applyFont="1" applyFill="1" applyBorder="1" applyAlignment="1">
      <alignment horizontal="center" vertical="center"/>
    </xf>
    <xf numFmtId="5" fontId="180" fillId="24" borderId="176" xfId="0" applyNumberFormat="1" applyFont="1" applyFill="1" applyBorder="1" applyAlignment="1">
      <alignment horizontal="center" vertical="center"/>
    </xf>
    <xf numFmtId="9" fontId="180" fillId="24" borderId="176" xfId="0" applyNumberFormat="1" applyFont="1" applyFill="1" applyBorder="1" applyAlignment="1">
      <alignment horizontal="center" vertical="center"/>
    </xf>
    <xf numFmtId="167" fontId="180" fillId="24" borderId="176" xfId="0" applyNumberFormat="1" applyFont="1" applyFill="1" applyBorder="1" applyAlignment="1">
      <alignment horizontal="center" vertical="center"/>
    </xf>
    <xf numFmtId="167" fontId="180" fillId="24" borderId="174" xfId="0" applyNumberFormat="1" applyFont="1" applyFill="1" applyBorder="1" applyAlignment="1">
      <alignment horizontal="center" vertical="center"/>
    </xf>
    <xf numFmtId="169" fontId="172" fillId="24" borderId="132" xfId="0" applyNumberFormat="1" applyFont="1" applyFill="1" applyBorder="1" applyAlignment="1">
      <alignment horizontal="center" vertical="center"/>
    </xf>
    <xf numFmtId="271" fontId="172" fillId="24" borderId="119" xfId="0" applyNumberFormat="1" applyFont="1" applyFill="1" applyBorder="1" applyAlignment="1">
      <alignment horizontal="center" vertical="center"/>
    </xf>
    <xf numFmtId="9" fontId="170" fillId="0" borderId="0" xfId="0" applyNumberFormat="1" applyFont="1" applyAlignment="1">
      <alignment vertical="center"/>
    </xf>
    <xf numFmtId="0" fontId="170" fillId="24" borderId="118" xfId="0" applyFont="1" applyFill="1" applyBorder="1" applyAlignment="1">
      <alignment horizontal="center" vertical="center" wrapText="1"/>
    </xf>
    <xf numFmtId="0" fontId="170" fillId="24" borderId="119" xfId="0" applyFont="1" applyFill="1" applyBorder="1" applyAlignment="1">
      <alignment horizontal="center" vertical="center" wrapText="1"/>
    </xf>
    <xf numFmtId="0" fontId="170" fillId="24" borderId="162" xfId="0" applyFont="1" applyFill="1" applyBorder="1" applyAlignment="1">
      <alignment horizontal="center" vertical="center" wrapText="1"/>
    </xf>
    <xf numFmtId="6" fontId="171" fillId="26" borderId="86" xfId="0" applyNumberFormat="1" applyFont="1" applyFill="1" applyBorder="1" applyAlignment="1">
      <alignment horizontal="center" vertical="center"/>
    </xf>
    <xf numFmtId="4" fontId="170" fillId="24" borderId="113" xfId="1359" applyNumberFormat="1" applyFont="1" applyFill="1" applyBorder="1" applyAlignment="1">
      <alignment horizontal="center" vertical="center"/>
    </xf>
    <xf numFmtId="4" fontId="170" fillId="24" borderId="40" xfId="1359" applyNumberFormat="1" applyFont="1" applyFill="1" applyBorder="1" applyAlignment="1">
      <alignment horizontal="center" vertical="center"/>
    </xf>
    <xf numFmtId="4" fontId="170" fillId="24" borderId="159" xfId="1359" applyNumberFormat="1" applyFont="1" applyFill="1" applyBorder="1" applyAlignment="1">
      <alignment horizontal="center" vertical="center"/>
    </xf>
    <xf numFmtId="4" fontId="171" fillId="26" borderId="86" xfId="0" applyNumberFormat="1" applyFont="1" applyFill="1" applyBorder="1" applyAlignment="1">
      <alignment horizontal="center" vertical="center"/>
    </xf>
    <xf numFmtId="3" fontId="171" fillId="26" borderId="178" xfId="0" applyNumberFormat="1" applyFont="1" applyFill="1" applyBorder="1" applyAlignment="1">
      <alignment horizontal="center" vertical="center" wrapText="1"/>
    </xf>
    <xf numFmtId="166" fontId="171" fillId="26" borderId="69" xfId="0" applyNumberFormat="1" applyFont="1" applyFill="1" applyBorder="1" applyAlignment="1">
      <alignment horizontal="center" vertical="center"/>
    </xf>
    <xf numFmtId="0" fontId="170" fillId="0" borderId="11" xfId="0" applyFont="1" applyBorder="1" applyAlignment="1">
      <alignment vertical="center"/>
    </xf>
    <xf numFmtId="0" fontId="170" fillId="0" borderId="5" xfId="0" applyFont="1" applyBorder="1" applyAlignment="1">
      <alignment vertical="center"/>
    </xf>
    <xf numFmtId="4" fontId="172" fillId="0" borderId="0" xfId="0" applyNumberFormat="1" applyFont="1" applyAlignment="1">
      <alignment horizontal="center" vertical="center"/>
    </xf>
    <xf numFmtId="6" fontId="193" fillId="24" borderId="75" xfId="0" applyNumberFormat="1" applyFont="1" applyFill="1" applyBorder="1" applyAlignment="1">
      <alignment horizontal="center" vertical="center"/>
    </xf>
    <xf numFmtId="6" fontId="193" fillId="24" borderId="2" xfId="0" applyNumberFormat="1" applyFont="1" applyFill="1" applyBorder="1" applyAlignment="1">
      <alignment horizontal="center" vertical="center"/>
    </xf>
    <xf numFmtId="6" fontId="193" fillId="24" borderId="53" xfId="0" applyNumberFormat="1" applyFont="1" applyFill="1" applyBorder="1" applyAlignment="1">
      <alignment horizontal="center" vertical="center"/>
    </xf>
    <xf numFmtId="6" fontId="193" fillId="24" borderId="147" xfId="0" applyNumberFormat="1" applyFont="1" applyFill="1" applyBorder="1" applyAlignment="1">
      <alignment horizontal="center" vertical="center"/>
    </xf>
    <xf numFmtId="0" fontId="194" fillId="28" borderId="185" xfId="0" applyFont="1" applyFill="1" applyBorder="1" applyAlignment="1">
      <alignment horizontal="center" vertical="center"/>
    </xf>
    <xf numFmtId="6" fontId="194" fillId="28" borderId="185" xfId="0" applyNumberFormat="1" applyFont="1" applyFill="1" applyBorder="1" applyAlignment="1">
      <alignment horizontal="center" vertical="center"/>
    </xf>
    <xf numFmtId="9" fontId="178" fillId="25" borderId="83" xfId="0" applyNumberFormat="1" applyFont="1" applyFill="1" applyBorder="1" applyAlignment="1">
      <alignment horizontal="center" vertical="center"/>
    </xf>
    <xf numFmtId="166" fontId="171" fillId="26" borderId="53" xfId="0" applyNumberFormat="1" applyFont="1" applyFill="1" applyBorder="1" applyAlignment="1">
      <alignment horizontal="center" vertical="center"/>
    </xf>
    <xf numFmtId="3" fontId="171" fillId="27" borderId="146" xfId="0" applyNumberFormat="1" applyFont="1" applyFill="1" applyBorder="1" applyAlignment="1">
      <alignment horizontal="center" vertical="center" wrapText="1"/>
    </xf>
    <xf numFmtId="3" fontId="171" fillId="26" borderId="151" xfId="0" applyNumberFormat="1" applyFont="1" applyFill="1" applyBorder="1" applyAlignment="1">
      <alignment horizontal="center" vertical="center" wrapText="1"/>
    </xf>
    <xf numFmtId="6" fontId="26" fillId="24" borderId="156" xfId="1346" applyNumberFormat="1" applyFont="1" applyFill="1" applyBorder="1" applyAlignment="1">
      <alignment horizontal="center" vertical="center"/>
    </xf>
    <xf numFmtId="0" fontId="173" fillId="25" borderId="138" xfId="0" applyFont="1" applyFill="1" applyBorder="1" applyAlignment="1">
      <alignment horizontal="center" vertical="center"/>
    </xf>
    <xf numFmtId="0" fontId="173" fillId="25" borderId="173" xfId="0" applyFont="1" applyFill="1" applyBorder="1" applyAlignment="1">
      <alignment horizontal="center" vertical="center"/>
    </xf>
    <xf numFmtId="0" fontId="173" fillId="25" borderId="136" xfId="0" applyFont="1" applyFill="1" applyBorder="1" applyAlignment="1">
      <alignment horizontal="center" vertical="center"/>
    </xf>
    <xf numFmtId="0" fontId="174" fillId="24" borderId="0" xfId="1346" applyFont="1" applyFill="1" applyAlignment="1">
      <alignment horizontal="center" vertical="center"/>
    </xf>
    <xf numFmtId="0" fontId="171" fillId="26" borderId="145" xfId="0" applyFont="1" applyFill="1" applyBorder="1" applyAlignment="1">
      <alignment horizontal="center" vertical="center" wrapText="1"/>
    </xf>
    <xf numFmtId="6" fontId="170" fillId="24" borderId="113" xfId="0" applyNumberFormat="1" applyFont="1" applyFill="1" applyBorder="1" applyAlignment="1">
      <alignment horizontal="center" vertical="center" wrapText="1"/>
    </xf>
    <xf numFmtId="6" fontId="170" fillId="24" borderId="40" xfId="0" applyNumberFormat="1" applyFont="1" applyFill="1" applyBorder="1" applyAlignment="1">
      <alignment horizontal="center" vertical="center" wrapText="1"/>
    </xf>
    <xf numFmtId="6" fontId="170" fillId="24" borderId="159" xfId="0" applyNumberFormat="1" applyFont="1" applyFill="1" applyBorder="1" applyAlignment="1">
      <alignment horizontal="center" vertical="center" wrapText="1"/>
    </xf>
    <xf numFmtId="6" fontId="170" fillId="24" borderId="113" xfId="1359" applyNumberFormat="1" applyFont="1" applyFill="1" applyBorder="1" applyAlignment="1">
      <alignment horizontal="center" vertical="center"/>
    </xf>
    <xf numFmtId="6" fontId="170" fillId="24" borderId="40" xfId="1359" applyNumberFormat="1" applyFont="1" applyFill="1" applyBorder="1" applyAlignment="1">
      <alignment horizontal="center" vertical="center"/>
    </xf>
    <xf numFmtId="6" fontId="170" fillId="24" borderId="159" xfId="1359" applyNumberFormat="1" applyFont="1" applyFill="1" applyBorder="1" applyAlignment="1">
      <alignment horizontal="center" vertical="center"/>
    </xf>
    <xf numFmtId="166" fontId="170" fillId="24" borderId="154" xfId="0" applyNumberFormat="1" applyFont="1" applyFill="1" applyBorder="1" applyAlignment="1">
      <alignment horizontal="center" vertical="center"/>
    </xf>
    <xf numFmtId="166" fontId="170" fillId="24" borderId="156" xfId="0" applyNumberFormat="1" applyFont="1" applyFill="1" applyBorder="1" applyAlignment="1">
      <alignment horizontal="center" vertical="center"/>
    </xf>
    <xf numFmtId="166" fontId="170" fillId="24" borderId="164" xfId="0" applyNumberFormat="1" applyFont="1" applyFill="1" applyBorder="1" applyAlignment="1">
      <alignment horizontal="center" vertical="center"/>
    </xf>
    <xf numFmtId="166" fontId="170" fillId="24" borderId="113" xfId="0" applyNumberFormat="1" applyFont="1" applyFill="1" applyBorder="1" applyAlignment="1">
      <alignment horizontal="center" vertical="center"/>
    </xf>
    <xf numFmtId="166" fontId="170" fillId="24" borderId="40" xfId="0" applyNumberFormat="1" applyFont="1" applyFill="1" applyBorder="1" applyAlignment="1">
      <alignment horizontal="center" vertical="center"/>
    </xf>
    <xf numFmtId="166" fontId="170" fillId="24" borderId="159" xfId="0" applyNumberFormat="1" applyFont="1" applyFill="1" applyBorder="1" applyAlignment="1">
      <alignment horizontal="center" vertical="center"/>
    </xf>
    <xf numFmtId="166" fontId="170" fillId="24" borderId="114" xfId="0" applyNumberFormat="1" applyFont="1" applyFill="1" applyBorder="1" applyAlignment="1">
      <alignment horizontal="center" vertical="center"/>
    </xf>
    <xf numFmtId="166" fontId="170" fillId="24" borderId="117" xfId="0" applyNumberFormat="1" applyFont="1" applyFill="1" applyBorder="1" applyAlignment="1">
      <alignment horizontal="center" vertical="center"/>
    </xf>
    <xf numFmtId="166" fontId="170" fillId="24" borderId="165" xfId="0" applyNumberFormat="1" applyFont="1" applyFill="1" applyBorder="1" applyAlignment="1">
      <alignment horizontal="center" vertical="center"/>
    </xf>
    <xf numFmtId="277" fontId="180" fillId="24" borderId="192" xfId="0" applyNumberFormat="1" applyFont="1" applyFill="1" applyBorder="1" applyAlignment="1">
      <alignment horizontal="center" vertical="center" wrapText="1"/>
    </xf>
    <xf numFmtId="277" fontId="180" fillId="24" borderId="117" xfId="0" applyNumberFormat="1" applyFont="1" applyFill="1" applyBorder="1" applyAlignment="1">
      <alignment horizontal="center" vertical="center" wrapText="1"/>
    </xf>
    <xf numFmtId="277" fontId="180" fillId="24" borderId="125" xfId="0" applyNumberFormat="1" applyFont="1" applyFill="1" applyBorder="1" applyAlignment="1">
      <alignment horizontal="center" vertical="center" wrapText="1"/>
    </xf>
    <xf numFmtId="6" fontId="18" fillId="24" borderId="110" xfId="0" applyNumberFormat="1" applyFont="1" applyFill="1" applyBorder="1" applyAlignment="1">
      <alignment horizontal="center" vertical="center"/>
    </xf>
    <xf numFmtId="6" fontId="26" fillId="24" borderId="110" xfId="0" applyNumberFormat="1" applyFont="1" applyFill="1" applyBorder="1" applyAlignment="1">
      <alignment horizontal="center" vertical="center"/>
    </xf>
    <xf numFmtId="6" fontId="173" fillId="25" borderId="144" xfId="0" applyNumberFormat="1" applyFont="1" applyFill="1" applyBorder="1" applyAlignment="1">
      <alignment horizontal="center" vertical="center"/>
    </xf>
    <xf numFmtId="0" fontId="26" fillId="28" borderId="153" xfId="0" applyFont="1" applyFill="1" applyBorder="1" applyAlignment="1">
      <alignment horizontal="center" vertical="center"/>
    </xf>
    <xf numFmtId="6" fontId="26" fillId="28" borderId="139" xfId="0" applyNumberFormat="1" applyFont="1" applyFill="1" applyBorder="1" applyAlignment="1">
      <alignment horizontal="center" vertical="center"/>
    </xf>
    <xf numFmtId="6" fontId="174" fillId="24" borderId="110" xfId="0" applyNumberFormat="1" applyFont="1" applyFill="1" applyBorder="1" applyAlignment="1">
      <alignment horizontal="center" vertical="center"/>
    </xf>
    <xf numFmtId="6" fontId="172" fillId="24" borderId="60" xfId="0" applyNumberFormat="1" applyFont="1" applyFill="1" applyBorder="1" applyAlignment="1">
      <alignment horizontal="center" vertical="center"/>
    </xf>
    <xf numFmtId="0" fontId="26" fillId="28" borderId="151" xfId="0" applyFont="1" applyFill="1" applyBorder="1" applyAlignment="1">
      <alignment horizontal="center" vertical="center"/>
    </xf>
    <xf numFmtId="6" fontId="172" fillId="24" borderId="84" xfId="0" applyNumberFormat="1" applyFont="1" applyFill="1" applyBorder="1" applyAlignment="1">
      <alignment horizontal="center" vertical="center"/>
    </xf>
    <xf numFmtId="6" fontId="26" fillId="28" borderId="108" xfId="0" applyNumberFormat="1" applyFont="1" applyFill="1" applyBorder="1" applyAlignment="1">
      <alignment horizontal="center" vertical="center"/>
    </xf>
    <xf numFmtId="277" fontId="180" fillId="24" borderId="154" xfId="0" applyNumberFormat="1" applyFont="1" applyFill="1" applyBorder="1" applyAlignment="1">
      <alignment horizontal="center" vertical="center" wrapText="1"/>
    </xf>
    <xf numFmtId="277" fontId="180" fillId="24" borderId="156" xfId="0" applyNumberFormat="1" applyFont="1" applyFill="1" applyBorder="1" applyAlignment="1">
      <alignment horizontal="center" vertical="center" wrapText="1"/>
    </xf>
    <xf numFmtId="277" fontId="180" fillId="24" borderId="193" xfId="0" applyNumberFormat="1" applyFont="1" applyFill="1" applyBorder="1" applyAlignment="1">
      <alignment horizontal="center" vertical="center" wrapText="1"/>
    </xf>
    <xf numFmtId="3" fontId="171" fillId="26" borderId="153" xfId="0" applyNumberFormat="1" applyFont="1" applyFill="1" applyBorder="1" applyAlignment="1">
      <alignment horizontal="center" vertical="center" wrapText="1"/>
    </xf>
    <xf numFmtId="166" fontId="171" fillId="26" borderId="64" xfId="0" applyNumberFormat="1" applyFont="1" applyFill="1" applyBorder="1" applyAlignment="1">
      <alignment horizontal="center" vertical="center"/>
    </xf>
    <xf numFmtId="0" fontId="172" fillId="24" borderId="171" xfId="0" applyFont="1" applyFill="1" applyBorder="1" applyAlignment="1">
      <alignment horizontal="center" vertical="center" wrapText="1"/>
    </xf>
    <xf numFmtId="0" fontId="173" fillId="25" borderId="150" xfId="0" applyFont="1" applyFill="1" applyBorder="1" applyAlignment="1">
      <alignment horizontal="center" vertical="center"/>
    </xf>
    <xf numFmtId="0" fontId="173" fillId="25" borderId="149" xfId="0" applyFont="1" applyFill="1" applyBorder="1" applyAlignment="1">
      <alignment horizontal="center" vertical="center"/>
    </xf>
    <xf numFmtId="277" fontId="173" fillId="25" borderId="150" xfId="1346" applyNumberFormat="1" applyFont="1" applyFill="1" applyBorder="1" applyAlignment="1">
      <alignment horizontal="center" vertical="center"/>
    </xf>
    <xf numFmtId="277" fontId="173" fillId="25" borderId="149" xfId="1346" applyNumberFormat="1" applyFont="1" applyFill="1" applyBorder="1" applyAlignment="1">
      <alignment horizontal="center" vertical="center"/>
    </xf>
    <xf numFmtId="6" fontId="18" fillId="24" borderId="141" xfId="0" applyNumberFormat="1" applyFont="1" applyFill="1" applyBorder="1" applyAlignment="1">
      <alignment horizontal="center" vertical="center"/>
    </xf>
    <xf numFmtId="6" fontId="18" fillId="28" borderId="171" xfId="0" applyNumberFormat="1" applyFont="1" applyFill="1" applyBorder="1" applyAlignment="1">
      <alignment horizontal="center" vertical="center"/>
    </xf>
    <xf numFmtId="6" fontId="18" fillId="28" borderId="105" xfId="0" applyNumberFormat="1" applyFont="1" applyFill="1" applyBorder="1" applyAlignment="1">
      <alignment horizontal="center" vertical="center"/>
    </xf>
    <xf numFmtId="167" fontId="26" fillId="28" borderId="85" xfId="0" applyNumberFormat="1" applyFont="1" applyFill="1" applyBorder="1" applyAlignment="1">
      <alignment horizontal="center" vertical="center"/>
    </xf>
    <xf numFmtId="0" fontId="172" fillId="24" borderId="85" xfId="0" applyFont="1" applyFill="1" applyBorder="1" applyAlignment="1">
      <alignment horizontal="center" vertical="center"/>
    </xf>
    <xf numFmtId="261" fontId="172" fillId="24" borderId="79" xfId="0" applyNumberFormat="1" applyFont="1" applyFill="1" applyBorder="1" applyAlignment="1">
      <alignment horizontal="center" vertical="center"/>
    </xf>
    <xf numFmtId="179" fontId="172" fillId="24" borderId="85" xfId="0" applyNumberFormat="1" applyFont="1" applyFill="1" applyBorder="1" applyAlignment="1">
      <alignment horizontal="center" vertical="center"/>
    </xf>
    <xf numFmtId="269" fontId="172" fillId="24" borderId="79" xfId="0" applyNumberFormat="1" applyFont="1" applyFill="1" applyBorder="1" applyAlignment="1">
      <alignment horizontal="center" vertical="center"/>
    </xf>
    <xf numFmtId="167" fontId="26" fillId="28" borderId="77" xfId="0" applyNumberFormat="1" applyFont="1" applyFill="1" applyBorder="1" applyAlignment="1">
      <alignment horizontal="center" vertical="center"/>
    </xf>
    <xf numFmtId="167" fontId="26" fillId="28" borderId="110" xfId="0" applyNumberFormat="1" applyFont="1" applyFill="1" applyBorder="1" applyAlignment="1">
      <alignment horizontal="center" vertical="center"/>
    </xf>
    <xf numFmtId="167" fontId="26" fillId="28" borderId="79" xfId="0" applyNumberFormat="1" applyFont="1" applyFill="1" applyBorder="1" applyAlignment="1">
      <alignment horizontal="center" vertical="center"/>
    </xf>
    <xf numFmtId="171" fontId="173" fillId="25" borderId="194" xfId="0" applyNumberFormat="1" applyFont="1" applyFill="1" applyBorder="1" applyAlignment="1">
      <alignment horizontal="center" vertical="center"/>
    </xf>
    <xf numFmtId="6" fontId="173" fillId="25" borderId="143" xfId="0" applyNumberFormat="1" applyFont="1" applyFill="1" applyBorder="1" applyAlignment="1">
      <alignment horizontal="center" vertical="center"/>
    </xf>
    <xf numFmtId="14" fontId="26" fillId="28" borderId="173" xfId="0" applyNumberFormat="1" applyFont="1" applyFill="1" applyBorder="1" applyAlignment="1">
      <alignment horizontal="center" vertical="center"/>
    </xf>
    <xf numFmtId="14" fontId="26" fillId="28" borderId="135" xfId="0" applyNumberFormat="1" applyFont="1" applyFill="1" applyBorder="1" applyAlignment="1">
      <alignment horizontal="center" vertical="center"/>
    </xf>
    <xf numFmtId="0" fontId="26" fillId="28" borderId="195" xfId="0" applyFont="1" applyFill="1" applyBorder="1" applyAlignment="1">
      <alignment horizontal="center" vertical="center"/>
    </xf>
    <xf numFmtId="10" fontId="26" fillId="28" borderId="173" xfId="0" applyNumberFormat="1" applyFont="1" applyFill="1" applyBorder="1" applyAlignment="1">
      <alignment horizontal="center" vertical="center"/>
    </xf>
    <xf numFmtId="6" fontId="26" fillId="28" borderId="74" xfId="0" applyNumberFormat="1" applyFont="1" applyFill="1" applyBorder="1" applyAlignment="1">
      <alignment horizontal="center" vertical="center"/>
    </xf>
    <xf numFmtId="6" fontId="173" fillId="25" borderId="135" xfId="0" applyNumberFormat="1" applyFont="1" applyFill="1" applyBorder="1" applyAlignment="1">
      <alignment horizontal="center" vertical="center"/>
    </xf>
    <xf numFmtId="277" fontId="192" fillId="25" borderId="135" xfId="0" applyNumberFormat="1" applyFont="1" applyFill="1" applyBorder="1" applyAlignment="1">
      <alignment horizontal="center" vertical="center"/>
    </xf>
    <xf numFmtId="171" fontId="173" fillId="25" borderId="195" xfId="0" applyNumberFormat="1" applyFont="1" applyFill="1" applyBorder="1" applyAlignment="1">
      <alignment horizontal="center" vertical="center"/>
    </xf>
    <xf numFmtId="167" fontId="173" fillId="25" borderId="56" xfId="0" applyNumberFormat="1" applyFont="1" applyFill="1" applyBorder="1" applyAlignment="1">
      <alignment horizontal="center" vertical="center"/>
    </xf>
    <xf numFmtId="6" fontId="18" fillId="24" borderId="74" xfId="0" applyNumberFormat="1" applyFont="1" applyFill="1" applyBorder="1" applyAlignment="1">
      <alignment horizontal="center" vertical="center"/>
    </xf>
    <xf numFmtId="6" fontId="172" fillId="24" borderId="106" xfId="0" applyNumberFormat="1" applyFont="1" applyFill="1" applyBorder="1" applyAlignment="1">
      <alignment horizontal="center" vertical="center"/>
    </xf>
    <xf numFmtId="6" fontId="26" fillId="24" borderId="74" xfId="0" quotePrefix="1" applyNumberFormat="1" applyFont="1" applyFill="1" applyBorder="1" applyAlignment="1">
      <alignment horizontal="center" vertical="center"/>
    </xf>
    <xf numFmtId="9" fontId="26" fillId="28" borderId="40" xfId="0" applyNumberFormat="1" applyFont="1" applyFill="1" applyBorder="1" applyAlignment="1">
      <alignment horizontal="center" vertical="center"/>
    </xf>
    <xf numFmtId="277" fontId="192" fillId="25" borderId="142" xfId="0" applyNumberFormat="1" applyFont="1" applyFill="1" applyBorder="1" applyAlignment="1">
      <alignment horizontal="center" vertical="center"/>
    </xf>
    <xf numFmtId="171" fontId="173" fillId="25" borderId="108" xfId="0" applyNumberFormat="1" applyFont="1" applyFill="1" applyBorder="1" applyAlignment="1">
      <alignment horizontal="center" vertical="center"/>
    </xf>
    <xf numFmtId="167" fontId="173" fillId="25" borderId="59" xfId="0" applyNumberFormat="1" applyFont="1" applyFill="1" applyBorder="1" applyAlignment="1">
      <alignment horizontal="center" vertical="center"/>
    </xf>
    <xf numFmtId="6" fontId="18" fillId="24" borderId="77" xfId="0" applyNumberFormat="1" applyFont="1" applyFill="1" applyBorder="1" applyAlignment="1">
      <alignment horizontal="center" vertical="center"/>
    </xf>
    <xf numFmtId="6" fontId="18" fillId="24" borderId="105" xfId="0" applyNumberFormat="1" applyFont="1" applyFill="1" applyBorder="1" applyAlignment="1">
      <alignment horizontal="center" vertical="center"/>
    </xf>
    <xf numFmtId="6" fontId="18" fillId="24" borderId="83" xfId="0" applyNumberFormat="1" applyFont="1" applyFill="1" applyBorder="1" applyAlignment="1">
      <alignment horizontal="center" vertical="center"/>
    </xf>
    <xf numFmtId="6" fontId="18" fillId="24" borderId="106" xfId="0" applyNumberFormat="1" applyFont="1" applyFill="1" applyBorder="1" applyAlignment="1">
      <alignment horizontal="center" vertical="center"/>
    </xf>
    <xf numFmtId="6" fontId="18" fillId="24" borderId="84" xfId="0" applyNumberFormat="1" applyFont="1" applyFill="1" applyBorder="1" applyAlignment="1">
      <alignment horizontal="center" vertical="center"/>
    </xf>
    <xf numFmtId="6" fontId="18" fillId="28" borderId="77" xfId="0" applyNumberFormat="1" applyFont="1" applyFill="1" applyBorder="1" applyAlignment="1">
      <alignment horizontal="center" vertical="center"/>
    </xf>
    <xf numFmtId="14" fontId="26" fillId="28" borderId="71" xfId="0" applyNumberFormat="1" applyFont="1" applyFill="1" applyBorder="1" applyAlignment="1">
      <alignment horizontal="center" vertical="center"/>
    </xf>
    <xf numFmtId="6" fontId="18" fillId="28" borderId="106" xfId="0" applyNumberFormat="1" applyFont="1" applyFill="1" applyBorder="1" applyAlignment="1">
      <alignment horizontal="center" vertical="center"/>
    </xf>
    <xf numFmtId="167" fontId="26" fillId="28" borderId="81" xfId="0" applyNumberFormat="1" applyFont="1" applyFill="1" applyBorder="1" applyAlignment="1">
      <alignment horizontal="center" vertical="center"/>
    </xf>
    <xf numFmtId="6" fontId="18" fillId="24" borderId="171" xfId="0" applyNumberFormat="1" applyFont="1" applyFill="1" applyBorder="1" applyAlignment="1">
      <alignment horizontal="center" vertical="center"/>
    </xf>
    <xf numFmtId="6" fontId="18" fillId="28" borderId="147" xfId="0" applyNumberFormat="1" applyFont="1" applyFill="1" applyBorder="1" applyAlignment="1">
      <alignment horizontal="center" vertical="center"/>
    </xf>
    <xf numFmtId="10" fontId="26" fillId="28" borderId="197" xfId="0" applyNumberFormat="1" applyFont="1" applyFill="1" applyBorder="1" applyAlignment="1">
      <alignment horizontal="center" vertical="center"/>
    </xf>
    <xf numFmtId="167" fontId="173" fillId="25" borderId="171" xfId="0" applyNumberFormat="1" applyFont="1" applyFill="1" applyBorder="1" applyAlignment="1">
      <alignment horizontal="center" vertical="center"/>
    </xf>
    <xf numFmtId="167" fontId="173" fillId="25" borderId="105" xfId="0" applyNumberFormat="1" applyFont="1" applyFill="1" applyBorder="1" applyAlignment="1">
      <alignment horizontal="center" vertical="center"/>
    </xf>
    <xf numFmtId="167" fontId="26" fillId="28" borderId="105" xfId="0" applyNumberFormat="1" applyFont="1" applyFill="1" applyBorder="1" applyAlignment="1">
      <alignment horizontal="center" vertical="center"/>
    </xf>
    <xf numFmtId="167" fontId="26" fillId="28" borderId="147" xfId="0" applyNumberFormat="1" applyFont="1" applyFill="1" applyBorder="1" applyAlignment="1">
      <alignment horizontal="center" vertical="center"/>
    </xf>
    <xf numFmtId="167" fontId="173" fillId="25" borderId="106" xfId="0" applyNumberFormat="1" applyFont="1" applyFill="1" applyBorder="1" applyAlignment="1">
      <alignment horizontal="center" vertical="center"/>
    </xf>
    <xf numFmtId="6" fontId="18" fillId="24" borderId="194" xfId="0" applyNumberFormat="1" applyFont="1" applyFill="1" applyBorder="1" applyAlignment="1">
      <alignment horizontal="center" vertical="center"/>
    </xf>
    <xf numFmtId="167" fontId="26" fillId="28" borderId="136" xfId="0" applyNumberFormat="1" applyFont="1" applyFill="1" applyBorder="1" applyAlignment="1">
      <alignment horizontal="center" vertical="center"/>
    </xf>
    <xf numFmtId="167" fontId="26" fillId="28" borderId="171" xfId="0" applyNumberFormat="1" applyFont="1" applyFill="1" applyBorder="1" applyAlignment="1">
      <alignment horizontal="center" vertical="center"/>
    </xf>
    <xf numFmtId="167" fontId="26" fillId="28" borderId="106" xfId="0" applyNumberFormat="1" applyFont="1" applyFill="1" applyBorder="1" applyAlignment="1">
      <alignment horizontal="center" vertical="center"/>
    </xf>
    <xf numFmtId="167" fontId="173" fillId="25" borderId="194" xfId="0" applyNumberFormat="1" applyFont="1" applyFill="1" applyBorder="1" applyAlignment="1">
      <alignment horizontal="center" vertical="center"/>
    </xf>
    <xf numFmtId="286" fontId="180" fillId="24" borderId="40" xfId="0" applyNumberFormat="1" applyFont="1" applyFill="1" applyBorder="1" applyAlignment="1">
      <alignment horizontal="center" vertical="center"/>
    </xf>
    <xf numFmtId="286" fontId="180" fillId="24" borderId="113" xfId="0" applyNumberFormat="1" applyFont="1" applyFill="1" applyBorder="1" applyAlignment="1">
      <alignment horizontal="center" vertical="center"/>
    </xf>
    <xf numFmtId="287" fontId="180" fillId="24" borderId="40" xfId="0" applyNumberFormat="1" applyFont="1" applyFill="1" applyBorder="1" applyAlignment="1">
      <alignment horizontal="center" vertical="center"/>
    </xf>
    <xf numFmtId="277" fontId="180" fillId="24" borderId="169" xfId="0" applyNumberFormat="1" applyFont="1" applyFill="1" applyBorder="1" applyAlignment="1">
      <alignment horizontal="center" vertical="center" wrapText="1"/>
    </xf>
    <xf numFmtId="171" fontId="173" fillId="25" borderId="67" xfId="0" applyNumberFormat="1" applyFont="1" applyFill="1" applyBorder="1" applyAlignment="1">
      <alignment horizontal="center" vertical="center"/>
    </xf>
    <xf numFmtId="171" fontId="173" fillId="25" borderId="64" xfId="0" applyNumberFormat="1" applyFont="1" applyFill="1" applyBorder="1" applyAlignment="1">
      <alignment horizontal="center" vertical="center"/>
    </xf>
    <xf numFmtId="171" fontId="26" fillId="28" borderId="67" xfId="0" applyNumberFormat="1" applyFont="1" applyFill="1" applyBorder="1" applyAlignment="1">
      <alignment horizontal="center" vertical="center"/>
    </xf>
    <xf numFmtId="171" fontId="26" fillId="28" borderId="109" xfId="0" applyNumberFormat="1" applyFont="1" applyFill="1" applyBorder="1" applyAlignment="1">
      <alignment horizontal="center" vertical="center"/>
    </xf>
    <xf numFmtId="171" fontId="173" fillId="25" borderId="109" xfId="0" applyNumberFormat="1" applyFont="1" applyFill="1" applyBorder="1" applyAlignment="1">
      <alignment horizontal="center" vertical="center"/>
    </xf>
    <xf numFmtId="167" fontId="173" fillId="25" borderId="141" xfId="0" applyNumberFormat="1" applyFont="1" applyFill="1" applyBorder="1" applyAlignment="1">
      <alignment horizontal="center" vertical="center"/>
    </xf>
    <xf numFmtId="167" fontId="173" fillId="25" borderId="145" xfId="0" applyNumberFormat="1" applyFont="1" applyFill="1" applyBorder="1" applyAlignment="1">
      <alignment horizontal="center" vertical="center"/>
    </xf>
    <xf numFmtId="167" fontId="26" fillId="28" borderId="141" xfId="0" applyNumberFormat="1" applyFont="1" applyFill="1" applyBorder="1" applyAlignment="1">
      <alignment horizontal="center" vertical="center"/>
    </xf>
    <xf numFmtId="167" fontId="26" fillId="28" borderId="140" xfId="0" applyNumberFormat="1" applyFont="1" applyFill="1" applyBorder="1" applyAlignment="1">
      <alignment horizontal="center" vertical="center"/>
    </xf>
    <xf numFmtId="167" fontId="173" fillId="25" borderId="140" xfId="0" applyNumberFormat="1" applyFont="1" applyFill="1" applyBorder="1" applyAlignment="1">
      <alignment horizontal="center" vertical="center"/>
    </xf>
    <xf numFmtId="0" fontId="26" fillId="28" borderId="183" xfId="0" applyFont="1" applyFill="1" applyBorder="1" applyAlignment="1">
      <alignment horizontal="center" vertical="center"/>
    </xf>
    <xf numFmtId="6" fontId="26" fillId="28" borderId="195" xfId="0" applyNumberFormat="1" applyFont="1" applyFill="1" applyBorder="1" applyAlignment="1">
      <alignment horizontal="center" vertical="center"/>
    </xf>
    <xf numFmtId="6" fontId="172" fillId="24" borderId="55" xfId="0" quotePrefix="1" applyNumberFormat="1" applyFont="1" applyFill="1" applyBorder="1" applyAlignment="1">
      <alignment horizontal="center" vertical="center"/>
    </xf>
    <xf numFmtId="171" fontId="173" fillId="25" borderId="69" xfId="0" applyNumberFormat="1" applyFont="1" applyFill="1" applyBorder="1" applyAlignment="1">
      <alignment horizontal="center" vertical="center"/>
    </xf>
    <xf numFmtId="0" fontId="174" fillId="28" borderId="138" xfId="0" applyFont="1" applyFill="1" applyBorder="1" applyAlignment="1">
      <alignment horizontal="center" vertical="center"/>
    </xf>
    <xf numFmtId="0" fontId="174" fillId="28" borderId="11" xfId="0" applyFont="1" applyFill="1" applyBorder="1" applyAlignment="1">
      <alignment horizontal="center" vertical="center"/>
    </xf>
    <xf numFmtId="0" fontId="174" fillId="28" borderId="59" xfId="0" applyFont="1" applyFill="1" applyBorder="1" applyAlignment="1">
      <alignment horizontal="center" vertical="center"/>
    </xf>
    <xf numFmtId="288" fontId="172" fillId="24" borderId="0" xfId="0" applyNumberFormat="1" applyFont="1" applyFill="1" applyAlignment="1">
      <alignment horizontal="center" vertical="center"/>
    </xf>
    <xf numFmtId="6" fontId="174" fillId="28" borderId="173" xfId="0" applyNumberFormat="1" applyFont="1" applyFill="1" applyBorder="1" applyAlignment="1">
      <alignment horizontal="center" vertical="center"/>
    </xf>
    <xf numFmtId="6" fontId="174" fillId="28" borderId="183" xfId="0" applyNumberFormat="1" applyFont="1" applyFill="1" applyBorder="1" applyAlignment="1">
      <alignment horizontal="center" vertical="center"/>
    </xf>
    <xf numFmtId="6" fontId="174" fillId="28" borderId="11" xfId="0" applyNumberFormat="1" applyFont="1" applyFill="1" applyBorder="1" applyAlignment="1">
      <alignment horizontal="center" vertical="center"/>
    </xf>
    <xf numFmtId="6" fontId="174" fillId="28" borderId="138" xfId="0" applyNumberFormat="1" applyFont="1" applyFill="1" applyBorder="1" applyAlignment="1">
      <alignment horizontal="center" vertical="center"/>
    </xf>
    <xf numFmtId="6" fontId="174" fillId="28" borderId="59" xfId="0" applyNumberFormat="1" applyFont="1" applyFill="1" applyBorder="1" applyAlignment="1">
      <alignment horizontal="center" vertical="center"/>
    </xf>
    <xf numFmtId="6" fontId="174" fillId="28" borderId="72" xfId="0" applyNumberFormat="1" applyFont="1" applyFill="1" applyBorder="1" applyAlignment="1">
      <alignment horizontal="center" vertical="center"/>
    </xf>
    <xf numFmtId="6" fontId="174" fillId="28" borderId="198" xfId="0" applyNumberFormat="1" applyFont="1" applyFill="1" applyBorder="1" applyAlignment="1">
      <alignment horizontal="center" vertical="center"/>
    </xf>
    <xf numFmtId="6" fontId="174" fillId="28" borderId="108" xfId="0" applyNumberFormat="1" applyFont="1" applyFill="1" applyBorder="1" applyAlignment="1">
      <alignment horizontal="center" vertical="center"/>
    </xf>
    <xf numFmtId="6" fontId="174" fillId="28" borderId="195" xfId="0" applyNumberFormat="1" applyFont="1" applyFill="1" applyBorder="1" applyAlignment="1">
      <alignment horizontal="center" vertical="center"/>
    </xf>
    <xf numFmtId="6" fontId="172" fillId="24" borderId="82" xfId="0" applyNumberFormat="1" applyFont="1" applyFill="1" applyBorder="1" applyAlignment="1">
      <alignment horizontal="center" vertical="center"/>
    </xf>
    <xf numFmtId="6" fontId="172" fillId="24" borderId="83" xfId="0" applyNumberFormat="1" applyFont="1" applyFill="1" applyBorder="1" applyAlignment="1">
      <alignment horizontal="center" vertical="center"/>
    </xf>
    <xf numFmtId="6" fontId="172" fillId="24" borderId="171" xfId="0" applyNumberFormat="1" applyFont="1" applyFill="1" applyBorder="1" applyAlignment="1">
      <alignment horizontal="center" vertical="center"/>
    </xf>
    <xf numFmtId="6" fontId="172" fillId="24" borderId="105" xfId="0" applyNumberFormat="1" applyFont="1" applyFill="1" applyBorder="1" applyAlignment="1">
      <alignment horizontal="center" vertical="center"/>
    </xf>
    <xf numFmtId="6" fontId="174" fillId="28" borderId="87" xfId="0" applyNumberFormat="1" applyFont="1" applyFill="1" applyBorder="1" applyAlignment="1">
      <alignment horizontal="center" vertical="center"/>
    </xf>
    <xf numFmtId="6" fontId="172" fillId="24" borderId="199" xfId="0" applyNumberFormat="1" applyFont="1" applyFill="1" applyBorder="1" applyAlignment="1">
      <alignment horizontal="center" vertical="center"/>
    </xf>
    <xf numFmtId="6" fontId="172" fillId="24" borderId="86" xfId="0" applyNumberFormat="1" applyFont="1" applyFill="1" applyBorder="1" applyAlignment="1">
      <alignment horizontal="center" vertical="center"/>
    </xf>
    <xf numFmtId="6" fontId="172" fillId="24" borderId="86" xfId="0" quotePrefix="1" applyNumberFormat="1" applyFont="1" applyFill="1" applyBorder="1" applyAlignment="1">
      <alignment horizontal="center" vertical="center"/>
    </xf>
    <xf numFmtId="6" fontId="172" fillId="24" borderId="200" xfId="0" applyNumberFormat="1" applyFont="1" applyFill="1" applyBorder="1" applyAlignment="1">
      <alignment horizontal="center" vertical="center"/>
    </xf>
    <xf numFmtId="273" fontId="172" fillId="24" borderId="79" xfId="0" applyNumberFormat="1" applyFont="1" applyFill="1" applyBorder="1" applyAlignment="1">
      <alignment horizontal="center" vertical="center"/>
    </xf>
    <xf numFmtId="0" fontId="172" fillId="0" borderId="77" xfId="0" applyFont="1" applyBorder="1" applyAlignment="1">
      <alignment horizontal="center" vertical="center"/>
    </xf>
    <xf numFmtId="0" fontId="26" fillId="24" borderId="11" xfId="1346" applyFont="1" applyFill="1" applyBorder="1" applyAlignment="1">
      <alignment horizontal="center" vertical="center"/>
    </xf>
    <xf numFmtId="0" fontId="197" fillId="28" borderId="142" xfId="0" applyFont="1" applyFill="1" applyBorder="1" applyAlignment="1">
      <alignment horizontal="center" vertical="center"/>
    </xf>
    <xf numFmtId="0" fontId="197" fillId="28" borderId="143" xfId="0" applyFont="1" applyFill="1" applyBorder="1" applyAlignment="1">
      <alignment horizontal="center" vertical="center"/>
    </xf>
    <xf numFmtId="8" fontId="197" fillId="28" borderId="143" xfId="0" applyNumberFormat="1" applyFont="1" applyFill="1" applyBorder="1" applyAlignment="1">
      <alignment horizontal="center" vertical="center"/>
    </xf>
    <xf numFmtId="6" fontId="202" fillId="28" borderId="144" xfId="0" applyNumberFormat="1" applyFont="1" applyFill="1" applyBorder="1" applyAlignment="1">
      <alignment horizontal="center" vertical="center"/>
    </xf>
    <xf numFmtId="0" fontId="18" fillId="28" borderId="143" xfId="1346" applyFont="1" applyFill="1" applyBorder="1" applyAlignment="1">
      <alignment horizontal="center" vertical="center"/>
    </xf>
    <xf numFmtId="0" fontId="18" fillId="28" borderId="144" xfId="1346" applyFont="1" applyFill="1" applyBorder="1" applyAlignment="1">
      <alignment horizontal="center" vertical="center"/>
    </xf>
    <xf numFmtId="0" fontId="173" fillId="25" borderId="108" xfId="1346" applyFont="1" applyFill="1" applyBorder="1" applyAlignment="1">
      <alignment horizontal="center" vertical="center"/>
    </xf>
    <xf numFmtId="0" fontId="18" fillId="24" borderId="118" xfId="1346" applyFont="1" applyFill="1" applyBorder="1" applyAlignment="1">
      <alignment horizontal="center" vertical="center"/>
    </xf>
    <xf numFmtId="0" fontId="18" fillId="24" borderId="119" xfId="1346" applyFont="1" applyFill="1" applyBorder="1" applyAlignment="1">
      <alignment horizontal="center" vertical="center"/>
    </xf>
    <xf numFmtId="0" fontId="18" fillId="24" borderId="120" xfId="1346" applyFont="1" applyFill="1" applyBorder="1" applyAlignment="1">
      <alignment horizontal="center" vertical="center"/>
    </xf>
    <xf numFmtId="0" fontId="170" fillId="28" borderId="134" xfId="0" applyFont="1" applyFill="1" applyBorder="1" applyAlignment="1">
      <alignment horizontal="center" vertical="center" wrapText="1"/>
    </xf>
    <xf numFmtId="0" fontId="170" fillId="28" borderId="130" xfId="0" applyFont="1" applyFill="1" applyBorder="1" applyAlignment="1">
      <alignment horizontal="center" vertical="center"/>
    </xf>
    <xf numFmtId="0" fontId="170" fillId="28" borderId="130" xfId="0" applyFont="1" applyFill="1" applyBorder="1" applyAlignment="1">
      <alignment horizontal="center" vertical="center" wrapText="1"/>
    </xf>
    <xf numFmtId="9" fontId="180" fillId="28" borderId="130" xfId="0" applyNumberFormat="1" applyFont="1" applyFill="1" applyBorder="1" applyAlignment="1">
      <alignment horizontal="center" vertical="center" wrapText="1"/>
    </xf>
    <xf numFmtId="49" fontId="170" fillId="28" borderId="131" xfId="0" applyNumberFormat="1" applyFont="1" applyFill="1" applyBorder="1" applyAlignment="1">
      <alignment horizontal="center" vertical="center" wrapText="1"/>
    </xf>
    <xf numFmtId="0" fontId="170" fillId="28" borderId="116" xfId="0" applyFont="1" applyFill="1" applyBorder="1" applyAlignment="1">
      <alignment horizontal="center" vertical="center" wrapText="1"/>
    </xf>
    <xf numFmtId="0" fontId="170" fillId="28" borderId="40" xfId="0" applyFont="1" applyFill="1" applyBorder="1" applyAlignment="1">
      <alignment horizontal="center" vertical="center" wrapText="1"/>
    </xf>
    <xf numFmtId="0" fontId="170" fillId="28" borderId="40" xfId="0" applyFont="1" applyFill="1" applyBorder="1" applyAlignment="1">
      <alignment horizontal="center" vertical="center"/>
    </xf>
    <xf numFmtId="9" fontId="180" fillId="28" borderId="40" xfId="0" applyNumberFormat="1" applyFont="1" applyFill="1" applyBorder="1" applyAlignment="1">
      <alignment horizontal="center" vertical="center"/>
    </xf>
    <xf numFmtId="49" fontId="170" fillId="28" borderId="117" xfId="0" applyNumberFormat="1" applyFont="1" applyFill="1" applyBorder="1" applyAlignment="1">
      <alignment horizontal="center" vertical="center"/>
    </xf>
    <xf numFmtId="9" fontId="180" fillId="28" borderId="40" xfId="0" applyNumberFormat="1" applyFont="1" applyFill="1" applyBorder="1" applyAlignment="1">
      <alignment horizontal="center" vertical="center" wrapText="1"/>
    </xf>
    <xf numFmtId="49" fontId="170" fillId="28" borderId="117" xfId="0" applyNumberFormat="1" applyFont="1" applyFill="1" applyBorder="1" applyAlignment="1">
      <alignment horizontal="center" vertical="center" wrapText="1"/>
    </xf>
    <xf numFmtId="49" fontId="172" fillId="28" borderId="117" xfId="0" applyNumberFormat="1" applyFont="1" applyFill="1" applyBorder="1" applyAlignment="1">
      <alignment horizontal="center" vertical="center" wrapText="1"/>
    </xf>
    <xf numFmtId="0" fontId="171" fillId="28" borderId="116" xfId="0" applyFont="1" applyFill="1" applyBorder="1" applyAlignment="1">
      <alignment horizontal="center" vertical="center" wrapText="1"/>
    </xf>
    <xf numFmtId="0" fontId="171" fillId="28" borderId="166" xfId="0" applyFont="1" applyFill="1" applyBorder="1" applyAlignment="1">
      <alignment horizontal="center" vertical="center" wrapText="1"/>
    </xf>
    <xf numFmtId="0" fontId="170" fillId="28" borderId="124" xfId="0" applyFont="1" applyFill="1" applyBorder="1" applyAlignment="1">
      <alignment horizontal="center" vertical="center" wrapText="1"/>
    </xf>
    <xf numFmtId="0" fontId="170" fillId="28" borderId="124" xfId="0" applyFont="1" applyFill="1" applyBorder="1" applyAlignment="1">
      <alignment horizontal="center" vertical="center"/>
    </xf>
    <xf numFmtId="9" fontId="180" fillId="28" borderId="124" xfId="0" applyNumberFormat="1" applyFont="1" applyFill="1" applyBorder="1" applyAlignment="1">
      <alignment horizontal="center" vertical="center" wrapText="1"/>
    </xf>
    <xf numFmtId="49" fontId="170" fillId="28" borderId="125" xfId="0" applyNumberFormat="1" applyFont="1" applyFill="1" applyBorder="1" applyAlignment="1">
      <alignment horizontal="center" vertical="center" wrapText="1"/>
    </xf>
    <xf numFmtId="0" fontId="178" fillId="25" borderId="102" xfId="0" applyFont="1" applyFill="1" applyBorder="1" applyAlignment="1">
      <alignment horizontal="center" vertical="center"/>
    </xf>
    <xf numFmtId="0" fontId="178" fillId="25" borderId="189" xfId="0" applyFont="1" applyFill="1" applyBorder="1" applyAlignment="1">
      <alignment horizontal="center" vertical="center" wrapText="1"/>
    </xf>
    <xf numFmtId="0" fontId="178" fillId="25" borderId="189" xfId="0" applyFont="1" applyFill="1" applyBorder="1" applyAlignment="1">
      <alignment horizontal="center" vertical="center"/>
    </xf>
    <xf numFmtId="0" fontId="177" fillId="24" borderId="93" xfId="0" quotePrefix="1" applyFont="1" applyFill="1" applyBorder="1" applyAlignment="1">
      <alignment horizontal="center" vertical="center" wrapText="1"/>
    </xf>
    <xf numFmtId="0" fontId="177" fillId="24" borderId="76" xfId="0" quotePrefix="1" applyFont="1" applyFill="1" applyBorder="1" applyAlignment="1">
      <alignment horizontal="center" vertical="center" wrapText="1"/>
    </xf>
    <xf numFmtId="276" fontId="177" fillId="24" borderId="76" xfId="0" quotePrefix="1" applyNumberFormat="1" applyFont="1" applyFill="1" applyBorder="1" applyAlignment="1">
      <alignment horizontal="center" vertical="center" wrapText="1"/>
    </xf>
    <xf numFmtId="166" fontId="177" fillId="24" borderId="76" xfId="0" quotePrefix="1" applyNumberFormat="1" applyFont="1" applyFill="1" applyBorder="1" applyAlignment="1">
      <alignment horizontal="center" vertical="center" wrapText="1"/>
    </xf>
    <xf numFmtId="165" fontId="177" fillId="24" borderId="76" xfId="0" quotePrefix="1" applyNumberFormat="1" applyFont="1" applyFill="1" applyBorder="1" applyAlignment="1">
      <alignment horizontal="center" vertical="center" wrapText="1"/>
    </xf>
    <xf numFmtId="10" fontId="177" fillId="24" borderId="76" xfId="0" quotePrefix="1" applyNumberFormat="1" applyFont="1" applyFill="1" applyBorder="1" applyAlignment="1">
      <alignment horizontal="center" vertical="center" wrapText="1"/>
    </xf>
    <xf numFmtId="3" fontId="177" fillId="24" borderId="76" xfId="0" quotePrefix="1" applyNumberFormat="1" applyFont="1" applyFill="1" applyBorder="1" applyAlignment="1">
      <alignment horizontal="center" vertical="center" wrapText="1"/>
    </xf>
    <xf numFmtId="0" fontId="177" fillId="24" borderId="95" xfId="0" quotePrefix="1" applyFont="1" applyFill="1" applyBorder="1" applyAlignment="1">
      <alignment horizontal="center" vertical="center" wrapText="1"/>
    </xf>
    <xf numFmtId="276" fontId="177" fillId="24" borderId="7" xfId="0" quotePrefix="1" applyNumberFormat="1" applyFont="1" applyFill="1" applyBorder="1" applyAlignment="1">
      <alignment horizontal="center" vertical="center" wrapText="1"/>
    </xf>
    <xf numFmtId="166" fontId="177" fillId="24" borderId="7" xfId="0" quotePrefix="1" applyNumberFormat="1" applyFont="1" applyFill="1" applyBorder="1" applyAlignment="1">
      <alignment horizontal="center" vertical="center" wrapText="1"/>
    </xf>
    <xf numFmtId="165" fontId="177" fillId="24" borderId="7" xfId="0" quotePrefix="1" applyNumberFormat="1" applyFont="1" applyFill="1" applyBorder="1" applyAlignment="1">
      <alignment horizontal="center" vertical="center" wrapText="1"/>
    </xf>
    <xf numFmtId="10" fontId="177" fillId="24" borderId="7" xfId="0" quotePrefix="1" applyNumberFormat="1" applyFont="1" applyFill="1" applyBorder="1" applyAlignment="1">
      <alignment horizontal="center" vertical="center" wrapText="1"/>
    </xf>
    <xf numFmtId="3" fontId="177" fillId="24" borderId="7" xfId="0" quotePrefix="1" applyNumberFormat="1" applyFont="1" applyFill="1" applyBorder="1" applyAlignment="1">
      <alignment horizontal="center" vertical="center" wrapText="1"/>
    </xf>
    <xf numFmtId="0" fontId="177" fillId="24" borderId="7" xfId="0" quotePrefix="1" applyFont="1" applyFill="1" applyBorder="1" applyAlignment="1">
      <alignment horizontal="center" vertical="center" wrapText="1"/>
    </xf>
    <xf numFmtId="276" fontId="99" fillId="28" borderId="89" xfId="0" applyNumberFormat="1" applyFont="1" applyFill="1" applyBorder="1" applyAlignment="1">
      <alignment horizontal="center" vertical="center" wrapText="1"/>
    </xf>
    <xf numFmtId="6" fontId="99" fillId="28" borderId="89" xfId="0" applyNumberFormat="1" applyFont="1" applyFill="1" applyBorder="1" applyAlignment="1">
      <alignment horizontal="center" vertical="center" wrapText="1"/>
    </xf>
    <xf numFmtId="10" fontId="99" fillId="28" borderId="89" xfId="0" applyNumberFormat="1" applyFont="1" applyFill="1" applyBorder="1" applyAlignment="1">
      <alignment horizontal="center" vertical="center" wrapText="1"/>
    </xf>
    <xf numFmtId="0" fontId="16" fillId="28" borderId="89" xfId="0" applyFont="1" applyFill="1" applyBorder="1"/>
    <xf numFmtId="0" fontId="177" fillId="24" borderId="0" xfId="0" applyFont="1" applyFill="1" applyAlignment="1">
      <alignment horizontal="center" vertical="center"/>
    </xf>
    <xf numFmtId="0" fontId="177" fillId="24" borderId="97" xfId="0" quotePrefix="1" applyFont="1" applyFill="1" applyBorder="1" applyAlignment="1">
      <alignment horizontal="center" vertical="center" wrapText="1"/>
    </xf>
    <xf numFmtId="0" fontId="177" fillId="24" borderId="98" xfId="0" quotePrefix="1" applyFont="1" applyFill="1" applyBorder="1" applyAlignment="1">
      <alignment horizontal="center" vertical="center" wrapText="1"/>
    </xf>
    <xf numFmtId="276" fontId="177" fillId="24" borderId="98" xfId="0" applyNumberFormat="1" applyFont="1" applyFill="1" applyBorder="1" applyAlignment="1">
      <alignment horizontal="center" vertical="center" wrapText="1"/>
    </xf>
    <xf numFmtId="6" fontId="177" fillId="24" borderId="98" xfId="0" applyNumberFormat="1" applyFont="1" applyFill="1" applyBorder="1" applyAlignment="1">
      <alignment horizontal="center" vertical="center" wrapText="1"/>
    </xf>
    <xf numFmtId="3" fontId="177" fillId="24" borderId="98" xfId="0" applyNumberFormat="1" applyFont="1" applyFill="1" applyBorder="1" applyAlignment="1">
      <alignment horizontal="center" vertical="center" wrapText="1"/>
    </xf>
    <xf numFmtId="0" fontId="177" fillId="24" borderId="99" xfId="0" applyFont="1" applyFill="1" applyBorder="1" applyAlignment="1">
      <alignment horizontal="center" vertical="center" wrapText="1"/>
    </xf>
    <xf numFmtId="276" fontId="177" fillId="24" borderId="76" xfId="0" applyNumberFormat="1" applyFont="1" applyFill="1" applyBorder="1" applyAlignment="1">
      <alignment horizontal="center" vertical="center" wrapText="1"/>
    </xf>
    <xf numFmtId="6" fontId="177" fillId="24" borderId="76" xfId="0" applyNumberFormat="1" applyFont="1" applyFill="1" applyBorder="1" applyAlignment="1">
      <alignment horizontal="center" vertical="center" wrapText="1"/>
    </xf>
    <xf numFmtId="1" fontId="177" fillId="24" borderId="76" xfId="0" quotePrefix="1" applyNumberFormat="1" applyFont="1" applyFill="1" applyBorder="1" applyAlignment="1">
      <alignment horizontal="center" vertical="center" wrapText="1"/>
    </xf>
    <xf numFmtId="3" fontId="177" fillId="24" borderId="76" xfId="0" applyNumberFormat="1" applyFont="1" applyFill="1" applyBorder="1" applyAlignment="1">
      <alignment horizontal="center" vertical="center" wrapText="1"/>
    </xf>
    <xf numFmtId="0" fontId="177" fillId="24" borderId="94" xfId="0" applyFont="1" applyFill="1" applyBorder="1" applyAlignment="1">
      <alignment horizontal="center" vertical="center" wrapText="1"/>
    </xf>
    <xf numFmtId="0" fontId="177" fillId="24" borderId="100" xfId="0" quotePrefix="1" applyFont="1" applyFill="1" applyBorder="1" applyAlignment="1">
      <alignment horizontal="center" vertical="center" wrapText="1"/>
    </xf>
    <xf numFmtId="6" fontId="99" fillId="28" borderId="180" xfId="0" applyNumberFormat="1" applyFont="1" applyFill="1" applyBorder="1" applyAlignment="1">
      <alignment horizontal="center" vertical="center" wrapText="1"/>
    </xf>
    <xf numFmtId="1" fontId="99" fillId="28" borderId="180" xfId="0" quotePrefix="1" applyNumberFormat="1" applyFont="1" applyFill="1" applyBorder="1" applyAlignment="1">
      <alignment horizontal="center" vertical="center" wrapText="1"/>
    </xf>
    <xf numFmtId="3" fontId="99" fillId="28" borderId="180" xfId="0" quotePrefix="1" applyNumberFormat="1" applyFont="1" applyFill="1" applyBorder="1" applyAlignment="1">
      <alignment horizontal="center" vertical="center" wrapText="1"/>
    </xf>
    <xf numFmtId="3" fontId="99" fillId="28" borderId="180" xfId="0" applyNumberFormat="1" applyFont="1" applyFill="1" applyBorder="1" applyAlignment="1">
      <alignment horizontal="center" vertical="center" wrapText="1"/>
    </xf>
    <xf numFmtId="0" fontId="99" fillId="28" borderId="181" xfId="0" applyFont="1" applyFill="1" applyBorder="1" applyAlignment="1">
      <alignment horizontal="center" vertical="center" wrapText="1"/>
    </xf>
    <xf numFmtId="0" fontId="177" fillId="24" borderId="191" xfId="0" applyFont="1" applyFill="1" applyBorder="1" applyAlignment="1">
      <alignment horizontal="center" vertical="center" wrapText="1"/>
    </xf>
    <xf numFmtId="0" fontId="178" fillId="25" borderId="88" xfId="0" applyFont="1" applyFill="1" applyBorder="1" applyAlignment="1">
      <alignment horizontal="center" vertical="center"/>
    </xf>
    <xf numFmtId="0" fontId="178" fillId="25" borderId="89" xfId="0" applyFont="1" applyFill="1" applyBorder="1" applyAlignment="1">
      <alignment horizontal="center" vertical="center" wrapText="1"/>
    </xf>
    <xf numFmtId="0" fontId="178" fillId="25" borderId="89" xfId="0" applyFont="1" applyFill="1" applyBorder="1" applyAlignment="1">
      <alignment horizontal="center" vertical="center"/>
    </xf>
    <xf numFmtId="0" fontId="178" fillId="25" borderId="90" xfId="0" applyFont="1" applyFill="1" applyBorder="1" applyAlignment="1">
      <alignment horizontal="center" vertical="center" wrapText="1"/>
    </xf>
    <xf numFmtId="0" fontId="177" fillId="24" borderId="180" xfId="0" quotePrefix="1" applyFont="1" applyFill="1" applyBorder="1" applyAlignment="1">
      <alignment horizontal="center" vertical="center" wrapText="1"/>
    </xf>
    <xf numFmtId="0" fontId="177" fillId="24" borderId="24" xfId="0" quotePrefix="1" applyFont="1" applyFill="1" applyBorder="1" applyAlignment="1">
      <alignment horizontal="center" vertical="center" wrapText="1"/>
    </xf>
    <xf numFmtId="276" fontId="177" fillId="24" borderId="24" xfId="0" applyNumberFormat="1" applyFont="1" applyFill="1" applyBorder="1" applyAlignment="1">
      <alignment horizontal="center" vertical="center" wrapText="1"/>
    </xf>
    <xf numFmtId="6" fontId="177" fillId="24" borderId="24" xfId="0" applyNumberFormat="1" applyFont="1" applyFill="1" applyBorder="1" applyAlignment="1">
      <alignment horizontal="center" vertical="center" wrapText="1"/>
    </xf>
    <xf numFmtId="1" fontId="177" fillId="24" borderId="24" xfId="0" quotePrefix="1" applyNumberFormat="1" applyFont="1" applyFill="1" applyBorder="1" applyAlignment="1">
      <alignment horizontal="center" vertical="center" wrapText="1"/>
    </xf>
    <xf numFmtId="3" fontId="177" fillId="24" borderId="24" xfId="0" quotePrefix="1" applyNumberFormat="1" applyFont="1" applyFill="1" applyBorder="1" applyAlignment="1">
      <alignment horizontal="center" vertical="center" wrapText="1"/>
    </xf>
    <xf numFmtId="3" fontId="177" fillId="24" borderId="24" xfId="0" applyNumberFormat="1" applyFont="1" applyFill="1" applyBorder="1" applyAlignment="1">
      <alignment horizontal="center" vertical="center" wrapText="1"/>
    </xf>
    <xf numFmtId="0" fontId="177" fillId="24" borderId="201" xfId="0" applyFont="1" applyFill="1" applyBorder="1" applyAlignment="1">
      <alignment horizontal="center" vertical="center"/>
    </xf>
    <xf numFmtId="10" fontId="177" fillId="24" borderId="202" xfId="0" applyNumberFormat="1" applyFont="1" applyFill="1" applyBorder="1" applyAlignment="1">
      <alignment horizontal="center" vertical="center"/>
    </xf>
    <xf numFmtId="0" fontId="177" fillId="24" borderId="202" xfId="0" applyFont="1" applyFill="1" applyBorder="1" applyAlignment="1">
      <alignment horizontal="center" vertical="center"/>
    </xf>
    <xf numFmtId="0" fontId="177" fillId="24" borderId="102" xfId="0" applyFont="1" applyFill="1" applyBorder="1" applyAlignment="1">
      <alignment horizontal="center" vertical="center"/>
    </xf>
    <xf numFmtId="0" fontId="177" fillId="24" borderId="103" xfId="0" applyFont="1" applyFill="1" applyBorder="1" applyAlignment="1">
      <alignment horizontal="center" vertical="center"/>
    </xf>
    <xf numFmtId="0" fontId="178" fillId="25" borderId="88" xfId="1346" applyFont="1" applyFill="1" applyBorder="1" applyAlignment="1">
      <alignment horizontal="center" vertical="center" wrapText="1"/>
    </xf>
    <xf numFmtId="0" fontId="178" fillId="25" borderId="90" xfId="1346" applyFont="1" applyFill="1" applyBorder="1" applyAlignment="1">
      <alignment horizontal="center" vertical="center" wrapText="1"/>
    </xf>
    <xf numFmtId="6" fontId="177" fillId="24" borderId="202" xfId="0" applyNumberFormat="1" applyFont="1" applyFill="1" applyBorder="1" applyAlignment="1">
      <alignment horizontal="center" vertical="center"/>
    </xf>
    <xf numFmtId="0" fontId="177" fillId="24" borderId="102" xfId="1346" applyFont="1" applyFill="1" applyBorder="1" applyAlignment="1">
      <alignment horizontal="center" vertical="center"/>
    </xf>
    <xf numFmtId="0" fontId="177" fillId="24" borderId="103" xfId="1346" applyFont="1" applyFill="1" applyBorder="1" applyAlignment="1">
      <alignment horizontal="center" vertical="center"/>
    </xf>
    <xf numFmtId="0" fontId="177" fillId="24" borderId="91" xfId="1346" applyFont="1" applyFill="1" applyBorder="1" applyAlignment="1">
      <alignment horizontal="center" vertical="center"/>
    </xf>
    <xf numFmtId="8" fontId="177" fillId="24" borderId="92" xfId="1346" applyNumberFormat="1" applyFont="1" applyFill="1" applyBorder="1" applyAlignment="1">
      <alignment horizontal="center" vertical="center"/>
    </xf>
    <xf numFmtId="0" fontId="177" fillId="24" borderId="201" xfId="1346" applyFont="1" applyFill="1" applyBorder="1" applyAlignment="1">
      <alignment horizontal="center" vertical="center"/>
    </xf>
    <xf numFmtId="8" fontId="177" fillId="24" borderId="202" xfId="1346" applyNumberFormat="1" applyFont="1" applyFill="1" applyBorder="1" applyAlignment="1">
      <alignment horizontal="center" vertical="center"/>
    </xf>
    <xf numFmtId="6" fontId="177" fillId="24" borderId="202" xfId="1346" applyNumberFormat="1" applyFont="1" applyFill="1" applyBorder="1" applyAlignment="1">
      <alignment horizontal="center" vertical="center"/>
    </xf>
    <xf numFmtId="167" fontId="177" fillId="24" borderId="202" xfId="1346" applyNumberFormat="1" applyFont="1" applyFill="1" applyBorder="1" applyAlignment="1">
      <alignment horizontal="center" vertical="center"/>
    </xf>
    <xf numFmtId="0" fontId="170" fillId="24" borderId="202" xfId="0" applyFont="1" applyFill="1" applyBorder="1" applyAlignment="1">
      <alignment horizontal="center" vertical="center"/>
    </xf>
    <xf numFmtId="0" fontId="177" fillId="24" borderId="189" xfId="0" applyFont="1" applyFill="1" applyBorder="1" applyAlignment="1">
      <alignment horizontal="center" vertical="center"/>
    </xf>
    <xf numFmtId="0" fontId="194" fillId="28" borderId="0" xfId="0" applyFont="1" applyFill="1" applyAlignment="1">
      <alignment horizontal="center" vertical="center"/>
    </xf>
    <xf numFmtId="0" fontId="0" fillId="24" borderId="95" xfId="0" applyFill="1" applyBorder="1" applyAlignment="1">
      <alignment horizontal="center" vertical="center"/>
    </xf>
    <xf numFmtId="6" fontId="0" fillId="24" borderId="96" xfId="0" applyNumberFormat="1" applyFill="1" applyBorder="1" applyAlignment="1">
      <alignment horizontal="center" vertical="center"/>
    </xf>
    <xf numFmtId="0" fontId="0" fillId="24" borderId="100" xfId="0" applyFill="1" applyBorder="1" applyAlignment="1">
      <alignment horizontal="center" vertical="center"/>
    </xf>
    <xf numFmtId="0" fontId="0" fillId="24" borderId="24" xfId="0" applyFill="1" applyBorder="1" applyAlignment="1">
      <alignment horizontal="center" vertical="center"/>
    </xf>
    <xf numFmtId="6" fontId="0" fillId="24" borderId="24" xfId="0" applyNumberFormat="1" applyFill="1" applyBorder="1" applyAlignment="1">
      <alignment horizontal="center" vertical="center"/>
    </xf>
    <xf numFmtId="6" fontId="0" fillId="24" borderId="191" xfId="0" applyNumberFormat="1" applyFill="1" applyBorder="1" applyAlignment="1">
      <alignment horizontal="center" vertical="center"/>
    </xf>
    <xf numFmtId="0" fontId="194" fillId="28" borderId="203" xfId="0" applyFont="1" applyFill="1" applyBorder="1" applyAlignment="1">
      <alignment horizontal="center" vertical="center"/>
    </xf>
    <xf numFmtId="6" fontId="194" fillId="28" borderId="204" xfId="0" applyNumberFormat="1" applyFont="1" applyFill="1" applyBorder="1" applyAlignment="1">
      <alignment horizontal="center" vertical="center"/>
    </xf>
    <xf numFmtId="0" fontId="194" fillId="28" borderId="189" xfId="0" applyFont="1" applyFill="1" applyBorder="1" applyAlignment="1">
      <alignment horizontal="center" vertical="center"/>
    </xf>
    <xf numFmtId="0" fontId="0" fillId="24" borderId="93" xfId="0" applyFill="1" applyBorder="1" applyAlignment="1">
      <alignment horizontal="center" vertical="center"/>
    </xf>
    <xf numFmtId="0" fontId="0" fillId="24" borderId="76" xfId="0" applyFill="1" applyBorder="1" applyAlignment="1">
      <alignment horizontal="center" vertical="center"/>
    </xf>
    <xf numFmtId="6" fontId="0" fillId="24" borderId="76" xfId="0" applyNumberFormat="1" applyFill="1" applyBorder="1" applyAlignment="1">
      <alignment horizontal="center" vertical="center"/>
    </xf>
    <xf numFmtId="6" fontId="0" fillId="24" borderId="94" xfId="0" applyNumberFormat="1" applyFill="1" applyBorder="1" applyAlignment="1">
      <alignment horizontal="center" vertical="center"/>
    </xf>
    <xf numFmtId="0" fontId="195" fillId="25" borderId="205" xfId="0" applyFont="1" applyFill="1" applyBorder="1" applyAlignment="1">
      <alignment horizontal="center" vertical="center"/>
    </xf>
    <xf numFmtId="0" fontId="195" fillId="25" borderId="206" xfId="0" applyFont="1" applyFill="1" applyBorder="1" applyAlignment="1">
      <alignment horizontal="center" vertical="center"/>
    </xf>
    <xf numFmtId="6" fontId="195" fillId="25" borderId="206" xfId="0" applyNumberFormat="1" applyFont="1" applyFill="1" applyBorder="1" applyAlignment="1">
      <alignment horizontal="center" vertical="center"/>
    </xf>
    <xf numFmtId="6" fontId="195" fillId="25" borderId="207" xfId="0" applyNumberFormat="1" applyFont="1" applyFill="1" applyBorder="1" applyAlignment="1">
      <alignment horizontal="center" vertical="center"/>
    </xf>
    <xf numFmtId="0" fontId="194" fillId="28" borderId="102" xfId="0" applyFont="1" applyFill="1" applyBorder="1" applyAlignment="1">
      <alignment horizontal="center" vertical="center"/>
    </xf>
    <xf numFmtId="6" fontId="194" fillId="28" borderId="189" xfId="0" applyNumberFormat="1" applyFont="1" applyFill="1" applyBorder="1" applyAlignment="1">
      <alignment horizontal="center" vertical="center"/>
    </xf>
    <xf numFmtId="6" fontId="194" fillId="28" borderId="103" xfId="0" applyNumberFormat="1" applyFont="1" applyFill="1" applyBorder="1" applyAlignment="1">
      <alignment horizontal="center" vertical="center"/>
    </xf>
    <xf numFmtId="0" fontId="0" fillId="24" borderId="208" xfId="0" applyFill="1" applyBorder="1" applyAlignment="1">
      <alignment horizontal="center" vertical="center"/>
    </xf>
    <xf numFmtId="0" fontId="0" fillId="24" borderId="160" xfId="0" applyFill="1" applyBorder="1" applyAlignment="1">
      <alignment horizontal="center" vertical="center"/>
    </xf>
    <xf numFmtId="6" fontId="0" fillId="24" borderId="160" xfId="0" applyNumberFormat="1" applyFill="1" applyBorder="1" applyAlignment="1">
      <alignment horizontal="center" vertical="center"/>
    </xf>
    <xf numFmtId="6" fontId="0" fillId="24" borderId="209" xfId="0" applyNumberFormat="1" applyFill="1" applyBorder="1" applyAlignment="1">
      <alignment horizontal="center" vertical="center"/>
    </xf>
    <xf numFmtId="0" fontId="194" fillId="28" borderId="201" xfId="0" applyFont="1" applyFill="1" applyBorder="1" applyAlignment="1">
      <alignment horizontal="center" vertical="center"/>
    </xf>
    <xf numFmtId="6" fontId="194" fillId="28" borderId="0" xfId="0" applyNumberFormat="1" applyFont="1" applyFill="1" applyAlignment="1">
      <alignment horizontal="center" vertical="center"/>
    </xf>
    <xf numFmtId="6" fontId="194" fillId="28" borderId="202" xfId="0" applyNumberFormat="1" applyFont="1" applyFill="1" applyBorder="1" applyAlignment="1">
      <alignment horizontal="center" vertical="center"/>
    </xf>
    <xf numFmtId="0" fontId="170" fillId="24" borderId="189" xfId="0" applyFont="1" applyFill="1" applyBorder="1" applyAlignment="1">
      <alignment horizontal="center" vertical="center"/>
    </xf>
    <xf numFmtId="0" fontId="170" fillId="24" borderId="103" xfId="0" applyFont="1" applyFill="1" applyBorder="1" applyAlignment="1">
      <alignment horizontal="center" vertical="center"/>
    </xf>
    <xf numFmtId="4" fontId="177" fillId="24" borderId="76" xfId="0" quotePrefix="1" applyNumberFormat="1" applyFont="1" applyFill="1" applyBorder="1" applyAlignment="1">
      <alignment horizontal="center" vertical="center" wrapText="1"/>
    </xf>
    <xf numFmtId="6" fontId="177" fillId="24" borderId="76" xfId="0" quotePrefix="1" applyNumberFormat="1" applyFont="1" applyFill="1" applyBorder="1" applyAlignment="1">
      <alignment horizontal="center" vertical="center" wrapText="1"/>
    </xf>
    <xf numFmtId="0" fontId="176" fillId="28" borderId="93" xfId="0" quotePrefix="1" applyFont="1" applyFill="1" applyBorder="1" applyAlignment="1">
      <alignment horizontal="center" vertical="center" wrapText="1"/>
    </xf>
    <xf numFmtId="0" fontId="176" fillId="28" borderId="76" xfId="0" quotePrefix="1" applyFont="1" applyFill="1" applyBorder="1" applyAlignment="1">
      <alignment horizontal="center" vertical="center" wrapText="1"/>
    </xf>
    <xf numFmtId="276" fontId="176" fillId="28" borderId="76" xfId="0" quotePrefix="1" applyNumberFormat="1" applyFont="1" applyFill="1" applyBorder="1" applyAlignment="1">
      <alignment horizontal="center" vertical="center" wrapText="1"/>
    </xf>
    <xf numFmtId="166" fontId="176" fillId="28" borderId="76" xfId="0" quotePrefix="1" applyNumberFormat="1" applyFont="1" applyFill="1" applyBorder="1" applyAlignment="1">
      <alignment horizontal="center" vertical="center" wrapText="1"/>
    </xf>
    <xf numFmtId="4" fontId="176" fillId="28" borderId="76" xfId="0" quotePrefix="1" applyNumberFormat="1" applyFont="1" applyFill="1" applyBorder="1" applyAlignment="1">
      <alignment horizontal="center" vertical="center" wrapText="1"/>
    </xf>
    <xf numFmtId="165" fontId="176" fillId="28" borderId="76" xfId="0" quotePrefix="1" applyNumberFormat="1" applyFont="1" applyFill="1" applyBorder="1" applyAlignment="1">
      <alignment horizontal="center" vertical="center" wrapText="1"/>
    </xf>
    <xf numFmtId="10" fontId="176" fillId="28" borderId="76" xfId="0" quotePrefix="1" applyNumberFormat="1" applyFont="1" applyFill="1" applyBorder="1" applyAlignment="1">
      <alignment horizontal="center" vertical="center" wrapText="1"/>
    </xf>
    <xf numFmtId="6" fontId="176" fillId="28" borderId="76" xfId="0" quotePrefix="1" applyNumberFormat="1" applyFont="1" applyFill="1" applyBorder="1" applyAlignment="1">
      <alignment horizontal="center" vertical="center" wrapText="1"/>
    </xf>
    <xf numFmtId="0" fontId="178" fillId="25" borderId="189" xfId="0" quotePrefix="1" applyFont="1" applyFill="1" applyBorder="1" applyAlignment="1">
      <alignment horizontal="center" vertical="center" wrapText="1"/>
    </xf>
    <xf numFmtId="276" fontId="177" fillId="24" borderId="98" xfId="0" quotePrefix="1" applyNumberFormat="1" applyFont="1" applyFill="1" applyBorder="1" applyAlignment="1">
      <alignment horizontal="center" vertical="center" wrapText="1"/>
    </xf>
    <xf numFmtId="166" fontId="177" fillId="24" borderId="98" xfId="0" quotePrefix="1" applyNumberFormat="1" applyFont="1" applyFill="1" applyBorder="1" applyAlignment="1">
      <alignment horizontal="center" vertical="center" wrapText="1"/>
    </xf>
    <xf numFmtId="4" fontId="177" fillId="24" borderId="98" xfId="0" quotePrefix="1" applyNumberFormat="1" applyFont="1" applyFill="1" applyBorder="1" applyAlignment="1">
      <alignment horizontal="center" vertical="center" wrapText="1"/>
    </xf>
    <xf numFmtId="165" fontId="177" fillId="24" borderId="98" xfId="0" quotePrefix="1" applyNumberFormat="1" applyFont="1" applyFill="1" applyBorder="1" applyAlignment="1">
      <alignment horizontal="center" vertical="center" wrapText="1"/>
    </xf>
    <xf numFmtId="10" fontId="177" fillId="24" borderId="98" xfId="0" quotePrefix="1" applyNumberFormat="1" applyFont="1" applyFill="1" applyBorder="1" applyAlignment="1">
      <alignment horizontal="center" vertical="center" wrapText="1"/>
    </xf>
    <xf numFmtId="6" fontId="177" fillId="24" borderId="98" xfId="0" quotePrefix="1" applyNumberFormat="1" applyFont="1" applyFill="1" applyBorder="1" applyAlignment="1">
      <alignment horizontal="center" vertical="center" wrapText="1"/>
    </xf>
    <xf numFmtId="0" fontId="178" fillId="25" borderId="102" xfId="0" quotePrefix="1" applyFont="1" applyFill="1" applyBorder="1" applyAlignment="1">
      <alignment horizontal="center" vertical="center" wrapText="1"/>
    </xf>
    <xf numFmtId="276" fontId="178" fillId="25" borderId="189" xfId="0" quotePrefix="1" applyNumberFormat="1" applyFont="1" applyFill="1" applyBorder="1" applyAlignment="1">
      <alignment horizontal="center" vertical="center" wrapText="1"/>
    </xf>
    <xf numFmtId="166" fontId="178" fillId="25" borderId="189" xfId="0" quotePrefix="1" applyNumberFormat="1" applyFont="1" applyFill="1" applyBorder="1" applyAlignment="1">
      <alignment horizontal="center" vertical="center" wrapText="1"/>
    </xf>
    <xf numFmtId="4" fontId="178" fillId="25" borderId="189" xfId="0" quotePrefix="1" applyNumberFormat="1" applyFont="1" applyFill="1" applyBorder="1" applyAlignment="1">
      <alignment horizontal="center" vertical="center" wrapText="1"/>
    </xf>
    <xf numFmtId="165" fontId="178" fillId="25" borderId="189" xfId="0" quotePrefix="1" applyNumberFormat="1" applyFont="1" applyFill="1" applyBorder="1" applyAlignment="1">
      <alignment horizontal="center" vertical="center" wrapText="1"/>
    </xf>
    <xf numFmtId="10" fontId="178" fillId="25" borderId="189" xfId="0" quotePrefix="1" applyNumberFormat="1" applyFont="1" applyFill="1" applyBorder="1" applyAlignment="1">
      <alignment horizontal="center" vertical="center" wrapText="1"/>
    </xf>
    <xf numFmtId="6" fontId="178" fillId="25" borderId="189" xfId="0" quotePrefix="1" applyNumberFormat="1" applyFont="1" applyFill="1" applyBorder="1" applyAlignment="1">
      <alignment horizontal="center" vertical="center" wrapText="1"/>
    </xf>
    <xf numFmtId="0" fontId="177" fillId="24" borderId="179" xfId="0" quotePrefix="1" applyFont="1" applyFill="1" applyBorder="1" applyAlignment="1">
      <alignment horizontal="center" vertical="center" wrapText="1"/>
    </xf>
    <xf numFmtId="276" fontId="177" fillId="24" borderId="180" xfId="0" quotePrefix="1" applyNumberFormat="1" applyFont="1" applyFill="1" applyBorder="1" applyAlignment="1">
      <alignment horizontal="center" vertical="center" wrapText="1"/>
    </xf>
    <xf numFmtId="166" fontId="177" fillId="24" borderId="180" xfId="0" quotePrefix="1" applyNumberFormat="1" applyFont="1" applyFill="1" applyBorder="1" applyAlignment="1">
      <alignment horizontal="center" vertical="center" wrapText="1"/>
    </xf>
    <xf numFmtId="4" fontId="177" fillId="24" borderId="180" xfId="0" quotePrefix="1" applyNumberFormat="1" applyFont="1" applyFill="1" applyBorder="1" applyAlignment="1">
      <alignment horizontal="center" vertical="center" wrapText="1"/>
    </xf>
    <xf numFmtId="165" fontId="177" fillId="24" borderId="180" xfId="0" quotePrefix="1" applyNumberFormat="1" applyFont="1" applyFill="1" applyBorder="1" applyAlignment="1">
      <alignment horizontal="center" vertical="center" wrapText="1"/>
    </xf>
    <xf numFmtId="10" fontId="177" fillId="24" borderId="180" xfId="0" quotePrefix="1" applyNumberFormat="1" applyFont="1" applyFill="1" applyBorder="1" applyAlignment="1">
      <alignment horizontal="center" vertical="center" wrapText="1"/>
    </xf>
    <xf numFmtId="6" fontId="177" fillId="24" borderId="180" xfId="0" quotePrefix="1" applyNumberFormat="1" applyFont="1" applyFill="1" applyBorder="1" applyAlignment="1">
      <alignment horizontal="center" vertical="center" wrapText="1"/>
    </xf>
    <xf numFmtId="0" fontId="177" fillId="24" borderId="91" xfId="0" applyFont="1" applyFill="1" applyBorder="1" applyAlignment="1">
      <alignment horizontal="center" vertical="center"/>
    </xf>
    <xf numFmtId="1" fontId="172" fillId="24" borderId="130" xfId="21" applyNumberFormat="1" applyFont="1" applyFill="1" applyBorder="1" applyAlignment="1">
      <alignment horizontal="center" vertical="center"/>
    </xf>
    <xf numFmtId="6" fontId="172" fillId="24" borderId="130" xfId="0" applyNumberFormat="1" applyFont="1" applyFill="1" applyBorder="1" applyAlignment="1">
      <alignment horizontal="center" vertical="center"/>
    </xf>
    <xf numFmtId="6" fontId="172" fillId="24" borderId="131" xfId="0" applyNumberFormat="1" applyFont="1" applyFill="1" applyBorder="1" applyAlignment="1">
      <alignment horizontal="center" vertical="center"/>
    </xf>
    <xf numFmtId="1" fontId="172" fillId="24" borderId="40" xfId="21" applyNumberFormat="1" applyFont="1" applyFill="1" applyBorder="1" applyAlignment="1">
      <alignment horizontal="center" vertical="center"/>
    </xf>
    <xf numFmtId="6" fontId="172" fillId="24" borderId="40" xfId="0" applyNumberFormat="1" applyFont="1" applyFill="1" applyBorder="1" applyAlignment="1">
      <alignment horizontal="center" vertical="center"/>
    </xf>
    <xf numFmtId="1" fontId="172" fillId="24" borderId="124" xfId="21" applyNumberFormat="1" applyFont="1" applyFill="1" applyBorder="1" applyAlignment="1">
      <alignment horizontal="center" vertical="center"/>
    </xf>
    <xf numFmtId="6" fontId="172" fillId="24" borderId="124" xfId="0" applyNumberFormat="1" applyFont="1" applyFill="1" applyBorder="1" applyAlignment="1">
      <alignment horizontal="center" vertical="center"/>
    </xf>
    <xf numFmtId="6" fontId="172" fillId="24" borderId="125" xfId="0" applyNumberFormat="1" applyFont="1" applyFill="1" applyBorder="1" applyAlignment="1">
      <alignment horizontal="center" vertical="center"/>
    </xf>
    <xf numFmtId="6" fontId="172" fillId="24" borderId="64" xfId="0" quotePrefix="1" applyNumberFormat="1" applyFont="1" applyFill="1" applyBorder="1" applyAlignment="1">
      <alignment horizontal="center" vertical="center"/>
    </xf>
    <xf numFmtId="6" fontId="177" fillId="24" borderId="103" xfId="0" applyNumberFormat="1" applyFont="1" applyFill="1" applyBorder="1" applyAlignment="1">
      <alignment horizontal="center" vertical="center"/>
    </xf>
    <xf numFmtId="289" fontId="172" fillId="24" borderId="79" xfId="0" applyNumberFormat="1" applyFont="1" applyFill="1" applyBorder="1" applyAlignment="1">
      <alignment horizontal="center" vertical="center"/>
    </xf>
    <xf numFmtId="0" fontId="172" fillId="29" borderId="0" xfId="0" applyFont="1" applyFill="1" applyAlignment="1">
      <alignment horizontal="center" vertical="center"/>
    </xf>
    <xf numFmtId="10" fontId="26" fillId="29" borderId="0" xfId="0" applyNumberFormat="1" applyFont="1" applyFill="1" applyAlignment="1">
      <alignment horizontal="center" vertical="center"/>
    </xf>
    <xf numFmtId="0" fontId="173" fillId="29" borderId="0" xfId="0" applyFont="1" applyFill="1" applyAlignment="1">
      <alignment horizontal="center" vertical="center"/>
    </xf>
    <xf numFmtId="0" fontId="18" fillId="29" borderId="0" xfId="0" applyFont="1" applyFill="1" applyAlignment="1">
      <alignment horizontal="center" vertical="center"/>
    </xf>
    <xf numFmtId="5" fontId="18" fillId="29" borderId="0" xfId="21" applyNumberFormat="1" applyFont="1" applyFill="1" applyBorder="1" applyAlignment="1">
      <alignment horizontal="center" vertical="center"/>
    </xf>
    <xf numFmtId="165" fontId="18" fillId="29" borderId="0" xfId="21" applyNumberFormat="1" applyFont="1" applyFill="1" applyBorder="1" applyAlignment="1">
      <alignment horizontal="center" vertical="center"/>
    </xf>
    <xf numFmtId="283" fontId="18" fillId="29" borderId="0" xfId="0" applyNumberFormat="1" applyFont="1" applyFill="1" applyAlignment="1">
      <alignment horizontal="center" vertical="center"/>
    </xf>
    <xf numFmtId="257" fontId="18" fillId="29" borderId="0" xfId="0" applyNumberFormat="1" applyFont="1" applyFill="1" applyAlignment="1">
      <alignment horizontal="center" vertical="center"/>
    </xf>
    <xf numFmtId="5" fontId="26" fillId="29" borderId="0" xfId="21" applyNumberFormat="1" applyFont="1" applyFill="1" applyBorder="1" applyAlignment="1">
      <alignment horizontal="center" vertical="center"/>
    </xf>
    <xf numFmtId="0" fontId="174" fillId="29" borderId="0" xfId="0" applyFont="1" applyFill="1" applyAlignment="1">
      <alignment horizontal="center" vertical="center"/>
    </xf>
    <xf numFmtId="275" fontId="26" fillId="28" borderId="175" xfId="0" applyNumberFormat="1" applyFont="1" applyFill="1" applyBorder="1" applyAlignment="1">
      <alignment horizontal="center" vertical="center"/>
    </xf>
    <xf numFmtId="6" fontId="26" fillId="28" borderId="176" xfId="1" applyNumberFormat="1" applyFont="1" applyFill="1" applyBorder="1" applyAlignment="1">
      <alignment horizontal="center" vertical="center"/>
    </xf>
    <xf numFmtId="5" fontId="26" fillId="28" borderId="176" xfId="0" applyNumberFormat="1" applyFont="1" applyFill="1" applyBorder="1" applyAlignment="1">
      <alignment horizontal="center" vertical="center"/>
    </xf>
    <xf numFmtId="6" fontId="26" fillId="28" borderId="210" xfId="0" applyNumberFormat="1" applyFont="1" applyFill="1" applyBorder="1" applyAlignment="1">
      <alignment horizontal="center" vertical="center"/>
    </xf>
    <xf numFmtId="268" fontId="26" fillId="24" borderId="71" xfId="0" applyNumberFormat="1" applyFont="1" applyFill="1" applyBorder="1" applyAlignment="1">
      <alignment horizontal="center" vertical="center"/>
    </xf>
    <xf numFmtId="6" fontId="26" fillId="24" borderId="71" xfId="1" applyNumberFormat="1" applyFont="1" applyFill="1" applyBorder="1" applyAlignment="1">
      <alignment horizontal="center" vertical="center"/>
    </xf>
    <xf numFmtId="6" fontId="26" fillId="24" borderId="71" xfId="0" applyNumberFormat="1" applyFont="1" applyFill="1" applyBorder="1" applyAlignment="1">
      <alignment horizontal="center" vertical="center"/>
    </xf>
    <xf numFmtId="6" fontId="26" fillId="28" borderId="183" xfId="0" applyNumberFormat="1" applyFont="1" applyFill="1" applyBorder="1" applyAlignment="1">
      <alignment horizontal="center" vertical="center"/>
    </xf>
    <xf numFmtId="6" fontId="18" fillId="24" borderId="70" xfId="0" applyNumberFormat="1" applyFont="1" applyFill="1" applyBorder="1" applyAlignment="1">
      <alignment horizontal="center" vertical="center"/>
    </xf>
    <xf numFmtId="6" fontId="18" fillId="28" borderId="67" xfId="0" applyNumberFormat="1" applyFont="1" applyFill="1" applyBorder="1" applyAlignment="1">
      <alignment horizontal="center" vertical="center"/>
    </xf>
    <xf numFmtId="6" fontId="18" fillId="28" borderId="64" xfId="0" applyNumberFormat="1" applyFont="1" applyFill="1" applyBorder="1" applyAlignment="1">
      <alignment horizontal="center" vertical="center"/>
    </xf>
    <xf numFmtId="6" fontId="18" fillId="28" borderId="109" xfId="0" applyNumberFormat="1" applyFont="1" applyFill="1" applyBorder="1" applyAlignment="1">
      <alignment horizontal="center" vertical="center"/>
    </xf>
    <xf numFmtId="6" fontId="18" fillId="24" borderId="211" xfId="0" applyNumberFormat="1" applyFont="1" applyFill="1" applyBorder="1" applyAlignment="1">
      <alignment horizontal="center" vertical="center"/>
    </xf>
    <xf numFmtId="0" fontId="18" fillId="24" borderId="77" xfId="0" applyFont="1" applyFill="1" applyBorder="1" applyAlignment="1">
      <alignment horizontal="center" vertical="center"/>
    </xf>
    <xf numFmtId="6" fontId="26" fillId="28" borderId="11" xfId="0" applyNumberFormat="1" applyFont="1" applyFill="1" applyBorder="1" applyAlignment="1">
      <alignment horizontal="center" vertical="center"/>
    </xf>
    <xf numFmtId="6" fontId="18" fillId="24" borderId="11" xfId="0" applyNumberFormat="1" applyFont="1" applyFill="1" applyBorder="1" applyAlignment="1">
      <alignment horizontal="center" vertical="center"/>
    </xf>
    <xf numFmtId="6" fontId="18" fillId="3" borderId="211" xfId="0" applyNumberFormat="1" applyFont="1" applyFill="1" applyBorder="1" applyAlignment="1">
      <alignment horizontal="center" vertical="center"/>
    </xf>
    <xf numFmtId="6" fontId="18" fillId="3" borderId="64" xfId="0" applyNumberFormat="1" applyFont="1" applyFill="1" applyBorder="1" applyAlignment="1">
      <alignment horizontal="center" vertical="center"/>
    </xf>
    <xf numFmtId="0" fontId="18" fillId="24" borderId="196" xfId="0" applyFont="1" applyFill="1" applyBorder="1" applyAlignment="1">
      <alignment horizontal="center" vertical="center"/>
    </xf>
    <xf numFmtId="0" fontId="178" fillId="25" borderId="0" xfId="0" applyFont="1" applyFill="1" applyAlignment="1">
      <alignment horizontal="center" vertical="center" wrapText="1"/>
    </xf>
    <xf numFmtId="0" fontId="178" fillId="25" borderId="0" xfId="0" applyFont="1" applyFill="1" applyAlignment="1">
      <alignment horizontal="center" vertical="center"/>
    </xf>
    <xf numFmtId="0" fontId="178" fillId="25" borderId="201" xfId="0" applyFont="1" applyFill="1" applyBorder="1" applyAlignment="1">
      <alignment horizontal="center" vertical="center"/>
    </xf>
    <xf numFmtId="0" fontId="177" fillId="28" borderId="89" xfId="0" applyFont="1" applyFill="1" applyBorder="1" applyAlignment="1">
      <alignment horizontal="center" vertical="center"/>
    </xf>
    <xf numFmtId="0" fontId="177" fillId="28" borderId="90" xfId="0" applyFont="1" applyFill="1" applyBorder="1" applyAlignment="1">
      <alignment horizontal="center" vertical="center"/>
    </xf>
    <xf numFmtId="165" fontId="177" fillId="24" borderId="76" xfId="0" applyNumberFormat="1" applyFont="1" applyFill="1" applyBorder="1" applyAlignment="1">
      <alignment horizontal="center" vertical="center" wrapText="1"/>
    </xf>
    <xf numFmtId="3" fontId="177" fillId="24" borderId="180" xfId="0" quotePrefix="1" applyNumberFormat="1" applyFont="1" applyFill="1" applyBorder="1" applyAlignment="1">
      <alignment horizontal="center" vertical="center" wrapText="1"/>
    </xf>
    <xf numFmtId="165" fontId="99" fillId="28" borderId="89" xfId="0" applyNumberFormat="1" applyFont="1" applyFill="1" applyBorder="1" applyAlignment="1">
      <alignment horizontal="center" vertical="center" wrapText="1"/>
    </xf>
    <xf numFmtId="3" fontId="99" fillId="28" borderId="89" xfId="0" applyNumberFormat="1" applyFont="1" applyFill="1" applyBorder="1" applyAlignment="1">
      <alignment horizontal="center" vertical="center" wrapText="1"/>
    </xf>
    <xf numFmtId="3" fontId="99" fillId="28" borderId="89" xfId="0" applyNumberFormat="1" applyFont="1" applyFill="1" applyBorder="1" applyAlignment="1">
      <alignment vertical="center" wrapText="1"/>
    </xf>
    <xf numFmtId="0" fontId="99" fillId="28" borderId="89" xfId="0" applyFont="1" applyFill="1" applyBorder="1"/>
    <xf numFmtId="0" fontId="176" fillId="28" borderId="89" xfId="0" applyFont="1" applyFill="1" applyBorder="1" applyAlignment="1">
      <alignment horizontal="center" vertical="center"/>
    </xf>
    <xf numFmtId="165" fontId="177" fillId="24" borderId="98" xfId="0" applyNumberFormat="1" applyFont="1" applyFill="1" applyBorder="1" applyAlignment="1">
      <alignment horizontal="center" vertical="center" wrapText="1"/>
    </xf>
    <xf numFmtId="3" fontId="177" fillId="24" borderId="98" xfId="0" quotePrefix="1" applyNumberFormat="1" applyFont="1" applyFill="1" applyBorder="1" applyAlignment="1">
      <alignment horizontal="center" vertical="center" wrapText="1"/>
    </xf>
    <xf numFmtId="276" fontId="177" fillId="24" borderId="180" xfId="0" applyNumberFormat="1" applyFont="1" applyFill="1" applyBorder="1" applyAlignment="1">
      <alignment horizontal="center" vertical="center" wrapText="1"/>
    </xf>
    <xf numFmtId="165" fontId="177" fillId="24" borderId="180" xfId="0" applyNumberFormat="1" applyFont="1" applyFill="1" applyBorder="1" applyAlignment="1">
      <alignment horizontal="center" vertical="center" wrapText="1"/>
    </xf>
    <xf numFmtId="6" fontId="177" fillId="24" borderId="190" xfId="0" applyNumberFormat="1" applyFont="1" applyFill="1" applyBorder="1" applyAlignment="1">
      <alignment horizontal="center" vertical="center"/>
    </xf>
    <xf numFmtId="0" fontId="178" fillId="25" borderId="153" xfId="1346" applyFont="1" applyFill="1" applyBorder="1" applyAlignment="1">
      <alignment horizontal="center" vertical="center"/>
    </xf>
    <xf numFmtId="0" fontId="178" fillId="25" borderId="79" xfId="1346" applyFont="1" applyFill="1" applyBorder="1" applyAlignment="1">
      <alignment horizontal="center" vertical="center"/>
    </xf>
    <xf numFmtId="0" fontId="178" fillId="25" borderId="212" xfId="1346" applyFont="1" applyFill="1" applyBorder="1" applyAlignment="1">
      <alignment horizontal="center" vertical="center"/>
    </xf>
    <xf numFmtId="0" fontId="177" fillId="24" borderId="213" xfId="1346" applyFont="1" applyFill="1" applyBorder="1" applyAlignment="1">
      <alignment horizontal="center" vertical="center"/>
    </xf>
    <xf numFmtId="0" fontId="177" fillId="24" borderId="214" xfId="1346" applyFont="1" applyFill="1" applyBorder="1" applyAlignment="1">
      <alignment horizontal="center" vertical="center"/>
    </xf>
    <xf numFmtId="0" fontId="177" fillId="24" borderId="215" xfId="1346" applyFont="1" applyFill="1" applyBorder="1" applyAlignment="1">
      <alignment horizontal="center" vertical="center"/>
    </xf>
    <xf numFmtId="0" fontId="178" fillId="25" borderId="93" xfId="1346" applyFont="1" applyFill="1" applyBorder="1" applyAlignment="1">
      <alignment horizontal="center" vertical="center"/>
    </xf>
    <xf numFmtId="0" fontId="177" fillId="24" borderId="179" xfId="1346" applyFont="1" applyFill="1" applyBorder="1" applyAlignment="1">
      <alignment horizontal="center" vertical="center"/>
    </xf>
    <xf numFmtId="0" fontId="177" fillId="24" borderId="216" xfId="1346" applyFont="1" applyFill="1" applyBorder="1" applyAlignment="1">
      <alignment horizontal="center" vertical="center"/>
    </xf>
    <xf numFmtId="4" fontId="178" fillId="25" borderId="189" xfId="0" applyNumberFormat="1" applyFont="1" applyFill="1" applyBorder="1" applyAlignment="1">
      <alignment horizontal="center" vertical="center"/>
    </xf>
    <xf numFmtId="6" fontId="178" fillId="25" borderId="189" xfId="0" applyNumberFormat="1" applyFont="1" applyFill="1" applyBorder="1" applyAlignment="1">
      <alignment horizontal="center" vertical="center" wrapText="1"/>
    </xf>
    <xf numFmtId="0" fontId="176" fillId="24" borderId="201" xfId="0" applyFont="1" applyFill="1" applyBorder="1" applyAlignment="1">
      <alignment horizontal="center" vertical="center"/>
    </xf>
    <xf numFmtId="10" fontId="176" fillId="24" borderId="202" xfId="0" applyNumberFormat="1" applyFont="1" applyFill="1" applyBorder="1" applyAlignment="1">
      <alignment horizontal="center" vertical="center"/>
    </xf>
    <xf numFmtId="8" fontId="176" fillId="24" borderId="202" xfId="0" applyNumberFormat="1" applyFont="1" applyFill="1" applyBorder="1" applyAlignment="1">
      <alignment horizontal="center" vertical="center"/>
    </xf>
    <xf numFmtId="0" fontId="176" fillId="24" borderId="91" xfId="0" applyFont="1" applyFill="1" applyBorder="1" applyAlignment="1">
      <alignment horizontal="center" vertical="center"/>
    </xf>
    <xf numFmtId="6" fontId="176" fillId="24" borderId="92" xfId="0" applyNumberFormat="1" applyFont="1" applyFill="1" applyBorder="1" applyAlignment="1">
      <alignment horizontal="center" vertical="center"/>
    </xf>
    <xf numFmtId="6" fontId="176" fillId="24" borderId="202" xfId="0" applyNumberFormat="1" applyFont="1" applyFill="1" applyBorder="1" applyAlignment="1">
      <alignment horizontal="center" vertical="center"/>
    </xf>
    <xf numFmtId="17" fontId="177" fillId="24" borderId="98" xfId="0" applyNumberFormat="1" applyFont="1" applyFill="1" applyBorder="1" applyAlignment="1">
      <alignment horizontal="center" vertical="center" wrapText="1"/>
    </xf>
    <xf numFmtId="17" fontId="177" fillId="24" borderId="76" xfId="0" applyNumberFormat="1" applyFont="1" applyFill="1" applyBorder="1" applyAlignment="1">
      <alignment horizontal="center" vertical="center" wrapText="1"/>
    </xf>
    <xf numFmtId="10" fontId="176" fillId="24" borderId="92" xfId="0" applyNumberFormat="1" applyFont="1" applyFill="1" applyBorder="1" applyAlignment="1">
      <alignment horizontal="center" vertical="center"/>
    </xf>
    <xf numFmtId="0" fontId="176" fillId="24" borderId="102" xfId="0" applyFont="1" applyFill="1" applyBorder="1" applyAlignment="1">
      <alignment horizontal="center" vertical="center"/>
    </xf>
    <xf numFmtId="8" fontId="176" fillId="24" borderId="103" xfId="0" applyNumberFormat="1" applyFont="1" applyFill="1" applyBorder="1" applyAlignment="1">
      <alignment horizontal="center" vertical="center"/>
    </xf>
    <xf numFmtId="167" fontId="177" fillId="24" borderId="79" xfId="1346" applyNumberFormat="1" applyFont="1" applyFill="1" applyBorder="1" applyAlignment="1">
      <alignment horizontal="center" vertical="center"/>
    </xf>
    <xf numFmtId="0" fontId="177" fillId="24" borderId="217" xfId="1346" applyFont="1" applyFill="1" applyBorder="1" applyAlignment="1">
      <alignment horizontal="center" vertical="center"/>
    </xf>
    <xf numFmtId="0" fontId="177" fillId="24" borderId="219" xfId="1346" applyFont="1" applyFill="1" applyBorder="1" applyAlignment="1">
      <alignment horizontal="center" vertical="center"/>
    </xf>
    <xf numFmtId="0" fontId="176" fillId="24" borderId="215" xfId="1346" applyFont="1" applyFill="1" applyBorder="1" applyAlignment="1">
      <alignment horizontal="center" vertical="center"/>
    </xf>
    <xf numFmtId="17" fontId="177" fillId="24" borderId="24" xfId="0" applyNumberFormat="1" applyFont="1" applyFill="1" applyBorder="1" applyAlignment="1">
      <alignment horizontal="center" vertical="center" wrapText="1"/>
    </xf>
    <xf numFmtId="165" fontId="177" fillId="24" borderId="24" xfId="0" applyNumberFormat="1" applyFont="1" applyFill="1" applyBorder="1" applyAlignment="1">
      <alignment horizontal="center" vertical="center" wrapText="1"/>
    </xf>
    <xf numFmtId="0" fontId="177" fillId="24" borderId="222" xfId="1346" applyFont="1" applyFill="1" applyBorder="1" applyAlignment="1">
      <alignment horizontal="center" vertical="center"/>
    </xf>
    <xf numFmtId="0" fontId="195" fillId="25" borderId="100" xfId="0" applyFont="1" applyFill="1" applyBorder="1" applyAlignment="1">
      <alignment horizontal="center" vertical="center"/>
    </xf>
    <xf numFmtId="0" fontId="195" fillId="25" borderId="24" xfId="0" applyFont="1" applyFill="1" applyBorder="1" applyAlignment="1">
      <alignment horizontal="center" vertical="center"/>
    </xf>
    <xf numFmtId="6" fontId="195" fillId="25" borderId="24" xfId="0" applyNumberFormat="1" applyFont="1" applyFill="1" applyBorder="1" applyAlignment="1">
      <alignment horizontal="center" vertical="center"/>
    </xf>
    <xf numFmtId="6" fontId="195" fillId="25" borderId="191" xfId="0" applyNumberFormat="1" applyFont="1" applyFill="1" applyBorder="1" applyAlignment="1">
      <alignment horizontal="center" vertical="center"/>
    </xf>
    <xf numFmtId="0" fontId="197" fillId="24" borderId="95" xfId="0" applyFont="1" applyFill="1" applyBorder="1" applyAlignment="1">
      <alignment horizontal="center" vertical="center"/>
    </xf>
    <xf numFmtId="6" fontId="195" fillId="25" borderId="223" xfId="0" applyNumberFormat="1" applyFont="1" applyFill="1" applyBorder="1" applyAlignment="1">
      <alignment horizontal="center" vertical="center"/>
    </xf>
    <xf numFmtId="0" fontId="193" fillId="24" borderId="201" xfId="0" applyFont="1" applyFill="1" applyBorder="1" applyAlignment="1">
      <alignment horizontal="center" vertical="center"/>
    </xf>
    <xf numFmtId="0" fontId="193" fillId="24" borderId="0" xfId="0" applyFont="1" applyFill="1" applyAlignment="1">
      <alignment horizontal="center" vertical="center"/>
    </xf>
    <xf numFmtId="6" fontId="193" fillId="24" borderId="211" xfId="0" applyNumberFormat="1" applyFont="1" applyFill="1" applyBorder="1" applyAlignment="1">
      <alignment horizontal="center" vertical="center"/>
    </xf>
    <xf numFmtId="6" fontId="193" fillId="24" borderId="0" xfId="0" applyNumberFormat="1" applyFont="1" applyFill="1" applyAlignment="1">
      <alignment horizontal="center" vertical="center"/>
    </xf>
    <xf numFmtId="6" fontId="195" fillId="25" borderId="224" xfId="0" applyNumberFormat="1" applyFont="1" applyFill="1" applyBorder="1" applyAlignment="1">
      <alignment horizontal="center" vertical="center"/>
    </xf>
    <xf numFmtId="0" fontId="193" fillId="24" borderId="100" xfId="0" applyFont="1" applyFill="1" applyBorder="1" applyAlignment="1">
      <alignment horizontal="center" vertical="center"/>
    </xf>
    <xf numFmtId="0" fontId="193" fillId="24" borderId="24" xfId="0" applyFont="1" applyFill="1" applyBorder="1" applyAlignment="1">
      <alignment horizontal="center" vertical="center"/>
    </xf>
    <xf numFmtId="6" fontId="193" fillId="24" borderId="194" xfId="0" applyNumberFormat="1" applyFont="1" applyFill="1" applyBorder="1" applyAlignment="1">
      <alignment horizontal="center" vertical="center"/>
    </xf>
    <xf numFmtId="6" fontId="193" fillId="24" borderId="24" xfId="0" applyNumberFormat="1" applyFont="1" applyFill="1" applyBorder="1" applyAlignment="1">
      <alignment horizontal="center" vertical="center"/>
    </xf>
    <xf numFmtId="6" fontId="195" fillId="25" borderId="225" xfId="0" applyNumberFormat="1" applyFont="1" applyFill="1" applyBorder="1" applyAlignment="1">
      <alignment horizontal="center" vertical="center"/>
    </xf>
    <xf numFmtId="0" fontId="193" fillId="24" borderId="102" xfId="0" applyFont="1" applyFill="1" applyBorder="1" applyAlignment="1">
      <alignment horizontal="center" vertical="center"/>
    </xf>
    <xf numFmtId="0" fontId="193" fillId="24" borderId="189" xfId="0" applyFont="1" applyFill="1" applyBorder="1" applyAlignment="1">
      <alignment horizontal="center" vertical="center"/>
    </xf>
    <xf numFmtId="6" fontId="193" fillId="24" borderId="226" xfId="0" applyNumberFormat="1" applyFont="1" applyFill="1" applyBorder="1" applyAlignment="1">
      <alignment horizontal="center" vertical="center"/>
    </xf>
    <xf numFmtId="6" fontId="193" fillId="24" borderId="227" xfId="0" applyNumberFormat="1" applyFont="1" applyFill="1" applyBorder="1" applyAlignment="1">
      <alignment horizontal="center" vertical="center"/>
    </xf>
    <xf numFmtId="6" fontId="193" fillId="24" borderId="189" xfId="0" applyNumberFormat="1" applyFont="1" applyFill="1" applyBorder="1" applyAlignment="1">
      <alignment horizontal="center" vertical="center"/>
    </xf>
    <xf numFmtId="6" fontId="195" fillId="25" borderId="228" xfId="0" applyNumberFormat="1" applyFont="1" applyFill="1" applyBorder="1" applyAlignment="1">
      <alignment horizontal="center" vertical="center"/>
    </xf>
    <xf numFmtId="6" fontId="177" fillId="24" borderId="231" xfId="1346" applyNumberFormat="1" applyFont="1" applyFill="1" applyBorder="1" applyAlignment="1">
      <alignment horizontal="center" vertical="center"/>
    </xf>
    <xf numFmtId="6" fontId="177" fillId="24" borderId="232" xfId="1346" applyNumberFormat="1" applyFont="1" applyFill="1" applyBorder="1" applyAlignment="1">
      <alignment horizontal="center" vertical="center"/>
    </xf>
    <xf numFmtId="6" fontId="177" fillId="24" borderId="230" xfId="1346" applyNumberFormat="1" applyFont="1" applyFill="1" applyBorder="1" applyAlignment="1">
      <alignment horizontal="center" vertical="center"/>
    </xf>
    <xf numFmtId="6" fontId="177" fillId="24" borderId="233" xfId="1346" applyNumberFormat="1" applyFont="1" applyFill="1" applyBorder="1" applyAlignment="1">
      <alignment horizontal="center" vertical="center"/>
    </xf>
    <xf numFmtId="6" fontId="177" fillId="24" borderId="234" xfId="1346" applyNumberFormat="1" applyFont="1" applyFill="1" applyBorder="1" applyAlignment="1">
      <alignment horizontal="center" vertical="center"/>
    </xf>
    <xf numFmtId="6" fontId="177" fillId="24" borderId="235" xfId="1346" applyNumberFormat="1" applyFont="1" applyFill="1" applyBorder="1" applyAlignment="1">
      <alignment horizontal="center" vertical="center"/>
    </xf>
    <xf numFmtId="0" fontId="191" fillId="24" borderId="169" xfId="1346" applyFont="1" applyFill="1" applyBorder="1" applyAlignment="1">
      <alignment horizontal="center" vertical="center"/>
    </xf>
    <xf numFmtId="0" fontId="191" fillId="24" borderId="23" xfId="1346" applyFont="1" applyFill="1" applyBorder="1" applyAlignment="1">
      <alignment horizontal="center" vertical="center"/>
    </xf>
    <xf numFmtId="0" fontId="177" fillId="24" borderId="236" xfId="1346" applyFont="1" applyFill="1" applyBorder="1" applyAlignment="1">
      <alignment horizontal="center" vertical="center"/>
    </xf>
    <xf numFmtId="0" fontId="178" fillId="25" borderId="189" xfId="1346" applyFont="1" applyFill="1" applyBorder="1" applyAlignment="1">
      <alignment horizontal="center" vertical="center"/>
    </xf>
    <xf numFmtId="0" fontId="178" fillId="25" borderId="103" xfId="1346" applyFont="1" applyFill="1" applyBorder="1" applyAlignment="1">
      <alignment horizontal="center" vertical="center"/>
    </xf>
    <xf numFmtId="0" fontId="200" fillId="24" borderId="201" xfId="0" applyFont="1" applyFill="1" applyBorder="1" applyAlignment="1">
      <alignment horizontal="left" vertical="center"/>
    </xf>
    <xf numFmtId="6" fontId="174" fillId="24" borderId="152" xfId="0" applyNumberFormat="1" applyFont="1" applyFill="1" applyBorder="1" applyAlignment="1">
      <alignment horizontal="center" vertical="center"/>
    </xf>
    <xf numFmtId="6" fontId="174" fillId="24" borderId="153" xfId="0" applyNumberFormat="1" applyFont="1" applyFill="1" applyBorder="1" applyAlignment="1">
      <alignment horizontal="center" vertical="center"/>
    </xf>
    <xf numFmtId="6" fontId="174" fillId="24" borderId="178" xfId="0" applyNumberFormat="1" applyFont="1" applyFill="1" applyBorder="1" applyAlignment="1">
      <alignment horizontal="center" vertical="center"/>
    </xf>
    <xf numFmtId="6" fontId="194" fillId="24" borderId="0" xfId="0" applyNumberFormat="1" applyFont="1" applyFill="1" applyAlignment="1">
      <alignment horizontal="center" vertical="center"/>
    </xf>
    <xf numFmtId="167" fontId="26" fillId="28" borderId="78" xfId="0" applyNumberFormat="1" applyFont="1" applyFill="1" applyBorder="1" applyAlignment="1">
      <alignment horizontal="center" vertical="center"/>
    </xf>
    <xf numFmtId="6" fontId="172" fillId="24" borderId="244" xfId="0" applyNumberFormat="1" applyFont="1" applyFill="1" applyBorder="1" applyAlignment="1">
      <alignment horizontal="center" vertical="center"/>
    </xf>
    <xf numFmtId="167" fontId="173" fillId="25" borderId="245" xfId="0" applyNumberFormat="1" applyFont="1" applyFill="1" applyBorder="1" applyAlignment="1">
      <alignment horizontal="center" vertical="center"/>
    </xf>
    <xf numFmtId="6" fontId="172" fillId="24" borderId="245" xfId="0" applyNumberFormat="1" applyFont="1" applyFill="1" applyBorder="1" applyAlignment="1">
      <alignment horizontal="center" vertical="center"/>
    </xf>
    <xf numFmtId="0" fontId="172" fillId="24" borderId="66" xfId="0" applyFont="1" applyFill="1" applyBorder="1" applyAlignment="1">
      <alignment horizontal="center" vertical="center"/>
    </xf>
    <xf numFmtId="0" fontId="26" fillId="28" borderId="152" xfId="0" applyFont="1" applyFill="1" applyBorder="1" applyAlignment="1">
      <alignment horizontal="center" vertical="center"/>
    </xf>
    <xf numFmtId="6" fontId="172" fillId="24" borderId="246" xfId="0" applyNumberFormat="1" applyFont="1" applyFill="1" applyBorder="1" applyAlignment="1">
      <alignment horizontal="center" vertical="center"/>
    </xf>
    <xf numFmtId="6" fontId="0" fillId="0" borderId="0" xfId="0" applyNumberFormat="1" applyAlignment="1">
      <alignment horizontal="center" vertical="center"/>
    </xf>
    <xf numFmtId="4" fontId="0" fillId="0" borderId="0" xfId="0" applyNumberFormat="1" applyAlignment="1">
      <alignment horizontal="center" vertical="center"/>
    </xf>
    <xf numFmtId="6" fontId="172" fillId="24" borderId="211" xfId="0" applyNumberFormat="1" applyFont="1" applyFill="1" applyBorder="1" applyAlignment="1">
      <alignment horizontal="center" vertical="center"/>
    </xf>
    <xf numFmtId="6" fontId="172" fillId="24" borderId="5" xfId="0" quotePrefix="1" applyNumberFormat="1" applyFont="1" applyFill="1" applyBorder="1" applyAlignment="1">
      <alignment horizontal="center" vertical="center"/>
    </xf>
    <xf numFmtId="0" fontId="172" fillId="24" borderId="246" xfId="0" applyFont="1" applyFill="1" applyBorder="1" applyAlignment="1">
      <alignment horizontal="center" vertical="center"/>
    </xf>
    <xf numFmtId="6" fontId="18" fillId="28" borderId="53" xfId="0" applyNumberFormat="1" applyFont="1" applyFill="1" applyBorder="1" applyAlignment="1">
      <alignment horizontal="center" vertical="center"/>
    </xf>
    <xf numFmtId="0" fontId="18" fillId="24" borderId="74" xfId="0" applyFont="1" applyFill="1" applyBorder="1" applyAlignment="1">
      <alignment horizontal="center" vertical="center"/>
    </xf>
    <xf numFmtId="6" fontId="178" fillId="25" borderId="75" xfId="0" applyNumberFormat="1" applyFont="1" applyFill="1" applyBorder="1" applyAlignment="1">
      <alignment horizontal="center" vertical="center"/>
    </xf>
    <xf numFmtId="6" fontId="105" fillId="24" borderId="211" xfId="0" applyNumberFormat="1" applyFont="1" applyFill="1" applyBorder="1" applyAlignment="1">
      <alignment horizontal="center" vertical="center"/>
    </xf>
    <xf numFmtId="9" fontId="26" fillId="28" borderId="151" xfId="0" applyNumberFormat="1" applyFont="1" applyFill="1" applyBorder="1" applyAlignment="1">
      <alignment horizontal="center" vertical="center"/>
    </xf>
    <xf numFmtId="6" fontId="18" fillId="24" borderId="69" xfId="0" applyNumberFormat="1" applyFont="1" applyFill="1" applyBorder="1" applyAlignment="1">
      <alignment horizontal="center" vertical="center"/>
    </xf>
    <xf numFmtId="3" fontId="172" fillId="24" borderId="40" xfId="21" applyNumberFormat="1" applyFont="1" applyFill="1" applyBorder="1" applyAlignment="1">
      <alignment horizontal="center" vertical="center"/>
    </xf>
    <xf numFmtId="6" fontId="172" fillId="24" borderId="11" xfId="21" applyNumberFormat="1" applyFont="1" applyFill="1" applyBorder="1" applyAlignment="1">
      <alignment horizontal="center" vertical="center"/>
    </xf>
    <xf numFmtId="6" fontId="18" fillId="24" borderId="40" xfId="21" applyNumberFormat="1" applyFont="1" applyFill="1" applyBorder="1" applyAlignment="1">
      <alignment horizontal="center" vertical="center"/>
    </xf>
    <xf numFmtId="0" fontId="180" fillId="24" borderId="0" xfId="0" applyFont="1" applyFill="1" applyAlignment="1">
      <alignment vertical="center"/>
    </xf>
    <xf numFmtId="167" fontId="26" fillId="28" borderId="131" xfId="0" applyNumberFormat="1" applyFont="1" applyFill="1" applyBorder="1" applyAlignment="1">
      <alignment horizontal="center" vertical="center"/>
    </xf>
    <xf numFmtId="167" fontId="26" fillId="28" borderId="117" xfId="0" applyNumberFormat="1" applyFont="1" applyFill="1" applyBorder="1" applyAlignment="1">
      <alignment horizontal="center" vertical="center"/>
    </xf>
    <xf numFmtId="10" fontId="26" fillId="28" borderId="117" xfId="0" applyNumberFormat="1" applyFont="1" applyFill="1" applyBorder="1" applyAlignment="1">
      <alignment horizontal="center" vertical="center"/>
    </xf>
    <xf numFmtId="10" fontId="26" fillId="28" borderId="125" xfId="0" applyNumberFormat="1" applyFont="1" applyFill="1" applyBorder="1" applyAlignment="1">
      <alignment horizontal="center" vertical="center"/>
    </xf>
    <xf numFmtId="275" fontId="26" fillId="28" borderId="166" xfId="0" applyNumberFormat="1" applyFont="1" applyFill="1" applyBorder="1" applyAlignment="1">
      <alignment horizontal="center" vertical="center"/>
    </xf>
    <xf numFmtId="5" fontId="26" fillId="28" borderId="124" xfId="0" applyNumberFormat="1" applyFont="1" applyFill="1" applyBorder="1" applyAlignment="1">
      <alignment horizontal="center" vertical="center"/>
    </xf>
    <xf numFmtId="10" fontId="26" fillId="28" borderId="131" xfId="0" applyNumberFormat="1" applyFont="1" applyFill="1" applyBorder="1" applyAlignment="1">
      <alignment horizontal="center" vertical="center"/>
    </xf>
    <xf numFmtId="9" fontId="180" fillId="24" borderId="156" xfId="0" applyNumberFormat="1" applyFont="1" applyFill="1" applyBorder="1" applyAlignment="1">
      <alignment horizontal="center" vertical="center"/>
    </xf>
    <xf numFmtId="3" fontId="16" fillId="24" borderId="167" xfId="0" applyNumberFormat="1" applyFont="1" applyFill="1" applyBorder="1" applyAlignment="1">
      <alignment horizontal="center" vertical="center"/>
    </xf>
    <xf numFmtId="3" fontId="16" fillId="24" borderId="23" xfId="0" applyNumberFormat="1" applyFont="1" applyFill="1" applyBorder="1" applyAlignment="1">
      <alignment horizontal="center" vertical="center"/>
    </xf>
    <xf numFmtId="3" fontId="16" fillId="24" borderId="168" xfId="0" applyNumberFormat="1" applyFont="1" applyFill="1" applyBorder="1" applyAlignment="1">
      <alignment horizontal="center" vertical="center" wrapText="1"/>
    </xf>
    <xf numFmtId="3" fontId="180" fillId="24" borderId="168" xfId="0" applyNumberFormat="1" applyFont="1" applyFill="1" applyBorder="1" applyAlignment="1">
      <alignment horizontal="center" vertical="center" wrapText="1"/>
    </xf>
    <xf numFmtId="285" fontId="170" fillId="24" borderId="168" xfId="21" applyNumberFormat="1" applyFont="1" applyFill="1" applyBorder="1" applyAlignment="1">
      <alignment horizontal="center" vertical="center"/>
    </xf>
    <xf numFmtId="6" fontId="180" fillId="24" borderId="168" xfId="0" applyNumberFormat="1" applyFont="1" applyFill="1" applyBorder="1" applyAlignment="1">
      <alignment horizontal="center" vertical="center"/>
    </xf>
    <xf numFmtId="5" fontId="180" fillId="24" borderId="168" xfId="0" applyNumberFormat="1" applyFont="1" applyFill="1" applyBorder="1" applyAlignment="1">
      <alignment horizontal="center" vertical="center"/>
    </xf>
    <xf numFmtId="167" fontId="180" fillId="24" borderId="168" xfId="0" applyNumberFormat="1" applyFont="1" applyFill="1" applyBorder="1" applyAlignment="1">
      <alignment horizontal="center" vertical="center"/>
    </xf>
    <xf numFmtId="167" fontId="180" fillId="24" borderId="177" xfId="0" applyNumberFormat="1" applyFont="1" applyFill="1" applyBorder="1" applyAlignment="1">
      <alignment horizontal="center" vertical="center"/>
    </xf>
    <xf numFmtId="9" fontId="172" fillId="0" borderId="0" xfId="0" applyNumberFormat="1" applyFont="1" applyAlignment="1">
      <alignment horizontal="center" vertical="center"/>
    </xf>
    <xf numFmtId="6" fontId="18" fillId="24" borderId="245" xfId="0" applyNumberFormat="1" applyFont="1" applyFill="1" applyBorder="1" applyAlignment="1">
      <alignment horizontal="center" vertical="center"/>
    </xf>
    <xf numFmtId="0" fontId="173" fillId="25" borderId="182" xfId="0" applyFont="1" applyFill="1" applyBorder="1" applyAlignment="1">
      <alignment horizontal="center" vertical="center"/>
    </xf>
    <xf numFmtId="277" fontId="173" fillId="25" borderId="182" xfId="1346" applyNumberFormat="1" applyFont="1" applyFill="1" applyBorder="1" applyAlignment="1">
      <alignment horizontal="center" vertical="center"/>
    </xf>
    <xf numFmtId="171" fontId="173" fillId="25" borderId="53" xfId="0" applyNumberFormat="1" applyFont="1" applyFill="1" applyBorder="1" applyAlignment="1">
      <alignment horizontal="center" vertical="center"/>
    </xf>
    <xf numFmtId="167" fontId="173" fillId="25" borderId="146" xfId="0" applyNumberFormat="1" applyFont="1" applyFill="1" applyBorder="1" applyAlignment="1">
      <alignment horizontal="center" vertical="center"/>
    </xf>
    <xf numFmtId="6" fontId="18" fillId="24" borderId="76" xfId="0" applyNumberFormat="1" applyFont="1" applyFill="1" applyBorder="1" applyAlignment="1">
      <alignment horizontal="center" vertical="center"/>
    </xf>
    <xf numFmtId="167" fontId="178" fillId="25" borderId="83" xfId="0" applyNumberFormat="1" applyFont="1" applyFill="1" applyBorder="1" applyAlignment="1">
      <alignment horizontal="center" vertical="center"/>
    </xf>
    <xf numFmtId="167" fontId="178" fillId="25" borderId="58" xfId="0" applyNumberFormat="1" applyFont="1" applyFill="1" applyBorder="1" applyAlignment="1">
      <alignment horizontal="center" vertical="center"/>
    </xf>
    <xf numFmtId="6" fontId="180" fillId="24" borderId="115" xfId="0" applyNumberFormat="1" applyFont="1" applyFill="1" applyBorder="1" applyAlignment="1">
      <alignment horizontal="center" vertical="center"/>
    </xf>
    <xf numFmtId="10" fontId="26" fillId="24" borderId="5" xfId="1346" applyNumberFormat="1" applyFont="1" applyFill="1" applyBorder="1" applyAlignment="1">
      <alignment horizontal="center" vertical="center"/>
    </xf>
    <xf numFmtId="0" fontId="170" fillId="0" borderId="11" xfId="0" applyFont="1" applyBorder="1" applyAlignment="1">
      <alignment horizontal="center" vertical="center"/>
    </xf>
    <xf numFmtId="3" fontId="170" fillId="0" borderId="0" xfId="0" applyNumberFormat="1" applyFont="1" applyAlignment="1">
      <alignment horizontal="center" vertical="center"/>
    </xf>
    <xf numFmtId="9" fontId="170" fillId="0" borderId="5" xfId="0" applyNumberFormat="1" applyFont="1" applyBorder="1" applyAlignment="1">
      <alignment horizontal="center" vertical="center"/>
    </xf>
    <xf numFmtId="0" fontId="171" fillId="28" borderId="11" xfId="0" applyFont="1" applyFill="1" applyBorder="1" applyAlignment="1">
      <alignment horizontal="center" vertical="center"/>
    </xf>
    <xf numFmtId="3" fontId="171" fillId="28" borderId="0" xfId="0" applyNumberFormat="1" applyFont="1" applyFill="1" applyAlignment="1">
      <alignment horizontal="center" vertical="center"/>
    </xf>
    <xf numFmtId="9" fontId="171" fillId="28" borderId="5" xfId="0" applyNumberFormat="1" applyFont="1" applyFill="1" applyBorder="1" applyAlignment="1">
      <alignment horizontal="center" vertical="center"/>
    </xf>
    <xf numFmtId="0" fontId="171" fillId="28" borderId="243" xfId="0" applyFont="1" applyFill="1" applyBorder="1" applyAlignment="1">
      <alignment horizontal="center" vertical="center"/>
    </xf>
    <xf numFmtId="3" fontId="171" fillId="28" borderId="70" xfId="0" applyNumberFormat="1" applyFont="1" applyFill="1" applyBorder="1" applyAlignment="1">
      <alignment horizontal="center" vertical="center"/>
    </xf>
    <xf numFmtId="9" fontId="171" fillId="28" borderId="60" xfId="0" applyNumberFormat="1" applyFont="1" applyFill="1" applyBorder="1" applyAlignment="1">
      <alignment horizontal="center" vertical="center"/>
    </xf>
    <xf numFmtId="0" fontId="187" fillId="25" borderId="11" xfId="0" applyFont="1" applyFill="1" applyBorder="1" applyAlignment="1">
      <alignment horizontal="center" vertical="center"/>
    </xf>
    <xf numFmtId="0" fontId="187" fillId="25" borderId="0" xfId="0" applyFont="1" applyFill="1" applyAlignment="1">
      <alignment horizontal="center" vertical="center"/>
    </xf>
    <xf numFmtId="0" fontId="187" fillId="25" borderId="5" xfId="0" applyFont="1" applyFill="1" applyBorder="1" applyAlignment="1">
      <alignment horizontal="center" vertical="center"/>
    </xf>
    <xf numFmtId="0" fontId="0" fillId="24" borderId="0" xfId="0" applyFill="1" applyAlignment="1">
      <alignment vertical="center"/>
    </xf>
    <xf numFmtId="5" fontId="0" fillId="24" borderId="0" xfId="0" applyNumberFormat="1" applyFill="1" applyAlignment="1">
      <alignment vertical="center"/>
    </xf>
    <xf numFmtId="3" fontId="0" fillId="24" borderId="0" xfId="0" applyNumberFormat="1" applyFill="1" applyAlignment="1">
      <alignment vertical="center"/>
    </xf>
    <xf numFmtId="0" fontId="195" fillId="25" borderId="5" xfId="0" applyFont="1" applyFill="1" applyBorder="1" applyAlignment="1">
      <alignment horizontal="center" vertical="center"/>
    </xf>
    <xf numFmtId="0" fontId="194" fillId="24" borderId="11" xfId="0" applyFont="1" applyFill="1" applyBorder="1" applyAlignment="1">
      <alignment vertical="center"/>
    </xf>
    <xf numFmtId="0" fontId="0" fillId="24" borderId="5" xfId="0" applyFill="1" applyBorder="1" applyAlignment="1">
      <alignment vertical="center"/>
    </xf>
    <xf numFmtId="0" fontId="0" fillId="24" borderId="11" xfId="0" applyFill="1" applyBorder="1" applyAlignment="1">
      <alignment vertical="center"/>
    </xf>
    <xf numFmtId="3" fontId="0" fillId="24" borderId="0" xfId="0" applyNumberFormat="1" applyFill="1" applyAlignment="1">
      <alignment horizontal="center" vertical="center"/>
    </xf>
    <xf numFmtId="6" fontId="0" fillId="24" borderId="5" xfId="0" applyNumberFormat="1" applyFill="1" applyBorder="1" applyAlignment="1">
      <alignment horizontal="center" vertical="center"/>
    </xf>
    <xf numFmtId="0" fontId="194" fillId="28" borderId="11" xfId="0" applyFont="1" applyFill="1" applyBorder="1" applyAlignment="1">
      <alignment vertical="center"/>
    </xf>
    <xf numFmtId="3" fontId="194" fillId="28" borderId="0" xfId="0" applyNumberFormat="1" applyFont="1" applyFill="1" applyAlignment="1">
      <alignment horizontal="center" vertical="center"/>
    </xf>
    <xf numFmtId="6" fontId="194" fillId="28" borderId="5" xfId="0" applyNumberFormat="1" applyFont="1" applyFill="1" applyBorder="1" applyAlignment="1">
      <alignment horizontal="center" vertical="center"/>
    </xf>
    <xf numFmtId="0" fontId="195" fillId="25" borderId="243" xfId="0" applyFont="1" applyFill="1" applyBorder="1" applyAlignment="1">
      <alignment vertical="center"/>
    </xf>
    <xf numFmtId="3" fontId="195" fillId="25" borderId="70" xfId="0" applyNumberFormat="1" applyFont="1" applyFill="1" applyBorder="1" applyAlignment="1">
      <alignment horizontal="center" vertical="center"/>
    </xf>
    <xf numFmtId="6" fontId="195" fillId="25" borderId="60" xfId="0" applyNumberFormat="1" applyFont="1" applyFill="1" applyBorder="1" applyAlignment="1">
      <alignment horizontal="center" vertical="center"/>
    </xf>
    <xf numFmtId="167" fontId="0" fillId="24" borderId="5" xfId="0" applyNumberFormat="1" applyFill="1" applyBorder="1" applyAlignment="1">
      <alignment horizontal="center" vertical="center"/>
    </xf>
    <xf numFmtId="0" fontId="194" fillId="28" borderId="243" xfId="0" applyFont="1" applyFill="1" applyBorder="1" applyAlignment="1">
      <alignment vertical="center"/>
    </xf>
    <xf numFmtId="6" fontId="194" fillId="28" borderId="70" xfId="0" applyNumberFormat="1" applyFont="1" applyFill="1" applyBorder="1" applyAlignment="1">
      <alignment horizontal="center" vertical="center"/>
    </xf>
    <xf numFmtId="167" fontId="194" fillId="28" borderId="60" xfId="0" applyNumberFormat="1" applyFont="1" applyFill="1" applyBorder="1" applyAlignment="1">
      <alignment horizontal="center" vertical="center"/>
    </xf>
    <xf numFmtId="5" fontId="0" fillId="24" borderId="0" xfId="0" applyNumberFormat="1" applyFill="1" applyAlignment="1">
      <alignment horizontal="center" vertical="center"/>
    </xf>
    <xf numFmtId="5" fontId="194" fillId="28" borderId="70" xfId="0" applyNumberFormat="1" applyFont="1" applyFill="1" applyBorder="1" applyAlignment="1">
      <alignment horizontal="center" vertical="center"/>
    </xf>
    <xf numFmtId="3" fontId="194" fillId="28" borderId="70" xfId="0" applyNumberFormat="1" applyFont="1" applyFill="1" applyBorder="1" applyAlignment="1">
      <alignment horizontal="center" vertical="center"/>
    </xf>
    <xf numFmtId="14" fontId="18" fillId="24" borderId="11" xfId="1346" applyNumberFormat="1" applyFont="1" applyFill="1" applyBorder="1" applyAlignment="1">
      <alignment horizontal="center" vertical="center" wrapText="1"/>
    </xf>
    <xf numFmtId="10" fontId="26" fillId="24" borderId="0" xfId="1" applyNumberFormat="1" applyFont="1" applyFill="1" applyBorder="1" applyAlignment="1">
      <alignment horizontal="center" vertical="center"/>
    </xf>
    <xf numFmtId="0" fontId="170" fillId="24" borderId="0" xfId="0" applyFont="1" applyFill="1" applyAlignment="1">
      <alignment vertical="center"/>
    </xf>
    <xf numFmtId="4" fontId="170" fillId="24" borderId="0" xfId="0" applyNumberFormat="1" applyFont="1" applyFill="1" applyAlignment="1">
      <alignment vertical="center"/>
    </xf>
    <xf numFmtId="3" fontId="170" fillId="0" borderId="0" xfId="0" applyNumberFormat="1" applyFont="1" applyAlignment="1">
      <alignment vertical="center"/>
    </xf>
    <xf numFmtId="0" fontId="187" fillId="25" borderId="243" xfId="0" applyFont="1" applyFill="1" applyBorder="1" applyAlignment="1">
      <alignment horizontal="center" vertical="center"/>
    </xf>
    <xf numFmtId="3" fontId="170" fillId="0" borderId="5" xfId="0" applyNumberFormat="1" applyFont="1" applyBorder="1" applyAlignment="1">
      <alignment horizontal="center" vertical="center"/>
    </xf>
    <xf numFmtId="3" fontId="171" fillId="28" borderId="5" xfId="0" applyNumberFormat="1" applyFont="1" applyFill="1" applyBorder="1" applyAlignment="1">
      <alignment horizontal="center" vertical="center"/>
    </xf>
    <xf numFmtId="3" fontId="187" fillId="25" borderId="70" xfId="0" applyNumberFormat="1" applyFont="1" applyFill="1" applyBorder="1" applyAlignment="1">
      <alignment horizontal="center" vertical="center"/>
    </xf>
    <xf numFmtId="3" fontId="187" fillId="25" borderId="60" xfId="0" applyNumberFormat="1" applyFont="1" applyFill="1" applyBorder="1" applyAlignment="1">
      <alignment horizontal="center" vertical="center"/>
    </xf>
    <xf numFmtId="0" fontId="170" fillId="29" borderId="173" xfId="0" applyFont="1" applyFill="1" applyBorder="1" applyAlignment="1">
      <alignment vertical="center"/>
    </xf>
    <xf numFmtId="0" fontId="170" fillId="29" borderId="183" xfId="0" applyFont="1" applyFill="1" applyBorder="1" applyAlignment="1">
      <alignment vertical="center"/>
    </xf>
    <xf numFmtId="0" fontId="170" fillId="29" borderId="56" xfId="0" applyFont="1" applyFill="1" applyBorder="1" applyAlignment="1">
      <alignment vertical="center"/>
    </xf>
    <xf numFmtId="3" fontId="170" fillId="0" borderId="0" xfId="0" quotePrefix="1" applyNumberFormat="1" applyFont="1" applyAlignment="1">
      <alignment horizontal="center" vertical="center"/>
    </xf>
    <xf numFmtId="0" fontId="187" fillId="25" borderId="87" xfId="0" applyFont="1" applyFill="1" applyBorder="1" applyAlignment="1">
      <alignment horizontal="center" vertical="center"/>
    </xf>
    <xf numFmtId="0" fontId="187" fillId="25" borderId="185" xfId="0" applyFont="1" applyFill="1" applyBorder="1" applyAlignment="1">
      <alignment horizontal="center" vertical="center" wrapText="1"/>
    </xf>
    <xf numFmtId="0" fontId="187" fillId="25" borderId="185" xfId="0" applyFont="1" applyFill="1" applyBorder="1" applyAlignment="1">
      <alignment horizontal="center" vertical="center"/>
    </xf>
    <xf numFmtId="14" fontId="187" fillId="25" borderId="185" xfId="0" applyNumberFormat="1" applyFont="1" applyFill="1" applyBorder="1" applyAlignment="1">
      <alignment horizontal="center" vertical="center"/>
    </xf>
    <xf numFmtId="0" fontId="187" fillId="25" borderId="73" xfId="0" applyFont="1" applyFill="1" applyBorder="1" applyAlignment="1">
      <alignment horizontal="center" vertical="center"/>
    </xf>
    <xf numFmtId="0" fontId="187" fillId="25" borderId="186" xfId="0" applyFont="1" applyFill="1" applyBorder="1" applyAlignment="1">
      <alignment horizontal="center" vertical="center" wrapText="1"/>
    </xf>
    <xf numFmtId="0" fontId="187" fillId="25" borderId="187" xfId="0" applyFont="1" applyFill="1" applyBorder="1" applyAlignment="1">
      <alignment horizontal="center" vertical="center" wrapText="1"/>
    </xf>
    <xf numFmtId="3" fontId="170" fillId="0" borderId="53" xfId="0" applyNumberFormat="1" applyFont="1" applyBorder="1" applyAlignment="1">
      <alignment horizontal="center" vertical="center"/>
    </xf>
    <xf numFmtId="3" fontId="170" fillId="0" borderId="211" xfId="0" quotePrefix="1" applyNumberFormat="1" applyFont="1" applyBorder="1" applyAlignment="1">
      <alignment horizontal="center" vertical="center"/>
    </xf>
    <xf numFmtId="3" fontId="170" fillId="0" borderId="211" xfId="0" applyNumberFormat="1" applyFont="1" applyBorder="1" applyAlignment="1">
      <alignment horizontal="center" vertical="center"/>
    </xf>
    <xf numFmtId="3" fontId="171" fillId="28" borderId="53" xfId="0" applyNumberFormat="1" applyFont="1" applyFill="1" applyBorder="1" applyAlignment="1">
      <alignment horizontal="center" vertical="center"/>
    </xf>
    <xf numFmtId="3" fontId="171" fillId="28" borderId="211" xfId="0" applyNumberFormat="1" applyFont="1" applyFill="1" applyBorder="1" applyAlignment="1">
      <alignment horizontal="center" vertical="center"/>
    </xf>
    <xf numFmtId="3" fontId="187" fillId="25" borderId="244" xfId="0" applyNumberFormat="1" applyFont="1" applyFill="1" applyBorder="1" applyAlignment="1">
      <alignment horizontal="center" vertical="center"/>
    </xf>
    <xf numFmtId="3" fontId="187" fillId="25" borderId="66" xfId="0" applyNumberFormat="1" applyFont="1" applyFill="1" applyBorder="1" applyAlignment="1">
      <alignment horizontal="center" vertical="center"/>
    </xf>
    <xf numFmtId="14" fontId="187" fillId="25" borderId="186" xfId="0" applyNumberFormat="1" applyFont="1" applyFill="1" applyBorder="1" applyAlignment="1">
      <alignment horizontal="center" vertical="center"/>
    </xf>
    <xf numFmtId="14" fontId="187" fillId="25" borderId="187" xfId="0" applyNumberFormat="1" applyFont="1" applyFill="1" applyBorder="1" applyAlignment="1">
      <alignment horizontal="center" vertical="center"/>
    </xf>
    <xf numFmtId="0" fontId="187" fillId="25" borderId="187" xfId="0" applyFont="1" applyFill="1" applyBorder="1" applyAlignment="1">
      <alignment horizontal="center" vertical="center"/>
    </xf>
    <xf numFmtId="4" fontId="174" fillId="28" borderId="56" xfId="0" applyNumberFormat="1" applyFont="1" applyFill="1" applyBorder="1" applyAlignment="1">
      <alignment horizontal="center" vertical="center"/>
    </xf>
    <xf numFmtId="277" fontId="172" fillId="24" borderId="0" xfId="0" applyNumberFormat="1" applyFont="1" applyFill="1" applyAlignment="1">
      <alignment horizontal="center" vertical="center"/>
    </xf>
    <xf numFmtId="0" fontId="174" fillId="24" borderId="11" xfId="1346" applyFont="1" applyFill="1" applyBorder="1" applyAlignment="1">
      <alignment horizontal="center" vertical="center"/>
    </xf>
    <xf numFmtId="9" fontId="26" fillId="24" borderId="5" xfId="1346" applyNumberFormat="1" applyFont="1" applyFill="1" applyBorder="1" applyAlignment="1">
      <alignment horizontal="center" vertical="center"/>
    </xf>
    <xf numFmtId="0" fontId="174" fillId="24" borderId="59" xfId="1346" applyFont="1" applyFill="1" applyBorder="1" applyAlignment="1">
      <alignment horizontal="center" vertical="center"/>
    </xf>
    <xf numFmtId="9" fontId="26" fillId="24" borderId="60" xfId="1346" applyNumberFormat="1" applyFont="1" applyFill="1" applyBorder="1" applyAlignment="1">
      <alignment horizontal="center" vertical="center"/>
    </xf>
    <xf numFmtId="6" fontId="26" fillId="24" borderId="0" xfId="0" applyNumberFormat="1" applyFont="1" applyFill="1" applyAlignment="1">
      <alignment horizontal="center" vertical="center"/>
    </xf>
    <xf numFmtId="6" fontId="26" fillId="24" borderId="5" xfId="0" applyNumberFormat="1" applyFont="1" applyFill="1" applyBorder="1" applyAlignment="1">
      <alignment horizontal="center" vertical="center"/>
    </xf>
    <xf numFmtId="10" fontId="26" fillId="24" borderId="5" xfId="0" applyNumberFormat="1" applyFont="1" applyFill="1" applyBorder="1" applyAlignment="1">
      <alignment horizontal="center" vertical="center"/>
    </xf>
    <xf numFmtId="167" fontId="174" fillId="28" borderId="56" xfId="0" applyNumberFormat="1" applyFont="1" applyFill="1" applyBorder="1" applyAlignment="1">
      <alignment horizontal="center" vertical="center"/>
    </xf>
    <xf numFmtId="167" fontId="174" fillId="28" borderId="196" xfId="0" applyNumberFormat="1" applyFont="1" applyFill="1" applyBorder="1" applyAlignment="1">
      <alignment horizontal="center" vertical="center"/>
    </xf>
    <xf numFmtId="0" fontId="187" fillId="25" borderId="138" xfId="0" applyFont="1" applyFill="1" applyBorder="1" applyAlignment="1">
      <alignment horizontal="center" vertical="center"/>
    </xf>
    <xf numFmtId="0" fontId="187" fillId="25" borderId="71" xfId="0" applyFont="1" applyFill="1" applyBorder="1" applyAlignment="1">
      <alignment horizontal="center" vertical="center"/>
    </xf>
    <xf numFmtId="0" fontId="187" fillId="25" borderId="139" xfId="0" applyFont="1" applyFill="1" applyBorder="1" applyAlignment="1">
      <alignment horizontal="center" vertical="center"/>
    </xf>
    <xf numFmtId="166" fontId="171" fillId="26" borderId="59" xfId="0" applyNumberFormat="1" applyFont="1" applyFill="1" applyBorder="1" applyAlignment="1">
      <alignment horizontal="center" vertical="center"/>
    </xf>
    <xf numFmtId="166" fontId="171" fillId="26" borderId="66" xfId="0" applyNumberFormat="1" applyFont="1" applyFill="1" applyBorder="1" applyAlignment="1">
      <alignment horizontal="center" vertical="center"/>
    </xf>
    <xf numFmtId="0" fontId="188" fillId="27" borderId="142" xfId="0" applyFont="1" applyFill="1" applyBorder="1" applyAlignment="1">
      <alignment horizontal="center" vertical="center"/>
    </xf>
    <xf numFmtId="0" fontId="188" fillId="27" borderId="143" xfId="0" applyFont="1" applyFill="1" applyBorder="1" applyAlignment="1">
      <alignment horizontal="center" vertical="center"/>
    </xf>
    <xf numFmtId="0" fontId="188" fillId="27" borderId="144" xfId="0" applyFont="1" applyFill="1" applyBorder="1" applyAlignment="1">
      <alignment horizontal="center" vertical="center"/>
    </xf>
    <xf numFmtId="0" fontId="201" fillId="24" borderId="40" xfId="1359" applyFont="1" applyFill="1" applyBorder="1" applyAlignment="1">
      <alignment horizontal="center" vertical="center" wrapText="1"/>
    </xf>
    <xf numFmtId="277" fontId="180" fillId="24" borderId="40" xfId="0" applyNumberFormat="1" applyFont="1" applyFill="1" applyBorder="1" applyAlignment="1">
      <alignment horizontal="center" vertical="center" wrapText="1"/>
    </xf>
    <xf numFmtId="0" fontId="201" fillId="24" borderId="166" xfId="1359" applyFont="1" applyFill="1" applyBorder="1" applyAlignment="1">
      <alignment horizontal="center" vertical="center" wrapText="1"/>
    </xf>
    <xf numFmtId="0" fontId="201" fillId="24" borderId="124" xfId="1359" applyFont="1" applyFill="1" applyBorder="1" applyAlignment="1">
      <alignment horizontal="center" vertical="center" wrapText="1"/>
    </xf>
    <xf numFmtId="3" fontId="171" fillId="27" borderId="145" xfId="0" applyNumberFormat="1" applyFont="1" applyFill="1" applyBorder="1" applyAlignment="1">
      <alignment horizontal="center" vertical="center" wrapText="1"/>
    </xf>
    <xf numFmtId="0" fontId="201" fillId="24" borderId="168" xfId="1359" applyFont="1" applyFill="1" applyBorder="1" applyAlignment="1">
      <alignment horizontal="center" vertical="center" wrapText="1"/>
    </xf>
    <xf numFmtId="0" fontId="189" fillId="24" borderId="120" xfId="0" applyFont="1" applyFill="1" applyBorder="1" applyAlignment="1">
      <alignment horizontal="center" vertical="center" wrapText="1"/>
    </xf>
    <xf numFmtId="0" fontId="189" fillId="24" borderId="121" xfId="0" applyFont="1" applyFill="1" applyBorder="1" applyAlignment="1">
      <alignment horizontal="center" vertical="center" wrapText="1"/>
    </xf>
    <xf numFmtId="0" fontId="189" fillId="24" borderId="122" xfId="0" applyFont="1" applyFill="1" applyBorder="1" applyAlignment="1">
      <alignment horizontal="center" vertical="center" wrapText="1"/>
    </xf>
    <xf numFmtId="0" fontId="189" fillId="24" borderId="119" xfId="0" applyFont="1" applyFill="1" applyBorder="1" applyAlignment="1">
      <alignment horizontal="center" vertical="center" wrapText="1"/>
    </xf>
    <xf numFmtId="0" fontId="189" fillId="24" borderId="115" xfId="0" applyFont="1" applyFill="1" applyBorder="1" applyAlignment="1">
      <alignment horizontal="center" vertical="center" wrapText="1"/>
    </xf>
    <xf numFmtId="0" fontId="189" fillId="24" borderId="132" xfId="0" applyFont="1" applyFill="1" applyBorder="1" applyAlignment="1">
      <alignment horizontal="center" vertical="center" wrapText="1"/>
    </xf>
    <xf numFmtId="0" fontId="189" fillId="27" borderId="136" xfId="0" applyFont="1" applyFill="1" applyBorder="1" applyAlignment="1">
      <alignment horizontal="center" vertical="center" wrapText="1"/>
    </xf>
    <xf numFmtId="0" fontId="189" fillId="27" borderId="160" xfId="0" applyFont="1" applyFill="1" applyBorder="1" applyAlignment="1">
      <alignment horizontal="center" vertical="center" wrapText="1"/>
    </xf>
    <xf numFmtId="0" fontId="189" fillId="27" borderId="137" xfId="0" applyFont="1" applyFill="1" applyBorder="1" applyAlignment="1">
      <alignment horizontal="center" vertical="center" wrapText="1"/>
    </xf>
    <xf numFmtId="0" fontId="201" fillId="24" borderId="116" xfId="1359" applyFont="1" applyFill="1" applyBorder="1" applyAlignment="1">
      <alignment horizontal="center" vertical="center" wrapText="1"/>
    </xf>
    <xf numFmtId="277" fontId="180" fillId="24" borderId="124" xfId="0" applyNumberFormat="1" applyFont="1" applyFill="1" applyBorder="1" applyAlignment="1">
      <alignment horizontal="center" vertical="center" wrapText="1"/>
    </xf>
    <xf numFmtId="0" fontId="186" fillId="25" borderId="138" xfId="0" applyFont="1" applyFill="1" applyBorder="1" applyAlignment="1">
      <alignment horizontal="center" vertical="center"/>
    </xf>
    <xf numFmtId="0" fontId="186" fillId="25" borderId="71" xfId="0" applyFont="1" applyFill="1" applyBorder="1" applyAlignment="1">
      <alignment horizontal="center" vertical="center"/>
    </xf>
    <xf numFmtId="0" fontId="186" fillId="25" borderId="139" xfId="0" applyFont="1" applyFill="1" applyBorder="1" applyAlignment="1">
      <alignment horizontal="center" vertical="center"/>
    </xf>
    <xf numFmtId="0" fontId="186" fillId="25" borderId="11" xfId="0" applyFont="1" applyFill="1" applyBorder="1" applyAlignment="1">
      <alignment horizontal="center" vertical="center"/>
    </xf>
    <xf numFmtId="0" fontId="186" fillId="25" borderId="0" xfId="0" applyFont="1" applyFill="1" applyAlignment="1">
      <alignment horizontal="center" vertical="center"/>
    </xf>
    <xf numFmtId="0" fontId="186" fillId="25" borderId="5" xfId="0" applyFont="1" applyFill="1" applyBorder="1" applyAlignment="1">
      <alignment horizontal="center" vertical="center"/>
    </xf>
    <xf numFmtId="0" fontId="188" fillId="26" borderId="142" xfId="0" applyFont="1" applyFill="1" applyBorder="1" applyAlignment="1">
      <alignment horizontal="center" vertical="center"/>
    </xf>
    <xf numFmtId="0" fontId="188" fillId="26" borderId="143" xfId="0" applyFont="1" applyFill="1" applyBorder="1" applyAlignment="1">
      <alignment horizontal="center" vertical="center"/>
    </xf>
    <xf numFmtId="0" fontId="188" fillId="26" borderId="144" xfId="0" applyFont="1" applyFill="1" applyBorder="1" applyAlignment="1">
      <alignment horizontal="center" vertical="center"/>
    </xf>
    <xf numFmtId="3" fontId="171" fillId="27" borderId="141" xfId="0" applyNumberFormat="1" applyFont="1" applyFill="1" applyBorder="1" applyAlignment="1">
      <alignment horizontal="center" vertical="center" wrapText="1"/>
    </xf>
    <xf numFmtId="0" fontId="201" fillId="24" borderId="167" xfId="1359" applyFont="1" applyFill="1" applyBorder="1" applyAlignment="1">
      <alignment horizontal="center" vertical="center" wrapText="1"/>
    </xf>
    <xf numFmtId="0" fontId="189" fillId="24" borderId="118" xfId="0" applyFont="1" applyFill="1" applyBorder="1" applyAlignment="1">
      <alignment horizontal="center" vertical="center" wrapText="1"/>
    </xf>
    <xf numFmtId="0" fontId="189" fillId="24" borderId="111" xfId="0" applyFont="1" applyFill="1" applyBorder="1" applyAlignment="1">
      <alignment horizontal="center" vertical="center" wrapText="1"/>
    </xf>
    <xf numFmtId="0" fontId="189" fillId="24" borderId="155" xfId="0" applyFont="1" applyFill="1" applyBorder="1" applyAlignment="1">
      <alignment horizontal="center" vertical="center" wrapText="1"/>
    </xf>
    <xf numFmtId="0" fontId="171" fillId="27" borderId="145" xfId="0" applyFont="1" applyFill="1" applyBorder="1" applyAlignment="1">
      <alignment horizontal="center" vertical="center" wrapText="1"/>
    </xf>
    <xf numFmtId="277" fontId="180" fillId="24" borderId="168" xfId="0" applyNumberFormat="1" applyFont="1" applyFill="1" applyBorder="1" applyAlignment="1">
      <alignment horizontal="center" vertical="center" wrapText="1"/>
    </xf>
    <xf numFmtId="166" fontId="170" fillId="24" borderId="157" xfId="0" applyNumberFormat="1" applyFont="1" applyFill="1" applyBorder="1" applyAlignment="1">
      <alignment horizontal="center" vertical="center"/>
    </xf>
    <xf numFmtId="166" fontId="170" fillId="24" borderId="159" xfId="0" applyNumberFormat="1" applyFont="1" applyFill="1" applyBorder="1" applyAlignment="1">
      <alignment horizontal="center" vertical="center"/>
    </xf>
    <xf numFmtId="3" fontId="171" fillId="26" borderId="138" xfId="0" applyNumberFormat="1" applyFont="1" applyFill="1" applyBorder="1" applyAlignment="1">
      <alignment horizontal="center" vertical="center" wrapText="1"/>
    </xf>
    <xf numFmtId="3" fontId="171" fillId="26" borderId="71" xfId="0" applyNumberFormat="1" applyFont="1" applyFill="1" applyBorder="1" applyAlignment="1">
      <alignment horizontal="center" vertical="center" wrapText="1"/>
    </xf>
    <xf numFmtId="166" fontId="170" fillId="24" borderId="112" xfId="0" applyNumberFormat="1" applyFont="1" applyFill="1" applyBorder="1" applyAlignment="1">
      <alignment horizontal="center" vertical="center"/>
    </xf>
    <xf numFmtId="166" fontId="170" fillId="24" borderId="113" xfId="0" applyNumberFormat="1" applyFont="1" applyFill="1" applyBorder="1" applyAlignment="1">
      <alignment horizontal="center" vertical="center"/>
    </xf>
    <xf numFmtId="166" fontId="170" fillId="24" borderId="116" xfId="0" applyNumberFormat="1" applyFont="1" applyFill="1" applyBorder="1" applyAlignment="1">
      <alignment horizontal="center" vertical="center"/>
    </xf>
    <xf numFmtId="166" fontId="170" fillId="24" borderId="40" xfId="0" applyNumberFormat="1" applyFont="1" applyFill="1" applyBorder="1" applyAlignment="1">
      <alignment horizontal="center" vertical="center"/>
    </xf>
    <xf numFmtId="3" fontId="171" fillId="26" borderId="146" xfId="0" applyNumberFormat="1" applyFont="1" applyFill="1" applyBorder="1" applyAlignment="1">
      <alignment horizontal="center" vertical="center" wrapText="1"/>
    </xf>
    <xf numFmtId="3" fontId="171" fillId="26" borderId="188" xfId="0" applyNumberFormat="1" applyFont="1" applyFill="1" applyBorder="1" applyAlignment="1">
      <alignment horizontal="center" vertical="center" wrapText="1"/>
    </xf>
    <xf numFmtId="3" fontId="171" fillId="26" borderId="151" xfId="0" applyNumberFormat="1" applyFont="1" applyFill="1" applyBorder="1" applyAlignment="1">
      <alignment horizontal="center" vertical="center" wrapText="1"/>
    </xf>
    <xf numFmtId="3" fontId="171" fillId="26" borderId="184" xfId="0" applyNumberFormat="1" applyFont="1" applyFill="1" applyBorder="1" applyAlignment="1">
      <alignment horizontal="center" vertical="center" wrapText="1"/>
    </xf>
    <xf numFmtId="166" fontId="171" fillId="26" borderId="53" xfId="0" applyNumberFormat="1" applyFont="1" applyFill="1" applyBorder="1" applyAlignment="1">
      <alignment horizontal="center" vertical="center"/>
    </xf>
    <xf numFmtId="166" fontId="171" fillId="26" borderId="10" xfId="0" applyNumberFormat="1" applyFont="1" applyFill="1" applyBorder="1" applyAlignment="1">
      <alignment horizontal="center" vertical="center"/>
    </xf>
    <xf numFmtId="274" fontId="26" fillId="24" borderId="78" xfId="0" applyNumberFormat="1" applyFont="1" applyFill="1" applyBorder="1" applyAlignment="1">
      <alignment horizontal="center" vertical="center"/>
    </xf>
    <xf numFmtId="274" fontId="26" fillId="24" borderId="110" xfId="0" applyNumberFormat="1" applyFont="1" applyFill="1" applyBorder="1" applyAlignment="1">
      <alignment horizontal="center" vertical="center"/>
    </xf>
    <xf numFmtId="6" fontId="26" fillId="24" borderId="0" xfId="1346" applyNumberFormat="1" applyFont="1" applyFill="1" applyAlignment="1">
      <alignment horizontal="center" vertical="center"/>
    </xf>
    <xf numFmtId="6" fontId="26" fillId="24" borderId="5" xfId="1346" applyNumberFormat="1" applyFont="1" applyFill="1" applyBorder="1" applyAlignment="1">
      <alignment horizontal="center" vertical="center"/>
    </xf>
    <xf numFmtId="0" fontId="18" fillId="24" borderId="77" xfId="0" applyFont="1" applyFill="1" applyBorder="1" applyAlignment="1">
      <alignment horizontal="center" vertical="center" wrapText="1"/>
    </xf>
    <xf numFmtId="0" fontId="18" fillId="24" borderId="80" xfId="0" applyFont="1" applyFill="1" applyBorder="1" applyAlignment="1">
      <alignment horizontal="center" vertical="center" wrapText="1"/>
    </xf>
    <xf numFmtId="0" fontId="26" fillId="24" borderId="0" xfId="1346" applyFont="1" applyFill="1" applyAlignment="1">
      <alignment horizontal="center" vertical="center"/>
    </xf>
    <xf numFmtId="0" fontId="26" fillId="24" borderId="5" xfId="1346" applyFont="1" applyFill="1" applyBorder="1" applyAlignment="1">
      <alignment horizontal="center" vertical="center"/>
    </xf>
    <xf numFmtId="0" fontId="26" fillId="24" borderId="7" xfId="1346" applyFont="1" applyFill="1" applyBorder="1" applyAlignment="1">
      <alignment horizontal="center" vertical="center"/>
    </xf>
    <xf numFmtId="0" fontId="26" fillId="24" borderId="58" xfId="1346" applyFont="1" applyFill="1" applyBorder="1" applyAlignment="1">
      <alignment horizontal="center" vertical="center"/>
    </xf>
    <xf numFmtId="0" fontId="173" fillId="25" borderId="24" xfId="0" applyFont="1" applyFill="1" applyBorder="1" applyAlignment="1">
      <alignment horizontal="center" vertical="center" wrapText="1"/>
    </xf>
    <xf numFmtId="0" fontId="173" fillId="25" borderId="107" xfId="0" applyFont="1" applyFill="1" applyBorder="1" applyAlignment="1">
      <alignment horizontal="center" vertical="center" wrapText="1"/>
    </xf>
    <xf numFmtId="0" fontId="18" fillId="24" borderId="11" xfId="1346" applyFont="1" applyFill="1" applyBorder="1" applyAlignment="1">
      <alignment horizontal="center" vertical="center"/>
    </xf>
    <xf numFmtId="0" fontId="18" fillId="24" borderId="0" xfId="1346" applyFont="1" applyFill="1" applyAlignment="1">
      <alignment horizontal="center" vertical="center"/>
    </xf>
    <xf numFmtId="274" fontId="26" fillId="24" borderId="147" xfId="0" applyNumberFormat="1" applyFont="1" applyFill="1" applyBorder="1" applyAlignment="1">
      <alignment horizontal="center" vertical="center"/>
    </xf>
    <xf numFmtId="274" fontId="26" fillId="24" borderId="107" xfId="0" applyNumberFormat="1" applyFont="1" applyFill="1" applyBorder="1" applyAlignment="1">
      <alignment horizontal="center" vertical="center"/>
    </xf>
    <xf numFmtId="0" fontId="18" fillId="24" borderId="11"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73" fillId="25" borderId="138" xfId="0" applyFont="1" applyFill="1" applyBorder="1" applyAlignment="1">
      <alignment horizontal="center" vertical="center"/>
    </xf>
    <xf numFmtId="0" fontId="173" fillId="25" borderId="71" xfId="0" applyFont="1" applyFill="1" applyBorder="1" applyAlignment="1">
      <alignment horizontal="center" vertical="center"/>
    </xf>
    <xf numFmtId="0" fontId="173" fillId="25" borderId="139" xfId="0" applyFont="1" applyFill="1" applyBorder="1" applyAlignment="1">
      <alignment horizontal="center" vertical="center"/>
    </xf>
    <xf numFmtId="0" fontId="173" fillId="25" borderId="136" xfId="1346" applyFont="1" applyFill="1" applyBorder="1" applyAlignment="1">
      <alignment horizontal="center" vertical="center"/>
    </xf>
    <xf numFmtId="0" fontId="173" fillId="25" borderId="137" xfId="1346" applyFont="1" applyFill="1" applyBorder="1" applyAlignment="1">
      <alignment horizontal="center" vertical="center"/>
    </xf>
    <xf numFmtId="0" fontId="173" fillId="25" borderId="150" xfId="1346" applyFont="1" applyFill="1" applyBorder="1" applyAlignment="1">
      <alignment horizontal="center" vertical="center"/>
    </xf>
    <xf numFmtId="0" fontId="173" fillId="25" borderId="149" xfId="1346" applyFont="1" applyFill="1" applyBorder="1" applyAlignment="1">
      <alignment horizontal="center" vertical="center"/>
    </xf>
    <xf numFmtId="0" fontId="173" fillId="25" borderId="148" xfId="1346" applyFont="1" applyFill="1" applyBorder="1" applyAlignment="1">
      <alignment horizontal="center" vertical="center"/>
    </xf>
    <xf numFmtId="0" fontId="173" fillId="25" borderId="108" xfId="0" applyFont="1" applyFill="1" applyBorder="1" applyAlignment="1">
      <alignment horizontal="center" vertical="center"/>
    </xf>
    <xf numFmtId="0" fontId="173" fillId="25" borderId="24" xfId="0" applyFont="1" applyFill="1" applyBorder="1" applyAlignment="1">
      <alignment horizontal="center" vertical="center"/>
    </xf>
    <xf numFmtId="0" fontId="173" fillId="25" borderId="160" xfId="1346" applyFont="1" applyFill="1" applyBorder="1" applyAlignment="1">
      <alignment horizontal="center" vertical="center"/>
    </xf>
    <xf numFmtId="0" fontId="18" fillId="24" borderId="72" xfId="1346" applyFont="1" applyFill="1" applyBorder="1" applyAlignment="1">
      <alignment horizontal="center" vertical="center"/>
    </xf>
    <xf numFmtId="0" fontId="18" fillId="24" borderId="7" xfId="1346" applyFont="1" applyFill="1" applyBorder="1" applyAlignment="1">
      <alignment horizontal="center" vertical="center"/>
    </xf>
    <xf numFmtId="0" fontId="173" fillId="25" borderId="138" xfId="0" applyFont="1" applyFill="1" applyBorder="1" applyAlignment="1">
      <alignment horizontal="center" vertical="center" wrapText="1"/>
    </xf>
    <xf numFmtId="0" fontId="173" fillId="25" borderId="71" xfId="0" applyFont="1" applyFill="1" applyBorder="1" applyAlignment="1">
      <alignment horizontal="center" vertical="center" wrapText="1"/>
    </xf>
    <xf numFmtId="0" fontId="173" fillId="25" borderId="139" xfId="0" applyFont="1" applyFill="1" applyBorder="1" applyAlignment="1">
      <alignment horizontal="center" vertical="center" wrapText="1"/>
    </xf>
    <xf numFmtId="0" fontId="18" fillId="28" borderId="142" xfId="1346" applyFont="1" applyFill="1" applyBorder="1" applyAlignment="1">
      <alignment horizontal="center" vertical="center"/>
    </xf>
    <xf numFmtId="0" fontId="18" fillId="28" borderId="143" xfId="1346" applyFont="1" applyFill="1" applyBorder="1" applyAlignment="1">
      <alignment horizontal="center" vertical="center"/>
    </xf>
    <xf numFmtId="0" fontId="18" fillId="28" borderId="144" xfId="1346" applyFont="1" applyFill="1" applyBorder="1" applyAlignment="1">
      <alignment horizontal="center" vertical="center"/>
    </xf>
    <xf numFmtId="0" fontId="173" fillId="25" borderId="138" xfId="1346" applyFont="1" applyFill="1" applyBorder="1" applyAlignment="1">
      <alignment horizontal="center" vertical="center"/>
    </xf>
    <xf numFmtId="0" fontId="173" fillId="25" borderId="71" xfId="1346" applyFont="1" applyFill="1" applyBorder="1" applyAlignment="1">
      <alignment horizontal="center" vertical="center"/>
    </xf>
    <xf numFmtId="0" fontId="173" fillId="25" borderId="139" xfId="1346" applyFont="1" applyFill="1" applyBorder="1" applyAlignment="1">
      <alignment horizontal="center" vertical="center"/>
    </xf>
    <xf numFmtId="0" fontId="105" fillId="24" borderId="11" xfId="0" applyFont="1" applyFill="1" applyBorder="1" applyAlignment="1">
      <alignment horizontal="center" vertical="center" wrapText="1"/>
    </xf>
    <xf numFmtId="0" fontId="105" fillId="24" borderId="0" xfId="0" applyFont="1" applyFill="1" applyAlignment="1">
      <alignment horizontal="center" vertical="center" wrapText="1"/>
    </xf>
    <xf numFmtId="0" fontId="105" fillId="24" borderId="5" xfId="0" applyFont="1" applyFill="1" applyBorder="1" applyAlignment="1">
      <alignment horizontal="center" vertical="center" wrapText="1"/>
    </xf>
    <xf numFmtId="0" fontId="105" fillId="24" borderId="243" xfId="0" applyFont="1" applyFill="1" applyBorder="1" applyAlignment="1">
      <alignment horizontal="center" vertical="center" wrapText="1"/>
    </xf>
    <xf numFmtId="0" fontId="105" fillId="24" borderId="70" xfId="0" applyFont="1" applyFill="1" applyBorder="1" applyAlignment="1">
      <alignment horizontal="center" vertical="center" wrapText="1"/>
    </xf>
    <xf numFmtId="0" fontId="105" fillId="24" borderId="60" xfId="0" applyFont="1" applyFill="1" applyBorder="1" applyAlignment="1">
      <alignment horizontal="center" vertical="center" wrapText="1"/>
    </xf>
    <xf numFmtId="0" fontId="195" fillId="25" borderId="138" xfId="0" applyFont="1" applyFill="1" applyBorder="1" applyAlignment="1">
      <alignment horizontal="center" vertical="center"/>
    </xf>
    <xf numFmtId="0" fontId="195" fillId="25" borderId="71" xfId="0" applyFont="1" applyFill="1" applyBorder="1" applyAlignment="1">
      <alignment horizontal="center" vertical="center"/>
    </xf>
    <xf numFmtId="0" fontId="195" fillId="25" borderId="139" xfId="0" applyFont="1" applyFill="1" applyBorder="1" applyAlignment="1">
      <alignment horizontal="center" vertical="center"/>
    </xf>
    <xf numFmtId="0" fontId="18" fillId="24" borderId="87" xfId="0" applyFont="1" applyFill="1" applyBorder="1" applyAlignment="1">
      <alignment horizontal="center" vertical="center" wrapText="1"/>
    </xf>
    <xf numFmtId="0" fontId="18" fillId="24" borderId="187" xfId="0" applyFont="1" applyFill="1" applyBorder="1" applyAlignment="1">
      <alignment horizontal="center" vertical="center" wrapText="1"/>
    </xf>
    <xf numFmtId="274" fontId="26" fillId="24" borderId="186" xfId="0" applyNumberFormat="1" applyFont="1" applyFill="1" applyBorder="1" applyAlignment="1">
      <alignment horizontal="center" vertical="center"/>
    </xf>
    <xf numFmtId="274" fontId="26" fillId="24" borderId="73" xfId="0" applyNumberFormat="1" applyFont="1" applyFill="1" applyBorder="1" applyAlignment="1">
      <alignment horizontal="center" vertical="center"/>
    </xf>
    <xf numFmtId="0" fontId="172" fillId="24" borderId="11" xfId="1346" applyFont="1" applyFill="1" applyBorder="1" applyAlignment="1">
      <alignment horizontal="center" vertical="center"/>
    </xf>
    <xf numFmtId="0" fontId="172" fillId="24" borderId="0" xfId="1346" applyFont="1" applyFill="1" applyAlignment="1">
      <alignment horizontal="center" vertical="center"/>
    </xf>
    <xf numFmtId="166" fontId="172" fillId="24" borderId="11" xfId="1346" applyNumberFormat="1" applyFont="1" applyFill="1" applyBorder="1" applyAlignment="1">
      <alignment horizontal="center" vertical="center"/>
    </xf>
    <xf numFmtId="166" fontId="172" fillId="24" borderId="0" xfId="1346" applyNumberFormat="1" applyFont="1" applyFill="1" applyAlignment="1">
      <alignment horizontal="center" vertical="center"/>
    </xf>
    <xf numFmtId="0" fontId="18" fillId="24" borderId="243" xfId="1346" applyFont="1" applyFill="1" applyBorder="1" applyAlignment="1">
      <alignment horizontal="center" vertical="center"/>
    </xf>
    <xf numFmtId="0" fontId="18" fillId="24" borderId="70" xfId="1346" applyFont="1" applyFill="1" applyBorder="1" applyAlignment="1">
      <alignment horizontal="center" vertical="center"/>
    </xf>
    <xf numFmtId="0" fontId="174" fillId="24" borderId="0" xfId="1346" applyFont="1" applyFill="1" applyAlignment="1">
      <alignment horizontal="center" vertical="center"/>
    </xf>
    <xf numFmtId="0" fontId="174" fillId="24" borderId="5" xfId="1346" applyFont="1" applyFill="1" applyBorder="1" applyAlignment="1">
      <alignment horizontal="center" vertical="center"/>
    </xf>
    <xf numFmtId="0" fontId="203" fillId="28" borderId="88" xfId="0" applyFont="1" applyFill="1" applyBorder="1" applyAlignment="1">
      <alignment horizontal="left" vertical="center"/>
    </xf>
    <xf numFmtId="0" fontId="203" fillId="28" borderId="89" xfId="0" applyFont="1" applyFill="1" applyBorder="1" applyAlignment="1">
      <alignment horizontal="left" vertical="center"/>
    </xf>
    <xf numFmtId="0" fontId="203" fillId="28" borderId="90" xfId="0" applyFont="1" applyFill="1" applyBorder="1" applyAlignment="1">
      <alignment horizontal="left" vertical="center"/>
    </xf>
    <xf numFmtId="0" fontId="203" fillId="28" borderId="91" xfId="0" applyFont="1" applyFill="1" applyBorder="1" applyAlignment="1">
      <alignment horizontal="left" vertical="center"/>
    </xf>
    <xf numFmtId="0" fontId="203" fillId="28" borderId="190" xfId="0" applyFont="1" applyFill="1" applyBorder="1" applyAlignment="1">
      <alignment horizontal="left" vertical="center"/>
    </xf>
    <xf numFmtId="0" fontId="203" fillId="28" borderId="92" xfId="0" applyFont="1" applyFill="1" applyBorder="1" applyAlignment="1">
      <alignment horizontal="left" vertical="center"/>
    </xf>
    <xf numFmtId="0" fontId="178" fillId="25" borderId="91" xfId="0" applyFont="1" applyFill="1" applyBorder="1" applyAlignment="1">
      <alignment horizontal="center" vertical="center" wrapText="1"/>
    </xf>
    <xf numFmtId="0" fontId="178" fillId="25" borderId="92" xfId="0" applyFont="1" applyFill="1" applyBorder="1" applyAlignment="1">
      <alignment horizontal="center" vertical="center" wrapText="1"/>
    </xf>
    <xf numFmtId="0" fontId="178" fillId="25" borderId="102" xfId="0" applyFont="1" applyFill="1" applyBorder="1" applyAlignment="1">
      <alignment horizontal="center" vertical="center" wrapText="1"/>
    </xf>
    <xf numFmtId="0" fontId="178" fillId="25" borderId="103" xfId="0" applyFont="1" applyFill="1" applyBorder="1" applyAlignment="1">
      <alignment horizontal="center" vertical="center" wrapText="1"/>
    </xf>
    <xf numFmtId="0" fontId="0" fillId="24" borderId="24" xfId="0" applyFill="1" applyBorder="1" applyAlignment="1">
      <alignment horizontal="center" vertical="center"/>
    </xf>
    <xf numFmtId="0" fontId="195" fillId="25" borderId="206" xfId="0" applyFont="1" applyFill="1" applyBorder="1" applyAlignment="1">
      <alignment horizontal="center" vertical="center"/>
    </xf>
    <xf numFmtId="0" fontId="99" fillId="28" borderId="179" xfId="0" quotePrefix="1" applyFont="1" applyFill="1" applyBorder="1" applyAlignment="1">
      <alignment horizontal="center" vertical="center" wrapText="1"/>
    </xf>
    <xf numFmtId="0" fontId="99" fillId="28" borderId="180" xfId="0" quotePrefix="1" applyFont="1" applyFill="1" applyBorder="1" applyAlignment="1">
      <alignment horizontal="center" vertical="center" wrapText="1"/>
    </xf>
    <xf numFmtId="0" fontId="178" fillId="25" borderId="189" xfId="0" applyFont="1" applyFill="1" applyBorder="1" applyAlignment="1">
      <alignment horizontal="center" vertical="center" wrapText="1"/>
    </xf>
    <xf numFmtId="0" fontId="178" fillId="25" borderId="201" xfId="0" applyFont="1" applyFill="1" applyBorder="1" applyAlignment="1">
      <alignment horizontal="center" vertical="center"/>
    </xf>
    <xf numFmtId="0" fontId="178" fillId="25" borderId="0" xfId="0" applyFont="1" applyFill="1" applyAlignment="1">
      <alignment horizontal="center" vertical="center"/>
    </xf>
    <xf numFmtId="0" fontId="178" fillId="25" borderId="202" xfId="0" applyFont="1" applyFill="1" applyBorder="1" applyAlignment="1">
      <alignment horizontal="center" vertical="center"/>
    </xf>
    <xf numFmtId="0" fontId="177" fillId="24" borderId="98" xfId="0" quotePrefix="1" applyFont="1" applyFill="1" applyBorder="1" applyAlignment="1">
      <alignment horizontal="center" vertical="center" wrapText="1"/>
    </xf>
    <xf numFmtId="0" fontId="177" fillId="24" borderId="99" xfId="0" quotePrefix="1" applyFont="1" applyFill="1" applyBorder="1" applyAlignment="1">
      <alignment horizontal="center" vertical="center" wrapText="1"/>
    </xf>
    <xf numFmtId="0" fontId="177" fillId="24" borderId="76" xfId="0" quotePrefix="1" applyFont="1" applyFill="1" applyBorder="1" applyAlignment="1">
      <alignment horizontal="center" vertical="center" wrapText="1"/>
    </xf>
    <xf numFmtId="0" fontId="177" fillId="24" borderId="94" xfId="0" quotePrefix="1" applyFont="1" applyFill="1" applyBorder="1" applyAlignment="1">
      <alignment horizontal="center" vertical="center" wrapText="1"/>
    </xf>
    <xf numFmtId="0" fontId="99" fillId="28" borderId="88" xfId="0" quotePrefix="1" applyFont="1" applyFill="1" applyBorder="1" applyAlignment="1">
      <alignment horizontal="center" vertical="center" wrapText="1"/>
    </xf>
    <xf numFmtId="0" fontId="99" fillId="28" borderId="89" xfId="0" quotePrefix="1" applyFont="1" applyFill="1" applyBorder="1" applyAlignment="1">
      <alignment horizontal="center" vertical="center" wrapText="1"/>
    </xf>
    <xf numFmtId="0" fontId="178" fillId="25" borderId="201" xfId="0" applyFont="1" applyFill="1" applyBorder="1" applyAlignment="1">
      <alignment horizontal="center" vertical="center" wrapText="1"/>
    </xf>
    <xf numFmtId="0" fontId="178" fillId="25" borderId="202" xfId="0" applyFont="1" applyFill="1" applyBorder="1" applyAlignment="1">
      <alignment horizontal="center" vertical="center" wrapText="1"/>
    </xf>
    <xf numFmtId="0" fontId="178" fillId="25" borderId="91" xfId="0" applyFont="1" applyFill="1" applyBorder="1" applyAlignment="1">
      <alignment horizontal="center" vertical="center"/>
    </xf>
    <xf numFmtId="0" fontId="178" fillId="25" borderId="190" xfId="0" applyFont="1" applyFill="1" applyBorder="1" applyAlignment="1">
      <alignment horizontal="center" vertical="center"/>
    </xf>
    <xf numFmtId="0" fontId="178" fillId="25" borderId="92" xfId="0" applyFont="1" applyFill="1" applyBorder="1" applyAlignment="1">
      <alignment horizontal="center" vertical="center"/>
    </xf>
    <xf numFmtId="0" fontId="177" fillId="24" borderId="180" xfId="0" quotePrefix="1" applyFont="1" applyFill="1" applyBorder="1" applyAlignment="1">
      <alignment horizontal="center" vertical="center" wrapText="1"/>
    </xf>
    <xf numFmtId="0" fontId="177" fillId="24" borderId="181" xfId="0" quotePrefix="1" applyFont="1" applyFill="1" applyBorder="1" applyAlignment="1">
      <alignment horizontal="center" vertical="center" wrapText="1"/>
    </xf>
    <xf numFmtId="0" fontId="16" fillId="28" borderId="89" xfId="0" applyFont="1" applyFill="1" applyBorder="1" applyAlignment="1">
      <alignment horizontal="center"/>
    </xf>
    <xf numFmtId="0" fontId="16" fillId="28" borderId="90" xfId="0" applyFont="1" applyFill="1" applyBorder="1" applyAlignment="1">
      <alignment horizontal="center"/>
    </xf>
    <xf numFmtId="0" fontId="0" fillId="24" borderId="160" xfId="0" applyFill="1" applyBorder="1" applyAlignment="1">
      <alignment horizontal="center" vertical="center"/>
    </xf>
    <xf numFmtId="0" fontId="0" fillId="24" borderId="76" xfId="0" applyFill="1" applyBorder="1" applyAlignment="1">
      <alignment horizontal="center" vertical="center"/>
    </xf>
    <xf numFmtId="0" fontId="177" fillId="28" borderId="0" xfId="0" applyFont="1" applyFill="1" applyAlignment="1">
      <alignment horizontal="center" vertical="center"/>
    </xf>
    <xf numFmtId="0" fontId="0" fillId="24" borderId="7" xfId="0" applyFill="1" applyBorder="1" applyAlignment="1">
      <alignment horizontal="center" vertical="center"/>
    </xf>
    <xf numFmtId="0" fontId="194" fillId="28" borderId="185" xfId="0" applyFont="1" applyFill="1" applyBorder="1" applyAlignment="1">
      <alignment horizontal="center" vertical="center"/>
    </xf>
    <xf numFmtId="0" fontId="194" fillId="28" borderId="0" xfId="0" applyFont="1" applyFill="1" applyAlignment="1">
      <alignment horizontal="center" vertical="center"/>
    </xf>
    <xf numFmtId="0" fontId="177" fillId="28" borderId="185" xfId="0" applyFont="1" applyFill="1" applyBorder="1" applyAlignment="1">
      <alignment horizontal="center" vertical="center"/>
    </xf>
    <xf numFmtId="0" fontId="194" fillId="28" borderId="189" xfId="0" applyFont="1" applyFill="1" applyBorder="1" applyAlignment="1">
      <alignment horizontal="center" vertical="center"/>
    </xf>
    <xf numFmtId="0" fontId="177" fillId="28" borderId="189" xfId="0" applyFont="1" applyFill="1" applyBorder="1" applyAlignment="1">
      <alignment horizontal="center" vertical="center"/>
    </xf>
    <xf numFmtId="0" fontId="178" fillId="25" borderId="189" xfId="0" quotePrefix="1" applyFont="1" applyFill="1" applyBorder="1" applyAlignment="1">
      <alignment horizontal="center" vertical="center" wrapText="1"/>
    </xf>
    <xf numFmtId="0" fontId="178" fillId="25" borderId="103" xfId="0" quotePrefix="1" applyFont="1" applyFill="1" applyBorder="1" applyAlignment="1">
      <alignment horizontal="center" vertical="center" wrapText="1"/>
    </xf>
    <xf numFmtId="0" fontId="204" fillId="24" borderId="102" xfId="0" applyFont="1" applyFill="1" applyBorder="1" applyAlignment="1">
      <alignment horizontal="center" vertical="center"/>
    </xf>
    <xf numFmtId="0" fontId="204" fillId="24" borderId="103" xfId="0" applyFont="1" applyFill="1" applyBorder="1" applyAlignment="1">
      <alignment horizontal="center" vertical="center"/>
    </xf>
    <xf numFmtId="0" fontId="176" fillId="28" borderId="76" xfId="0" quotePrefix="1" applyFont="1" applyFill="1" applyBorder="1" applyAlignment="1">
      <alignment horizontal="center" vertical="center" wrapText="1"/>
    </xf>
    <xf numFmtId="0" fontId="176" fillId="28" borderId="94" xfId="0" quotePrefix="1" applyFont="1" applyFill="1" applyBorder="1" applyAlignment="1">
      <alignment horizontal="center" vertical="center" wrapText="1"/>
    </xf>
    <xf numFmtId="0" fontId="177" fillId="24" borderId="93" xfId="0" quotePrefix="1" applyFont="1" applyFill="1" applyBorder="1" applyAlignment="1">
      <alignment horizontal="center" vertical="center" wrapText="1"/>
    </xf>
    <xf numFmtId="3" fontId="177" fillId="24" borderId="76" xfId="0" applyNumberFormat="1" applyFont="1" applyFill="1" applyBorder="1" applyAlignment="1">
      <alignment horizontal="center" vertical="center" wrapText="1"/>
    </xf>
    <xf numFmtId="3" fontId="177" fillId="24" borderId="94" xfId="0" applyNumberFormat="1" applyFont="1" applyFill="1" applyBorder="1" applyAlignment="1">
      <alignment horizontal="center" vertical="center" wrapText="1"/>
    </xf>
    <xf numFmtId="3" fontId="177" fillId="24" borderId="180" xfId="0" applyNumberFormat="1" applyFont="1" applyFill="1" applyBorder="1" applyAlignment="1">
      <alignment horizontal="center" vertical="center" wrapText="1"/>
    </xf>
    <xf numFmtId="3" fontId="177" fillId="24" borderId="181" xfId="0" applyNumberFormat="1" applyFont="1" applyFill="1" applyBorder="1" applyAlignment="1">
      <alignment horizontal="center" vertical="center" wrapText="1"/>
    </xf>
    <xf numFmtId="0" fontId="178" fillId="25" borderId="0" xfId="0" applyFont="1" applyFill="1" applyAlignment="1">
      <alignment horizontal="center" vertical="center" wrapText="1"/>
    </xf>
    <xf numFmtId="3" fontId="176" fillId="28" borderId="89" xfId="0" applyNumberFormat="1" applyFont="1" applyFill="1" applyBorder="1" applyAlignment="1">
      <alignment horizontal="center" vertical="center" wrapText="1"/>
    </xf>
    <xf numFmtId="3" fontId="176" fillId="28" borderId="90" xfId="0" applyNumberFormat="1" applyFont="1" applyFill="1" applyBorder="1" applyAlignment="1">
      <alignment horizontal="center" vertical="center" wrapText="1"/>
    </xf>
    <xf numFmtId="3" fontId="177" fillId="24" borderId="98" xfId="0" applyNumberFormat="1" applyFont="1" applyFill="1" applyBorder="1" applyAlignment="1">
      <alignment horizontal="center" vertical="center" wrapText="1"/>
    </xf>
    <xf numFmtId="3" fontId="177" fillId="24" borderId="99" xfId="0" applyNumberFormat="1" applyFont="1" applyFill="1" applyBorder="1" applyAlignment="1">
      <alignment horizontal="center" vertical="center" wrapText="1"/>
    </xf>
    <xf numFmtId="0" fontId="177" fillId="24" borderId="179" xfId="0" quotePrefix="1" applyFont="1" applyFill="1" applyBorder="1" applyAlignment="1">
      <alignment horizontal="center" vertical="center" wrapText="1"/>
    </xf>
    <xf numFmtId="3" fontId="177" fillId="24" borderId="98" xfId="0" quotePrefix="1" applyNumberFormat="1" applyFont="1" applyFill="1" applyBorder="1" applyAlignment="1">
      <alignment horizontal="center" vertical="center" wrapText="1"/>
    </xf>
    <xf numFmtId="3" fontId="177" fillId="24" borderId="76" xfId="0" quotePrefix="1" applyNumberFormat="1" applyFont="1" applyFill="1" applyBorder="1" applyAlignment="1">
      <alignment horizontal="center" vertical="center" wrapText="1"/>
    </xf>
    <xf numFmtId="3" fontId="177" fillId="24" borderId="180" xfId="0" quotePrefix="1" applyNumberFormat="1" applyFont="1" applyFill="1" applyBorder="1" applyAlignment="1">
      <alignment horizontal="center" vertical="center" wrapText="1"/>
    </xf>
    <xf numFmtId="0" fontId="177" fillId="24" borderId="97" xfId="0" quotePrefix="1" applyFont="1" applyFill="1" applyBorder="1" applyAlignment="1">
      <alignment horizontal="center" vertical="center" wrapText="1"/>
    </xf>
    <xf numFmtId="0" fontId="176" fillId="28" borderId="89" xfId="0" quotePrefix="1" applyFont="1" applyFill="1" applyBorder="1" applyAlignment="1">
      <alignment horizontal="center" vertical="center" wrapText="1"/>
    </xf>
    <xf numFmtId="0" fontId="176" fillId="28" borderId="90" xfId="0" quotePrefix="1" applyFont="1" applyFill="1" applyBorder="1" applyAlignment="1">
      <alignment horizontal="center" vertical="center" wrapText="1"/>
    </xf>
    <xf numFmtId="0" fontId="177" fillId="24" borderId="217" xfId="1346" applyFont="1" applyFill="1" applyBorder="1" applyAlignment="1">
      <alignment horizontal="center" vertical="center"/>
    </xf>
    <xf numFmtId="0" fontId="177" fillId="24" borderId="218" xfId="1346" applyFont="1" applyFill="1" applyBorder="1" applyAlignment="1">
      <alignment horizontal="center" vertical="center"/>
    </xf>
    <xf numFmtId="0" fontId="177" fillId="24" borderId="219" xfId="1346" applyFont="1" applyFill="1" applyBorder="1" applyAlignment="1">
      <alignment horizontal="center" vertical="center"/>
    </xf>
    <xf numFmtId="0" fontId="177" fillId="24" borderId="220" xfId="1346" applyFont="1" applyFill="1" applyBorder="1" applyAlignment="1">
      <alignment horizontal="center" vertical="center"/>
    </xf>
    <xf numFmtId="8" fontId="177" fillId="24" borderId="176" xfId="1346" applyNumberFormat="1" applyFont="1" applyFill="1" applyBorder="1" applyAlignment="1">
      <alignment horizontal="center" vertical="center"/>
    </xf>
    <xf numFmtId="8" fontId="177" fillId="24" borderId="105" xfId="1346" applyNumberFormat="1" applyFont="1" applyFill="1" applyBorder="1" applyAlignment="1">
      <alignment horizontal="center" vertical="center"/>
    </xf>
    <xf numFmtId="8" fontId="177" fillId="24" borderId="83" xfId="1346" applyNumberFormat="1" applyFont="1" applyFill="1" applyBorder="1" applyAlignment="1">
      <alignment horizontal="center" vertical="center"/>
    </xf>
    <xf numFmtId="8" fontId="177" fillId="24" borderId="168" xfId="1346" applyNumberFormat="1" applyFont="1" applyFill="1" applyBorder="1" applyAlignment="1">
      <alignment horizontal="center" vertical="center"/>
    </xf>
    <xf numFmtId="0" fontId="191" fillId="24" borderId="215" xfId="1346" quotePrefix="1" applyFont="1" applyFill="1" applyBorder="1" applyAlignment="1">
      <alignment horizontal="center" vertical="center"/>
    </xf>
    <xf numFmtId="0" fontId="191" fillId="24" borderId="163" xfId="1346" quotePrefix="1" applyFont="1" applyFill="1" applyBorder="1" applyAlignment="1">
      <alignment horizontal="center" vertical="center"/>
    </xf>
    <xf numFmtId="0" fontId="190" fillId="24" borderId="213" xfId="1346" applyFont="1" applyFill="1" applyBorder="1" applyAlignment="1">
      <alignment horizontal="center" vertical="center"/>
    </xf>
    <xf numFmtId="0" fontId="190" fillId="24" borderId="161" xfId="1346" applyFont="1" applyFill="1" applyBorder="1" applyAlignment="1">
      <alignment horizontal="center" vertical="center"/>
    </xf>
    <xf numFmtId="0" fontId="191" fillId="24" borderId="214" xfId="1346" applyFont="1" applyFill="1" applyBorder="1" applyAlignment="1">
      <alignment horizontal="center" vertical="center"/>
    </xf>
    <xf numFmtId="0" fontId="191" fillId="24" borderId="133" xfId="1346" applyFont="1" applyFill="1" applyBorder="1" applyAlignment="1">
      <alignment horizontal="center" vertical="center"/>
    </xf>
    <xf numFmtId="0" fontId="191" fillId="24" borderId="221" xfId="1346" applyFont="1" applyFill="1" applyBorder="1" applyAlignment="1">
      <alignment horizontal="center" vertical="center"/>
    </xf>
    <xf numFmtId="0" fontId="191" fillId="24" borderId="238" xfId="1346" applyFont="1" applyFill="1" applyBorder="1" applyAlignment="1">
      <alignment horizontal="center" vertical="center"/>
    </xf>
    <xf numFmtId="3" fontId="177" fillId="28" borderId="189" xfId="0" applyNumberFormat="1" applyFont="1" applyFill="1" applyBorder="1" applyAlignment="1">
      <alignment horizontal="center" vertical="center" wrapText="1"/>
    </xf>
    <xf numFmtId="3" fontId="177" fillId="28" borderId="103" xfId="0" applyNumberFormat="1" applyFont="1" applyFill="1" applyBorder="1" applyAlignment="1">
      <alignment horizontal="center" vertical="center" wrapText="1"/>
    </xf>
    <xf numFmtId="0" fontId="195" fillId="25" borderId="91" xfId="0" applyFont="1" applyFill="1" applyBorder="1" applyAlignment="1">
      <alignment horizontal="center" vertical="center"/>
    </xf>
    <xf numFmtId="0" fontId="195" fillId="25" borderId="190" xfId="0" applyFont="1" applyFill="1" applyBorder="1" applyAlignment="1">
      <alignment horizontal="center" vertical="center"/>
    </xf>
    <xf numFmtId="0" fontId="195" fillId="25" borderId="92" xfId="0" applyFont="1" applyFill="1" applyBorder="1" applyAlignment="1">
      <alignment horizontal="center" vertical="center"/>
    </xf>
    <xf numFmtId="0" fontId="178" fillId="25" borderId="179" xfId="1346" applyFont="1" applyFill="1" applyBorder="1" applyAlignment="1">
      <alignment horizontal="center" vertical="center"/>
    </xf>
    <xf numFmtId="0" fontId="178" fillId="25" borderId="180" xfId="1346" applyFont="1" applyFill="1" applyBorder="1" applyAlignment="1">
      <alignment horizontal="center" vertical="center"/>
    </xf>
    <xf numFmtId="8" fontId="178" fillId="25" borderId="180" xfId="1346" applyNumberFormat="1" applyFont="1" applyFill="1" applyBorder="1" applyAlignment="1">
      <alignment horizontal="center" vertical="center"/>
    </xf>
    <xf numFmtId="8" fontId="178" fillId="25" borderId="242" xfId="1346" applyNumberFormat="1" applyFont="1" applyFill="1" applyBorder="1" applyAlignment="1">
      <alignment horizontal="center" vertical="center"/>
    </xf>
    <xf numFmtId="0" fontId="178" fillId="25" borderId="241" xfId="1346" applyFont="1" applyFill="1" applyBorder="1" applyAlignment="1">
      <alignment horizontal="center" vertical="center"/>
    </xf>
    <xf numFmtId="0" fontId="178" fillId="25" borderId="190" xfId="1346" applyFont="1" applyFill="1" applyBorder="1" applyAlignment="1">
      <alignment horizontal="center" vertical="center"/>
    </xf>
    <xf numFmtId="0" fontId="178" fillId="25" borderId="92" xfId="1346" applyFont="1" applyFill="1" applyBorder="1" applyAlignment="1">
      <alignment horizontal="center" vertical="center"/>
    </xf>
    <xf numFmtId="0" fontId="178" fillId="25" borderId="102" xfId="1346" applyFont="1" applyFill="1" applyBorder="1" applyAlignment="1">
      <alignment horizontal="center" vertical="center"/>
    </xf>
    <xf numFmtId="0" fontId="178" fillId="25" borderId="237" xfId="1346" applyFont="1" applyFill="1" applyBorder="1" applyAlignment="1">
      <alignment horizontal="center" vertical="center"/>
    </xf>
    <xf numFmtId="0" fontId="178" fillId="25" borderId="91" xfId="1346" applyFont="1" applyFill="1" applyBorder="1" applyAlignment="1">
      <alignment horizontal="center" vertical="center"/>
    </xf>
    <xf numFmtId="0" fontId="178" fillId="25" borderId="229" xfId="1346" applyFont="1" applyFill="1" applyBorder="1" applyAlignment="1">
      <alignment horizontal="center" vertical="center"/>
    </xf>
    <xf numFmtId="0" fontId="190" fillId="24" borderId="239" xfId="1346" applyFont="1" applyFill="1" applyBorder="1" applyAlignment="1">
      <alignment horizontal="center" vertical="center"/>
    </xf>
    <xf numFmtId="0" fontId="190" fillId="24" borderId="240" xfId="1346" applyFont="1" applyFill="1" applyBorder="1" applyAlignment="1">
      <alignment horizontal="center" vertical="center"/>
    </xf>
    <xf numFmtId="0" fontId="191" fillId="24" borderId="215" xfId="1346" applyFont="1" applyFill="1" applyBorder="1" applyAlignment="1">
      <alignment horizontal="center" vertical="center"/>
    </xf>
    <xf numFmtId="0" fontId="191" fillId="24" borderId="163" xfId="1346" applyFont="1" applyFill="1" applyBorder="1" applyAlignment="1">
      <alignment horizontal="center" vertical="center"/>
    </xf>
    <xf numFmtId="0" fontId="173" fillId="25" borderId="11" xfId="0" applyFont="1" applyFill="1" applyBorder="1" applyAlignment="1">
      <alignment horizontal="center" vertical="center"/>
    </xf>
    <xf numFmtId="0" fontId="173" fillId="25" borderId="173" xfId="0" applyFont="1" applyFill="1" applyBorder="1" applyAlignment="1">
      <alignment horizontal="center" vertical="center"/>
    </xf>
    <xf numFmtId="0" fontId="173" fillId="25" borderId="56" xfId="0" applyFont="1" applyFill="1" applyBorder="1" applyAlignment="1">
      <alignment horizontal="center" vertical="center"/>
    </xf>
    <xf numFmtId="6" fontId="174" fillId="28" borderId="178" xfId="0" applyNumberFormat="1" applyFont="1" applyFill="1" applyBorder="1" applyAlignment="1">
      <alignment horizontal="center" vertical="center"/>
    </xf>
    <xf numFmtId="6" fontId="174" fillId="28" borderId="69" xfId="0" applyNumberFormat="1" applyFont="1" applyFill="1" applyBorder="1" applyAlignment="1">
      <alignment horizontal="center" vertical="center"/>
    </xf>
    <xf numFmtId="0" fontId="173" fillId="4" borderId="142" xfId="0" applyFont="1" applyFill="1" applyBorder="1" applyAlignment="1">
      <alignment horizontal="center" vertical="center"/>
    </xf>
    <xf numFmtId="0" fontId="173" fillId="4" borderId="143" xfId="0" applyFont="1" applyFill="1" applyBorder="1" applyAlignment="1">
      <alignment horizontal="center" vertical="center"/>
    </xf>
    <xf numFmtId="5" fontId="26" fillId="28" borderId="139" xfId="0" applyNumberFormat="1" applyFont="1" applyFill="1" applyBorder="1" applyAlignment="1">
      <alignment horizontal="center" vertical="center"/>
    </xf>
    <xf numFmtId="5" fontId="26" fillId="28" borderId="60" xfId="0" applyNumberFormat="1" applyFont="1" applyFill="1" applyBorder="1" applyAlignment="1">
      <alignment horizontal="center" vertical="center"/>
    </xf>
    <xf numFmtId="0" fontId="173" fillId="4" borderId="144" xfId="0" applyFont="1" applyFill="1" applyBorder="1" applyAlignment="1">
      <alignment horizontal="center" vertical="center"/>
    </xf>
    <xf numFmtId="172" fontId="105" fillId="24" borderId="119" xfId="0" applyNumberFormat="1" applyFont="1" applyFill="1" applyBorder="1" applyAlignment="1" applyProtection="1">
      <alignment horizontal="center" vertical="center"/>
      <protection locked="0"/>
    </xf>
    <xf numFmtId="172" fontId="105" fillId="24" borderId="133" xfId="0" applyNumberFormat="1" applyFont="1" applyFill="1" applyBorder="1" applyAlignment="1" applyProtection="1">
      <alignment horizontal="center" vertical="center"/>
      <protection locked="0"/>
    </xf>
    <xf numFmtId="0" fontId="173" fillId="4" borderId="138" xfId="0" applyFont="1" applyFill="1" applyBorder="1" applyAlignment="1">
      <alignment horizontal="center" vertical="center"/>
    </xf>
    <xf numFmtId="0" fontId="173" fillId="4" borderId="71" xfId="0" applyFont="1" applyFill="1" applyBorder="1" applyAlignment="1">
      <alignment horizontal="center" vertical="center"/>
    </xf>
    <xf numFmtId="0" fontId="173" fillId="4" borderId="139" xfId="0" applyFont="1" applyFill="1" applyBorder="1" applyAlignment="1">
      <alignment horizontal="center" vertical="center"/>
    </xf>
    <xf numFmtId="0" fontId="174" fillId="28" borderId="152" xfId="0" applyFont="1" applyFill="1" applyBorder="1" applyAlignment="1">
      <alignment horizontal="center" vertical="center"/>
    </xf>
    <xf numFmtId="0" fontId="174" fillId="28" borderId="68" xfId="0" applyFont="1" applyFill="1" applyBorder="1" applyAlignment="1">
      <alignment horizontal="center" vertical="center"/>
    </xf>
    <xf numFmtId="176" fontId="174" fillId="28" borderId="153" xfId="21" applyNumberFormat="1" applyFont="1" applyFill="1" applyBorder="1" applyAlignment="1">
      <alignment horizontal="center" vertical="center"/>
    </xf>
    <xf numFmtId="176" fontId="174" fillId="28" borderId="64" xfId="21" applyNumberFormat="1" applyFont="1" applyFill="1" applyBorder="1" applyAlignment="1">
      <alignment horizontal="center" vertical="center"/>
    </xf>
    <xf numFmtId="3" fontId="174" fillId="28" borderId="153" xfId="0" applyNumberFormat="1" applyFont="1" applyFill="1" applyBorder="1" applyAlignment="1">
      <alignment horizontal="center" vertical="center"/>
    </xf>
    <xf numFmtId="3" fontId="174" fillId="28" borderId="55" xfId="0" applyNumberFormat="1" applyFont="1" applyFill="1" applyBorder="1" applyAlignment="1">
      <alignment horizontal="center" vertical="center"/>
    </xf>
    <xf numFmtId="8" fontId="174" fillId="28" borderId="153" xfId="0" applyNumberFormat="1" applyFont="1" applyFill="1" applyBorder="1" applyAlignment="1">
      <alignment horizontal="center" vertical="center"/>
    </xf>
    <xf numFmtId="8" fontId="174" fillId="28" borderId="55" xfId="0" applyNumberFormat="1" applyFont="1" applyFill="1" applyBorder="1" applyAlignment="1">
      <alignment horizontal="center" vertical="center"/>
    </xf>
    <xf numFmtId="172" fontId="18" fillId="24" borderId="119" xfId="0" applyNumberFormat="1" applyFont="1" applyFill="1" applyBorder="1" applyAlignment="1" applyProtection="1">
      <alignment horizontal="center" vertical="center"/>
      <protection locked="0"/>
    </xf>
    <xf numFmtId="172" fontId="18" fillId="24" borderId="133" xfId="0" applyNumberFormat="1" applyFont="1" applyFill="1" applyBorder="1" applyAlignment="1" applyProtection="1">
      <alignment horizontal="center" vertical="center"/>
      <protection locked="0"/>
    </xf>
    <xf numFmtId="6" fontId="26" fillId="28" borderId="138" xfId="0" applyNumberFormat="1" applyFont="1" applyFill="1" applyBorder="1" applyAlignment="1">
      <alignment horizontal="center" vertical="center"/>
    </xf>
    <xf numFmtId="6" fontId="26" fillId="28" borderId="59" xfId="0" applyNumberFormat="1" applyFont="1" applyFill="1" applyBorder="1" applyAlignment="1">
      <alignment horizontal="center" vertical="center"/>
    </xf>
    <xf numFmtId="5" fontId="26" fillId="28" borderId="71" xfId="0" applyNumberFormat="1" applyFont="1" applyFill="1" applyBorder="1" applyAlignment="1">
      <alignment horizontal="center" vertical="center"/>
    </xf>
    <xf numFmtId="5" fontId="26" fillId="28" borderId="70" xfId="0" applyNumberFormat="1" applyFont="1" applyFill="1" applyBorder="1" applyAlignment="1">
      <alignment horizontal="center" vertical="center"/>
    </xf>
    <xf numFmtId="5" fontId="18" fillId="24" borderId="0" xfId="21" applyNumberFormat="1" applyFont="1" applyFill="1" applyBorder="1" applyAlignment="1">
      <alignment horizontal="center" vertical="center"/>
    </xf>
    <xf numFmtId="5" fontId="26" fillId="24" borderId="0" xfId="21" applyNumberFormat="1" applyFont="1" applyFill="1" applyBorder="1" applyAlignment="1">
      <alignment horizontal="center" vertical="center"/>
    </xf>
    <xf numFmtId="0" fontId="18" fillId="24" borderId="119" xfId="0" applyFont="1" applyFill="1" applyBorder="1" applyAlignment="1">
      <alignment horizontal="center" vertical="center"/>
    </xf>
    <xf numFmtId="0" fontId="18" fillId="24" borderId="133" xfId="0" applyFont="1" applyFill="1" applyBorder="1" applyAlignment="1">
      <alignment horizontal="center" vertical="center"/>
    </xf>
    <xf numFmtId="0" fontId="26" fillId="24" borderId="120" xfId="0" applyFont="1" applyFill="1" applyBorder="1" applyAlignment="1">
      <alignment horizontal="center" vertical="center"/>
    </xf>
    <xf numFmtId="0" fontId="26" fillId="24" borderId="123" xfId="0" applyFont="1" applyFill="1" applyBorder="1" applyAlignment="1">
      <alignment horizontal="center" vertical="center"/>
    </xf>
    <xf numFmtId="0" fontId="18" fillId="24" borderId="167" xfId="0" applyFont="1" applyFill="1" applyBorder="1" applyAlignment="1">
      <alignment horizontal="center" vertical="center"/>
    </xf>
    <xf numFmtId="0" fontId="18" fillId="24" borderId="168" xfId="0" applyFont="1" applyFill="1" applyBorder="1" applyAlignment="1">
      <alignment horizontal="center" vertical="center"/>
    </xf>
    <xf numFmtId="0" fontId="26" fillId="24" borderId="119" xfId="0" applyFont="1" applyFill="1" applyBorder="1" applyAlignment="1">
      <alignment horizontal="center" vertical="center"/>
    </xf>
    <xf numFmtId="0" fontId="26" fillId="24" borderId="133" xfId="0" applyFont="1" applyFill="1" applyBorder="1" applyAlignment="1">
      <alignment horizontal="center" vertical="center"/>
    </xf>
    <xf numFmtId="0" fontId="173" fillId="25" borderId="152" xfId="2" applyFont="1" applyFill="1" applyBorder="1" applyAlignment="1">
      <alignment horizontal="center" vertical="center"/>
    </xf>
    <xf numFmtId="0" fontId="173" fillId="25" borderId="68" xfId="2" applyFont="1" applyFill="1" applyBorder="1" applyAlignment="1">
      <alignment horizontal="center" vertical="center"/>
    </xf>
    <xf numFmtId="0" fontId="173" fillId="25" borderId="153" xfId="0" applyFont="1" applyFill="1" applyBorder="1" applyAlignment="1">
      <alignment horizontal="center" vertical="center" wrapText="1"/>
    </xf>
    <xf numFmtId="0" fontId="173" fillId="25" borderId="55" xfId="0" applyFont="1" applyFill="1" applyBorder="1" applyAlignment="1">
      <alignment horizontal="center" vertical="center" wrapText="1"/>
    </xf>
    <xf numFmtId="0" fontId="173" fillId="25" borderId="178" xfId="0" applyFont="1" applyFill="1" applyBorder="1" applyAlignment="1">
      <alignment horizontal="center" vertical="center" wrapText="1"/>
    </xf>
    <xf numFmtId="0" fontId="173" fillId="25" borderId="69" xfId="0" applyFont="1" applyFill="1" applyBorder="1" applyAlignment="1">
      <alignment horizontal="center" vertical="center" wrapText="1"/>
    </xf>
    <xf numFmtId="6" fontId="174" fillId="28" borderId="109" xfId="0" applyNumberFormat="1" applyFont="1" applyFill="1" applyBorder="1" applyAlignment="1">
      <alignment horizontal="center" vertical="center"/>
    </xf>
    <xf numFmtId="173" fontId="173" fillId="25" borderId="138" xfId="0" applyNumberFormat="1" applyFont="1" applyFill="1" applyBorder="1" applyAlignment="1">
      <alignment horizontal="center" vertical="center"/>
    </xf>
    <xf numFmtId="173" fontId="173" fillId="25" borderId="71" xfId="0" applyNumberFormat="1" applyFont="1" applyFill="1" applyBorder="1" applyAlignment="1">
      <alignment horizontal="center" vertical="center"/>
    </xf>
    <xf numFmtId="173" fontId="173" fillId="25" borderId="139" xfId="0" applyNumberFormat="1" applyFont="1" applyFill="1" applyBorder="1" applyAlignment="1">
      <alignment horizontal="center" vertical="center"/>
    </xf>
    <xf numFmtId="0" fontId="174" fillId="28" borderId="67" xfId="0" applyFont="1" applyFill="1" applyBorder="1" applyAlignment="1">
      <alignment horizontal="center" vertical="center"/>
    </xf>
    <xf numFmtId="174" fontId="174" fillId="28" borderId="153" xfId="21" applyNumberFormat="1" applyFont="1" applyFill="1" applyBorder="1" applyAlignment="1">
      <alignment horizontal="center" vertical="center"/>
    </xf>
    <xf numFmtId="174" fontId="174" fillId="28" borderId="64" xfId="21" applyNumberFormat="1" applyFont="1" applyFill="1" applyBorder="1" applyAlignment="1">
      <alignment horizontal="center" vertical="center"/>
    </xf>
    <xf numFmtId="6" fontId="174" fillId="28" borderId="153" xfId="0" applyNumberFormat="1" applyFont="1" applyFill="1" applyBorder="1" applyAlignment="1">
      <alignment horizontal="center" vertical="center"/>
    </xf>
    <xf numFmtId="6" fontId="174" fillId="28" borderId="64" xfId="0" applyNumberFormat="1" applyFont="1" applyFill="1" applyBorder="1" applyAlignment="1">
      <alignment horizontal="center" vertical="center"/>
    </xf>
    <xf numFmtId="3" fontId="173" fillId="25" borderId="138" xfId="0" applyNumberFormat="1" applyFont="1" applyFill="1" applyBorder="1" applyAlignment="1">
      <alignment horizontal="center" vertical="center"/>
    </xf>
    <xf numFmtId="0" fontId="173" fillId="25" borderId="59" xfId="0" applyFont="1" applyFill="1" applyBorder="1" applyAlignment="1">
      <alignment horizontal="center" vertical="center"/>
    </xf>
    <xf numFmtId="268" fontId="18" fillId="29" borderId="138" xfId="0" applyNumberFormat="1" applyFont="1" applyFill="1" applyBorder="1" applyAlignment="1">
      <alignment horizontal="center" vertical="center"/>
    </xf>
    <xf numFmtId="268" fontId="18" fillId="29" borderId="71" xfId="0" applyNumberFormat="1" applyFont="1" applyFill="1" applyBorder="1" applyAlignment="1">
      <alignment horizontal="center" vertical="center"/>
    </xf>
    <xf numFmtId="268" fontId="18" fillId="29" borderId="139" xfId="0" applyNumberFormat="1" applyFont="1" applyFill="1" applyBorder="1" applyAlignment="1">
      <alignment horizontal="center" vertical="center"/>
    </xf>
    <xf numFmtId="268" fontId="18" fillId="29" borderId="11" xfId="0" applyNumberFormat="1" applyFont="1" applyFill="1" applyBorder="1" applyAlignment="1">
      <alignment horizontal="center" vertical="center"/>
    </xf>
    <xf numFmtId="268" fontId="18" fillId="29" borderId="0" xfId="0" applyNumberFormat="1" applyFont="1" applyFill="1" applyAlignment="1">
      <alignment horizontal="center" vertical="center"/>
    </xf>
    <xf numFmtId="268" fontId="18" fillId="29" borderId="5" xfId="0" applyNumberFormat="1" applyFont="1" applyFill="1" applyBorder="1" applyAlignment="1">
      <alignment horizontal="center" vertical="center"/>
    </xf>
    <xf numFmtId="268" fontId="18" fillId="29" borderId="243" xfId="0" applyNumberFormat="1" applyFont="1" applyFill="1" applyBorder="1" applyAlignment="1">
      <alignment horizontal="center" vertical="center"/>
    </xf>
    <xf numFmtId="268" fontId="18" fillId="29" borderId="70" xfId="0" applyNumberFormat="1" applyFont="1" applyFill="1" applyBorder="1" applyAlignment="1">
      <alignment horizontal="center" vertical="center"/>
    </xf>
    <xf numFmtId="268" fontId="18" fillId="29" borderId="60" xfId="0" applyNumberFormat="1" applyFont="1" applyFill="1" applyBorder="1" applyAlignment="1">
      <alignment horizontal="center" vertical="center"/>
    </xf>
    <xf numFmtId="0" fontId="173" fillId="25" borderId="138" xfId="2" applyFont="1" applyFill="1" applyBorder="1" applyAlignment="1">
      <alignment horizontal="center" vertical="center"/>
    </xf>
    <xf numFmtId="0" fontId="173" fillId="25" borderId="59" xfId="2" applyFont="1" applyFill="1" applyBorder="1" applyAlignment="1">
      <alignment horizontal="center" vertical="center"/>
    </xf>
    <xf numFmtId="0" fontId="173" fillId="25" borderId="60" xfId="0" applyFont="1" applyFill="1" applyBorder="1" applyAlignment="1">
      <alignment horizontal="center" vertical="center" wrapText="1"/>
    </xf>
    <xf numFmtId="5" fontId="18" fillId="29" borderId="0" xfId="21" applyNumberFormat="1" applyFont="1" applyFill="1" applyBorder="1" applyAlignment="1">
      <alignment horizontal="center" vertical="center"/>
    </xf>
    <xf numFmtId="5" fontId="26" fillId="29" borderId="0" xfId="21" applyNumberFormat="1" applyFont="1" applyFill="1" applyBorder="1" applyAlignment="1">
      <alignment horizontal="center" vertical="center"/>
    </xf>
    <xf numFmtId="285" fontId="174" fillId="28" borderId="153" xfId="21" applyNumberFormat="1" applyFont="1" applyFill="1" applyBorder="1" applyAlignment="1">
      <alignment horizontal="center" vertical="center"/>
    </xf>
    <xf numFmtId="285" fontId="174" fillId="28" borderId="64" xfId="21" applyNumberFormat="1" applyFont="1" applyFill="1" applyBorder="1" applyAlignment="1">
      <alignment horizontal="center" vertical="center"/>
    </xf>
    <xf numFmtId="268" fontId="26" fillId="29" borderId="138" xfId="0" applyNumberFormat="1" applyFont="1" applyFill="1" applyBorder="1" applyAlignment="1">
      <alignment horizontal="center" vertical="center"/>
    </xf>
    <xf numFmtId="268" fontId="26" fillId="29" borderId="71" xfId="0" applyNumberFormat="1" applyFont="1" applyFill="1" applyBorder="1" applyAlignment="1">
      <alignment horizontal="center" vertical="center"/>
    </xf>
    <xf numFmtId="268" fontId="26" fillId="29" borderId="139" xfId="0" applyNumberFormat="1" applyFont="1" applyFill="1" applyBorder="1" applyAlignment="1">
      <alignment horizontal="center" vertical="center"/>
    </xf>
    <xf numFmtId="268" fontId="26" fillId="29" borderId="11" xfId="0" applyNumberFormat="1" applyFont="1" applyFill="1" applyBorder="1" applyAlignment="1">
      <alignment horizontal="center" vertical="center"/>
    </xf>
    <xf numFmtId="268" fontId="26" fillId="29" borderId="0" xfId="0" applyNumberFormat="1" applyFont="1" applyFill="1" applyAlignment="1">
      <alignment horizontal="center" vertical="center"/>
    </xf>
    <xf numFmtId="268" fontId="26" fillId="29" borderId="5" xfId="0" applyNumberFormat="1" applyFont="1" applyFill="1" applyBorder="1" applyAlignment="1">
      <alignment horizontal="center" vertical="center"/>
    </xf>
    <xf numFmtId="268" fontId="26" fillId="29" borderId="243" xfId="0" applyNumberFormat="1" applyFont="1" applyFill="1" applyBorder="1" applyAlignment="1">
      <alignment horizontal="center" vertical="center"/>
    </xf>
    <xf numFmtId="268" fontId="26" fillId="29" borderId="70" xfId="0" applyNumberFormat="1" applyFont="1" applyFill="1" applyBorder="1" applyAlignment="1">
      <alignment horizontal="center" vertical="center"/>
    </xf>
    <xf numFmtId="268" fontId="26" fillId="29" borderId="60" xfId="0" applyNumberFormat="1" applyFont="1" applyFill="1" applyBorder="1" applyAlignment="1">
      <alignment horizontal="center" vertical="center"/>
    </xf>
    <xf numFmtId="3" fontId="181" fillId="24" borderId="76" xfId="0" applyNumberFormat="1" applyFont="1" applyFill="1" applyBorder="1" applyAlignment="1">
      <alignment horizontal="center" vertical="center" wrapText="1"/>
    </xf>
    <xf numFmtId="3" fontId="181" fillId="24" borderId="94" xfId="0" applyNumberFormat="1" applyFont="1" applyFill="1" applyBorder="1" applyAlignment="1">
      <alignment horizontal="center" vertical="center" wrapText="1"/>
    </xf>
    <xf numFmtId="3" fontId="181" fillId="24" borderId="76" xfId="0" quotePrefix="1" applyNumberFormat="1" applyFont="1" applyFill="1" applyBorder="1" applyAlignment="1">
      <alignment horizontal="center" vertical="center" wrapText="1"/>
    </xf>
    <xf numFmtId="0" fontId="179" fillId="25" borderId="89" xfId="0" applyFont="1" applyFill="1" applyBorder="1" applyAlignment="1">
      <alignment horizontal="center" vertical="center" wrapText="1"/>
    </xf>
    <xf numFmtId="0" fontId="179" fillId="25" borderId="90" xfId="0" applyFont="1" applyFill="1" applyBorder="1" applyAlignment="1">
      <alignment horizontal="center" vertical="center" wrapText="1"/>
    </xf>
    <xf numFmtId="3" fontId="181" fillId="24" borderId="98" xfId="0" applyNumberFormat="1" applyFont="1" applyFill="1" applyBorder="1" applyAlignment="1">
      <alignment horizontal="center" vertical="center" wrapText="1"/>
    </xf>
    <xf numFmtId="3" fontId="181" fillId="24" borderId="99" xfId="0" applyNumberFormat="1" applyFont="1" applyFill="1" applyBorder="1" applyAlignment="1">
      <alignment horizontal="center" vertical="center" wrapText="1"/>
    </xf>
    <xf numFmtId="0" fontId="179" fillId="25" borderId="88" xfId="0" quotePrefix="1" applyFont="1" applyFill="1" applyBorder="1" applyAlignment="1">
      <alignment horizontal="center" vertical="center" wrapText="1"/>
    </xf>
    <xf numFmtId="0" fontId="179" fillId="25" borderId="89" xfId="0" quotePrefix="1" applyFont="1" applyFill="1" applyBorder="1" applyAlignment="1">
      <alignment horizontal="center" vertical="center" wrapText="1"/>
    </xf>
    <xf numFmtId="0" fontId="183" fillId="24" borderId="0" xfId="0" applyFont="1" applyFill="1" applyAlignment="1">
      <alignment horizontal="center" vertical="center"/>
    </xf>
    <xf numFmtId="3" fontId="181" fillId="24" borderId="7" xfId="0" applyNumberFormat="1" applyFont="1" applyFill="1" applyBorder="1" applyAlignment="1">
      <alignment horizontal="center" vertical="center" wrapText="1"/>
    </xf>
    <xf numFmtId="3" fontId="181" fillId="24" borderId="96" xfId="0" applyNumberFormat="1" applyFont="1" applyFill="1" applyBorder="1" applyAlignment="1">
      <alignment horizontal="center" vertical="center" wrapText="1"/>
    </xf>
    <xf numFmtId="0" fontId="187" fillId="25" borderId="61" xfId="0" applyFont="1" applyFill="1" applyBorder="1" applyAlignment="1">
      <alignment horizontal="center" vertical="center"/>
    </xf>
    <xf numFmtId="0" fontId="187" fillId="25" borderId="62" xfId="0" applyFont="1" applyFill="1" applyBorder="1" applyAlignment="1">
      <alignment horizontal="center" vertical="center"/>
    </xf>
    <xf numFmtId="0" fontId="187" fillId="25" borderId="63" xfId="0" applyFont="1" applyFill="1" applyBorder="1" applyAlignment="1">
      <alignment horizontal="center" vertical="center"/>
    </xf>
  </cellXfs>
  <cellStyles count="1362">
    <cellStyle name="$ 0 decimal" xfId="130" xr:uid="{00000000-0005-0000-0000-00009F020000}"/>
    <cellStyle name="$ 1 decimal" xfId="131" xr:uid="{00000000-0005-0000-0000-0000A0020000}"/>
    <cellStyle name="$ 2 decimals" xfId="132" xr:uid="{00000000-0005-0000-0000-0000A1020000}"/>
    <cellStyle name="_%(SignOnly)" xfId="133" xr:uid="{00000000-0005-0000-0000-000000000000}"/>
    <cellStyle name="_%(SignSpaceOnly)" xfId="134" xr:uid="{00000000-0005-0000-0000-000001000000}"/>
    <cellStyle name="_%(SignSpaceOnly)_ControlTables" xfId="135" xr:uid="{00000000-0005-0000-0000-000002000000}"/>
    <cellStyle name="_%(SignSpaceOnly)_ControlTablesI" xfId="136" xr:uid="{00000000-0005-0000-0000-000003000000}"/>
    <cellStyle name="_%(SignSpaceOnly)_Database - Comparables" xfId="137" xr:uid="{00000000-0005-0000-0000-000004000000}"/>
    <cellStyle name="_%(SignSpaceOnly)_DB_Eye" xfId="138" xr:uid="{00000000-0005-0000-0000-000005000000}"/>
    <cellStyle name="_%(SignSpaceOnly)_Exec Summary" xfId="139" xr:uid="{00000000-0005-0000-0000-000006000000}"/>
    <cellStyle name="_%(SignSpaceOnly)_Exec Summary_1" xfId="140" xr:uid="{00000000-0005-0000-0000-000007000000}"/>
    <cellStyle name="_%(SignSpaceOnly)_Sheet1" xfId="141" xr:uid="{00000000-0005-0000-0000-000008000000}"/>
    <cellStyle name="_ARI Base Case July 25 TPS1" xfId="142" xr:uid="{00000000-0005-0000-0000-000009000000}"/>
    <cellStyle name="_Comma" xfId="143" xr:uid="{00000000-0005-0000-0000-00000A000000}"/>
    <cellStyle name="_Comma_3-Yr Eyechart" xfId="144" xr:uid="{00000000-0005-0000-0000-00000B000000}"/>
    <cellStyle name="_Comma_Asset Comparisons" xfId="145" xr:uid="{00000000-0005-0000-0000-00000C000000}"/>
    <cellStyle name="_Comma_Balance Sheet" xfId="146" xr:uid="{00000000-0005-0000-0000-00000D000000}"/>
    <cellStyle name="_Comma_Balance Sheet_ControlTables" xfId="147" xr:uid="{00000000-0005-0000-0000-00000E000000}"/>
    <cellStyle name="_Comma_Balance Sheet_ControlTablesI" xfId="148" xr:uid="{00000000-0005-0000-0000-00000F000000}"/>
    <cellStyle name="_Comma_Balance Sheet_Database - Comparables" xfId="149" xr:uid="{00000000-0005-0000-0000-000010000000}"/>
    <cellStyle name="_Comma_Balance Sheet_DB_Eye" xfId="150" xr:uid="{00000000-0005-0000-0000-000011000000}"/>
    <cellStyle name="_Comma_Balance Sheet_Exec Summary" xfId="151" xr:uid="{00000000-0005-0000-0000-000012000000}"/>
    <cellStyle name="_Comma_Balance Sheet_Existing Debt" xfId="152" xr:uid="{00000000-0005-0000-0000-000013000000}"/>
    <cellStyle name="_Comma_Balance Sheet_Kor-Port_LEQ_6-10-04_CR_Final-Struct_FINAL" xfId="153" xr:uid="{00000000-0005-0000-0000-000014000000}"/>
    <cellStyle name="_Comma_Balance Sheet_Mallard's_Landing_LEQ_8-17-04" xfId="154" xr:uid="{00000000-0005-0000-0000-000015000000}"/>
    <cellStyle name="_Comma_Balance Sheet_Quick Property Input" xfId="155" xr:uid="{00000000-0005-0000-0000-000016000000}"/>
    <cellStyle name="_Comma_Balance Sheet_Sheet1" xfId="156" xr:uid="{00000000-0005-0000-0000-000017000000}"/>
    <cellStyle name="_Comma_Balance Sheet_Sheet1_Data Tape" xfId="157" xr:uid="{00000000-0005-0000-0000-000018000000}"/>
    <cellStyle name="_Comma_Balance Sheet_Sheet1_Deal Assumptions" xfId="158" xr:uid="{00000000-0005-0000-0000-000019000000}"/>
    <cellStyle name="_Comma_Balance Sheet_Sheet1_RE Valuation 2" xfId="159" xr:uid="{00000000-0005-0000-0000-00001A000000}"/>
    <cellStyle name="_Comma_Balance Sheet_Sheet2" xfId="160" xr:uid="{00000000-0005-0000-0000-00001B000000}"/>
    <cellStyle name="_Comma_ControlTables" xfId="161" xr:uid="{00000000-0005-0000-0000-00001C000000}"/>
    <cellStyle name="_Comma_ControlTablesI" xfId="162" xr:uid="{00000000-0005-0000-0000-00001D000000}"/>
    <cellStyle name="_Comma_Cost Of Funds" xfId="163" xr:uid="{00000000-0005-0000-0000-00001E000000}"/>
    <cellStyle name="_Comma_Criteria" xfId="164" xr:uid="{00000000-0005-0000-0000-00001F000000}"/>
    <cellStyle name="_Comma_Criteria Test Export" xfId="165" xr:uid="{00000000-0005-0000-0000-000020000000}"/>
    <cellStyle name="_Comma_Criteria_ControlTables" xfId="166" xr:uid="{00000000-0005-0000-0000-000021000000}"/>
    <cellStyle name="_Comma_Criteria_ControlTablesI" xfId="167" xr:uid="{00000000-0005-0000-0000-000022000000}"/>
    <cellStyle name="_Comma_Criteria_Database - Comparables" xfId="168" xr:uid="{00000000-0005-0000-0000-000023000000}"/>
    <cellStyle name="_Comma_Criteria_DB_Eye" xfId="169" xr:uid="{00000000-0005-0000-0000-000024000000}"/>
    <cellStyle name="_Comma_Criteria_Exec Summary" xfId="170" xr:uid="{00000000-0005-0000-0000-000025000000}"/>
    <cellStyle name="_Comma_Criteria_Existing Debt" xfId="171" xr:uid="{00000000-0005-0000-0000-000026000000}"/>
    <cellStyle name="_Comma_Criteria_Kor-Port_LEQ_6-10-04_CR_Final-Struct_FINAL" xfId="172" xr:uid="{00000000-0005-0000-0000-000027000000}"/>
    <cellStyle name="_Comma_Criteria_Mallard's_Landing_LEQ_8-17-04" xfId="173" xr:uid="{00000000-0005-0000-0000-000028000000}"/>
    <cellStyle name="_Comma_Criteria_Quick Property Input" xfId="174" xr:uid="{00000000-0005-0000-0000-000029000000}"/>
    <cellStyle name="_Comma_Criteria_Sheet1" xfId="175" xr:uid="{00000000-0005-0000-0000-00002A000000}"/>
    <cellStyle name="_Comma_Criteria_Sheet1_Data Tape" xfId="176" xr:uid="{00000000-0005-0000-0000-00002B000000}"/>
    <cellStyle name="_Comma_Criteria_Sheet1_Deal Assumptions" xfId="177" xr:uid="{00000000-0005-0000-0000-00002C000000}"/>
    <cellStyle name="_Comma_Criteria_Sheet1_RE Valuation 2" xfId="178" xr:uid="{00000000-0005-0000-0000-00002D000000}"/>
    <cellStyle name="_Comma_Criteria_Sheet2" xfId="179" xr:uid="{00000000-0005-0000-0000-00002E000000}"/>
    <cellStyle name="_Comma_Data Tape" xfId="180" xr:uid="{00000000-0005-0000-0000-00002F000000}"/>
    <cellStyle name="_Comma_Data Tape_1" xfId="181" xr:uid="{00000000-0005-0000-0000-000030000000}"/>
    <cellStyle name="_Comma_Data Tape_ControlTables" xfId="182" xr:uid="{00000000-0005-0000-0000-000031000000}"/>
    <cellStyle name="_Comma_Data Tape_ControlTablesI" xfId="183" xr:uid="{00000000-0005-0000-0000-000032000000}"/>
    <cellStyle name="_Comma_Data Tape_Database - Comparables" xfId="184" xr:uid="{00000000-0005-0000-0000-000033000000}"/>
    <cellStyle name="_Comma_Data Tape_DB_Eye" xfId="185" xr:uid="{00000000-0005-0000-0000-000034000000}"/>
    <cellStyle name="_Comma_Data Tape_Exec Summary" xfId="186" xr:uid="{00000000-0005-0000-0000-000035000000}"/>
    <cellStyle name="_Comma_Data Tape_Existing Debt" xfId="187" xr:uid="{00000000-0005-0000-0000-000036000000}"/>
    <cellStyle name="_Comma_Data Tape_Kor-Port_LEQ_6-10-04_CR_Final-Struct_FINAL" xfId="188" xr:uid="{00000000-0005-0000-0000-000037000000}"/>
    <cellStyle name="_Comma_Data Tape_Mallard's_Landing_LEQ_8-17-04" xfId="189" xr:uid="{00000000-0005-0000-0000-000038000000}"/>
    <cellStyle name="_Comma_Data Tape_Quick Property Input" xfId="190" xr:uid="{00000000-0005-0000-0000-000039000000}"/>
    <cellStyle name="_Comma_Data Tape_Sheet1" xfId="191" xr:uid="{00000000-0005-0000-0000-00003A000000}"/>
    <cellStyle name="_Comma_Data Tape_Sheet1_Data Tape" xfId="192" xr:uid="{00000000-0005-0000-0000-00003B000000}"/>
    <cellStyle name="_Comma_Data Tape_Sheet1_Deal Assumptions" xfId="193" xr:uid="{00000000-0005-0000-0000-00003C000000}"/>
    <cellStyle name="_Comma_Data Tape_Sheet1_RE Valuation 2" xfId="194" xr:uid="{00000000-0005-0000-0000-00003D000000}"/>
    <cellStyle name="_Comma_Data Tape_Sheet2" xfId="195" xr:uid="{00000000-0005-0000-0000-00003E000000}"/>
    <cellStyle name="_Comma_Data_Tape" xfId="196" xr:uid="{00000000-0005-0000-0000-00003F000000}"/>
    <cellStyle name="_Comma_Database - Comparables" xfId="197" xr:uid="{00000000-0005-0000-0000-000040000000}"/>
    <cellStyle name="_Comma_Database - Economics" xfId="198" xr:uid="{00000000-0005-0000-0000-000041000000}"/>
    <cellStyle name="_Comma_DB Eye" xfId="199" xr:uid="{00000000-0005-0000-0000-000042000000}"/>
    <cellStyle name="_Comma_DB_Eye" xfId="200" xr:uid="{00000000-0005-0000-0000-000043000000}"/>
    <cellStyle name="_Comma_Deal Input" xfId="201" xr:uid="{00000000-0005-0000-0000-000044000000}"/>
    <cellStyle name="_Comma_Direct Cap Eye" xfId="202" xr:uid="{00000000-0005-0000-0000-000045000000}"/>
    <cellStyle name="_Comma_DPEM2005_vBetatest6" xfId="203" xr:uid="{00000000-0005-0000-0000-000046000000}"/>
    <cellStyle name="_Comma_ETR" xfId="204" xr:uid="{00000000-0005-0000-0000-000047000000}"/>
    <cellStyle name="_Comma_Exec Summary" xfId="205" xr:uid="{00000000-0005-0000-0000-000048000000}"/>
    <cellStyle name="_Comma_Existing Debt" xfId="206" xr:uid="{00000000-0005-0000-0000-000049000000}"/>
    <cellStyle name="_Comma_EyeChart" xfId="207" xr:uid="{00000000-0005-0000-0000-00004A000000}"/>
    <cellStyle name="_Comma_EyeChart 090503" xfId="208" xr:uid="{00000000-0005-0000-0000-00004B000000}"/>
    <cellStyle name="_Comma_Input" xfId="209" xr:uid="{00000000-0005-0000-0000-00004C000000}"/>
    <cellStyle name="_Comma_Input_1" xfId="210" xr:uid="{00000000-0005-0000-0000-00004D000000}"/>
    <cellStyle name="_Comma_Input_ControlTables" xfId="211" xr:uid="{00000000-0005-0000-0000-00004E000000}"/>
    <cellStyle name="_Comma_Input_ControlTablesI" xfId="212" xr:uid="{00000000-0005-0000-0000-00004F000000}"/>
    <cellStyle name="_Comma_Input_Data Tape" xfId="213" xr:uid="{00000000-0005-0000-0000-000050000000}"/>
    <cellStyle name="_Comma_Input_Database - Comparables" xfId="214" xr:uid="{00000000-0005-0000-0000-000051000000}"/>
    <cellStyle name="_Comma_Input_Database - Economics" xfId="215" xr:uid="{00000000-0005-0000-0000-000052000000}"/>
    <cellStyle name="_Comma_Input_DB_Eye" xfId="216" xr:uid="{00000000-0005-0000-0000-000053000000}"/>
    <cellStyle name="_Comma_Input_Exec Summary" xfId="217" xr:uid="{00000000-0005-0000-0000-000054000000}"/>
    <cellStyle name="_Comma_Input_Existing Debt" xfId="218" xr:uid="{00000000-0005-0000-0000-000055000000}"/>
    <cellStyle name="_Comma_Input_Kor-Port_LEQ_6-10-04_CR_Final-Struct_FINAL" xfId="219" xr:uid="{00000000-0005-0000-0000-000056000000}"/>
    <cellStyle name="_Comma_Input_Mallard's_Landing_LEQ_8-17-04" xfId="220" xr:uid="{00000000-0005-0000-0000-000057000000}"/>
    <cellStyle name="_Comma_Input_Quick Property Input" xfId="221" xr:uid="{00000000-0005-0000-0000-000058000000}"/>
    <cellStyle name="_Comma_Input_Sheet1" xfId="222" xr:uid="{00000000-0005-0000-0000-000059000000}"/>
    <cellStyle name="_Comma_Input_Sheet1_Data Tape" xfId="223" xr:uid="{00000000-0005-0000-0000-00005A000000}"/>
    <cellStyle name="_Comma_Input_Sheet1_Deal Assumptions" xfId="224" xr:uid="{00000000-0005-0000-0000-00005B000000}"/>
    <cellStyle name="_Comma_Input_Sheet1_RE Valuation 2" xfId="225" xr:uid="{00000000-0005-0000-0000-00005C000000}"/>
    <cellStyle name="_Comma_Input_Sheet2" xfId="226" xr:uid="{00000000-0005-0000-0000-00005D000000}"/>
    <cellStyle name="_Comma_JV Economics" xfId="227" xr:uid="{00000000-0005-0000-0000-00005E000000}"/>
    <cellStyle name="_Comma_M&amp;A Feed" xfId="228" xr:uid="{00000000-0005-0000-0000-00005F000000}"/>
    <cellStyle name="_Comma_NPV Case Eyechart" xfId="229" xr:uid="{00000000-0005-0000-0000-000060000000}"/>
    <cellStyle name="_Comma_Pools" xfId="230" xr:uid="{00000000-0005-0000-0000-000061000000}"/>
    <cellStyle name="_Comma_Pools_1" xfId="231" xr:uid="{00000000-0005-0000-0000-000062000000}"/>
    <cellStyle name="_Comma_Portfolio Valuation" xfId="232" xr:uid="{00000000-0005-0000-0000-000063000000}"/>
    <cellStyle name="_Comma_Pricing" xfId="233" xr:uid="{00000000-0005-0000-0000-000064000000}"/>
    <cellStyle name="_Comma_Prop 13" xfId="234" xr:uid="{00000000-0005-0000-0000-000065000000}"/>
    <cellStyle name="_Comma_Prop 13 Data" xfId="235" xr:uid="{00000000-0005-0000-0000-000066000000}"/>
    <cellStyle name="_Comma_Prop 13 Summary-11-10" xfId="236" xr:uid="{00000000-0005-0000-0000-000067000000}"/>
    <cellStyle name="_Comma_Property Assumptions" xfId="237" xr:uid="{00000000-0005-0000-0000-000068000000}"/>
    <cellStyle name="_Comma_Property Assumptions_1" xfId="238" xr:uid="{00000000-0005-0000-0000-000069000000}"/>
    <cellStyle name="_Comma_Quick Property Input" xfId="239" xr:uid="{00000000-0005-0000-0000-00006A000000}"/>
    <cellStyle name="_Comma_Senario Input Assumptions" xfId="240" xr:uid="{00000000-0005-0000-0000-00006B000000}"/>
    <cellStyle name="_Comma_Senario Input Assumptions_ControlTables" xfId="241" xr:uid="{00000000-0005-0000-0000-00006C000000}"/>
    <cellStyle name="_Comma_Senario Input Assumptions_ControlTablesI" xfId="242" xr:uid="{00000000-0005-0000-0000-00006D000000}"/>
    <cellStyle name="_Comma_Senario Input Assumptions_Database - Comparables" xfId="243" xr:uid="{00000000-0005-0000-0000-00006E000000}"/>
    <cellStyle name="_Comma_Senario Input Assumptions_DB_Eye" xfId="244" xr:uid="{00000000-0005-0000-0000-00006F000000}"/>
    <cellStyle name="_Comma_Senario Input Assumptions_Exec Summary" xfId="245" xr:uid="{00000000-0005-0000-0000-000070000000}"/>
    <cellStyle name="_Comma_Senario Input Assumptions_Existing Debt" xfId="246" xr:uid="{00000000-0005-0000-0000-000071000000}"/>
    <cellStyle name="_Comma_Senario Input Assumptions_Kor-Port_LEQ_6-10-04_CR_Final-Struct_FINAL" xfId="247" xr:uid="{00000000-0005-0000-0000-000072000000}"/>
    <cellStyle name="_Comma_Senario Input Assumptions_Mallard's_Landing_LEQ_8-17-04" xfId="248" xr:uid="{00000000-0005-0000-0000-000073000000}"/>
    <cellStyle name="_Comma_Senario Input Assumptions_Quick Property Input" xfId="249" xr:uid="{00000000-0005-0000-0000-000074000000}"/>
    <cellStyle name="_Comma_Senario Input Assumptions_Sheet1" xfId="250" xr:uid="{00000000-0005-0000-0000-000075000000}"/>
    <cellStyle name="_Comma_Senario Input Assumptions_Sheet1_Data Tape" xfId="251" xr:uid="{00000000-0005-0000-0000-000076000000}"/>
    <cellStyle name="_Comma_Senario Input Assumptions_Sheet1_Deal Assumptions" xfId="252" xr:uid="{00000000-0005-0000-0000-000077000000}"/>
    <cellStyle name="_Comma_Senario Input Assumptions_Sheet1_RE Valuation 2" xfId="253" xr:uid="{00000000-0005-0000-0000-000078000000}"/>
    <cellStyle name="_Comma_Senario Input Assumptions_Sheet2" xfId="254" xr:uid="{00000000-0005-0000-0000-000079000000}"/>
    <cellStyle name="_Comma_Sheet1" xfId="255" xr:uid="{00000000-0005-0000-0000-00007A000000}"/>
    <cellStyle name="_Comma_Sheet1_1" xfId="256" xr:uid="{00000000-0005-0000-0000-00007B000000}"/>
    <cellStyle name="_Comma_Sheet1_3-Yr Eyechart" xfId="257" xr:uid="{00000000-0005-0000-0000-00007C000000}"/>
    <cellStyle name="_Comma_Sheet1_Balance Sheet" xfId="258" xr:uid="{00000000-0005-0000-0000-00007D000000}"/>
    <cellStyle name="_Comma_Sheet1_Cost Of Funds" xfId="259" xr:uid="{00000000-0005-0000-0000-00007E000000}"/>
    <cellStyle name="_Comma_Sheet1_Criteria" xfId="260" xr:uid="{00000000-0005-0000-0000-00007F000000}"/>
    <cellStyle name="_Comma_Sheet1_Criteria Test Export" xfId="261" xr:uid="{00000000-0005-0000-0000-000080000000}"/>
    <cellStyle name="_Comma_Sheet1_Data Tape" xfId="262" xr:uid="{00000000-0005-0000-0000-000081000000}"/>
    <cellStyle name="_Comma_Sheet1_Data Tape_1" xfId="263" xr:uid="{00000000-0005-0000-0000-000082000000}"/>
    <cellStyle name="_Comma_Sheet1_Data_Tape" xfId="264" xr:uid="{00000000-0005-0000-0000-000083000000}"/>
    <cellStyle name="_Comma_Sheet1_Data_Tape_ControlTables" xfId="265" xr:uid="{00000000-0005-0000-0000-000084000000}"/>
    <cellStyle name="_Comma_Sheet1_Data_Tape_ControlTablesI" xfId="266" xr:uid="{00000000-0005-0000-0000-000085000000}"/>
    <cellStyle name="_Comma_Sheet1_Data_Tape_Database - Comparables" xfId="267" xr:uid="{00000000-0005-0000-0000-000086000000}"/>
    <cellStyle name="_Comma_Sheet1_Data_Tape_DB_Eye" xfId="268" xr:uid="{00000000-0005-0000-0000-000087000000}"/>
    <cellStyle name="_Comma_Sheet1_Data_Tape_Exec Summary" xfId="269" xr:uid="{00000000-0005-0000-0000-000088000000}"/>
    <cellStyle name="_Comma_Sheet1_Data_Tape_Existing Debt" xfId="270" xr:uid="{00000000-0005-0000-0000-000089000000}"/>
    <cellStyle name="_Comma_Sheet1_Data_Tape_Kor-Port_LEQ_6-10-04_CR_Final-Struct_FINAL" xfId="271" xr:uid="{00000000-0005-0000-0000-00008A000000}"/>
    <cellStyle name="_Comma_Sheet1_Data_Tape_Mallard's_Landing_LEQ_8-17-04" xfId="272" xr:uid="{00000000-0005-0000-0000-00008B000000}"/>
    <cellStyle name="_Comma_Sheet1_Data_Tape_Quick Property Input" xfId="273" xr:uid="{00000000-0005-0000-0000-00008C000000}"/>
    <cellStyle name="_Comma_Sheet1_Data_Tape_Sheet1" xfId="274" xr:uid="{00000000-0005-0000-0000-00008D000000}"/>
    <cellStyle name="_Comma_Sheet1_Data_Tape_Sheet1_Data Tape" xfId="275" xr:uid="{00000000-0005-0000-0000-00008E000000}"/>
    <cellStyle name="_Comma_Sheet1_Data_Tape_Sheet1_Deal Assumptions" xfId="276" xr:uid="{00000000-0005-0000-0000-00008F000000}"/>
    <cellStyle name="_Comma_Sheet1_Data_Tape_Sheet1_RE Valuation 2" xfId="277" xr:uid="{00000000-0005-0000-0000-000090000000}"/>
    <cellStyle name="_Comma_Sheet1_Data_Tape_Sheet2" xfId="278" xr:uid="{00000000-0005-0000-0000-000091000000}"/>
    <cellStyle name="_Comma_Sheet1_Database - Economics" xfId="279" xr:uid="{00000000-0005-0000-0000-000092000000}"/>
    <cellStyle name="_Comma_Sheet1_Deal Input" xfId="280" xr:uid="{00000000-0005-0000-0000-000093000000}"/>
    <cellStyle name="_Comma_Sheet1_Direct Cap Eye" xfId="281" xr:uid="{00000000-0005-0000-0000-000094000000}"/>
    <cellStyle name="_Comma_Sheet1_DPEM2005_vBetatest6" xfId="282" xr:uid="{00000000-0005-0000-0000-000095000000}"/>
    <cellStyle name="_Comma_Sheet1_ETR" xfId="283" xr:uid="{00000000-0005-0000-0000-000096000000}"/>
    <cellStyle name="_Comma_Sheet1_Existing Debt" xfId="284" xr:uid="{00000000-0005-0000-0000-000097000000}"/>
    <cellStyle name="_Comma_Sheet1_Input" xfId="285" xr:uid="{00000000-0005-0000-0000-000098000000}"/>
    <cellStyle name="_Comma_Sheet1_Input_1" xfId="286" xr:uid="{00000000-0005-0000-0000-000099000000}"/>
    <cellStyle name="_Comma_Sheet1_Input_Data Tape" xfId="287" xr:uid="{00000000-0005-0000-0000-00009A000000}"/>
    <cellStyle name="_Comma_Sheet1_Input_Database - Economics" xfId="288" xr:uid="{00000000-0005-0000-0000-00009B000000}"/>
    <cellStyle name="_Comma_Sheet1_M&amp;A Feed" xfId="289" xr:uid="{00000000-0005-0000-0000-00009C000000}"/>
    <cellStyle name="_Comma_Sheet1_NPV Case Eyechart" xfId="290" xr:uid="{00000000-0005-0000-0000-00009D000000}"/>
    <cellStyle name="_Comma_Sheet1_Pools" xfId="291" xr:uid="{00000000-0005-0000-0000-00009E000000}"/>
    <cellStyle name="_Comma_Sheet1_Pools_1" xfId="292" xr:uid="{00000000-0005-0000-0000-00009F000000}"/>
    <cellStyle name="_Comma_Sheet1_Pools_ControlTables" xfId="293" xr:uid="{00000000-0005-0000-0000-0000A0000000}"/>
    <cellStyle name="_Comma_Sheet1_Pools_ControlTablesI" xfId="294" xr:uid="{00000000-0005-0000-0000-0000A1000000}"/>
    <cellStyle name="_Comma_Sheet1_Pools_Database - Comparables" xfId="295" xr:uid="{00000000-0005-0000-0000-0000A2000000}"/>
    <cellStyle name="_Comma_Sheet1_Pools_DB_Eye" xfId="296" xr:uid="{00000000-0005-0000-0000-0000A3000000}"/>
    <cellStyle name="_Comma_Sheet1_Pools_Exec Summary" xfId="297" xr:uid="{00000000-0005-0000-0000-0000A4000000}"/>
    <cellStyle name="_Comma_Sheet1_Pools_Existing Debt" xfId="298" xr:uid="{00000000-0005-0000-0000-0000A5000000}"/>
    <cellStyle name="_Comma_Sheet1_Pools_Kor-Port_LEQ_6-10-04_CR_Final-Struct_FINAL" xfId="299" xr:uid="{00000000-0005-0000-0000-0000A6000000}"/>
    <cellStyle name="_Comma_Sheet1_Pools_Mallard's_Landing_LEQ_8-17-04" xfId="300" xr:uid="{00000000-0005-0000-0000-0000A7000000}"/>
    <cellStyle name="_Comma_Sheet1_Pools_Quick Property Input" xfId="301" xr:uid="{00000000-0005-0000-0000-0000A8000000}"/>
    <cellStyle name="_Comma_Sheet1_Pools_Sheet1" xfId="302" xr:uid="{00000000-0005-0000-0000-0000A9000000}"/>
    <cellStyle name="_Comma_Sheet1_Pools_Sheet1_Data Tape" xfId="303" xr:uid="{00000000-0005-0000-0000-0000AA000000}"/>
    <cellStyle name="_Comma_Sheet1_Pools_Sheet1_Deal Assumptions" xfId="304" xr:uid="{00000000-0005-0000-0000-0000AB000000}"/>
    <cellStyle name="_Comma_Sheet1_Pools_Sheet1_RE Valuation 2" xfId="305" xr:uid="{00000000-0005-0000-0000-0000AC000000}"/>
    <cellStyle name="_Comma_Sheet1_Pools_Sheet2" xfId="306" xr:uid="{00000000-0005-0000-0000-0000AD000000}"/>
    <cellStyle name="_Comma_Sheet1_Portfolio Valuation" xfId="307" xr:uid="{00000000-0005-0000-0000-0000AE000000}"/>
    <cellStyle name="_Comma_Sheet1_Prop 13" xfId="308" xr:uid="{00000000-0005-0000-0000-0000AF000000}"/>
    <cellStyle name="_Comma_Sheet1_Prop 13 Data" xfId="309" xr:uid="{00000000-0005-0000-0000-0000B0000000}"/>
    <cellStyle name="_Comma_Sheet1_Prop 13 Summary-11-10" xfId="310" xr:uid="{00000000-0005-0000-0000-0000B1000000}"/>
    <cellStyle name="_Comma_Sheet1_Property Assumptions" xfId="311" xr:uid="{00000000-0005-0000-0000-0000B2000000}"/>
    <cellStyle name="_Comma_Sheet1_Property Assumptions_1" xfId="312" xr:uid="{00000000-0005-0000-0000-0000B3000000}"/>
    <cellStyle name="_Comma_Sheet1_Quick Property Input" xfId="313" xr:uid="{00000000-0005-0000-0000-0000B4000000}"/>
    <cellStyle name="_Comma_Sheet1_Senario Input Assumptions" xfId="314" xr:uid="{00000000-0005-0000-0000-0000B5000000}"/>
    <cellStyle name="_Comma_Sheet1_Sheet1" xfId="315" xr:uid="{00000000-0005-0000-0000-0000B6000000}"/>
    <cellStyle name="_Comma_Sheet1_Sheet2" xfId="316" xr:uid="{00000000-0005-0000-0000-0000B7000000}"/>
    <cellStyle name="_Comma_Sheet1_Sheet2_1" xfId="317" xr:uid="{00000000-0005-0000-0000-0000B8000000}"/>
    <cellStyle name="_Comma_Sheet1_Sheet3" xfId="318" xr:uid="{00000000-0005-0000-0000-0000B9000000}"/>
    <cellStyle name="_Comma_Sheet1_Sheet5" xfId="319" xr:uid="{00000000-0005-0000-0000-0000BA000000}"/>
    <cellStyle name="_Comma_Sheet1_Structure Model_2003_test2" xfId="320" xr:uid="{00000000-0005-0000-0000-0000BB000000}"/>
    <cellStyle name="_Comma_Sheet2" xfId="321" xr:uid="{00000000-0005-0000-0000-0000BC000000}"/>
    <cellStyle name="_Comma_Sheet2_1" xfId="322" xr:uid="{00000000-0005-0000-0000-0000BD000000}"/>
    <cellStyle name="_Comma_Sheet3" xfId="323" xr:uid="{00000000-0005-0000-0000-0000BE000000}"/>
    <cellStyle name="_Comma_Sheet3_1" xfId="324" xr:uid="{00000000-0005-0000-0000-0000BF000000}"/>
    <cellStyle name="_Comma_Sheet4" xfId="325" xr:uid="{00000000-0005-0000-0000-0000C0000000}"/>
    <cellStyle name="_Comma_Sheet5" xfId="326" xr:uid="{00000000-0005-0000-0000-0000C1000000}"/>
    <cellStyle name="_Comma_Structure Model_2003_test2" xfId="327" xr:uid="{00000000-0005-0000-0000-0000C2000000}"/>
    <cellStyle name="_Comma_Structure Model_2003_test2_ControlTables" xfId="328" xr:uid="{00000000-0005-0000-0000-0000C3000000}"/>
    <cellStyle name="_Comma_Structure Model_2003_test2_ControlTablesI" xfId="329" xr:uid="{00000000-0005-0000-0000-0000C4000000}"/>
    <cellStyle name="_Comma_Structure Model_2003_test2_Database - Comparables" xfId="330" xr:uid="{00000000-0005-0000-0000-0000C5000000}"/>
    <cellStyle name="_Comma_Structure Model_2003_test2_DB_Eye" xfId="331" xr:uid="{00000000-0005-0000-0000-0000C6000000}"/>
    <cellStyle name="_Comma_Structure Model_2003_test2_Exec Summary" xfId="332" xr:uid="{00000000-0005-0000-0000-0000C7000000}"/>
    <cellStyle name="_Comma_Structure Model_2003_test2_Existing Debt" xfId="333" xr:uid="{00000000-0005-0000-0000-0000C8000000}"/>
    <cellStyle name="_Comma_Structure Model_2003_test2_Kor-Port_LEQ_6-10-04_CR_Final-Struct_FINAL" xfId="334" xr:uid="{00000000-0005-0000-0000-0000C9000000}"/>
    <cellStyle name="_Comma_Structure Model_2003_test2_Mallard's_Landing_LEQ_8-17-04" xfId="335" xr:uid="{00000000-0005-0000-0000-0000CA000000}"/>
    <cellStyle name="_Comma_Structure Model_2003_test2_Quick Property Input" xfId="336" xr:uid="{00000000-0005-0000-0000-0000CB000000}"/>
    <cellStyle name="_Comma_Structure Model_2003_test2_Sheet1" xfId="337" xr:uid="{00000000-0005-0000-0000-0000CC000000}"/>
    <cellStyle name="_Comma_Structure Model_2003_test2_Sheet1_Data Tape" xfId="338" xr:uid="{00000000-0005-0000-0000-0000CD000000}"/>
    <cellStyle name="_Comma_Structure Model_2003_test2_Sheet1_Deal Assumptions" xfId="339" xr:uid="{00000000-0005-0000-0000-0000CE000000}"/>
    <cellStyle name="_Comma_Structure Model_2003_test2_Sheet1_RE Valuation 2" xfId="340" xr:uid="{00000000-0005-0000-0000-0000CF000000}"/>
    <cellStyle name="_Comma_Structure Model_2003_test2_Sheet2" xfId="341" xr:uid="{00000000-0005-0000-0000-0000D0000000}"/>
    <cellStyle name="_Currency" xfId="342" xr:uid="{00000000-0005-0000-0000-0000D1000000}"/>
    <cellStyle name="_Currency_03-05-31 Final OBS Reports" xfId="343" xr:uid="{00000000-0005-0000-0000-0000D2000000}"/>
    <cellStyle name="_Currency_3-Yr Eyechart" xfId="344" xr:uid="{00000000-0005-0000-0000-0000D3000000}"/>
    <cellStyle name="_Currency_Alamosa Standalone6" xfId="345" xr:uid="{00000000-0005-0000-0000-0000D4000000}"/>
    <cellStyle name="_Currency_ARI Base Case July 25 TPS1" xfId="346" xr:uid="{00000000-0005-0000-0000-0000D5000000}"/>
    <cellStyle name="_Currency_Balance Sheet" xfId="347" xr:uid="{00000000-0005-0000-0000-0000D6000000}"/>
    <cellStyle name="_Currency_Balance Sheet_ControlTables" xfId="348" xr:uid="{00000000-0005-0000-0000-0000D7000000}"/>
    <cellStyle name="_Currency_Balance Sheet_ControlTablesI" xfId="349" xr:uid="{00000000-0005-0000-0000-0000D8000000}"/>
    <cellStyle name="_Currency_Balance Sheet_Database - Comparables" xfId="350" xr:uid="{00000000-0005-0000-0000-0000D9000000}"/>
    <cellStyle name="_Currency_Balance Sheet_DB_Eye" xfId="351" xr:uid="{00000000-0005-0000-0000-0000DA000000}"/>
    <cellStyle name="_Currency_Balance Sheet_Exec Summary" xfId="352" xr:uid="{00000000-0005-0000-0000-0000DB000000}"/>
    <cellStyle name="_Currency_Balance Sheet_Exec Summary_1" xfId="353" xr:uid="{00000000-0005-0000-0000-0000DC000000}"/>
    <cellStyle name="_Currency_Balance Sheet_Sheet1" xfId="354" xr:uid="{00000000-0005-0000-0000-0000DD000000}"/>
    <cellStyle name="_Currency_ControlTables" xfId="355" xr:uid="{00000000-0005-0000-0000-0000DE000000}"/>
    <cellStyle name="_Currency_ControlTablesI" xfId="356" xr:uid="{00000000-0005-0000-0000-0000DF000000}"/>
    <cellStyle name="_Currency_Cost Of Funds" xfId="357" xr:uid="{00000000-0005-0000-0000-0000E0000000}"/>
    <cellStyle name="_Currency_Criteria" xfId="358" xr:uid="{00000000-0005-0000-0000-0000E1000000}"/>
    <cellStyle name="_Currency_Criteria Test Export" xfId="359" xr:uid="{00000000-0005-0000-0000-0000E2000000}"/>
    <cellStyle name="_Currency_Criteria_ControlTables" xfId="360" xr:uid="{00000000-0005-0000-0000-0000E3000000}"/>
    <cellStyle name="_Currency_Criteria_ControlTablesI" xfId="361" xr:uid="{00000000-0005-0000-0000-0000E4000000}"/>
    <cellStyle name="_Currency_Criteria_Database - Comparables" xfId="362" xr:uid="{00000000-0005-0000-0000-0000E5000000}"/>
    <cellStyle name="_Currency_Criteria_DB_Eye" xfId="363" xr:uid="{00000000-0005-0000-0000-0000E6000000}"/>
    <cellStyle name="_Currency_Criteria_Exec Summary" xfId="364" xr:uid="{00000000-0005-0000-0000-0000E7000000}"/>
    <cellStyle name="_Currency_Criteria_Exec Summary_1" xfId="365" xr:uid="{00000000-0005-0000-0000-0000E8000000}"/>
    <cellStyle name="_Currency_Criteria_Sheet1" xfId="366" xr:uid="{00000000-0005-0000-0000-0000E9000000}"/>
    <cellStyle name="_Currency_Data Tape" xfId="367" xr:uid="{00000000-0005-0000-0000-0000EA000000}"/>
    <cellStyle name="_Currency_Data Tape_1" xfId="368" xr:uid="{00000000-0005-0000-0000-0000EB000000}"/>
    <cellStyle name="_Currency_Data Tape_ControlTables" xfId="369" xr:uid="{00000000-0005-0000-0000-0000EC000000}"/>
    <cellStyle name="_Currency_Data Tape_ControlTablesI" xfId="370" xr:uid="{00000000-0005-0000-0000-0000ED000000}"/>
    <cellStyle name="_Currency_Data Tape_Database - Comparables" xfId="371" xr:uid="{00000000-0005-0000-0000-0000EE000000}"/>
    <cellStyle name="_Currency_Data Tape_DB_Eye" xfId="372" xr:uid="{00000000-0005-0000-0000-0000EF000000}"/>
    <cellStyle name="_Currency_Data Tape_Exec Summary" xfId="373" xr:uid="{00000000-0005-0000-0000-0000F0000000}"/>
    <cellStyle name="_Currency_Data Tape_Exec Summary_1" xfId="374" xr:uid="{00000000-0005-0000-0000-0000F1000000}"/>
    <cellStyle name="_Currency_Data Tape_Sheet1" xfId="375" xr:uid="{00000000-0005-0000-0000-0000F2000000}"/>
    <cellStyle name="_Currency_Data_Tape" xfId="376" xr:uid="{00000000-0005-0000-0000-0000F3000000}"/>
    <cellStyle name="_Currency_Data_Tape_ControlTables" xfId="377" xr:uid="{00000000-0005-0000-0000-0000F4000000}"/>
    <cellStyle name="_Currency_Data_Tape_ControlTablesI" xfId="378" xr:uid="{00000000-0005-0000-0000-0000F5000000}"/>
    <cellStyle name="_Currency_Data_Tape_Database - Comparables" xfId="379" xr:uid="{00000000-0005-0000-0000-0000F6000000}"/>
    <cellStyle name="_Currency_Data_Tape_DB_Eye" xfId="380" xr:uid="{00000000-0005-0000-0000-0000F7000000}"/>
    <cellStyle name="_Currency_Data_Tape_Exec Summary" xfId="381" xr:uid="{00000000-0005-0000-0000-0000F8000000}"/>
    <cellStyle name="_Currency_Data_Tape_Exec Summary_1" xfId="382" xr:uid="{00000000-0005-0000-0000-0000F9000000}"/>
    <cellStyle name="_Currency_Data_Tape_Sheet1" xfId="383" xr:uid="{00000000-0005-0000-0000-0000FA000000}"/>
    <cellStyle name="_Currency_Database - Comparables" xfId="384" xr:uid="{00000000-0005-0000-0000-0000FB000000}"/>
    <cellStyle name="_Currency_Database - Economics" xfId="385" xr:uid="{00000000-0005-0000-0000-0000FC000000}"/>
    <cellStyle name="_Currency_DB_Eye" xfId="386" xr:uid="{00000000-0005-0000-0000-0000FD000000}"/>
    <cellStyle name="_Currency_Deal Input" xfId="387" xr:uid="{00000000-0005-0000-0000-0000FE000000}"/>
    <cellStyle name="_Currency_Direct Cap Eye" xfId="388" xr:uid="{00000000-0005-0000-0000-0000FF000000}"/>
    <cellStyle name="_Currency_DPEM2005_vBetatest6" xfId="389" xr:uid="{00000000-0005-0000-0000-000000010000}"/>
    <cellStyle name="_Currency_ETR" xfId="390" xr:uid="{00000000-0005-0000-0000-000001010000}"/>
    <cellStyle name="_Currency_Exec Summary" xfId="391" xr:uid="{00000000-0005-0000-0000-000002010000}"/>
    <cellStyle name="_Currency_Exec Summary_1" xfId="392" xr:uid="{00000000-0005-0000-0000-000003010000}"/>
    <cellStyle name="_Currency_Existing Debt" xfId="393" xr:uid="{00000000-0005-0000-0000-000004010000}"/>
    <cellStyle name="_Currency_Existing Debt_1" xfId="394" xr:uid="{00000000-0005-0000-0000-000005010000}"/>
    <cellStyle name="_Currency_EyeChart" xfId="395" xr:uid="{00000000-0005-0000-0000-000006010000}"/>
    <cellStyle name="_Currency_EyeChart 090503" xfId="396" xr:uid="{00000000-0005-0000-0000-000007010000}"/>
    <cellStyle name="_Currency_GMACCH_Loans_OBS_033103_Final_v2" xfId="397" xr:uid="{00000000-0005-0000-0000-000008010000}"/>
    <cellStyle name="_Currency_Input" xfId="398" xr:uid="{00000000-0005-0000-0000-000009010000}"/>
    <cellStyle name="_Currency_Input_1" xfId="399" xr:uid="{00000000-0005-0000-0000-00000A010000}"/>
    <cellStyle name="_Currency_Input_2" xfId="400" xr:uid="{00000000-0005-0000-0000-00000B010000}"/>
    <cellStyle name="_Currency_Input_ControlTables" xfId="401" xr:uid="{00000000-0005-0000-0000-00000C010000}"/>
    <cellStyle name="_Currency_Input_ControlTablesI" xfId="402" xr:uid="{00000000-0005-0000-0000-00000D010000}"/>
    <cellStyle name="_Currency_Input_Data Tape" xfId="403" xr:uid="{00000000-0005-0000-0000-00000E010000}"/>
    <cellStyle name="_Currency_Input_Database - Comparables" xfId="404" xr:uid="{00000000-0005-0000-0000-00000F010000}"/>
    <cellStyle name="_Currency_Input_Database - Economics" xfId="405" xr:uid="{00000000-0005-0000-0000-000010010000}"/>
    <cellStyle name="_Currency_Input_DB_Eye" xfId="406" xr:uid="{00000000-0005-0000-0000-000011010000}"/>
    <cellStyle name="_Currency_Input_Exec Summary" xfId="407" xr:uid="{00000000-0005-0000-0000-000012010000}"/>
    <cellStyle name="_Currency_Input_Exec Summary_1" xfId="408" xr:uid="{00000000-0005-0000-0000-000013010000}"/>
    <cellStyle name="_Currency_Input_Sheet1" xfId="409" xr:uid="{00000000-0005-0000-0000-000014010000}"/>
    <cellStyle name="_Currency_JV Economics" xfId="410" xr:uid="{00000000-0005-0000-0000-000015010000}"/>
    <cellStyle name="_Currency_M&amp;A Feed" xfId="411" xr:uid="{00000000-0005-0000-0000-000016010000}"/>
    <cellStyle name="_Currency_NPV Case Eyechart" xfId="412" xr:uid="{00000000-0005-0000-0000-000017010000}"/>
    <cellStyle name="_Currency_Pools" xfId="413" xr:uid="{00000000-0005-0000-0000-000018010000}"/>
    <cellStyle name="_Currency_Pools_1" xfId="414" xr:uid="{00000000-0005-0000-0000-000019010000}"/>
    <cellStyle name="_Currency_Pools_ControlTables" xfId="415" xr:uid="{00000000-0005-0000-0000-00001A010000}"/>
    <cellStyle name="_Currency_Pools_ControlTablesI" xfId="416" xr:uid="{00000000-0005-0000-0000-00001B010000}"/>
    <cellStyle name="_Currency_Pools_Database - Comparables" xfId="417" xr:uid="{00000000-0005-0000-0000-00001C010000}"/>
    <cellStyle name="_Currency_Pools_DB_Eye" xfId="418" xr:uid="{00000000-0005-0000-0000-00001D010000}"/>
    <cellStyle name="_Currency_Pools_Exec Summary" xfId="419" xr:uid="{00000000-0005-0000-0000-00001E010000}"/>
    <cellStyle name="_Currency_Pools_Exec Summary_1" xfId="420" xr:uid="{00000000-0005-0000-0000-00001F010000}"/>
    <cellStyle name="_Currency_Pools_Sheet1" xfId="421" xr:uid="{00000000-0005-0000-0000-000020010000}"/>
    <cellStyle name="_Currency_Portfolio Valuation" xfId="422" xr:uid="{00000000-0005-0000-0000-000021010000}"/>
    <cellStyle name="_Currency_Pricing" xfId="423" xr:uid="{00000000-0005-0000-0000-000022010000}"/>
    <cellStyle name="_Currency_Prop 13" xfId="424" xr:uid="{00000000-0005-0000-0000-000023010000}"/>
    <cellStyle name="_Currency_Prop 13 Data" xfId="425" xr:uid="{00000000-0005-0000-0000-000024010000}"/>
    <cellStyle name="_Currency_Prop 13 Summary-11-10" xfId="426" xr:uid="{00000000-0005-0000-0000-000025010000}"/>
    <cellStyle name="_Currency_Property Assumptions" xfId="427" xr:uid="{00000000-0005-0000-0000-000026010000}"/>
    <cellStyle name="_Currency_Property Assumptions_1" xfId="428" xr:uid="{00000000-0005-0000-0000-000027010000}"/>
    <cellStyle name="_Currency_Quick Property Input" xfId="429" xr:uid="{00000000-0005-0000-0000-000028010000}"/>
    <cellStyle name="_Currency_Roberts Standalone14 Quarterly 2" xfId="430" xr:uid="{00000000-0005-0000-0000-000029010000}"/>
    <cellStyle name="_Currency_Senario Input Assumptions" xfId="431" xr:uid="{00000000-0005-0000-0000-00002A010000}"/>
    <cellStyle name="_Currency_Senario Input Assumptions_ControlTables" xfId="432" xr:uid="{00000000-0005-0000-0000-00002B010000}"/>
    <cellStyle name="_Currency_Senario Input Assumptions_ControlTablesI" xfId="433" xr:uid="{00000000-0005-0000-0000-00002C010000}"/>
    <cellStyle name="_Currency_Senario Input Assumptions_Database - Comparables" xfId="434" xr:uid="{00000000-0005-0000-0000-00002D010000}"/>
    <cellStyle name="_Currency_Senario Input Assumptions_DB_Eye" xfId="435" xr:uid="{00000000-0005-0000-0000-00002E010000}"/>
    <cellStyle name="_Currency_Senario Input Assumptions_Exec Summary" xfId="436" xr:uid="{00000000-0005-0000-0000-00002F010000}"/>
    <cellStyle name="_Currency_Senario Input Assumptions_Exec Summary_1" xfId="437" xr:uid="{00000000-0005-0000-0000-000030010000}"/>
    <cellStyle name="_Currency_Senario Input Assumptions_Sheet1" xfId="438" xr:uid="{00000000-0005-0000-0000-000031010000}"/>
    <cellStyle name="_Currency_Sheet1" xfId="439" xr:uid="{00000000-0005-0000-0000-000032010000}"/>
    <cellStyle name="_Currency_Sheet1_1" xfId="440" xr:uid="{00000000-0005-0000-0000-000033010000}"/>
    <cellStyle name="_Currency_Sheet1_3-Yr Eyechart" xfId="441" xr:uid="{00000000-0005-0000-0000-000034010000}"/>
    <cellStyle name="_Currency_Sheet1_Balance Sheet" xfId="442" xr:uid="{00000000-0005-0000-0000-000035010000}"/>
    <cellStyle name="_Currency_Sheet1_Balance Sheet_ControlTables" xfId="443" xr:uid="{00000000-0005-0000-0000-000036010000}"/>
    <cellStyle name="_Currency_Sheet1_Balance Sheet_ControlTablesI" xfId="444" xr:uid="{00000000-0005-0000-0000-000037010000}"/>
    <cellStyle name="_Currency_Sheet1_Balance Sheet_Database - Comparables" xfId="445" xr:uid="{00000000-0005-0000-0000-000038010000}"/>
    <cellStyle name="_Currency_Sheet1_Balance Sheet_DB_Eye" xfId="446" xr:uid="{00000000-0005-0000-0000-000039010000}"/>
    <cellStyle name="_Currency_Sheet1_Balance Sheet_Exec Summary" xfId="447" xr:uid="{00000000-0005-0000-0000-00003A010000}"/>
    <cellStyle name="_Currency_Sheet1_Balance Sheet_Exec Summary_1" xfId="448" xr:uid="{00000000-0005-0000-0000-00003B010000}"/>
    <cellStyle name="_Currency_Sheet1_Balance Sheet_Sheet1" xfId="449" xr:uid="{00000000-0005-0000-0000-00003C010000}"/>
    <cellStyle name="_Currency_Sheet1_ControlTables" xfId="450" xr:uid="{00000000-0005-0000-0000-00003D010000}"/>
    <cellStyle name="_Currency_Sheet1_ControlTablesI" xfId="451" xr:uid="{00000000-0005-0000-0000-00003E010000}"/>
    <cellStyle name="_Currency_Sheet1_Cost Of Funds" xfId="452" xr:uid="{00000000-0005-0000-0000-00003F010000}"/>
    <cellStyle name="_Currency_Sheet1_Criteria" xfId="453" xr:uid="{00000000-0005-0000-0000-000040010000}"/>
    <cellStyle name="_Currency_Sheet1_Criteria Test Export" xfId="454" xr:uid="{00000000-0005-0000-0000-000041010000}"/>
    <cellStyle name="_Currency_Sheet1_Criteria_ControlTables" xfId="455" xr:uid="{00000000-0005-0000-0000-000042010000}"/>
    <cellStyle name="_Currency_Sheet1_Criteria_ControlTablesI" xfId="456" xr:uid="{00000000-0005-0000-0000-000043010000}"/>
    <cellStyle name="_Currency_Sheet1_Criteria_Database - Comparables" xfId="457" xr:uid="{00000000-0005-0000-0000-000044010000}"/>
    <cellStyle name="_Currency_Sheet1_Criteria_DB_Eye" xfId="458" xr:uid="{00000000-0005-0000-0000-000045010000}"/>
    <cellStyle name="_Currency_Sheet1_Criteria_Exec Summary" xfId="459" xr:uid="{00000000-0005-0000-0000-000046010000}"/>
    <cellStyle name="_Currency_Sheet1_Criteria_Exec Summary_1" xfId="460" xr:uid="{00000000-0005-0000-0000-000047010000}"/>
    <cellStyle name="_Currency_Sheet1_Criteria_Sheet1" xfId="461" xr:uid="{00000000-0005-0000-0000-000048010000}"/>
    <cellStyle name="_Currency_Sheet1_Data Tape" xfId="462" xr:uid="{00000000-0005-0000-0000-000049010000}"/>
    <cellStyle name="_Currency_Sheet1_Data Tape_1" xfId="463" xr:uid="{00000000-0005-0000-0000-00004A010000}"/>
    <cellStyle name="_Currency_Sheet1_Data Tape_ControlTables" xfId="464" xr:uid="{00000000-0005-0000-0000-00004B010000}"/>
    <cellStyle name="_Currency_Sheet1_Data Tape_ControlTablesI" xfId="465" xr:uid="{00000000-0005-0000-0000-00004C010000}"/>
    <cellStyle name="_Currency_Sheet1_Data Tape_Database - Comparables" xfId="466" xr:uid="{00000000-0005-0000-0000-00004D010000}"/>
    <cellStyle name="_Currency_Sheet1_Data Tape_DB_Eye" xfId="467" xr:uid="{00000000-0005-0000-0000-00004E010000}"/>
    <cellStyle name="_Currency_Sheet1_Data Tape_Exec Summary" xfId="468" xr:uid="{00000000-0005-0000-0000-00004F010000}"/>
    <cellStyle name="_Currency_Sheet1_Data Tape_Exec Summary_1" xfId="469" xr:uid="{00000000-0005-0000-0000-000050010000}"/>
    <cellStyle name="_Currency_Sheet1_Data Tape_Sheet1" xfId="470" xr:uid="{00000000-0005-0000-0000-000051010000}"/>
    <cellStyle name="_Currency_Sheet1_Data_Tape" xfId="471" xr:uid="{00000000-0005-0000-0000-000052010000}"/>
    <cellStyle name="_Currency_Sheet1_Data_Tape_ControlTables" xfId="472" xr:uid="{00000000-0005-0000-0000-000053010000}"/>
    <cellStyle name="_Currency_Sheet1_Data_Tape_ControlTablesI" xfId="473" xr:uid="{00000000-0005-0000-0000-000054010000}"/>
    <cellStyle name="_Currency_Sheet1_Data_Tape_DB_Eye" xfId="474" xr:uid="{00000000-0005-0000-0000-000055010000}"/>
    <cellStyle name="_Currency_Sheet1_Data_Tape_Exec Summary" xfId="475" xr:uid="{00000000-0005-0000-0000-000056010000}"/>
    <cellStyle name="_Currency_Sheet1_Data_Tape_Exec Summary_1" xfId="476" xr:uid="{00000000-0005-0000-0000-000057010000}"/>
    <cellStyle name="_Currency_Sheet1_Data_Tape_Sheet1" xfId="477" xr:uid="{00000000-0005-0000-0000-000058010000}"/>
    <cellStyle name="_Currency_Sheet1_Database - Comparables" xfId="478" xr:uid="{00000000-0005-0000-0000-000059010000}"/>
    <cellStyle name="_Currency_Sheet1_Database - Economics" xfId="479" xr:uid="{00000000-0005-0000-0000-00005A010000}"/>
    <cellStyle name="_Currency_Sheet1_DB_Eye" xfId="480" xr:uid="{00000000-0005-0000-0000-00005B010000}"/>
    <cellStyle name="_Currency_Sheet1_Deal Input" xfId="481" xr:uid="{00000000-0005-0000-0000-00005C010000}"/>
    <cellStyle name="_Currency_Sheet1_Direct Cap Eye" xfId="482" xr:uid="{00000000-0005-0000-0000-00005D010000}"/>
    <cellStyle name="_Currency_Sheet1_DPEM2005_vBetatest6" xfId="483" xr:uid="{00000000-0005-0000-0000-00005E010000}"/>
    <cellStyle name="_Currency_Sheet1_ETR" xfId="484" xr:uid="{00000000-0005-0000-0000-00005F010000}"/>
    <cellStyle name="_Currency_Sheet1_Exec Summary" xfId="485" xr:uid="{00000000-0005-0000-0000-000060010000}"/>
    <cellStyle name="_Currency_Sheet1_Exec Summary_1" xfId="486" xr:uid="{00000000-0005-0000-0000-000061010000}"/>
    <cellStyle name="_Currency_Sheet1_Existing Debt" xfId="487" xr:uid="{00000000-0005-0000-0000-000062010000}"/>
    <cellStyle name="_Currency_Sheet1_Input" xfId="488" xr:uid="{00000000-0005-0000-0000-000063010000}"/>
    <cellStyle name="_Currency_Sheet1_Input_1" xfId="489" xr:uid="{00000000-0005-0000-0000-000064010000}"/>
    <cellStyle name="_Currency_Sheet1_Input_ControlTables" xfId="490" xr:uid="{00000000-0005-0000-0000-000065010000}"/>
    <cellStyle name="_Currency_Sheet1_Input_ControlTablesI" xfId="491" xr:uid="{00000000-0005-0000-0000-000066010000}"/>
    <cellStyle name="_Currency_Sheet1_Input_Data Tape" xfId="492" xr:uid="{00000000-0005-0000-0000-000067010000}"/>
    <cellStyle name="_Currency_Sheet1_Input_Database - Economics" xfId="493" xr:uid="{00000000-0005-0000-0000-000068010000}"/>
    <cellStyle name="_Currency_Sheet1_Input_DB_Eye" xfId="494" xr:uid="{00000000-0005-0000-0000-000069010000}"/>
    <cellStyle name="_Currency_Sheet1_Input_Exec Summary" xfId="495" xr:uid="{00000000-0005-0000-0000-00006A010000}"/>
    <cellStyle name="_Currency_Sheet1_Input_Exec Summary_1" xfId="496" xr:uid="{00000000-0005-0000-0000-00006B010000}"/>
    <cellStyle name="_Currency_Sheet1_Input_Sheet1" xfId="497" xr:uid="{00000000-0005-0000-0000-00006C010000}"/>
    <cellStyle name="_Currency_Sheet1_M&amp;A Feed" xfId="498" xr:uid="{00000000-0005-0000-0000-00006D010000}"/>
    <cellStyle name="_Currency_Sheet1_NPV Case Eyechart" xfId="499" xr:uid="{00000000-0005-0000-0000-00006E010000}"/>
    <cellStyle name="_Currency_Sheet1_Pools" xfId="500" xr:uid="{00000000-0005-0000-0000-00006F010000}"/>
    <cellStyle name="_Currency_Sheet1_Pools_1" xfId="501" xr:uid="{00000000-0005-0000-0000-000070010000}"/>
    <cellStyle name="_Currency_Sheet1_Pools_ControlTables" xfId="502" xr:uid="{00000000-0005-0000-0000-000071010000}"/>
    <cellStyle name="_Currency_Sheet1_Pools_ControlTablesI" xfId="503" xr:uid="{00000000-0005-0000-0000-000072010000}"/>
    <cellStyle name="_Currency_Sheet1_Pools_DB_Eye" xfId="504" xr:uid="{00000000-0005-0000-0000-000073010000}"/>
    <cellStyle name="_Currency_Sheet1_Pools_Exec Summary" xfId="505" xr:uid="{00000000-0005-0000-0000-000074010000}"/>
    <cellStyle name="_Currency_Sheet1_Pools_Exec Summary_1" xfId="506" xr:uid="{00000000-0005-0000-0000-000075010000}"/>
    <cellStyle name="_Currency_Sheet1_Pools_Sheet1" xfId="507" xr:uid="{00000000-0005-0000-0000-000076010000}"/>
    <cellStyle name="_Currency_Sheet1_Portfolio Valuation" xfId="508" xr:uid="{00000000-0005-0000-0000-000077010000}"/>
    <cellStyle name="_Currency_Sheet1_Prop 13" xfId="509" xr:uid="{00000000-0005-0000-0000-000078010000}"/>
    <cellStyle name="_Currency_Sheet1_Prop 13 Data" xfId="510" xr:uid="{00000000-0005-0000-0000-000079010000}"/>
    <cellStyle name="_Currency_Sheet1_Prop 13 Summary-11-10" xfId="511" xr:uid="{00000000-0005-0000-0000-00007A010000}"/>
    <cellStyle name="_Currency_Sheet1_Property Assumptions" xfId="512" xr:uid="{00000000-0005-0000-0000-00007B010000}"/>
    <cellStyle name="_Currency_Sheet1_Property Assumptions_1" xfId="513" xr:uid="{00000000-0005-0000-0000-00007C010000}"/>
    <cellStyle name="_Currency_Sheet1_Quick Property Input" xfId="514" xr:uid="{00000000-0005-0000-0000-00007D010000}"/>
    <cellStyle name="_Currency_Sheet1_Senario Input Assumptions" xfId="515" xr:uid="{00000000-0005-0000-0000-00007E010000}"/>
    <cellStyle name="_Currency_Sheet1_Senario Input Assumptions_ControlTables" xfId="516" xr:uid="{00000000-0005-0000-0000-00007F010000}"/>
    <cellStyle name="_Currency_Sheet1_Senario Input Assumptions_ControlTablesI" xfId="517" xr:uid="{00000000-0005-0000-0000-000080010000}"/>
    <cellStyle name="_Currency_Sheet1_Senario Input Assumptions_DB_Eye" xfId="518" xr:uid="{00000000-0005-0000-0000-000081010000}"/>
    <cellStyle name="_Currency_Sheet1_Senario Input Assumptions_Exec Summary" xfId="519" xr:uid="{00000000-0005-0000-0000-000082010000}"/>
    <cellStyle name="_Currency_Sheet1_Senario Input Assumptions_Exec Summary_1" xfId="520" xr:uid="{00000000-0005-0000-0000-000083010000}"/>
    <cellStyle name="_Currency_Sheet1_Senario Input Assumptions_Sheet1" xfId="521" xr:uid="{00000000-0005-0000-0000-000084010000}"/>
    <cellStyle name="_Currency_Sheet1_Sheet1" xfId="522" xr:uid="{00000000-0005-0000-0000-000085010000}"/>
    <cellStyle name="_Currency_Sheet1_Sheet1_Data Tape" xfId="523" xr:uid="{00000000-0005-0000-0000-000086010000}"/>
    <cellStyle name="_Currency_Sheet1_Sheet1_Database - Eyechart" xfId="524" xr:uid="{00000000-0005-0000-0000-000087010000}"/>
    <cellStyle name="_Currency_Sheet1_Sheet1_Deal Assumptions" xfId="525" xr:uid="{00000000-0005-0000-0000-000088010000}"/>
    <cellStyle name="_Currency_Sheet1_Sheet1_Model" xfId="526" xr:uid="{00000000-0005-0000-0000-000089010000}"/>
    <cellStyle name="_Currency_Sheet1_Sheet1_Monthly CF Input" xfId="527" xr:uid="{00000000-0005-0000-0000-00008A010000}"/>
    <cellStyle name="_Currency_Sheet1_Sheet1_Property Assumptions" xfId="528" xr:uid="{00000000-0005-0000-0000-00008B010000}"/>
    <cellStyle name="_Currency_Sheet1_Sheet1_RE Valuation 2" xfId="529" xr:uid="{00000000-0005-0000-0000-00008C010000}"/>
    <cellStyle name="_Currency_Sheet1_Sheet1_Sensitivities" xfId="530" xr:uid="{00000000-0005-0000-0000-00008D010000}"/>
    <cellStyle name="_Currency_Sheet1_Sheet2" xfId="531" xr:uid="{00000000-0005-0000-0000-00008E010000}"/>
    <cellStyle name="_Currency_Sheet1_Sheet2_1" xfId="532" xr:uid="{00000000-0005-0000-0000-00008F010000}"/>
    <cellStyle name="_Currency_Sheet1_Sheet3" xfId="533" xr:uid="{00000000-0005-0000-0000-000090010000}"/>
    <cellStyle name="_Currency_Sheet1_Sheet5" xfId="534" xr:uid="{00000000-0005-0000-0000-000091010000}"/>
    <cellStyle name="_Currency_Sheet1_Structure Model_2003_test2" xfId="535" xr:uid="{00000000-0005-0000-0000-000092010000}"/>
    <cellStyle name="_Currency_Sheet1_Structure Model_2003_test2_ControlTables" xfId="536" xr:uid="{00000000-0005-0000-0000-000093010000}"/>
    <cellStyle name="_Currency_Sheet1_Structure Model_2003_test2_ControlTablesI" xfId="537" xr:uid="{00000000-0005-0000-0000-000094010000}"/>
    <cellStyle name="_Currency_Sheet1_Structure Model_2003_test2_DB_Eye" xfId="538" xr:uid="{00000000-0005-0000-0000-000095010000}"/>
    <cellStyle name="_Currency_Sheet1_Structure Model_2003_test2_Exec Summary" xfId="539" xr:uid="{00000000-0005-0000-0000-000096010000}"/>
    <cellStyle name="_Currency_Sheet1_Structure Model_2003_test2_Exec Summary_1" xfId="540" xr:uid="{00000000-0005-0000-0000-000097010000}"/>
    <cellStyle name="_Currency_Sheet1_Structure Model_2003_test2_Sheet1" xfId="541" xr:uid="{00000000-0005-0000-0000-000098010000}"/>
    <cellStyle name="_Currency_Sheet2" xfId="542" xr:uid="{00000000-0005-0000-0000-000099010000}"/>
    <cellStyle name="_Currency_Sheet2_1" xfId="543" xr:uid="{00000000-0005-0000-0000-00009A010000}"/>
    <cellStyle name="_Currency_Sheet3" xfId="544" xr:uid="{00000000-0005-0000-0000-00009B010000}"/>
    <cellStyle name="_Currency_Sheet3_1" xfId="545" xr:uid="{00000000-0005-0000-0000-00009C010000}"/>
    <cellStyle name="_Currency_Sheet3_ControlTables" xfId="546" xr:uid="{00000000-0005-0000-0000-00009D010000}"/>
    <cellStyle name="_Currency_Sheet3_ControlTablesI" xfId="547" xr:uid="{00000000-0005-0000-0000-00009E010000}"/>
    <cellStyle name="_Currency_Sheet3_DB_Eye" xfId="548" xr:uid="{00000000-0005-0000-0000-00009F010000}"/>
    <cellStyle name="_Currency_Sheet3_Exec Summary" xfId="549" xr:uid="{00000000-0005-0000-0000-0000A0010000}"/>
    <cellStyle name="_Currency_Sheet3_Exec Summary_1" xfId="550" xr:uid="{00000000-0005-0000-0000-0000A1010000}"/>
    <cellStyle name="_Currency_Sheet3_Sheet1" xfId="551" xr:uid="{00000000-0005-0000-0000-0000A2010000}"/>
    <cellStyle name="_Currency_Sheet4" xfId="552" xr:uid="{00000000-0005-0000-0000-0000A3010000}"/>
    <cellStyle name="_Currency_Sheet5" xfId="553" xr:uid="{00000000-0005-0000-0000-0000A4010000}"/>
    <cellStyle name="_Currency_Structure Model_2003_test2" xfId="554" xr:uid="{00000000-0005-0000-0000-0000A5010000}"/>
    <cellStyle name="_Currency_Structure Model_2003_test2_ControlTables" xfId="555" xr:uid="{00000000-0005-0000-0000-0000A6010000}"/>
    <cellStyle name="_Currency_Structure Model_2003_test2_ControlTablesI" xfId="556" xr:uid="{00000000-0005-0000-0000-0000A7010000}"/>
    <cellStyle name="_Currency_Structure Model_2003_test2_DB_Eye" xfId="557" xr:uid="{00000000-0005-0000-0000-0000A8010000}"/>
    <cellStyle name="_Currency_Structure Model_2003_test2_Exec Summary" xfId="558" xr:uid="{00000000-0005-0000-0000-0000A9010000}"/>
    <cellStyle name="_Currency_Structure Model_2003_test2_Exec Summary_1" xfId="559" xr:uid="{00000000-0005-0000-0000-0000AA010000}"/>
    <cellStyle name="_Currency_Structure Model_2003_test2_Sheet1" xfId="560" xr:uid="{00000000-0005-0000-0000-0000AB010000}"/>
    <cellStyle name="_CurrencySpace" xfId="561" xr:uid="{00000000-0005-0000-0000-0000AC010000}"/>
    <cellStyle name="_CurrencySpace_3-Yr Eyechart" xfId="562" xr:uid="{00000000-0005-0000-0000-0000AD010000}"/>
    <cellStyle name="_CurrencySpace_Balance Sheet" xfId="563" xr:uid="{00000000-0005-0000-0000-0000AE010000}"/>
    <cellStyle name="_CurrencySpace_Balance Sheet_ControlTables" xfId="564" xr:uid="{00000000-0005-0000-0000-0000AF010000}"/>
    <cellStyle name="_CurrencySpace_Balance Sheet_ControlTablesI" xfId="565" xr:uid="{00000000-0005-0000-0000-0000B0010000}"/>
    <cellStyle name="_CurrencySpace_Balance Sheet_DB_Eye" xfId="566" xr:uid="{00000000-0005-0000-0000-0000B1010000}"/>
    <cellStyle name="_CurrencySpace_Balance Sheet_Exec Summary" xfId="567" xr:uid="{00000000-0005-0000-0000-0000B2010000}"/>
    <cellStyle name="_CurrencySpace_Balance Sheet_Exec Summary_1" xfId="568" xr:uid="{00000000-0005-0000-0000-0000B3010000}"/>
    <cellStyle name="_CurrencySpace_Balance Sheet_Sheet1" xfId="569" xr:uid="{00000000-0005-0000-0000-0000B4010000}"/>
    <cellStyle name="_CurrencySpace_ControlTables" xfId="570" xr:uid="{00000000-0005-0000-0000-0000B5010000}"/>
    <cellStyle name="_CurrencySpace_ControlTablesI" xfId="571" xr:uid="{00000000-0005-0000-0000-0000B6010000}"/>
    <cellStyle name="_CurrencySpace_Cost Of Funds" xfId="572" xr:uid="{00000000-0005-0000-0000-0000B7010000}"/>
    <cellStyle name="_CurrencySpace_Criteria" xfId="573" xr:uid="{00000000-0005-0000-0000-0000B8010000}"/>
    <cellStyle name="_CurrencySpace_Criteria Test Export" xfId="574" xr:uid="{00000000-0005-0000-0000-0000B9010000}"/>
    <cellStyle name="_CurrencySpace_Criteria_ControlTables" xfId="575" xr:uid="{00000000-0005-0000-0000-0000BA010000}"/>
    <cellStyle name="_CurrencySpace_Criteria_ControlTablesI" xfId="576" xr:uid="{00000000-0005-0000-0000-0000BB010000}"/>
    <cellStyle name="_CurrencySpace_Criteria_DB_Eye" xfId="577" xr:uid="{00000000-0005-0000-0000-0000BC010000}"/>
    <cellStyle name="_CurrencySpace_Criteria_Exec Summary" xfId="578" xr:uid="{00000000-0005-0000-0000-0000BD010000}"/>
    <cellStyle name="_CurrencySpace_Criteria_Exec Summary_1" xfId="579" xr:uid="{00000000-0005-0000-0000-0000BE010000}"/>
    <cellStyle name="_CurrencySpace_Criteria_Sheet1" xfId="580" xr:uid="{00000000-0005-0000-0000-0000BF010000}"/>
    <cellStyle name="_CurrencySpace_Data Tape" xfId="581" xr:uid="{00000000-0005-0000-0000-0000C0010000}"/>
    <cellStyle name="_CurrencySpace_Data Tape_1" xfId="582" xr:uid="{00000000-0005-0000-0000-0000C1010000}"/>
    <cellStyle name="_CurrencySpace_Data Tape_ControlTables" xfId="583" xr:uid="{00000000-0005-0000-0000-0000C2010000}"/>
    <cellStyle name="_CurrencySpace_Data Tape_ControlTablesI" xfId="584" xr:uid="{00000000-0005-0000-0000-0000C3010000}"/>
    <cellStyle name="_CurrencySpace_Data Tape_DB_Eye" xfId="585" xr:uid="{00000000-0005-0000-0000-0000C4010000}"/>
    <cellStyle name="_CurrencySpace_Data Tape_Exec Summary" xfId="586" xr:uid="{00000000-0005-0000-0000-0000C5010000}"/>
    <cellStyle name="_CurrencySpace_Data Tape_Exec Summary_1" xfId="587" xr:uid="{00000000-0005-0000-0000-0000C6010000}"/>
    <cellStyle name="_CurrencySpace_Data Tape_Sheet1" xfId="588" xr:uid="{00000000-0005-0000-0000-0000C7010000}"/>
    <cellStyle name="_CurrencySpace_Data_Tape" xfId="589" xr:uid="{00000000-0005-0000-0000-0000C8010000}"/>
    <cellStyle name="_CurrencySpace_Database - Economics" xfId="590" xr:uid="{00000000-0005-0000-0000-0000C9010000}"/>
    <cellStyle name="_CurrencySpace_DB_Eye" xfId="591" xr:uid="{00000000-0005-0000-0000-0000CA010000}"/>
    <cellStyle name="_CurrencySpace_Deal Input" xfId="592" xr:uid="{00000000-0005-0000-0000-0000CB010000}"/>
    <cellStyle name="_CurrencySpace_Direct Cap Eye" xfId="593" xr:uid="{00000000-0005-0000-0000-0000CC010000}"/>
    <cellStyle name="_CurrencySpace_DPEM2005_vBetatest6" xfId="594" xr:uid="{00000000-0005-0000-0000-0000CD010000}"/>
    <cellStyle name="_CurrencySpace_ETR" xfId="595" xr:uid="{00000000-0005-0000-0000-0000CE010000}"/>
    <cellStyle name="_CurrencySpace_Exec Summary" xfId="596" xr:uid="{00000000-0005-0000-0000-0000CF010000}"/>
    <cellStyle name="_CurrencySpace_Exec Summary_1" xfId="597" xr:uid="{00000000-0005-0000-0000-0000D0010000}"/>
    <cellStyle name="_CurrencySpace_Existing Debt" xfId="598" xr:uid="{00000000-0005-0000-0000-0000D1010000}"/>
    <cellStyle name="_CurrencySpace_EyeChart" xfId="599" xr:uid="{00000000-0005-0000-0000-0000D2010000}"/>
    <cellStyle name="_CurrencySpace_EyeChart 090503" xfId="600" xr:uid="{00000000-0005-0000-0000-0000D3010000}"/>
    <cellStyle name="_CurrencySpace_Input" xfId="601" xr:uid="{00000000-0005-0000-0000-0000D4010000}"/>
    <cellStyle name="_CurrencySpace_Input_1" xfId="602" xr:uid="{00000000-0005-0000-0000-0000D5010000}"/>
    <cellStyle name="_CurrencySpace_Input_ControlTables" xfId="603" xr:uid="{00000000-0005-0000-0000-0000D6010000}"/>
    <cellStyle name="_CurrencySpace_Input_ControlTablesI" xfId="604" xr:uid="{00000000-0005-0000-0000-0000D7010000}"/>
    <cellStyle name="_CurrencySpace_Input_Data Tape" xfId="605" xr:uid="{00000000-0005-0000-0000-0000D8010000}"/>
    <cellStyle name="_CurrencySpace_Input_Database - Economics" xfId="606" xr:uid="{00000000-0005-0000-0000-0000D9010000}"/>
    <cellStyle name="_CurrencySpace_Input_DB_Eye" xfId="607" xr:uid="{00000000-0005-0000-0000-0000DA010000}"/>
    <cellStyle name="_CurrencySpace_Input_Exec Summary" xfId="608" xr:uid="{00000000-0005-0000-0000-0000DB010000}"/>
    <cellStyle name="_CurrencySpace_Input_Exec Summary_1" xfId="609" xr:uid="{00000000-0005-0000-0000-0000DC010000}"/>
    <cellStyle name="_CurrencySpace_Input_Sheet1" xfId="610" xr:uid="{00000000-0005-0000-0000-0000DD010000}"/>
    <cellStyle name="_CurrencySpace_JV Economics" xfId="611" xr:uid="{00000000-0005-0000-0000-0000DE010000}"/>
    <cellStyle name="_CurrencySpace_M&amp;A Feed" xfId="612" xr:uid="{00000000-0005-0000-0000-0000DF010000}"/>
    <cellStyle name="_CurrencySpace_NPV Case Eyechart" xfId="613" xr:uid="{00000000-0005-0000-0000-0000E0010000}"/>
    <cellStyle name="_CurrencySpace_Pools" xfId="614" xr:uid="{00000000-0005-0000-0000-0000E1010000}"/>
    <cellStyle name="_CurrencySpace_Pools_1" xfId="615" xr:uid="{00000000-0005-0000-0000-0000E2010000}"/>
    <cellStyle name="_CurrencySpace_Portfolio Valuation" xfId="616" xr:uid="{00000000-0005-0000-0000-0000E3010000}"/>
    <cellStyle name="_CurrencySpace_Pricing" xfId="617" xr:uid="{00000000-0005-0000-0000-0000E4010000}"/>
    <cellStyle name="_CurrencySpace_Prop 13" xfId="618" xr:uid="{00000000-0005-0000-0000-0000E5010000}"/>
    <cellStyle name="_CurrencySpace_Prop 13 Data" xfId="619" xr:uid="{00000000-0005-0000-0000-0000E6010000}"/>
    <cellStyle name="_CurrencySpace_Prop 13 Summary-11-10" xfId="620" xr:uid="{00000000-0005-0000-0000-0000E7010000}"/>
    <cellStyle name="_CurrencySpace_Property Assumptions" xfId="621" xr:uid="{00000000-0005-0000-0000-0000E8010000}"/>
    <cellStyle name="_CurrencySpace_Property Assumptions_1" xfId="622" xr:uid="{00000000-0005-0000-0000-0000E9010000}"/>
    <cellStyle name="_CurrencySpace_Quick Property Input" xfId="623" xr:uid="{00000000-0005-0000-0000-0000EA010000}"/>
    <cellStyle name="_CurrencySpace_Senario Input Assumptions" xfId="624" xr:uid="{00000000-0005-0000-0000-0000EB010000}"/>
    <cellStyle name="_CurrencySpace_Senario Input Assumptions_ControlTables" xfId="625" xr:uid="{00000000-0005-0000-0000-0000EC010000}"/>
    <cellStyle name="_CurrencySpace_Senario Input Assumptions_ControlTablesI" xfId="626" xr:uid="{00000000-0005-0000-0000-0000ED010000}"/>
    <cellStyle name="_CurrencySpace_Senario Input Assumptions_DB_Eye" xfId="627" xr:uid="{00000000-0005-0000-0000-0000EE010000}"/>
    <cellStyle name="_CurrencySpace_Senario Input Assumptions_Exec Summary" xfId="628" xr:uid="{00000000-0005-0000-0000-0000EF010000}"/>
    <cellStyle name="_CurrencySpace_Senario Input Assumptions_Exec Summary_1" xfId="629" xr:uid="{00000000-0005-0000-0000-0000F0010000}"/>
    <cellStyle name="_CurrencySpace_Senario Input Assumptions_Sheet1" xfId="630" xr:uid="{00000000-0005-0000-0000-0000F1010000}"/>
    <cellStyle name="_CurrencySpace_Sheet1" xfId="631" xr:uid="{00000000-0005-0000-0000-0000F2010000}"/>
    <cellStyle name="_CurrencySpace_Sheet1_1" xfId="632" xr:uid="{00000000-0005-0000-0000-0000F3010000}"/>
    <cellStyle name="_CurrencySpace_Sheet1_3-Yr Eyechart" xfId="633" xr:uid="{00000000-0005-0000-0000-0000F4010000}"/>
    <cellStyle name="_CurrencySpace_Sheet1_Balance Sheet" xfId="634" xr:uid="{00000000-0005-0000-0000-0000F5010000}"/>
    <cellStyle name="_CurrencySpace_Sheet1_Cost Of Funds" xfId="635" xr:uid="{00000000-0005-0000-0000-0000F6010000}"/>
    <cellStyle name="_CurrencySpace_Sheet1_Criteria" xfId="636" xr:uid="{00000000-0005-0000-0000-0000F7010000}"/>
    <cellStyle name="_CurrencySpace_Sheet1_Criteria Test Export" xfId="637" xr:uid="{00000000-0005-0000-0000-0000F8010000}"/>
    <cellStyle name="_CurrencySpace_Sheet1_Data Tape" xfId="638" xr:uid="{00000000-0005-0000-0000-0000F9010000}"/>
    <cellStyle name="_CurrencySpace_Sheet1_Data Tape_1" xfId="639" xr:uid="{00000000-0005-0000-0000-0000FA010000}"/>
    <cellStyle name="_CurrencySpace_Sheet1_Data_Tape" xfId="640" xr:uid="{00000000-0005-0000-0000-0000FB010000}"/>
    <cellStyle name="_CurrencySpace_Sheet1_Data_Tape_ControlTables" xfId="641" xr:uid="{00000000-0005-0000-0000-0000FC010000}"/>
    <cellStyle name="_CurrencySpace_Sheet1_Data_Tape_ControlTablesI" xfId="642" xr:uid="{00000000-0005-0000-0000-0000FD010000}"/>
    <cellStyle name="_CurrencySpace_Sheet1_Data_Tape_DB_Eye" xfId="643" xr:uid="{00000000-0005-0000-0000-0000FE010000}"/>
    <cellStyle name="_CurrencySpace_Sheet1_Data_Tape_Exec Summary" xfId="644" xr:uid="{00000000-0005-0000-0000-0000FF010000}"/>
    <cellStyle name="_CurrencySpace_Sheet1_Data_Tape_Exec Summary_1" xfId="645" xr:uid="{00000000-0005-0000-0000-000000020000}"/>
    <cellStyle name="_CurrencySpace_Sheet1_Data_Tape_Sheet1" xfId="646" xr:uid="{00000000-0005-0000-0000-000001020000}"/>
    <cellStyle name="_CurrencySpace_Sheet1_Database - Economics" xfId="647" xr:uid="{00000000-0005-0000-0000-000002020000}"/>
    <cellStyle name="_CurrencySpace_Sheet1_Deal Input" xfId="648" xr:uid="{00000000-0005-0000-0000-000003020000}"/>
    <cellStyle name="_CurrencySpace_Sheet1_Direct Cap Eye" xfId="649" xr:uid="{00000000-0005-0000-0000-000004020000}"/>
    <cellStyle name="_CurrencySpace_Sheet1_DPEM2005_vBetatest6" xfId="650" xr:uid="{00000000-0005-0000-0000-000005020000}"/>
    <cellStyle name="_CurrencySpace_Sheet1_ETR" xfId="651" xr:uid="{00000000-0005-0000-0000-000006020000}"/>
    <cellStyle name="_CurrencySpace_Sheet1_Existing Debt" xfId="652" xr:uid="{00000000-0005-0000-0000-000007020000}"/>
    <cellStyle name="_CurrencySpace_Sheet1_Input" xfId="653" xr:uid="{00000000-0005-0000-0000-000008020000}"/>
    <cellStyle name="_CurrencySpace_Sheet1_Input_1" xfId="654" xr:uid="{00000000-0005-0000-0000-000009020000}"/>
    <cellStyle name="_CurrencySpace_Sheet1_Input_Data Tape" xfId="655" xr:uid="{00000000-0005-0000-0000-00000A020000}"/>
    <cellStyle name="_CurrencySpace_Sheet1_Input_Database - Economics" xfId="656" xr:uid="{00000000-0005-0000-0000-00000B020000}"/>
    <cellStyle name="_CurrencySpace_Sheet1_M&amp;A Feed" xfId="657" xr:uid="{00000000-0005-0000-0000-00000C020000}"/>
    <cellStyle name="_CurrencySpace_Sheet1_NPV Case Eyechart" xfId="658" xr:uid="{00000000-0005-0000-0000-00000D020000}"/>
    <cellStyle name="_CurrencySpace_Sheet1_Pools" xfId="659" xr:uid="{00000000-0005-0000-0000-00000E020000}"/>
    <cellStyle name="_CurrencySpace_Sheet1_Pools_1" xfId="660" xr:uid="{00000000-0005-0000-0000-00000F020000}"/>
    <cellStyle name="_CurrencySpace_Sheet1_Pools_ControlTables" xfId="661" xr:uid="{00000000-0005-0000-0000-000010020000}"/>
    <cellStyle name="_CurrencySpace_Sheet1_Pools_ControlTablesI" xfId="662" xr:uid="{00000000-0005-0000-0000-000011020000}"/>
    <cellStyle name="_CurrencySpace_Sheet1_Pools_DB_Eye" xfId="663" xr:uid="{00000000-0005-0000-0000-000012020000}"/>
    <cellStyle name="_CurrencySpace_Sheet1_Pools_Exec Summary" xfId="664" xr:uid="{00000000-0005-0000-0000-000013020000}"/>
    <cellStyle name="_CurrencySpace_Sheet1_Pools_Exec Summary_1" xfId="665" xr:uid="{00000000-0005-0000-0000-000014020000}"/>
    <cellStyle name="_CurrencySpace_Sheet1_Pools_Sheet1" xfId="666" xr:uid="{00000000-0005-0000-0000-000015020000}"/>
    <cellStyle name="_CurrencySpace_Sheet1_Portfolio Valuation" xfId="667" xr:uid="{00000000-0005-0000-0000-000016020000}"/>
    <cellStyle name="_CurrencySpace_Sheet1_Prop 13" xfId="668" xr:uid="{00000000-0005-0000-0000-000017020000}"/>
    <cellStyle name="_CurrencySpace_Sheet1_Prop 13 Data" xfId="669" xr:uid="{00000000-0005-0000-0000-000018020000}"/>
    <cellStyle name="_CurrencySpace_Sheet1_Prop 13 Summary-11-10" xfId="670" xr:uid="{00000000-0005-0000-0000-000019020000}"/>
    <cellStyle name="_CurrencySpace_Sheet1_Property Assumptions" xfId="671" xr:uid="{00000000-0005-0000-0000-00001A020000}"/>
    <cellStyle name="_CurrencySpace_Sheet1_Property Assumptions_1" xfId="672" xr:uid="{00000000-0005-0000-0000-00001B020000}"/>
    <cellStyle name="_CurrencySpace_Sheet1_Quick Property Input" xfId="673" xr:uid="{00000000-0005-0000-0000-00001C020000}"/>
    <cellStyle name="_CurrencySpace_Sheet1_Senario Input Assumptions" xfId="674" xr:uid="{00000000-0005-0000-0000-00001D020000}"/>
    <cellStyle name="_CurrencySpace_Sheet1_Sheet1" xfId="675" xr:uid="{00000000-0005-0000-0000-00001E020000}"/>
    <cellStyle name="_CurrencySpace_Sheet1_Sheet2" xfId="676" xr:uid="{00000000-0005-0000-0000-00001F020000}"/>
    <cellStyle name="_CurrencySpace_Sheet1_Sheet2_1" xfId="677" xr:uid="{00000000-0005-0000-0000-000020020000}"/>
    <cellStyle name="_CurrencySpace_Sheet1_Sheet3" xfId="678" xr:uid="{00000000-0005-0000-0000-000021020000}"/>
    <cellStyle name="_CurrencySpace_Sheet1_Sheet5" xfId="679" xr:uid="{00000000-0005-0000-0000-000022020000}"/>
    <cellStyle name="_CurrencySpace_Sheet1_Structure Model_2003_test2" xfId="680" xr:uid="{00000000-0005-0000-0000-000023020000}"/>
    <cellStyle name="_CurrencySpace_Sheet2" xfId="681" xr:uid="{00000000-0005-0000-0000-000024020000}"/>
    <cellStyle name="_CurrencySpace_Sheet2_1" xfId="682" xr:uid="{00000000-0005-0000-0000-000025020000}"/>
    <cellStyle name="_CurrencySpace_Sheet3" xfId="683" xr:uid="{00000000-0005-0000-0000-000026020000}"/>
    <cellStyle name="_CurrencySpace_Sheet3_1" xfId="684" xr:uid="{00000000-0005-0000-0000-000027020000}"/>
    <cellStyle name="_CurrencySpace_Sheet4" xfId="685" xr:uid="{00000000-0005-0000-0000-000028020000}"/>
    <cellStyle name="_CurrencySpace_Sheet5" xfId="686" xr:uid="{00000000-0005-0000-0000-000029020000}"/>
    <cellStyle name="_CurrencySpace_Structure Model_2003_test2" xfId="687" xr:uid="{00000000-0005-0000-0000-00002A020000}"/>
    <cellStyle name="_CurrencySpace_Structure Model_2003_test2_ControlTables" xfId="688" xr:uid="{00000000-0005-0000-0000-00002B020000}"/>
    <cellStyle name="_CurrencySpace_Structure Model_2003_test2_ControlTablesI" xfId="689" xr:uid="{00000000-0005-0000-0000-00002C020000}"/>
    <cellStyle name="_CurrencySpace_Structure Model_2003_test2_DB_Eye" xfId="690" xr:uid="{00000000-0005-0000-0000-00002D020000}"/>
    <cellStyle name="_CurrencySpace_Structure Model_2003_test2_Exec Summary" xfId="691" xr:uid="{00000000-0005-0000-0000-00002E020000}"/>
    <cellStyle name="_CurrencySpace_Structure Model_2003_test2_Exec Summary_1" xfId="692" xr:uid="{00000000-0005-0000-0000-00002F020000}"/>
    <cellStyle name="_CurrencySpace_Structure Model_2003_test2_Sheet1" xfId="693" xr:uid="{00000000-0005-0000-0000-000030020000}"/>
    <cellStyle name="_Euro" xfId="694" xr:uid="{00000000-0005-0000-0000-000031020000}"/>
    <cellStyle name="_Euro_ControlTables" xfId="695" xr:uid="{00000000-0005-0000-0000-000032020000}"/>
    <cellStyle name="_Euro_ControlTablesI" xfId="696" xr:uid="{00000000-0005-0000-0000-000033020000}"/>
    <cellStyle name="_Euro_DB Eye" xfId="697" xr:uid="{00000000-0005-0000-0000-000034020000}"/>
    <cellStyle name="_Euro_DB_Eye" xfId="698" xr:uid="{00000000-0005-0000-0000-000035020000}"/>
    <cellStyle name="_Euro_Exec Summary" xfId="699" xr:uid="{00000000-0005-0000-0000-000036020000}"/>
    <cellStyle name="_Euro_Sheet1" xfId="700" xr:uid="{00000000-0005-0000-0000-000037020000}"/>
    <cellStyle name="_Existing Debt" xfId="701" xr:uid="{00000000-0005-0000-0000-000038020000}"/>
    <cellStyle name="_Heading" xfId="702" xr:uid="{00000000-0005-0000-0000-000039020000}"/>
    <cellStyle name="_Highlight" xfId="703" xr:uid="{00000000-0005-0000-0000-00003A020000}"/>
    <cellStyle name="_Multiple" xfId="704" xr:uid="{00000000-0005-0000-0000-00003B020000}"/>
    <cellStyle name="_Multiple_3-Yr Eyechart" xfId="705" xr:uid="{00000000-0005-0000-0000-00003C020000}"/>
    <cellStyle name="_Multiple_ARI Base Case July 25 TPS1" xfId="706" xr:uid="{00000000-0005-0000-0000-00003D020000}"/>
    <cellStyle name="_Multiple_Balance Sheet" xfId="707" xr:uid="{00000000-0005-0000-0000-00003E020000}"/>
    <cellStyle name="_Multiple_Cost Of Funds" xfId="708" xr:uid="{00000000-0005-0000-0000-00003F020000}"/>
    <cellStyle name="_Multiple_Criteria" xfId="709" xr:uid="{00000000-0005-0000-0000-000040020000}"/>
    <cellStyle name="_Multiple_Criteria Test Export" xfId="710" xr:uid="{00000000-0005-0000-0000-000041020000}"/>
    <cellStyle name="_Multiple_Data Tape" xfId="711" xr:uid="{00000000-0005-0000-0000-000042020000}"/>
    <cellStyle name="_Multiple_Data Tape_1" xfId="712" xr:uid="{00000000-0005-0000-0000-000043020000}"/>
    <cellStyle name="_Multiple_Data_Tape" xfId="713" xr:uid="{00000000-0005-0000-0000-000044020000}"/>
    <cellStyle name="_Multiple_DB_Eye" xfId="714" xr:uid="{00000000-0005-0000-0000-000045020000}"/>
    <cellStyle name="_Multiple_Deal Input" xfId="715" xr:uid="{00000000-0005-0000-0000-000046020000}"/>
    <cellStyle name="_Multiple_Direct Cap Eye" xfId="716" xr:uid="{00000000-0005-0000-0000-000047020000}"/>
    <cellStyle name="_Multiple_DPEM2005_vBetatest6" xfId="717" xr:uid="{00000000-0005-0000-0000-000048020000}"/>
    <cellStyle name="_Multiple_ETR" xfId="718" xr:uid="{00000000-0005-0000-0000-000049020000}"/>
    <cellStyle name="_Multiple_Existing Debt" xfId="719" xr:uid="{00000000-0005-0000-0000-00004A020000}"/>
    <cellStyle name="_Multiple_Existing Debt_1" xfId="720" xr:uid="{00000000-0005-0000-0000-00004B020000}"/>
    <cellStyle name="_Multiple_EyeChart" xfId="721" xr:uid="{00000000-0005-0000-0000-00004C020000}"/>
    <cellStyle name="_Multiple_EyeChart 090503" xfId="722" xr:uid="{00000000-0005-0000-0000-00004D020000}"/>
    <cellStyle name="_Multiple_Input" xfId="723" xr:uid="{00000000-0005-0000-0000-00004E020000}"/>
    <cellStyle name="_Multiple_Input_1" xfId="724" xr:uid="{00000000-0005-0000-0000-00004F020000}"/>
    <cellStyle name="_Multiple_Input_Data Tape" xfId="725" xr:uid="{00000000-0005-0000-0000-000050020000}"/>
    <cellStyle name="_Multiple_JV Economics" xfId="726" xr:uid="{00000000-0005-0000-0000-000051020000}"/>
    <cellStyle name="_Multiple_M&amp;A Feed" xfId="727" xr:uid="{00000000-0005-0000-0000-000052020000}"/>
    <cellStyle name="_Multiple_NPV Case Eyechart" xfId="728" xr:uid="{00000000-0005-0000-0000-000053020000}"/>
    <cellStyle name="_Multiple_Pools" xfId="729" xr:uid="{00000000-0005-0000-0000-000054020000}"/>
    <cellStyle name="_Multiple_Pools_1" xfId="730" xr:uid="{00000000-0005-0000-0000-000055020000}"/>
    <cellStyle name="_Multiple_Portfolio Valuation" xfId="731" xr:uid="{00000000-0005-0000-0000-000056020000}"/>
    <cellStyle name="_Multiple_Pricing" xfId="732" xr:uid="{00000000-0005-0000-0000-000057020000}"/>
    <cellStyle name="_Multiple_Prop 13" xfId="733" xr:uid="{00000000-0005-0000-0000-000058020000}"/>
    <cellStyle name="_Multiple_Prop 13 Data" xfId="734" xr:uid="{00000000-0005-0000-0000-000059020000}"/>
    <cellStyle name="_Multiple_Prop 13 Summary-11-10" xfId="735" xr:uid="{00000000-0005-0000-0000-00005A020000}"/>
    <cellStyle name="_Multiple_Property Assumptions" xfId="736" xr:uid="{00000000-0005-0000-0000-00005B020000}"/>
    <cellStyle name="_Multiple_Property Assumptions_1" xfId="737" xr:uid="{00000000-0005-0000-0000-00005C020000}"/>
    <cellStyle name="_Multiple_Quick Property Input" xfId="738" xr:uid="{00000000-0005-0000-0000-00005D020000}"/>
    <cellStyle name="_Multiple_Senario Input Assumptions" xfId="739" xr:uid="{00000000-0005-0000-0000-00005E020000}"/>
    <cellStyle name="_Multiple_Sheet1" xfId="740" xr:uid="{00000000-0005-0000-0000-00005F020000}"/>
    <cellStyle name="_Multiple_Sheet1_3-Yr Eyechart" xfId="741" xr:uid="{00000000-0005-0000-0000-000060020000}"/>
    <cellStyle name="_Multiple_Sheet1_Balance Sheet" xfId="742" xr:uid="{00000000-0005-0000-0000-000061020000}"/>
    <cellStyle name="_Multiple_Sheet1_Cost Of Funds" xfId="743" xr:uid="{00000000-0005-0000-0000-000062020000}"/>
    <cellStyle name="_Multiple_Sheet1_Criteria" xfId="744" xr:uid="{00000000-0005-0000-0000-000063020000}"/>
    <cellStyle name="_Multiple_Sheet1_Criteria Test Export" xfId="745" xr:uid="{00000000-0005-0000-0000-000064020000}"/>
    <cellStyle name="_Multiple_Sheet1_Data Tape" xfId="746" xr:uid="{00000000-0005-0000-0000-000065020000}"/>
    <cellStyle name="_Multiple_Sheet1_Data Tape_1" xfId="747" xr:uid="{00000000-0005-0000-0000-000066020000}"/>
    <cellStyle name="_Multiple_Sheet1_Data_Tape" xfId="748" xr:uid="{00000000-0005-0000-0000-000067020000}"/>
    <cellStyle name="_Multiple_Sheet1_Deal Input" xfId="749" xr:uid="{00000000-0005-0000-0000-000068020000}"/>
    <cellStyle name="_Multiple_Sheet1_Direct Cap Eye" xfId="750" xr:uid="{00000000-0005-0000-0000-000069020000}"/>
    <cellStyle name="_Multiple_Sheet1_DPEM2005_vBetatest6" xfId="751" xr:uid="{00000000-0005-0000-0000-00006A020000}"/>
    <cellStyle name="_Multiple_Sheet1_ETR" xfId="752" xr:uid="{00000000-0005-0000-0000-00006B020000}"/>
    <cellStyle name="_Multiple_Sheet1_Existing Debt" xfId="753" xr:uid="{00000000-0005-0000-0000-00006C020000}"/>
    <cellStyle name="_Multiple_Sheet1_Input" xfId="754" xr:uid="{00000000-0005-0000-0000-00006D020000}"/>
    <cellStyle name="_Multiple_Sheet1_Input_1" xfId="755" xr:uid="{00000000-0005-0000-0000-00006E020000}"/>
    <cellStyle name="_Multiple_Sheet1_Input_Data Tape" xfId="756" xr:uid="{00000000-0005-0000-0000-00006F020000}"/>
    <cellStyle name="_Multiple_Sheet1_M&amp;A Feed" xfId="757" xr:uid="{00000000-0005-0000-0000-000070020000}"/>
    <cellStyle name="_Multiple_Sheet1_NPV Case Eyechart" xfId="758" xr:uid="{00000000-0005-0000-0000-000071020000}"/>
    <cellStyle name="_Multiple_Sheet1_Pools" xfId="759" xr:uid="{00000000-0005-0000-0000-000072020000}"/>
    <cellStyle name="_Multiple_Sheet1_Pools_1" xfId="760" xr:uid="{00000000-0005-0000-0000-000073020000}"/>
    <cellStyle name="_Multiple_Sheet1_Portfolio Valuation" xfId="761" xr:uid="{00000000-0005-0000-0000-000074020000}"/>
    <cellStyle name="_Multiple_Sheet1_Prop 13" xfId="762" xr:uid="{00000000-0005-0000-0000-000075020000}"/>
    <cellStyle name="_Multiple_Sheet1_Prop 13 Data" xfId="763" xr:uid="{00000000-0005-0000-0000-000076020000}"/>
    <cellStyle name="_Multiple_Sheet1_Prop 13 Summary-11-10" xfId="764" xr:uid="{00000000-0005-0000-0000-000077020000}"/>
    <cellStyle name="_Multiple_Sheet1_Property Assumptions" xfId="765" xr:uid="{00000000-0005-0000-0000-000078020000}"/>
    <cellStyle name="_Multiple_Sheet1_Property Assumptions_1" xfId="766" xr:uid="{00000000-0005-0000-0000-000079020000}"/>
    <cellStyle name="_Multiple_Sheet1_Quick Property Input" xfId="767" xr:uid="{00000000-0005-0000-0000-00007A020000}"/>
    <cellStyle name="_Multiple_Sheet1_Senario Input Assumptions" xfId="768" xr:uid="{00000000-0005-0000-0000-00007B020000}"/>
    <cellStyle name="_Multiple_Sheet1_Sheet1" xfId="769" xr:uid="{00000000-0005-0000-0000-00007C020000}"/>
    <cellStyle name="_Multiple_Sheet1_Sheet2" xfId="770" xr:uid="{00000000-0005-0000-0000-00007D020000}"/>
    <cellStyle name="_Multiple_Sheet1_Sheet2_1" xfId="771" xr:uid="{00000000-0005-0000-0000-00007E020000}"/>
    <cellStyle name="_Multiple_Sheet1_Sheet3" xfId="772" xr:uid="{00000000-0005-0000-0000-00007F020000}"/>
    <cellStyle name="_Multiple_Sheet1_Sheet5" xfId="773" xr:uid="{00000000-0005-0000-0000-000080020000}"/>
    <cellStyle name="_Multiple_Sheet1_Structure Model_2003_test2" xfId="774" xr:uid="{00000000-0005-0000-0000-000081020000}"/>
    <cellStyle name="_Multiple_Sheet2" xfId="775" xr:uid="{00000000-0005-0000-0000-000082020000}"/>
    <cellStyle name="_Multiple_Sheet2_1" xfId="776" xr:uid="{00000000-0005-0000-0000-000083020000}"/>
    <cellStyle name="_Multiple_Sheet3" xfId="777" xr:uid="{00000000-0005-0000-0000-000084020000}"/>
    <cellStyle name="_Multiple_Sheet3_1" xfId="778" xr:uid="{00000000-0005-0000-0000-000085020000}"/>
    <cellStyle name="_Multiple_Sheet4" xfId="779" xr:uid="{00000000-0005-0000-0000-000086020000}"/>
    <cellStyle name="_Multiple_Sheet5" xfId="780" xr:uid="{00000000-0005-0000-0000-000087020000}"/>
    <cellStyle name="_Multiple_Structure Model_2003_test2" xfId="781" xr:uid="{00000000-0005-0000-0000-000088020000}"/>
    <cellStyle name="_MultipleSpace" xfId="782" xr:uid="{00000000-0005-0000-0000-000089020000}"/>
    <cellStyle name="_MultipleSpace_ARI Base Case July 25 TPS1" xfId="783" xr:uid="{00000000-0005-0000-0000-00008A020000}"/>
    <cellStyle name="_MultipleSpace_DB_Eye" xfId="784" xr:uid="{00000000-0005-0000-0000-00008B020000}"/>
    <cellStyle name="_MultipleSpace_Existing Debt" xfId="785" xr:uid="{00000000-0005-0000-0000-00008C020000}"/>
    <cellStyle name="_MultipleSpace_EyeChart" xfId="786" xr:uid="{00000000-0005-0000-0000-00008D020000}"/>
    <cellStyle name="_MultipleSpace_EyeChart 090503" xfId="787" xr:uid="{00000000-0005-0000-0000-00008E020000}"/>
    <cellStyle name="_MultipleSpace_Input" xfId="788" xr:uid="{00000000-0005-0000-0000-00008F020000}"/>
    <cellStyle name="_MultipleSpace_Input_1" xfId="789" xr:uid="{00000000-0005-0000-0000-000090020000}"/>
    <cellStyle name="_MultipleSpace_Pricing" xfId="790" xr:uid="{00000000-0005-0000-0000-000091020000}"/>
    <cellStyle name="_MultipleSpace_Sheet2" xfId="791" xr:uid="{00000000-0005-0000-0000-000092020000}"/>
    <cellStyle name="_MultipleSpace_Sheet4" xfId="792" xr:uid="{00000000-0005-0000-0000-000093020000}"/>
    <cellStyle name="_Percent" xfId="793" xr:uid="{00000000-0005-0000-0000-000094020000}"/>
    <cellStyle name="_Percent_ARI Base Case July 25 TPS1" xfId="794" xr:uid="{00000000-0005-0000-0000-000095020000}"/>
    <cellStyle name="_Percent_Existing Debt" xfId="795" xr:uid="{00000000-0005-0000-0000-000096020000}"/>
    <cellStyle name="_PercentSpace" xfId="796" xr:uid="{00000000-0005-0000-0000-000097020000}"/>
    <cellStyle name="_PercentSpace_ARI Base Case July 25 TPS1" xfId="797" xr:uid="{00000000-0005-0000-0000-000098020000}"/>
    <cellStyle name="_PercentSpace_Existing Debt" xfId="798" xr:uid="{00000000-0005-0000-0000-000099020000}"/>
    <cellStyle name="_SubHeading" xfId="799" xr:uid="{00000000-0005-0000-0000-00009A020000}"/>
    <cellStyle name="_Table" xfId="800" xr:uid="{00000000-0005-0000-0000-00009B020000}"/>
    <cellStyle name="_TableHead" xfId="801" xr:uid="{00000000-0005-0000-0000-00009C020000}"/>
    <cellStyle name="_TableRowHead" xfId="802" xr:uid="{00000000-0005-0000-0000-00009D020000}"/>
    <cellStyle name="_TableSuperHead" xfId="803" xr:uid="{00000000-0005-0000-0000-00009E020000}"/>
    <cellStyle name="0.0 x" xfId="804" xr:uid="{00000000-0005-0000-0000-0000A2020000}"/>
    <cellStyle name="000" xfId="805" xr:uid="{00000000-0005-0000-0000-0000A3020000}"/>
    <cellStyle name="1" xfId="806" xr:uid="{00000000-0005-0000-0000-0000A4020000}"/>
    <cellStyle name="1_03-05-31 Final OBS Reports" xfId="807" xr:uid="{00000000-0005-0000-0000-0000A5020000}"/>
    <cellStyle name="1_GMACCH_Loans_OBS_033103_Final_v2" xfId="808" xr:uid="{00000000-0005-0000-0000-0000A6020000}"/>
    <cellStyle name="1_Japan - 3Q02 Risk Rating Worksheet - 101602_Japan" xfId="809" xr:uid="{00000000-0005-0000-0000-0000A7020000}"/>
    <cellStyle name="1_Japan - 3Q02 Risk Rating Worksheet - 101602_Japan_Comparison vs. prior_Q2 2003" xfId="810" xr:uid="{00000000-0005-0000-0000-0000A8020000}"/>
    <cellStyle name="1_Japan - 4Q2002 - Risk Rating Worksheet_final" xfId="811" xr:uid="{00000000-0005-0000-0000-0000A9020000}"/>
    <cellStyle name="1_Japan - 4Q2002 - Risk Rating Worksheet_final_12.11.2002" xfId="812" xr:uid="{00000000-0005-0000-0000-0000AA020000}"/>
    <cellStyle name="1_Japan - 4Q2002 - Risk Rating Worksheet_final_12.11.2002_Comparison vs. prior_Q2 2003" xfId="813" xr:uid="{00000000-0005-0000-0000-0000AB020000}"/>
    <cellStyle name="1_Japan - 4Q2002 - Risk Rating Worksheet_final_Comparison vs. prior_Q2 2003" xfId="814" xr:uid="{00000000-0005-0000-0000-0000AC020000}"/>
    <cellStyle name="1_Japan-1Q2003 - Risk Rating Worksheet03.06.2003F" xfId="815" xr:uid="{00000000-0005-0000-0000-0000AD020000}"/>
    <cellStyle name="1_Japan-1Q2003 - Risk Rating Worksheet03.06.2003F_Comparison vs. prior_Q2 2003" xfId="816" xr:uid="{00000000-0005-0000-0000-0000AE020000}"/>
    <cellStyle name="1_SALEM" xfId="817" xr:uid="{00000000-0005-0000-0000-0000AF020000}"/>
    <cellStyle name="1_SALEM_03-05-31 Final OBS Reports" xfId="818" xr:uid="{00000000-0005-0000-0000-0000B0020000}"/>
    <cellStyle name="1_SALEM_GMACCH_Loans_OBS_033103_Final_v2" xfId="819" xr:uid="{00000000-0005-0000-0000-0000B1020000}"/>
    <cellStyle name="1_SALEM_Japan - 3Q02 Risk Rating Worksheet - 101602_Japan" xfId="820" xr:uid="{00000000-0005-0000-0000-0000B2020000}"/>
    <cellStyle name="1_SALEM_Japan - 3Q02 Risk Rating Worksheet - 101602_Japan_Comparison vs. prior_Q2 2003" xfId="821" xr:uid="{00000000-0005-0000-0000-0000B3020000}"/>
    <cellStyle name="1_SALEM_Japan - 4Q2002 - Risk Rating Worksheet_final" xfId="822" xr:uid="{00000000-0005-0000-0000-0000B4020000}"/>
    <cellStyle name="1_SALEM_Japan - 4Q2002 - Risk Rating Worksheet_final_12.11.2002" xfId="823" xr:uid="{00000000-0005-0000-0000-0000B5020000}"/>
    <cellStyle name="1_SALEM_Japan - 4Q2002 - Risk Rating Worksheet_final_12.11.2002_Comparison vs. prior_Q2 2003" xfId="824" xr:uid="{00000000-0005-0000-0000-0000B6020000}"/>
    <cellStyle name="1_SALEM_Japan - 4Q2002 - Risk Rating Worksheet_final_Comparison vs. prior_Q2 2003" xfId="825" xr:uid="{00000000-0005-0000-0000-0000B7020000}"/>
    <cellStyle name="1_SALEM_Japan-1Q2003 - Risk Rating Worksheet03.06.2003F" xfId="826" xr:uid="{00000000-0005-0000-0000-0000B8020000}"/>
    <cellStyle name="1_SALEM_Japan-1Q2003 - Risk Rating Worksheet03.06.2003F_Comparison vs. prior_Q2 2003" xfId="827" xr:uid="{00000000-0005-0000-0000-0000B9020000}"/>
    <cellStyle name="1_SALEM_Sheet1" xfId="828" xr:uid="{00000000-0005-0000-0000-0000BA020000}"/>
    <cellStyle name="1_SALEM_Sheet3" xfId="829" xr:uid="{00000000-0005-0000-0000-0000BB020000}"/>
    <cellStyle name="1_sec8 (2)" xfId="830" xr:uid="{00000000-0005-0000-0000-0000BC020000}"/>
    <cellStyle name="1_sec8 (2)_03-05-31 Final OBS Reports" xfId="831" xr:uid="{00000000-0005-0000-0000-0000BD020000}"/>
    <cellStyle name="1_sec8 (2)_GMACCH_Loans_OBS_033103_Final_v2" xfId="832" xr:uid="{00000000-0005-0000-0000-0000BE020000}"/>
    <cellStyle name="1_sec8 (2)_Japan - 3Q02 Risk Rating Worksheet - 101602_Japan" xfId="833" xr:uid="{00000000-0005-0000-0000-0000BF020000}"/>
    <cellStyle name="1_sec8 (2)_Japan - 3Q02 Risk Rating Worksheet - 101602_Japan_Comparison vs. prior_Q2 2003" xfId="834" xr:uid="{00000000-0005-0000-0000-0000C0020000}"/>
    <cellStyle name="1_sec8 (2)_Japan - 4Q2002 - Risk Rating Worksheet_final" xfId="835" xr:uid="{00000000-0005-0000-0000-0000C1020000}"/>
    <cellStyle name="1_sec8 (2)_Japan - 4Q2002 - Risk Rating Worksheet_final_12.11.2002" xfId="836" xr:uid="{00000000-0005-0000-0000-0000C2020000}"/>
    <cellStyle name="1_sec8 (2)_Japan - 4Q2002 - Risk Rating Worksheet_final_12.11.2002_Comparison vs. prior_Q2 2003" xfId="837" xr:uid="{00000000-0005-0000-0000-0000C3020000}"/>
    <cellStyle name="1_sec8 (2)_Japan - 4Q2002 - Risk Rating Worksheet_final_Comparison vs. prior_Q2 2003" xfId="838" xr:uid="{00000000-0005-0000-0000-0000C4020000}"/>
    <cellStyle name="1_sec8 (2)_Japan-1Q2003 - Risk Rating Worksheet03.06.2003F" xfId="839" xr:uid="{00000000-0005-0000-0000-0000C5020000}"/>
    <cellStyle name="1_sec8 (2)_Japan-1Q2003 - Risk Rating Worksheet03.06.2003F_Comparison vs. prior_Q2 2003" xfId="840" xr:uid="{00000000-0005-0000-0000-0000C6020000}"/>
    <cellStyle name="1_sec8 (2)_Sheet1" xfId="841" xr:uid="{00000000-0005-0000-0000-0000C7020000}"/>
    <cellStyle name="1_sec8 (2)_Sheet3" xfId="842" xr:uid="{00000000-0005-0000-0000-0000C8020000}"/>
    <cellStyle name="1_Sheet1" xfId="843" xr:uid="{00000000-0005-0000-0000-0000C9020000}"/>
    <cellStyle name="1_Sheet3" xfId="844" xr:uid="{00000000-0005-0000-0000-0000CA020000}"/>
    <cellStyle name="2" xfId="845" xr:uid="{00000000-0005-0000-0000-0000CB020000}"/>
    <cellStyle name="2_03-05-31 Final OBS Reports" xfId="846" xr:uid="{00000000-0005-0000-0000-0000CC020000}"/>
    <cellStyle name="2_GMACCH_Loans_OBS_033103_Final_v2" xfId="847" xr:uid="{00000000-0005-0000-0000-0000CD020000}"/>
    <cellStyle name="2_Japan - 3Q02 Risk Rating Worksheet - 101602_Japan" xfId="848" xr:uid="{00000000-0005-0000-0000-0000CE020000}"/>
    <cellStyle name="2_Japan - 3Q02 Risk Rating Worksheet - 101602_Japan_Comparison vs. prior_Q2 2003" xfId="849" xr:uid="{00000000-0005-0000-0000-0000CF020000}"/>
    <cellStyle name="2_Japan - 4Q2002 - Risk Rating Worksheet_final" xfId="850" xr:uid="{00000000-0005-0000-0000-0000D0020000}"/>
    <cellStyle name="2_Japan - 4Q2002 - Risk Rating Worksheet_final_12.11.2002" xfId="851" xr:uid="{00000000-0005-0000-0000-0000D1020000}"/>
    <cellStyle name="2_Japan - 4Q2002 - Risk Rating Worksheet_final_12.11.2002_Comparison vs. prior_Q2 2003" xfId="852" xr:uid="{00000000-0005-0000-0000-0000D2020000}"/>
    <cellStyle name="2_Japan - 4Q2002 - Risk Rating Worksheet_final_Comparison vs. prior_Q2 2003" xfId="853" xr:uid="{00000000-0005-0000-0000-0000D3020000}"/>
    <cellStyle name="2_Japan-1Q2003 - Risk Rating Worksheet03.06.2003F" xfId="854" xr:uid="{00000000-0005-0000-0000-0000D4020000}"/>
    <cellStyle name="2_Japan-1Q2003 - Risk Rating Worksheet03.06.2003F_Comparison vs. prior_Q2 2003" xfId="855" xr:uid="{00000000-0005-0000-0000-0000D5020000}"/>
    <cellStyle name="2_SALEM" xfId="856" xr:uid="{00000000-0005-0000-0000-0000D6020000}"/>
    <cellStyle name="2_SALEM_03-05-31 Final OBS Reports" xfId="857" xr:uid="{00000000-0005-0000-0000-0000D7020000}"/>
    <cellStyle name="2_SALEM_GMACCH_Loans_OBS_033103_Final_v2" xfId="858" xr:uid="{00000000-0005-0000-0000-0000D8020000}"/>
    <cellStyle name="2_SALEM_Japan - 3Q02 Risk Rating Worksheet - 101602_Japan" xfId="859" xr:uid="{00000000-0005-0000-0000-0000D9020000}"/>
    <cellStyle name="2_SALEM_Japan - 3Q02 Risk Rating Worksheet - 101602_Japan_Comparison vs. prior_Q2 2003" xfId="860" xr:uid="{00000000-0005-0000-0000-0000DA020000}"/>
    <cellStyle name="2_SALEM_Japan - 4Q2002 - Risk Rating Worksheet_final" xfId="861" xr:uid="{00000000-0005-0000-0000-0000DB020000}"/>
    <cellStyle name="2_SALEM_Japan - 4Q2002 - Risk Rating Worksheet_final_12.11.2002" xfId="862" xr:uid="{00000000-0005-0000-0000-0000DC020000}"/>
    <cellStyle name="2_SALEM_Japan - 4Q2002 - Risk Rating Worksheet_final_12.11.2002_Comparison vs. prior_Q2 2003" xfId="863" xr:uid="{00000000-0005-0000-0000-0000DD020000}"/>
    <cellStyle name="2_SALEM_Japan - 4Q2002 - Risk Rating Worksheet_final_Comparison vs. prior_Q2 2003" xfId="864" xr:uid="{00000000-0005-0000-0000-0000DE020000}"/>
    <cellStyle name="2_SALEM_Japan-1Q2003 - Risk Rating Worksheet03.06.2003F" xfId="865" xr:uid="{00000000-0005-0000-0000-0000DF020000}"/>
    <cellStyle name="2_SALEM_Japan-1Q2003 - Risk Rating Worksheet03.06.2003F_Comparison vs. prior_Q2 2003" xfId="866" xr:uid="{00000000-0005-0000-0000-0000E0020000}"/>
    <cellStyle name="2_SALEM_Sheet1" xfId="867" xr:uid="{00000000-0005-0000-0000-0000E1020000}"/>
    <cellStyle name="2_SALEM_Sheet3" xfId="868" xr:uid="{00000000-0005-0000-0000-0000E2020000}"/>
    <cellStyle name="2_Sheet1" xfId="869" xr:uid="{00000000-0005-0000-0000-0000E3020000}"/>
    <cellStyle name="2_Sheet3" xfId="870" xr:uid="{00000000-0005-0000-0000-0000E4020000}"/>
    <cellStyle name="3" xfId="871" xr:uid="{00000000-0005-0000-0000-0000E5020000}"/>
    <cellStyle name="3$" xfId="872" xr:uid="{00000000-0005-0000-0000-0000F2020000}"/>
    <cellStyle name="3_03-05-31 Final OBS Reports" xfId="873" xr:uid="{00000000-0005-0000-0000-0000E6020000}"/>
    <cellStyle name="3_GMACCH_Loans_OBS_033103_Final_v2" xfId="874" xr:uid="{00000000-0005-0000-0000-0000E7020000}"/>
    <cellStyle name="3_Japan - 3Q02 Risk Rating Worksheet - 101602_Japan" xfId="875" xr:uid="{00000000-0005-0000-0000-0000E8020000}"/>
    <cellStyle name="3_Japan - 3Q02 Risk Rating Worksheet - 101602_Japan_Comparison vs. prior_Q2 2003" xfId="876" xr:uid="{00000000-0005-0000-0000-0000E9020000}"/>
    <cellStyle name="3_Japan - 4Q2002 - Risk Rating Worksheet_final" xfId="877" xr:uid="{00000000-0005-0000-0000-0000EA020000}"/>
    <cellStyle name="3_Japan - 4Q2002 - Risk Rating Worksheet_final_12.11.2002" xfId="878" xr:uid="{00000000-0005-0000-0000-0000EB020000}"/>
    <cellStyle name="3_Japan - 4Q2002 - Risk Rating Worksheet_final_12.11.2002_Comparison vs. prior_Q2 2003" xfId="879" xr:uid="{00000000-0005-0000-0000-0000EC020000}"/>
    <cellStyle name="3_Japan - 4Q2002 - Risk Rating Worksheet_final_Comparison vs. prior_Q2 2003" xfId="880" xr:uid="{00000000-0005-0000-0000-0000ED020000}"/>
    <cellStyle name="3_Japan-1Q2003 - Risk Rating Worksheet03.06.2003F" xfId="881" xr:uid="{00000000-0005-0000-0000-0000EE020000}"/>
    <cellStyle name="3_Japan-1Q2003 - Risk Rating Worksheet03.06.2003F_Comparison vs. prior_Q2 2003" xfId="882" xr:uid="{00000000-0005-0000-0000-0000EF020000}"/>
    <cellStyle name="3_Sheet1" xfId="883" xr:uid="{00000000-0005-0000-0000-0000F0020000}"/>
    <cellStyle name="3_Sheet3" xfId="884" xr:uid="{00000000-0005-0000-0000-0000F1020000}"/>
    <cellStyle name="A" xfId="885" xr:uid="{00000000-0005-0000-0000-0000F3020000}"/>
    <cellStyle name="Actual Date" xfId="886" xr:uid="{00000000-0005-0000-0000-0000F4020000}"/>
    <cellStyle name="AFE" xfId="887" xr:uid="{00000000-0005-0000-0000-0000F5020000}"/>
    <cellStyle name="ag" xfId="888" xr:uid="{00000000-0005-0000-0000-0000F6020000}"/>
    <cellStyle name="args.style" xfId="889" xr:uid="{00000000-0005-0000-0000-0000F7020000}"/>
    <cellStyle name="Arial 10" xfId="890" xr:uid="{00000000-0005-0000-0000-0000F8020000}"/>
    <cellStyle name="Arial 12" xfId="891" xr:uid="{00000000-0005-0000-0000-0000F9020000}"/>
    <cellStyle name="BLACK" xfId="892" xr:uid="{00000000-0005-0000-0000-0000FA020000}"/>
    <cellStyle name="Blank[,]" xfId="893" xr:uid="{00000000-0005-0000-0000-0000FB020000}"/>
    <cellStyle name="Blank[1%]" xfId="894" xr:uid="{00000000-0005-0000-0000-0000FC020000}"/>
    <cellStyle name="Blue" xfId="895" xr:uid="{00000000-0005-0000-0000-0000FD020000}"/>
    <cellStyle name="blue currency" xfId="896" xr:uid="{00000000-0005-0000-0000-0000FE020000}"/>
    <cellStyle name="BLUE date" xfId="897" xr:uid="{00000000-0005-0000-0000-0000FF020000}"/>
    <cellStyle name="blue$00" xfId="898" xr:uid="{00000000-0005-0000-0000-000001030000}"/>
    <cellStyle name="BLUE_Citrix_2pgr2" xfId="899" xr:uid="{00000000-0005-0000-0000-000000030000}"/>
    <cellStyle name="Body" xfId="900" xr:uid="{00000000-0005-0000-0000-000002030000}"/>
    <cellStyle name="BOLD, 8 POINT" xfId="901" xr:uid="{00000000-0005-0000-0000-000003030000}"/>
    <cellStyle name="BoldItalicNoUnderline" xfId="902" xr:uid="{00000000-0005-0000-0000-000004030000}"/>
    <cellStyle name="BoldSDoubUnderlineBack" xfId="903" xr:uid="{00000000-0005-0000-0000-000005030000}"/>
    <cellStyle name="BoldSingUnderline" xfId="904" xr:uid="{00000000-0005-0000-0000-000006030000}"/>
    <cellStyle name="Border Heavy" xfId="905" xr:uid="{00000000-0005-0000-0000-000007030000}"/>
    <cellStyle name="Border Thin" xfId="906" xr:uid="{00000000-0005-0000-0000-000008030000}"/>
    <cellStyle name="bottomHeavy" xfId="907" xr:uid="{00000000-0005-0000-0000-000009030000}"/>
    <cellStyle name="bottomHeavy-w-left" xfId="908" xr:uid="{00000000-0005-0000-0000-00000A030000}"/>
    <cellStyle name="brad" xfId="909" xr:uid="{00000000-0005-0000-0000-00000B030000}"/>
    <cellStyle name="British Pound" xfId="910" xr:uid="{00000000-0005-0000-0000-00000C030000}"/>
    <cellStyle name="Ç¥ÁØ_¿ù°£¿ä¾àº¸°í" xfId="911" xr:uid="{00000000-0005-0000-0000-00000D030000}"/>
    <cellStyle name="Calc Currency (0)" xfId="912" xr:uid="{00000000-0005-0000-0000-00000E030000}"/>
    <cellStyle name="Calc Currency (2)" xfId="913" xr:uid="{00000000-0005-0000-0000-00000F030000}"/>
    <cellStyle name="Calc Percent (0)" xfId="914" xr:uid="{00000000-0005-0000-0000-000010030000}"/>
    <cellStyle name="Calc Percent (1)" xfId="915" xr:uid="{00000000-0005-0000-0000-000011030000}"/>
    <cellStyle name="Calc Percent (2)" xfId="916" xr:uid="{00000000-0005-0000-0000-000012030000}"/>
    <cellStyle name="Calc Units (0)" xfId="917" xr:uid="{00000000-0005-0000-0000-000013030000}"/>
    <cellStyle name="Calc Units (1)" xfId="918" xr:uid="{00000000-0005-0000-0000-000014030000}"/>
    <cellStyle name="Calc Units (2)" xfId="919" xr:uid="{00000000-0005-0000-0000-000015030000}"/>
    <cellStyle name="caps 0.00" xfId="920" xr:uid="{00000000-0005-0000-0000-000016030000}"/>
    <cellStyle name="capsdate" xfId="921" xr:uid="{00000000-0005-0000-0000-000017030000}"/>
    <cellStyle name="Case" xfId="922" xr:uid="{00000000-0005-0000-0000-000018030000}"/>
    <cellStyle name="Cash Flow Statement" xfId="923" xr:uid="{00000000-0005-0000-0000-000019030000}"/>
    <cellStyle name="Center Across" xfId="924" xr:uid="{00000000-0005-0000-0000-00001A030000}"/>
    <cellStyle name="colheadleft" xfId="925" xr:uid="{00000000-0005-0000-0000-00001B030000}"/>
    <cellStyle name="colheadright" xfId="926" xr:uid="{00000000-0005-0000-0000-00001C030000}"/>
    <cellStyle name="Column Heading" xfId="927" xr:uid="{00000000-0005-0000-0000-00001D030000}"/>
    <cellStyle name="ColumnHeading" xfId="928" xr:uid="{00000000-0005-0000-0000-00001E030000}"/>
    <cellStyle name="Comma [00]" xfId="929" xr:uid="{00000000-0005-0000-0000-000020030000}"/>
    <cellStyle name="Comma [1]" xfId="930" xr:uid="{00000000-0005-0000-0000-000021030000}"/>
    <cellStyle name="Comma 0" xfId="931" xr:uid="{00000000-0005-0000-0000-000022030000}"/>
    <cellStyle name="Comma 0*" xfId="932" xr:uid="{00000000-0005-0000-0000-000023030000}"/>
    <cellStyle name="Comma 2" xfId="3" xr:uid="{00000000-0005-0000-0000-000024030000}"/>
    <cellStyle name="Comma 2 10" xfId="21" xr:uid="{00000000-0005-0000-0000-000025030000}"/>
    <cellStyle name="Comma 2 2" xfId="11" xr:uid="{00000000-0005-0000-0000-000026030000}"/>
    <cellStyle name="Comma 3" xfId="17" xr:uid="{00000000-0005-0000-0000-000027030000}"/>
    <cellStyle name="Comma 4" xfId="19" xr:uid="{00000000-0005-0000-0000-000028030000}"/>
    <cellStyle name="Comma 5" xfId="933" xr:uid="{00000000-0005-0000-0000-000029030000}"/>
    <cellStyle name="Comma 6" xfId="934" xr:uid="{00000000-0005-0000-0000-00002A030000}"/>
    <cellStyle name="Comma 7" xfId="935" xr:uid="{00000000-0005-0000-0000-00002B030000}"/>
    <cellStyle name="Comma 8" xfId="1349" xr:uid="{00000000-0005-0000-0000-00002C030000}"/>
    <cellStyle name="Comma 9" xfId="1358" xr:uid="{DC164E84-3E58-4E35-9903-251FD07BA1A7}"/>
    <cellStyle name="Comma0" xfId="936" xr:uid="{00000000-0005-0000-0000-00002D030000}"/>
    <cellStyle name="Comma0 - Style3" xfId="937" xr:uid="{00000000-0005-0000-0000-00002E030000}"/>
    <cellStyle name="Comma0 - Style5" xfId="938" xr:uid="{00000000-0005-0000-0000-00002F030000}"/>
    <cellStyle name="Comma0_Criteria" xfId="939" xr:uid="{00000000-0005-0000-0000-000030030000}"/>
    <cellStyle name="Comma1 - Style1" xfId="940" xr:uid="{00000000-0005-0000-0000-000031030000}"/>
    <cellStyle name="CommaFixed" xfId="941" xr:uid="{00000000-0005-0000-0000-000032030000}"/>
    <cellStyle name="CommaNoDec" xfId="942" xr:uid="{00000000-0005-0000-0000-000033030000}"/>
    <cellStyle name="CommaNoDecTot" xfId="943" xr:uid="{00000000-0005-0000-0000-000034030000}"/>
    <cellStyle name="CommaTotTop" xfId="944" xr:uid="{00000000-0005-0000-0000-000035030000}"/>
    <cellStyle name="CommaTotTopNoDec" xfId="945" xr:uid="{00000000-0005-0000-0000-000036030000}"/>
    <cellStyle name="Copied" xfId="946" xr:uid="{00000000-0005-0000-0000-000037030000}"/>
    <cellStyle name="COST1" xfId="947" xr:uid="{00000000-0005-0000-0000-000038030000}"/>
    <cellStyle name="Curren - Style2" xfId="948" xr:uid="{00000000-0005-0000-0000-000039030000}"/>
    <cellStyle name="Curren - Style4" xfId="949" xr:uid="{00000000-0005-0000-0000-00003A030000}"/>
    <cellStyle name="Currency [00]" xfId="950" xr:uid="{00000000-0005-0000-0000-00003C030000}"/>
    <cellStyle name="Currency [2]" xfId="951" xr:uid="{00000000-0005-0000-0000-00003D030000}"/>
    <cellStyle name="Currency 0" xfId="952" xr:uid="{00000000-0005-0000-0000-00003E030000}"/>
    <cellStyle name="Currency 2" xfId="4" xr:uid="{00000000-0005-0000-0000-00003F030000}"/>
    <cellStyle name="Currency 2 2" xfId="12" xr:uid="{00000000-0005-0000-0000-000040030000}"/>
    <cellStyle name="Currency 2 3" xfId="1354" xr:uid="{00000000-0005-0000-0000-000041030000}"/>
    <cellStyle name="Currency 3" xfId="953" xr:uid="{00000000-0005-0000-0000-000042030000}"/>
    <cellStyle name="Currency 4" xfId="954" xr:uid="{00000000-0005-0000-0000-000043030000}"/>
    <cellStyle name="Currency 5" xfId="955" xr:uid="{00000000-0005-0000-0000-000044030000}"/>
    <cellStyle name="Currency 6" xfId="956" xr:uid="{00000000-0005-0000-0000-000045030000}"/>
    <cellStyle name="Currency 7" xfId="957" xr:uid="{00000000-0005-0000-0000-000046030000}"/>
    <cellStyle name="Currency 8" xfId="1357" xr:uid="{E3B2DBE1-D04C-412B-9A10-6043A65E5AC8}"/>
    <cellStyle name="Currency0" xfId="958" xr:uid="{00000000-0005-0000-0000-000047030000}"/>
    <cellStyle name="Currency1" xfId="959" xr:uid="{00000000-0005-0000-0000-000048030000}"/>
    <cellStyle name="CurrencyTotTop[" xfId="960" xr:uid="{00000000-0005-0000-0000-000049030000}"/>
    <cellStyle name="D" xfId="961" xr:uid="{00000000-0005-0000-0000-00004A030000}"/>
    <cellStyle name="Date" xfId="962" xr:uid="{00000000-0005-0000-0000-00004B030000}"/>
    <cellStyle name="Date Aligned" xfId="963" xr:uid="{00000000-0005-0000-0000-00004C030000}"/>
    <cellStyle name="date month-year" xfId="964" xr:uid="{00000000-0005-0000-0000-00004D030000}"/>
    <cellStyle name="Date Short" xfId="965" xr:uid="{00000000-0005-0000-0000-00004E030000}"/>
    <cellStyle name="date_09.01.01_Property_Tax_Basis1" xfId="966" xr:uid="{00000000-0005-0000-0000-00004F030000}"/>
    <cellStyle name="Date1" xfId="967" xr:uid="{00000000-0005-0000-0000-000050030000}"/>
    <cellStyle name="DATETIME" xfId="968" xr:uid="{00000000-0005-0000-0000-000051030000}"/>
    <cellStyle name="decimal 0" xfId="969" xr:uid="{00000000-0005-0000-0000-000052030000}"/>
    <cellStyle name="decimal 1" xfId="970" xr:uid="{00000000-0005-0000-0000-000053030000}"/>
    <cellStyle name="decimal 2" xfId="971" xr:uid="{00000000-0005-0000-0000-000054030000}"/>
    <cellStyle name="Dollar" xfId="972" xr:uid="{00000000-0005-0000-0000-000055030000}"/>
    <cellStyle name="Dollar1" xfId="973" xr:uid="{00000000-0005-0000-0000-000056030000}"/>
    <cellStyle name="Dollar1Blue" xfId="974" xr:uid="{00000000-0005-0000-0000-000057030000}"/>
    <cellStyle name="Dollar2" xfId="975" xr:uid="{00000000-0005-0000-0000-000058030000}"/>
    <cellStyle name="Dotted Line" xfId="976" xr:uid="{00000000-0005-0000-0000-000059030000}"/>
    <cellStyle name="Double Accounting" xfId="977" xr:uid="{00000000-0005-0000-0000-00005A030000}"/>
    <cellStyle name="dp*Accent" xfId="978" xr:uid="{00000000-0005-0000-0000-00005B030000}"/>
    <cellStyle name="dp*ChartSubTitle" xfId="979" xr:uid="{00000000-0005-0000-0000-00005C030000}"/>
    <cellStyle name="dp*ChartTitle" xfId="980" xr:uid="{00000000-0005-0000-0000-00005D030000}"/>
    <cellStyle name="dp*ColumnHeading1" xfId="981" xr:uid="{00000000-0005-0000-0000-00005E030000}"/>
    <cellStyle name="dp*ColumnHeading2" xfId="982" xr:uid="{00000000-0005-0000-0000-00005F030000}"/>
    <cellStyle name="dp*ColumnHeadingDate" xfId="983" xr:uid="{00000000-0005-0000-0000-000060030000}"/>
    <cellStyle name="dp*FiscalDate" xfId="984" xr:uid="{00000000-0005-0000-0000-000061030000}"/>
    <cellStyle name="dp*Footnote" xfId="985" xr:uid="{00000000-0005-0000-0000-000062030000}"/>
    <cellStyle name="dp*Information" xfId="986" xr:uid="{00000000-0005-0000-0000-000063030000}"/>
    <cellStyle name="dp*LabelItalics" xfId="987" xr:uid="{00000000-0005-0000-0000-000064030000}"/>
    <cellStyle name="dp*LabelItalicsLineAbove" xfId="988" xr:uid="{00000000-0005-0000-0000-000065030000}"/>
    <cellStyle name="dp*LabelLine" xfId="989" xr:uid="{00000000-0005-0000-0000-000066030000}"/>
    <cellStyle name="dp*Labels" xfId="990" xr:uid="{00000000-0005-0000-0000-000067030000}"/>
    <cellStyle name="dp*Normal" xfId="991" xr:uid="{00000000-0005-0000-0000-000068030000}"/>
    <cellStyle name="dp*NormalCurrency1Dec." xfId="992" xr:uid="{00000000-0005-0000-0000-000069030000}"/>
    <cellStyle name="dp*NormalCurrency2Dec." xfId="993" xr:uid="{00000000-0005-0000-0000-00006A030000}"/>
    <cellStyle name="dp*Number%Italics" xfId="994" xr:uid="{00000000-0005-0000-0000-00006B030000}"/>
    <cellStyle name="dp*Number%ItalicsLineAbove" xfId="995" xr:uid="{00000000-0005-0000-0000-00006C030000}"/>
    <cellStyle name="dp*NumberCurrencyLine" xfId="996" xr:uid="{00000000-0005-0000-0000-00006D030000}"/>
    <cellStyle name="dp*NumberGeneral" xfId="997" xr:uid="{00000000-0005-0000-0000-00006E030000}"/>
    <cellStyle name="dp*NumberGeneral2Dec." xfId="998" xr:uid="{00000000-0005-0000-0000-00006F030000}"/>
    <cellStyle name="dp*NumberLine" xfId="999" xr:uid="{00000000-0005-0000-0000-000070030000}"/>
    <cellStyle name="dp*NumberLineEPS" xfId="1000" xr:uid="{00000000-0005-0000-0000-000071030000}"/>
    <cellStyle name="dp*NumberSpecial" xfId="1001" xr:uid="{00000000-0005-0000-0000-000072030000}"/>
    <cellStyle name="dp*RatioX" xfId="1002" xr:uid="{00000000-0005-0000-0000-000073030000}"/>
    <cellStyle name="dp*SeriesName" xfId="1003" xr:uid="{00000000-0005-0000-0000-000074030000}"/>
    <cellStyle name="dp*SheetSubTitle" xfId="1004" xr:uid="{00000000-0005-0000-0000-000075030000}"/>
    <cellStyle name="dp*SheetTitle" xfId="1005" xr:uid="{00000000-0005-0000-0000-000076030000}"/>
    <cellStyle name="dp*SubTitle" xfId="1006" xr:uid="{00000000-0005-0000-0000-000077030000}"/>
    <cellStyle name="dp*ThickLineAbove" xfId="1007" xr:uid="{00000000-0005-0000-0000-000078030000}"/>
    <cellStyle name="dp*ThickLineBelow" xfId="1008" xr:uid="{00000000-0005-0000-0000-000079030000}"/>
    <cellStyle name="dp*ThinLineAbove" xfId="1009" xr:uid="{00000000-0005-0000-0000-00007A030000}"/>
    <cellStyle name="dp*ThinLineBelow" xfId="1010" xr:uid="{00000000-0005-0000-0000-00007B030000}"/>
    <cellStyle name="dp*XAxisTitle" xfId="1011" xr:uid="{00000000-0005-0000-0000-00007C030000}"/>
    <cellStyle name="dp*Y2AxisTitle" xfId="1012" xr:uid="{00000000-0005-0000-0000-00007D030000}"/>
    <cellStyle name="dp*YAxisTitle" xfId="1013" xr:uid="{00000000-0005-0000-0000-00007E030000}"/>
    <cellStyle name="Driver" xfId="1014" xr:uid="{00000000-0005-0000-0000-00007F030000}"/>
    <cellStyle name="Enter Currency (0)" xfId="1015" xr:uid="{00000000-0005-0000-0000-000080030000}"/>
    <cellStyle name="Enter Currency (2)" xfId="1016" xr:uid="{00000000-0005-0000-0000-000081030000}"/>
    <cellStyle name="Enter Units (0)" xfId="1017" xr:uid="{00000000-0005-0000-0000-000082030000}"/>
    <cellStyle name="Enter Units (1)" xfId="1018" xr:uid="{00000000-0005-0000-0000-000083030000}"/>
    <cellStyle name="Enter Units (2)" xfId="1019" xr:uid="{00000000-0005-0000-0000-000084030000}"/>
    <cellStyle name="Entered" xfId="1020" xr:uid="{00000000-0005-0000-0000-000085030000}"/>
    <cellStyle name="Euro" xfId="1021" xr:uid="{00000000-0005-0000-0000-000086030000}"/>
    <cellStyle name="EvenBodyShade" xfId="1022" xr:uid="{00000000-0005-0000-0000-000087030000}"/>
    <cellStyle name="EvenBodyShade 2" xfId="1023" xr:uid="{00000000-0005-0000-0000-000088030000}"/>
    <cellStyle name="EvenBodyShade 3" xfId="1024" xr:uid="{00000000-0005-0000-0000-000089030000}"/>
    <cellStyle name="EvenBodyShade 4" xfId="1025" xr:uid="{00000000-0005-0000-0000-00008A030000}"/>
    <cellStyle name="EvenBodyShade 5" xfId="1026" xr:uid="{00000000-0005-0000-0000-00008B030000}"/>
    <cellStyle name="EvenBodyShade 9" xfId="1027" xr:uid="{00000000-0005-0000-0000-00008C030000}"/>
    <cellStyle name="EY House" xfId="1028" xr:uid="{00000000-0005-0000-0000-00008D030000}"/>
    <cellStyle name="F1" xfId="1029" xr:uid="{00000000-0005-0000-0000-00008E030000}"/>
    <cellStyle name="Fixed" xfId="1030" xr:uid="{00000000-0005-0000-0000-00008F030000}"/>
    <cellStyle name="Fixed4 - Style4" xfId="1031" xr:uid="{00000000-0005-0000-0000-000090030000}"/>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335" builtinId="9" hidden="1"/>
    <cellStyle name="Followed Hyperlink" xfId="1336" builtinId="9" hidden="1"/>
    <cellStyle name="Followed Hyperlink" xfId="1337" builtinId="9" hidden="1"/>
    <cellStyle name="Followed Hyperlink" xfId="1341" builtinId="9" hidden="1"/>
    <cellStyle name="Followed Hyperlink" xfId="1343" builtinId="9" hidden="1"/>
    <cellStyle name="Followed Hyperlink" xfId="1345" builtinId="9" hidden="1"/>
    <cellStyle name="Followed Hyperlink" xfId="117" builtinId="9" hidden="1"/>
    <cellStyle name="Followed Hyperlink" xfId="101"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69"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25" builtinId="9" hidden="1"/>
    <cellStyle name="Followed Hyperlink" xfId="26" builtinId="9" hidden="1"/>
    <cellStyle name="Followed Hyperlink" xfId="24" builtinId="9" hidden="1"/>
    <cellStyle name="Footnote" xfId="1032" xr:uid="{00000000-0005-0000-0000-0000FD030000}"/>
    <cellStyle name="general" xfId="1033" xr:uid="{00000000-0005-0000-0000-0000FE030000}"/>
    <cellStyle name="Good 2" xfId="1344" xr:uid="{00000000-0005-0000-0000-0000FF030000}"/>
    <cellStyle name="GrandTotal" xfId="1034" xr:uid="{00000000-0005-0000-0000-000000040000}"/>
    <cellStyle name="Grey" xfId="1035" xr:uid="{00000000-0005-0000-0000-000001040000}"/>
    <cellStyle name="Hard Percent" xfId="1036" xr:uid="{00000000-0005-0000-0000-000002040000}"/>
    <cellStyle name="Head 1" xfId="1037" xr:uid="{00000000-0005-0000-0000-000003040000}"/>
    <cellStyle name="Head0" xfId="1038" xr:uid="{00000000-0005-0000-0000-000004040000}"/>
    <cellStyle name="Head1" xfId="1039" xr:uid="{00000000-0005-0000-0000-000005040000}"/>
    <cellStyle name="Head2" xfId="1040" xr:uid="{00000000-0005-0000-0000-000006040000}"/>
    <cellStyle name="Head3" xfId="1041" xr:uid="{00000000-0005-0000-0000-000007040000}"/>
    <cellStyle name="Head4" xfId="1042" xr:uid="{00000000-0005-0000-0000-000008040000}"/>
    <cellStyle name="Head5" xfId="1043" xr:uid="{00000000-0005-0000-0000-000009040000}"/>
    <cellStyle name="Head6" xfId="1044" xr:uid="{00000000-0005-0000-0000-00000A040000}"/>
    <cellStyle name="Head7" xfId="1045" xr:uid="{00000000-0005-0000-0000-00000B040000}"/>
    <cellStyle name="Head8" xfId="1046" xr:uid="{00000000-0005-0000-0000-00000C040000}"/>
    <cellStyle name="Head9" xfId="1047" xr:uid="{00000000-0005-0000-0000-00000D040000}"/>
    <cellStyle name="HEADER" xfId="1048" xr:uid="{00000000-0005-0000-0000-00000E040000}"/>
    <cellStyle name="Header1" xfId="1049" xr:uid="{00000000-0005-0000-0000-00000F040000}"/>
    <cellStyle name="Header2" xfId="1050" xr:uid="{00000000-0005-0000-0000-000010040000}"/>
    <cellStyle name="Heading" xfId="1051" xr:uid="{00000000-0005-0000-0000-000011040000}"/>
    <cellStyle name="Heading 2 2" xfId="1350" xr:uid="{00000000-0005-0000-0000-000012040000}"/>
    <cellStyle name="Heading Left" xfId="1052" xr:uid="{00000000-0005-0000-0000-000013040000}"/>
    <cellStyle name="Heading Right" xfId="1053" xr:uid="{00000000-0005-0000-0000-000014040000}"/>
    <cellStyle name="Heading1" xfId="1054" xr:uid="{00000000-0005-0000-0000-000015040000}"/>
    <cellStyle name="Heading2" xfId="1055" xr:uid="{00000000-0005-0000-0000-000016040000}"/>
    <cellStyle name="HeadingS" xfId="1056" xr:uid="{00000000-0005-0000-0000-000017040000}"/>
    <cellStyle name="HEADINGSTOP" xfId="1057" xr:uid="{00000000-0005-0000-0000-000018040000}"/>
    <cellStyle name="Headline" xfId="1058" xr:uid="{00000000-0005-0000-0000-000019040000}"/>
    <cellStyle name="HeadShade" xfId="1059" xr:uid="{00000000-0005-0000-0000-00001A040000}"/>
    <cellStyle name="HeadShade 2" xfId="1060" xr:uid="{00000000-0005-0000-0000-00001B040000}"/>
    <cellStyle name="HeadShade 3" xfId="1061" xr:uid="{00000000-0005-0000-0000-00001C040000}"/>
    <cellStyle name="HeadShade 4" xfId="1062" xr:uid="{00000000-0005-0000-0000-00001D040000}"/>
    <cellStyle name="HeadShade 5" xfId="1063" xr:uid="{00000000-0005-0000-0000-00001E040000}"/>
    <cellStyle name="HeadShade 9" xfId="1064" xr:uid="{00000000-0005-0000-0000-00001F040000}"/>
    <cellStyle name="helv narrow 8" xfId="1065" xr:uid="{00000000-0005-0000-0000-000020040000}"/>
    <cellStyle name="Hidden" xfId="1066" xr:uid="{00000000-0005-0000-0000-000021040000}"/>
    <cellStyle name="Hide" xfId="1067" xr:uid="{00000000-0005-0000-0000-000022040000}"/>
    <cellStyle name="HIGHLIGHT" xfId="1068" xr:uid="{00000000-0005-0000-0000-000023040000}"/>
    <cellStyle name="Hyperlink" xfId="1342" builtinId="8" hidden="1"/>
    <cellStyle name="Hyperlink" xfId="1340" builtinId="8" hidden="1"/>
    <cellStyle name="Hyperlink 2" xfId="1356" xr:uid="{3D23AB57-93B8-4255-940A-082865DDDD0E}"/>
    <cellStyle name="I" xfId="1069" xr:uid="{00000000-0005-0000-0000-000026040000}"/>
    <cellStyle name="Input [yellow]" xfId="1070" xr:uid="{00000000-0005-0000-0000-000027040000}"/>
    <cellStyle name="Input Comma" xfId="1071" xr:uid="{00000000-0005-0000-0000-000028040000}"/>
    <cellStyle name="Input Comma [0]" xfId="1072" xr:uid="{00000000-0005-0000-0000-000029040000}"/>
    <cellStyle name="Input Currency" xfId="1073" xr:uid="{00000000-0005-0000-0000-00002A040000}"/>
    <cellStyle name="Input Currency [0]" xfId="1074" xr:uid="{00000000-0005-0000-0000-00002B040000}"/>
    <cellStyle name="Input Percent" xfId="1075" xr:uid="{00000000-0005-0000-0000-00002C040000}"/>
    <cellStyle name="Input Percent [0]" xfId="1076" xr:uid="{00000000-0005-0000-0000-00002D040000}"/>
    <cellStyle name="Inputs" xfId="1077" xr:uid="{00000000-0005-0000-0000-00002E040000}"/>
    <cellStyle name="Italics" xfId="1078" xr:uid="{00000000-0005-0000-0000-00002F040000}"/>
    <cellStyle name="Lable8Left" xfId="1079" xr:uid="{00000000-0005-0000-0000-000030040000}"/>
    <cellStyle name="left" xfId="1080" xr:uid="{00000000-0005-0000-0000-000031040000}"/>
    <cellStyle name="Ligne" xfId="1081" xr:uid="{00000000-0005-0000-0000-000032040000}"/>
    <cellStyle name="Lines" xfId="1082" xr:uid="{00000000-0005-0000-0000-000033040000}"/>
    <cellStyle name="Link Currency (0)" xfId="1083" xr:uid="{00000000-0005-0000-0000-000034040000}"/>
    <cellStyle name="Link Currency (2)" xfId="1084" xr:uid="{00000000-0005-0000-0000-000035040000}"/>
    <cellStyle name="Link Units (0)" xfId="1085" xr:uid="{00000000-0005-0000-0000-000036040000}"/>
    <cellStyle name="Link Units (1)" xfId="1086" xr:uid="{00000000-0005-0000-0000-000037040000}"/>
    <cellStyle name="Link Units (2)" xfId="1087" xr:uid="{00000000-0005-0000-0000-000038040000}"/>
    <cellStyle name="Linked" xfId="1088" xr:uid="{00000000-0005-0000-0000-000039040000}"/>
    <cellStyle name="LISAM" xfId="1089" xr:uid="{00000000-0005-0000-0000-00003A040000}"/>
    <cellStyle name="M" xfId="1090" xr:uid="{00000000-0005-0000-0000-00003B040000}"/>
    <cellStyle name="Margins" xfId="1091" xr:uid="{00000000-0005-0000-0000-00003C040000}"/>
    <cellStyle name="Migliaia (0)_Foglio1 (2)" xfId="1092" xr:uid="{00000000-0005-0000-0000-00003D040000}"/>
    <cellStyle name="Migliaia_Foglio1 (2)" xfId="1093" xr:uid="{00000000-0005-0000-0000-00003E040000}"/>
    <cellStyle name="Millares [0]_results" xfId="1094" xr:uid="{00000000-0005-0000-0000-00003F040000}"/>
    <cellStyle name="Millares_results" xfId="1095" xr:uid="{00000000-0005-0000-0000-000040040000}"/>
    <cellStyle name="Milliers [0]_!!!GO" xfId="1096" xr:uid="{00000000-0005-0000-0000-000041040000}"/>
    <cellStyle name="Milliers_!!!GO" xfId="1097" xr:uid="{00000000-0005-0000-0000-000042040000}"/>
    <cellStyle name="Moeda [0]_Arrendamiraflores" xfId="1098" xr:uid="{00000000-0005-0000-0000-000043040000}"/>
    <cellStyle name="Moeda_Arrendamiraflores" xfId="1099" xr:uid="{00000000-0005-0000-0000-000044040000}"/>
    <cellStyle name="Moneda [0]_results" xfId="1100" xr:uid="{00000000-0005-0000-0000-000045040000}"/>
    <cellStyle name="Moneda_results" xfId="1101" xr:uid="{00000000-0005-0000-0000-000046040000}"/>
    <cellStyle name="Monétaire [0]_!!!GO" xfId="1102" xr:uid="{00000000-0005-0000-0000-000047040000}"/>
    <cellStyle name="Monétaire_!!!GO" xfId="1103" xr:uid="{00000000-0005-0000-0000-000048040000}"/>
    <cellStyle name="MSectionHeadings" xfId="1104" xr:uid="{00000000-0005-0000-0000-000049040000}"/>
    <cellStyle name="Multiple" xfId="1105" xr:uid="{00000000-0005-0000-0000-00004A040000}"/>
    <cellStyle name="Multiple (no x)" xfId="1106" xr:uid="{00000000-0005-0000-0000-00004B040000}"/>
    <cellStyle name="Multiple (with x)" xfId="1107" xr:uid="{00000000-0005-0000-0000-00004C040000}"/>
    <cellStyle name="Multiple_09.01.01_Property_Tax_Basis1" xfId="1108" xr:uid="{00000000-0005-0000-0000-00004D040000}"/>
    <cellStyle name="no dec" xfId="1109" xr:uid="{00000000-0005-0000-0000-00004E040000}"/>
    <cellStyle name="nodle1" xfId="1110" xr:uid="{00000000-0005-0000-0000-00004F040000}"/>
    <cellStyle name="Normal" xfId="0" builtinId="0"/>
    <cellStyle name="Normal - Style1" xfId="1111" xr:uid="{00000000-0005-0000-0000-000051040000}"/>
    <cellStyle name="Normal 10" xfId="1346" xr:uid="{00000000-0005-0000-0000-000052040000}"/>
    <cellStyle name="Normal 11" xfId="1347" xr:uid="{00000000-0005-0000-0000-000053040000}"/>
    <cellStyle name="Normal 12" xfId="1351" xr:uid="{00000000-0005-0000-0000-000054040000}"/>
    <cellStyle name="Normal 13" xfId="1348" xr:uid="{00000000-0005-0000-0000-000055040000}"/>
    <cellStyle name="Normal 14" xfId="1359" xr:uid="{7330EED2-B70A-9746-A6EF-B661D9350968}"/>
    <cellStyle name="Normal 15" xfId="1360" xr:uid="{C1D92FBB-4500-4B45-86B4-09D6E4938AA8}"/>
    <cellStyle name="Normal 16" xfId="1361" xr:uid="{E212890D-3341-7543-A13A-E3AE4E92FFD3}"/>
    <cellStyle name="Normal 2" xfId="2" xr:uid="{00000000-0005-0000-0000-000056040000}"/>
    <cellStyle name="Normal 2 2" xfId="5" xr:uid="{00000000-0005-0000-0000-000057040000}"/>
    <cellStyle name="Normal 2 3" xfId="9" xr:uid="{00000000-0005-0000-0000-000058040000}"/>
    <cellStyle name="Normal 2 4" xfId="1355" xr:uid="{00000000-0005-0000-0000-000059040000}"/>
    <cellStyle name="Normal 3" xfId="6" xr:uid="{00000000-0005-0000-0000-00005A040000}"/>
    <cellStyle name="Normal 3 3" xfId="20" xr:uid="{00000000-0005-0000-0000-00005B040000}"/>
    <cellStyle name="Normal 4" xfId="15" xr:uid="{00000000-0005-0000-0000-00005C040000}"/>
    <cellStyle name="Normal 4 2" xfId="22" xr:uid="{00000000-0005-0000-0000-00005D040000}"/>
    <cellStyle name="Normal 5" xfId="18" xr:uid="{00000000-0005-0000-0000-00005E040000}"/>
    <cellStyle name="Normal 6" xfId="126" xr:uid="{00000000-0005-0000-0000-00005F040000}"/>
    <cellStyle name="Normal 6 2" xfId="1333" xr:uid="{00000000-0005-0000-0000-000060040000}"/>
    <cellStyle name="Normal 6 3" xfId="1352" xr:uid="{00000000-0005-0000-0000-000061040000}"/>
    <cellStyle name="Normal 7" xfId="128" xr:uid="{00000000-0005-0000-0000-000062040000}"/>
    <cellStyle name="Normal 7 2" xfId="1331" xr:uid="{00000000-0005-0000-0000-000063040000}"/>
    <cellStyle name="Normal 7 3" xfId="1338" xr:uid="{00000000-0005-0000-0000-000064040000}"/>
    <cellStyle name="Normal 8" xfId="1112" xr:uid="{00000000-0005-0000-0000-000065040000}"/>
    <cellStyle name="Normal 9" xfId="1330" xr:uid="{00000000-0005-0000-0000-000066040000}"/>
    <cellStyle name="Normal_Simple pro-forma" xfId="14" xr:uid="{00000000-0005-0000-0000-000068040000}"/>
    <cellStyle name="NormalBack" xfId="1113" xr:uid="{00000000-0005-0000-0000-00006A040000}"/>
    <cellStyle name="NormalBorder" xfId="1114" xr:uid="{00000000-0005-0000-0000-00006B040000}"/>
    <cellStyle name="Normale_INVENTARIO AL 31.12.99 Con composizioni2BUSSI" xfId="1115" xr:uid="{00000000-0005-0000-0000-00006C040000}"/>
    <cellStyle name="NormalGB" xfId="1116" xr:uid="{00000000-0005-0000-0000-00006D040000}"/>
    <cellStyle name="NormalLeft" xfId="1117" xr:uid="{00000000-0005-0000-0000-00006E040000}"/>
    <cellStyle name="NormalNumber%" xfId="1118" xr:uid="{00000000-0005-0000-0000-00006F040000}"/>
    <cellStyle name="NormalRightNum" xfId="1119" xr:uid="{00000000-0005-0000-0000-000070040000}"/>
    <cellStyle name="NormalRightPercent" xfId="1120" xr:uid="{00000000-0005-0000-0000-000071040000}"/>
    <cellStyle name="nPlode" xfId="1121" xr:uid="{00000000-0005-0000-0000-000072040000}"/>
    <cellStyle name="nPlode1" xfId="1122" xr:uid="{00000000-0005-0000-0000-000073040000}"/>
    <cellStyle name="nPlode2" xfId="1123" xr:uid="{00000000-0005-0000-0000-000074040000}"/>
    <cellStyle name="nPlode3" xfId="1124" xr:uid="{00000000-0005-0000-0000-000075040000}"/>
    <cellStyle name="nPlosion" xfId="1125" xr:uid="{00000000-0005-0000-0000-000076040000}"/>
    <cellStyle name="NPRO" xfId="1126" xr:uid="{00000000-0005-0000-0000-000077040000}"/>
    <cellStyle name="Num0Un" xfId="1127" xr:uid="{00000000-0005-0000-0000-000078040000}"/>
    <cellStyle name="Num1" xfId="1128" xr:uid="{00000000-0005-0000-0000-000079040000}"/>
    <cellStyle name="Num1Blue" xfId="1129" xr:uid="{00000000-0005-0000-0000-00007A040000}"/>
    <cellStyle name="Num2" xfId="1130" xr:uid="{00000000-0005-0000-0000-00007B040000}"/>
    <cellStyle name="Num2Un" xfId="1131" xr:uid="{00000000-0005-0000-0000-00007C040000}"/>
    <cellStyle name="Number" xfId="1132" xr:uid="{00000000-0005-0000-0000-00007D040000}"/>
    <cellStyle name="OddBodyShade" xfId="1133" xr:uid="{00000000-0005-0000-0000-00007E040000}"/>
    <cellStyle name="OddBodyShade 2" xfId="1134" xr:uid="{00000000-0005-0000-0000-00007F040000}"/>
    <cellStyle name="OddBodyShade 3" xfId="1135" xr:uid="{00000000-0005-0000-0000-000080040000}"/>
    <cellStyle name="OddBodyShade 4" xfId="1136" xr:uid="{00000000-0005-0000-0000-000081040000}"/>
    <cellStyle name="OddBodyShade 5" xfId="1137" xr:uid="{00000000-0005-0000-0000-000082040000}"/>
    <cellStyle name="OddBodyShade 9" xfId="1138" xr:uid="{00000000-0005-0000-0000-000083040000}"/>
    <cellStyle name="Œ…‹æØ‚è [0.00]_!!!GO" xfId="1139" xr:uid="{00000000-0005-0000-0000-000084040000}"/>
    <cellStyle name="Œ…‹æØ‚è_!!!GO" xfId="1140" xr:uid="{00000000-0005-0000-0000-000085040000}"/>
    <cellStyle name="One Pager Input" xfId="1141" xr:uid="{00000000-0005-0000-0000-000086040000}"/>
    <cellStyle name="OutlineSpec" xfId="1142" xr:uid="{00000000-0005-0000-0000-000087040000}"/>
    <cellStyle name="Output Amounts" xfId="1143" xr:uid="{00000000-0005-0000-0000-000088040000}"/>
    <cellStyle name="Output Column Headings" xfId="1144" xr:uid="{00000000-0005-0000-0000-000089040000}"/>
    <cellStyle name="Output Line Items" xfId="1145" xr:uid="{00000000-0005-0000-0000-00008A040000}"/>
    <cellStyle name="Output Report Heading" xfId="1146" xr:uid="{00000000-0005-0000-0000-00008B040000}"/>
    <cellStyle name="Output Report Title" xfId="1147" xr:uid="{00000000-0005-0000-0000-00008C040000}"/>
    <cellStyle name="Overscore" xfId="1148" xr:uid="{00000000-0005-0000-0000-00008D040000}"/>
    <cellStyle name="Overscore 2" xfId="1149" xr:uid="{00000000-0005-0000-0000-00008E040000}"/>
    <cellStyle name="Overscore 3" xfId="1150" xr:uid="{00000000-0005-0000-0000-00008F040000}"/>
    <cellStyle name="Overscore 4" xfId="1151" xr:uid="{00000000-0005-0000-0000-000090040000}"/>
    <cellStyle name="Overscore 5" xfId="1152" xr:uid="{00000000-0005-0000-0000-000091040000}"/>
    <cellStyle name="Overscore 9" xfId="1153" xr:uid="{00000000-0005-0000-0000-000092040000}"/>
    <cellStyle name="Overunder" xfId="1154" xr:uid="{00000000-0005-0000-0000-000093040000}"/>
    <cellStyle name="P" xfId="1155" xr:uid="{00000000-0005-0000-0000-000094040000}"/>
    <cellStyle name="Page Heading" xfId="1156" xr:uid="{00000000-0005-0000-0000-000095040000}"/>
    <cellStyle name="Page Heading Large" xfId="1157" xr:uid="{00000000-0005-0000-0000-000096040000}"/>
    <cellStyle name="Page Heading Small" xfId="1158" xr:uid="{00000000-0005-0000-0000-000097040000}"/>
    <cellStyle name="Page Number" xfId="1159" xr:uid="{00000000-0005-0000-0000-000098040000}"/>
    <cellStyle name="Page Title (Blue/Gray)" xfId="1160" xr:uid="{00000000-0005-0000-0000-000099040000}"/>
    <cellStyle name="patterns" xfId="1161" xr:uid="{00000000-0005-0000-0000-00009A040000}"/>
    <cellStyle name="PB Table Heading" xfId="1162" xr:uid="{00000000-0005-0000-0000-00009B040000}"/>
    <cellStyle name="PB Table Highlight1" xfId="1163" xr:uid="{00000000-0005-0000-0000-00009C040000}"/>
    <cellStyle name="PB Table Highlight2" xfId="1164" xr:uid="{00000000-0005-0000-0000-00009D040000}"/>
    <cellStyle name="PB Table Highlight3" xfId="1165" xr:uid="{00000000-0005-0000-0000-00009E040000}"/>
    <cellStyle name="PB Table Standard Row" xfId="1166" xr:uid="{00000000-0005-0000-0000-00009F040000}"/>
    <cellStyle name="PB Table Subtotal Row" xfId="1167" xr:uid="{00000000-0005-0000-0000-0000A0040000}"/>
    <cellStyle name="PB Table Total Row" xfId="1168" xr:uid="{00000000-0005-0000-0000-0000A1040000}"/>
    <cellStyle name="pb_page_heading_LS" xfId="1169" xr:uid="{00000000-0005-0000-0000-0000A2040000}"/>
    <cellStyle name="per.style" xfId="1170" xr:uid="{00000000-0005-0000-0000-0000A3040000}"/>
    <cellStyle name="Perc1" xfId="1171" xr:uid="{00000000-0005-0000-0000-0000A4040000}"/>
    <cellStyle name="Percen - Style1" xfId="1172" xr:uid="{00000000-0005-0000-0000-0000A5040000}"/>
    <cellStyle name="Percen - Style2" xfId="1173" xr:uid="{00000000-0005-0000-0000-0000A6040000}"/>
    <cellStyle name="Percen - Style3" xfId="1174" xr:uid="{00000000-0005-0000-0000-0000A7040000}"/>
    <cellStyle name="Percent" xfId="1" builtinId="5"/>
    <cellStyle name="Percent [0%]" xfId="1175" xr:uid="{00000000-0005-0000-0000-0000AB040000}"/>
    <cellStyle name="Percent [0.00%]" xfId="1176" xr:uid="{00000000-0005-0000-0000-0000A9040000}"/>
    <cellStyle name="Percent [0]" xfId="1177" xr:uid="{00000000-0005-0000-0000-0000AA040000}"/>
    <cellStyle name="Percent [00]" xfId="1178" xr:uid="{00000000-0005-0000-0000-0000AC040000}"/>
    <cellStyle name="Percent [2]" xfId="1179" xr:uid="{00000000-0005-0000-0000-0000AD040000}"/>
    <cellStyle name="percent 1 decimal" xfId="1180" xr:uid="{00000000-0005-0000-0000-0000AE040000}"/>
    <cellStyle name="Percent 2" xfId="7" xr:uid="{00000000-0005-0000-0000-0000AF040000}"/>
    <cellStyle name="Percent 2 2" xfId="8" xr:uid="{00000000-0005-0000-0000-0000B0040000}"/>
    <cellStyle name="Percent 2 2 2" xfId="23" xr:uid="{00000000-0005-0000-0000-0000B1040000}"/>
    <cellStyle name="Percent 2 3" xfId="10" xr:uid="{00000000-0005-0000-0000-0000B2040000}"/>
    <cellStyle name="percent 2 decimal" xfId="1181" xr:uid="{00000000-0005-0000-0000-0000B3040000}"/>
    <cellStyle name="Percent 3" xfId="13" xr:uid="{00000000-0005-0000-0000-0000B4040000}"/>
    <cellStyle name="Percent 4" xfId="16" xr:uid="{00000000-0005-0000-0000-0000B5040000}"/>
    <cellStyle name="Percent 5" xfId="127" xr:uid="{00000000-0005-0000-0000-0000B6040000}"/>
    <cellStyle name="Percent 5 2" xfId="1334" xr:uid="{00000000-0005-0000-0000-0000B7040000}"/>
    <cellStyle name="Percent 5 3" xfId="1353" xr:uid="{00000000-0005-0000-0000-0000B8040000}"/>
    <cellStyle name="Percent 6" xfId="129" xr:uid="{00000000-0005-0000-0000-0000B9040000}"/>
    <cellStyle name="Percent 6 2" xfId="1332" xr:uid="{00000000-0005-0000-0000-0000BA040000}"/>
    <cellStyle name="Percent 6 3" xfId="1339" xr:uid="{00000000-0005-0000-0000-0000BB040000}"/>
    <cellStyle name="Percent Hard" xfId="1182" xr:uid="{00000000-0005-0000-0000-0000BC040000}"/>
    <cellStyle name="percent no decimal" xfId="1183" xr:uid="{00000000-0005-0000-0000-0000BD040000}"/>
    <cellStyle name="Percent(4places)TotTop" xfId="1184" xr:uid="{00000000-0005-0000-0000-0000BE040000}"/>
    <cellStyle name="Percent1" xfId="1185" xr:uid="{00000000-0005-0000-0000-0000BF040000}"/>
    <cellStyle name="Percent1Blue" xfId="1186" xr:uid="{00000000-0005-0000-0000-0000C0040000}"/>
    <cellStyle name="Percent2" xfId="1187" xr:uid="{00000000-0005-0000-0000-0000C1040000}"/>
    <cellStyle name="Percent2Blue" xfId="1188" xr:uid="{00000000-0005-0000-0000-0000C2040000}"/>
    <cellStyle name="PercentTotal" xfId="1189" xr:uid="{00000000-0005-0000-0000-0000C3040000}"/>
    <cellStyle name="Pounds" xfId="1190" xr:uid="{00000000-0005-0000-0000-0000C4040000}"/>
    <cellStyle name="Pourcentage_agree" xfId="1191" xr:uid="{00000000-0005-0000-0000-0000C5040000}"/>
    <cellStyle name="PrePop Currency (0)" xfId="1192" xr:uid="{00000000-0005-0000-0000-0000C6040000}"/>
    <cellStyle name="PrePop Currency (2)" xfId="1193" xr:uid="{00000000-0005-0000-0000-0000C7040000}"/>
    <cellStyle name="PrePop Units (0)" xfId="1194" xr:uid="{00000000-0005-0000-0000-0000C8040000}"/>
    <cellStyle name="PrePop Units (1)" xfId="1195" xr:uid="{00000000-0005-0000-0000-0000C9040000}"/>
    <cellStyle name="PrePop Units (2)" xfId="1196" xr:uid="{00000000-0005-0000-0000-0000CA040000}"/>
    <cellStyle name="Price" xfId="1197" xr:uid="{00000000-0005-0000-0000-0000CB040000}"/>
    <cellStyle name="PriceUn" xfId="1198" xr:uid="{00000000-0005-0000-0000-0000CC040000}"/>
    <cellStyle name="pricing" xfId="1199" xr:uid="{00000000-0005-0000-0000-0000CD040000}"/>
    <cellStyle name="PSChar" xfId="1200" xr:uid="{00000000-0005-0000-0000-0000CE040000}"/>
    <cellStyle name="PSDate" xfId="1201" xr:uid="{00000000-0005-0000-0000-0000CF040000}"/>
    <cellStyle name="PSDec" xfId="1202" xr:uid="{00000000-0005-0000-0000-0000D0040000}"/>
    <cellStyle name="PSHeading" xfId="1203" xr:uid="{00000000-0005-0000-0000-0000D1040000}"/>
    <cellStyle name="PSInt" xfId="1204" xr:uid="{00000000-0005-0000-0000-0000D2040000}"/>
    <cellStyle name="PSSpacer" xfId="1205" xr:uid="{00000000-0005-0000-0000-0000D3040000}"/>
    <cellStyle name="Reg1" xfId="1206" xr:uid="{00000000-0005-0000-0000-0000D4040000}"/>
    <cellStyle name="Reg2" xfId="1207" xr:uid="{00000000-0005-0000-0000-0000D5040000}"/>
    <cellStyle name="Reg3" xfId="1208" xr:uid="{00000000-0005-0000-0000-0000D6040000}"/>
    <cellStyle name="Reg4" xfId="1209" xr:uid="{00000000-0005-0000-0000-0000D7040000}"/>
    <cellStyle name="Reg5" xfId="1210" xr:uid="{00000000-0005-0000-0000-0000D8040000}"/>
    <cellStyle name="Reg6" xfId="1211" xr:uid="{00000000-0005-0000-0000-0000D9040000}"/>
    <cellStyle name="Reg7" xfId="1212" xr:uid="{00000000-0005-0000-0000-0000DA040000}"/>
    <cellStyle name="Reg8" xfId="1213" xr:uid="{00000000-0005-0000-0000-0000DB040000}"/>
    <cellStyle name="Reg9" xfId="1214" xr:uid="{00000000-0005-0000-0000-0000DC040000}"/>
    <cellStyle name="regstoresfromspecstores" xfId="1215" xr:uid="{00000000-0005-0000-0000-0000DD040000}"/>
    <cellStyle name="RevList" xfId="1216" xr:uid="{00000000-0005-0000-0000-0000DE040000}"/>
    <cellStyle name="Right" xfId="1217" xr:uid="{00000000-0005-0000-0000-0000DF040000}"/>
    <cellStyle name="s" xfId="1218" xr:uid="{00000000-0005-0000-0000-0000E0040000}"/>
    <cellStyle name="Salomon Logo" xfId="1219" xr:uid="{00000000-0005-0000-0000-0000E1040000}"/>
    <cellStyle name="ScotchRule" xfId="1220" xr:uid="{00000000-0005-0000-0000-0000E2040000}"/>
    <cellStyle name="Second Heading_dynex lihtcperm" xfId="1221" xr:uid="{00000000-0005-0000-0000-0000E3040000}"/>
    <cellStyle name="Separador de milhares [0]_Arrendamiraflores" xfId="1222" xr:uid="{00000000-0005-0000-0000-0000E4040000}"/>
    <cellStyle name="Shaded" xfId="1223" xr:uid="{00000000-0005-0000-0000-0000E5040000}"/>
    <cellStyle name="SHADEDSTORES" xfId="1224" xr:uid="{00000000-0005-0000-0000-0000E6040000}"/>
    <cellStyle name="Single Accounting" xfId="1225" xr:uid="{00000000-0005-0000-0000-0000E7040000}"/>
    <cellStyle name="Small Page Heading" xfId="1226" xr:uid="{00000000-0005-0000-0000-0000E8040000}"/>
    <cellStyle name="Sous-Total" xfId="1227" xr:uid="{00000000-0005-0000-0000-0000E9040000}"/>
    <cellStyle name="SpecialHeader" xfId="1228" xr:uid="{00000000-0005-0000-0000-0000EA040000}"/>
    <cellStyle name="specstores" xfId="1229" xr:uid="{00000000-0005-0000-0000-0000EB040000}"/>
    <cellStyle name="Standaard_Almere" xfId="1230" xr:uid="{00000000-0005-0000-0000-0000EC040000}"/>
    <cellStyle name="Standard_1CC-N-12" xfId="1231" xr:uid="{00000000-0005-0000-0000-0000ED040000}"/>
    <cellStyle name="Style 1" xfId="1232" xr:uid="{00000000-0005-0000-0000-0000EE040000}"/>
    <cellStyle name="Style１" xfId="1233" xr:uid="{00000000-0005-0000-0000-0000EF040000}"/>
    <cellStyle name="subhead" xfId="1234" xr:uid="{00000000-0005-0000-0000-0000F0040000}"/>
    <cellStyle name="SubHeader" xfId="1235" xr:uid="{00000000-0005-0000-0000-0000F1040000}"/>
    <cellStyle name="Subscribers" xfId="1236" xr:uid="{00000000-0005-0000-0000-0000F2040000}"/>
    <cellStyle name="Subtitle" xfId="1237" xr:uid="{00000000-0005-0000-0000-0000F3040000}"/>
    <cellStyle name="SubTotal" xfId="1238" xr:uid="{00000000-0005-0000-0000-0000F4040000}"/>
    <cellStyle name="T" xfId="1239" xr:uid="{00000000-0005-0000-0000-0000F5040000}"/>
    <cellStyle name="Table Col Head" xfId="1240" xr:uid="{00000000-0005-0000-0000-0000F6040000}"/>
    <cellStyle name="Table Head" xfId="1241" xr:uid="{00000000-0005-0000-0000-0000F7040000}"/>
    <cellStyle name="Table Head Aligned" xfId="1242" xr:uid="{00000000-0005-0000-0000-0000F8040000}"/>
    <cellStyle name="Table Head Blue" xfId="1243" xr:uid="{00000000-0005-0000-0000-0000F9040000}"/>
    <cellStyle name="Table Head Green" xfId="1244" xr:uid="{00000000-0005-0000-0000-0000FA040000}"/>
    <cellStyle name="Table Head_Alamosa Bids II" xfId="1245" xr:uid="{00000000-0005-0000-0000-0000FB040000}"/>
    <cellStyle name="Table Heading" xfId="1246" xr:uid="{00000000-0005-0000-0000-0000FC040000}"/>
    <cellStyle name="Table Sub Head" xfId="1247" xr:uid="{00000000-0005-0000-0000-0000FD040000}"/>
    <cellStyle name="Table Text" xfId="1248" xr:uid="{00000000-0005-0000-0000-0000FE040000}"/>
    <cellStyle name="Table Title" xfId="1249" xr:uid="{00000000-0005-0000-0000-0000FF040000}"/>
    <cellStyle name="Table Units" xfId="1250" xr:uid="{00000000-0005-0000-0000-000000050000}"/>
    <cellStyle name="Table_Header" xfId="1251" xr:uid="{00000000-0005-0000-0000-000001050000}"/>
    <cellStyle name="TableBody_sbcpac" xfId="1252" xr:uid="{00000000-0005-0000-0000-000002050000}"/>
    <cellStyle name="Text 1" xfId="1253" xr:uid="{00000000-0005-0000-0000-000003050000}"/>
    <cellStyle name="Text 8" xfId="1254" xr:uid="{00000000-0005-0000-0000-000004050000}"/>
    <cellStyle name="Text Head 1" xfId="1255" xr:uid="{00000000-0005-0000-0000-000005050000}"/>
    <cellStyle name="Text Indent A" xfId="1256" xr:uid="{00000000-0005-0000-0000-000006050000}"/>
    <cellStyle name="Text Indent B" xfId="1257" xr:uid="{00000000-0005-0000-0000-000007050000}"/>
    <cellStyle name="Text Indent C" xfId="1258" xr:uid="{00000000-0005-0000-0000-000008050000}"/>
    <cellStyle name="TIME" xfId="1259" xr:uid="{00000000-0005-0000-0000-000009050000}"/>
    <cellStyle name="Times 10" xfId="1260" xr:uid="{00000000-0005-0000-0000-00000A050000}"/>
    <cellStyle name="Times 12" xfId="1261" xr:uid="{00000000-0005-0000-0000-00000B050000}"/>
    <cellStyle name="Times New Roman" xfId="1262" xr:uid="{00000000-0005-0000-0000-00000C050000}"/>
    <cellStyle name="times roman" xfId="1263" xr:uid="{00000000-0005-0000-0000-00000D050000}"/>
    <cellStyle name="Title1" xfId="1264" xr:uid="{00000000-0005-0000-0000-00000E050000}"/>
    <cellStyle name="Title10" xfId="1265" xr:uid="{00000000-0005-0000-0000-00000F050000}"/>
    <cellStyle name="Title2" xfId="1266" xr:uid="{00000000-0005-0000-0000-000010050000}"/>
    <cellStyle name="Title8" xfId="1267" xr:uid="{00000000-0005-0000-0000-000011050000}"/>
    <cellStyle name="Title8Left" xfId="1268" xr:uid="{00000000-0005-0000-0000-000012050000}"/>
    <cellStyle name="TitleCenter" xfId="1269" xr:uid="{00000000-0005-0000-0000-000013050000}"/>
    <cellStyle name="TitleLeft" xfId="1270" xr:uid="{00000000-0005-0000-0000-000014050000}"/>
    <cellStyle name="TitleOther" xfId="1271" xr:uid="{00000000-0005-0000-0000-000015050000}"/>
    <cellStyle name="Titolo1" xfId="1272" xr:uid="{00000000-0005-0000-0000-000016050000}"/>
    <cellStyle name="Titolo2" xfId="1273" xr:uid="{00000000-0005-0000-0000-000017050000}"/>
    <cellStyle name="Titolo3" xfId="1274" xr:uid="{00000000-0005-0000-0000-000018050000}"/>
    <cellStyle name="topline" xfId="1275" xr:uid="{00000000-0005-0000-0000-000019050000}"/>
    <cellStyle name="TopThick" xfId="1276" xr:uid="{00000000-0005-0000-0000-00001A050000}"/>
    <cellStyle name="Total1" xfId="1277" xr:uid="{00000000-0005-0000-0000-00001B050000}"/>
    <cellStyle name="Total2" xfId="1278" xr:uid="{00000000-0005-0000-0000-00001C050000}"/>
    <cellStyle name="Total3" xfId="1279" xr:uid="{00000000-0005-0000-0000-00001D050000}"/>
    <cellStyle name="Total4" xfId="1280" xr:uid="{00000000-0005-0000-0000-00001E050000}"/>
    <cellStyle name="Total5" xfId="1281" xr:uid="{00000000-0005-0000-0000-00001F050000}"/>
    <cellStyle name="Total6" xfId="1282" xr:uid="{00000000-0005-0000-0000-000020050000}"/>
    <cellStyle name="Total7" xfId="1283" xr:uid="{00000000-0005-0000-0000-000021050000}"/>
    <cellStyle name="Total8" xfId="1284" xr:uid="{00000000-0005-0000-0000-000022050000}"/>
    <cellStyle name="Total9" xfId="1285" xr:uid="{00000000-0005-0000-0000-000023050000}"/>
    <cellStyle name="Totals" xfId="1286" xr:uid="{00000000-0005-0000-0000-000024050000}"/>
    <cellStyle name="TotalsComma" xfId="1287" xr:uid="{00000000-0005-0000-0000-000025050000}"/>
    <cellStyle name="TotShade" xfId="1288" xr:uid="{00000000-0005-0000-0000-000026050000}"/>
    <cellStyle name="TotShade 2" xfId="1289" xr:uid="{00000000-0005-0000-0000-000027050000}"/>
    <cellStyle name="TotShade 3" xfId="1290" xr:uid="{00000000-0005-0000-0000-000028050000}"/>
    <cellStyle name="TotShade 4" xfId="1291" xr:uid="{00000000-0005-0000-0000-000029050000}"/>
    <cellStyle name="TotShade 5" xfId="1292" xr:uid="{00000000-0005-0000-0000-00002A050000}"/>
    <cellStyle name="TotShade 9" xfId="1293" xr:uid="{00000000-0005-0000-0000-00002B050000}"/>
    <cellStyle name="TransVal" xfId="1294" xr:uid="{00000000-0005-0000-0000-00002C050000}"/>
    <cellStyle name="ubordinated Debt" xfId="1295" xr:uid="{00000000-0005-0000-0000-00002D050000}"/>
    <cellStyle name="underline 1 decimal" xfId="1296" xr:uid="{00000000-0005-0000-0000-00002E050000}"/>
    <cellStyle name="underline 2 decimals" xfId="1297" xr:uid="{00000000-0005-0000-0000-00002F050000}"/>
    <cellStyle name="underline flush left" xfId="1298" xr:uid="{00000000-0005-0000-0000-000030050000}"/>
    <cellStyle name="underline no decimals" xfId="1299" xr:uid="{00000000-0005-0000-0000-000031050000}"/>
    <cellStyle name="Underline_Single" xfId="1300" xr:uid="{00000000-0005-0000-0000-000032050000}"/>
    <cellStyle name="Underscore" xfId="1301" xr:uid="{00000000-0005-0000-0000-000033050000}"/>
    <cellStyle name="Underscore 2" xfId="1302" xr:uid="{00000000-0005-0000-0000-000034050000}"/>
    <cellStyle name="Underscore 3" xfId="1303" xr:uid="{00000000-0005-0000-0000-000035050000}"/>
    <cellStyle name="Underscore 4" xfId="1304" xr:uid="{00000000-0005-0000-0000-000036050000}"/>
    <cellStyle name="Underscore 5" xfId="1305" xr:uid="{00000000-0005-0000-0000-000037050000}"/>
    <cellStyle name="Underscore 9" xfId="1306" xr:uid="{00000000-0005-0000-0000-000038050000}"/>
    <cellStyle name="Unprot" xfId="1307" xr:uid="{00000000-0005-0000-0000-000039050000}"/>
    <cellStyle name="Unprot$" xfId="1308" xr:uid="{00000000-0005-0000-0000-00003A050000}"/>
    <cellStyle name="Unprotect" xfId="1309" xr:uid="{00000000-0005-0000-0000-00003B050000}"/>
    <cellStyle name="User_Defined_A" xfId="1310" xr:uid="{00000000-0005-0000-0000-00003C050000}"/>
    <cellStyle name="Valuta (0)_Foglio1 (2)" xfId="1311" xr:uid="{00000000-0005-0000-0000-00003D050000}"/>
    <cellStyle name="Valuta_Foglio1 (2)" xfId="1312" xr:uid="{00000000-0005-0000-0000-00003E050000}"/>
    <cellStyle name="Vírgula_Arrendamiraflores" xfId="1313" xr:uid="{00000000-0005-0000-0000-00003F050000}"/>
    <cellStyle name="White" xfId="1314" xr:uid="{00000000-0005-0000-0000-000040050000}"/>
    <cellStyle name="y" xfId="1315" xr:uid="{00000000-0005-0000-0000-000041050000}"/>
    <cellStyle name="y_Citrix_2pgr2" xfId="1316" xr:uid="{00000000-0005-0000-0000-000042050000}"/>
    <cellStyle name="y_Iron-Steel" xfId="1317" xr:uid="{00000000-0005-0000-0000-000043050000}"/>
    <cellStyle name="y_MERQ_6-14_V8" xfId="1318" xr:uid="{00000000-0005-0000-0000-000044050000}"/>
    <cellStyle name="y_RATL_SRNA synergies" xfId="1319" xr:uid="{00000000-0005-0000-0000-000045050000}"/>
    <cellStyle name="y_Valuation_Jan2" xfId="1320" xr:uid="{00000000-0005-0000-0000-000046050000}"/>
    <cellStyle name="year" xfId="1321" xr:uid="{00000000-0005-0000-0000-000047050000}"/>
    <cellStyle name="Yen" xfId="1322" xr:uid="{00000000-0005-0000-0000-000048050000}"/>
    <cellStyle name="YES NO" xfId="1323" xr:uid="{00000000-0005-0000-0000-000049050000}"/>
    <cellStyle name="型番" xfId="1324" xr:uid="{00000000-0005-0000-0000-00004A050000}"/>
    <cellStyle name="桁区切り [0.00]_Book2" xfId="1325" xr:uid="{00000000-0005-0000-0000-00004B050000}"/>
    <cellStyle name="桁区切り_AssetBalance Template" xfId="1326" xr:uid="{00000000-0005-0000-0000-00004C050000}"/>
    <cellStyle name="標準_1Q01SS-backup_Megalon 3Q2" xfId="1327" xr:uid="{00000000-0005-0000-0000-00004D050000}"/>
    <cellStyle name="通貨 [0.00]_Book2" xfId="1328" xr:uid="{00000000-0005-0000-0000-00004E050000}"/>
    <cellStyle name="通貨_Book2" xfId="1329" xr:uid="{00000000-0005-0000-0000-00004F050000}"/>
  </cellStyles>
  <dxfs count="44">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FF00"/>
        </patternFill>
      </fill>
    </dxf>
  </dxfs>
  <tableStyles count="0" defaultTableStyle="TableStyleMedium9"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e of Contents'!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editAs="oneCell">
    <xdr:from>
      <xdr:col>29</xdr:col>
      <xdr:colOff>0</xdr:colOff>
      <xdr:row>22</xdr:row>
      <xdr:rowOff>0</xdr:rowOff>
    </xdr:from>
    <xdr:to>
      <xdr:col>61</xdr:col>
      <xdr:colOff>521</xdr:colOff>
      <xdr:row>24</xdr:row>
      <xdr:rowOff>36879</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28659508" y="0"/>
          <a:ext cx="18831544" cy="332153"/>
        </a:xfrm>
        <a:prstGeom prst="rect">
          <a:avLst/>
        </a:prstGeom>
        <a:effectLst>
          <a:reflection blurRad="6350" stA="52000" endA="300" endPos="32000" dist="127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48534</xdr:colOff>
      <xdr:row>14</xdr:row>
      <xdr:rowOff>137517</xdr:rowOff>
    </xdr:from>
    <xdr:to>
      <xdr:col>3</xdr:col>
      <xdr:colOff>218407</xdr:colOff>
      <xdr:row>19</xdr:row>
      <xdr:rowOff>136707</xdr:rowOff>
    </xdr:to>
    <xdr:pic>
      <xdr:nvPicPr>
        <xdr:cNvPr id="5" name="Picture 4">
          <a:extLst>
            <a:ext uri="{FF2B5EF4-FFF2-40B4-BE49-F238E27FC236}">
              <a16:creationId xmlns:a16="http://schemas.microsoft.com/office/drawing/2014/main" id="{12371BC7-A6A4-AE0A-83FE-9335785AEA9F}"/>
            </a:ext>
          </a:extLst>
        </xdr:cNvPr>
        <xdr:cNvPicPr>
          <a:picLocks noChangeAspect="1"/>
        </xdr:cNvPicPr>
      </xdr:nvPicPr>
      <xdr:blipFill>
        <a:blip xmlns:r="http://schemas.openxmlformats.org/officeDocument/2006/relationships" r:embed="rId1"/>
        <a:stretch>
          <a:fillRect/>
        </a:stretch>
      </xdr:blipFill>
      <xdr:spPr>
        <a:xfrm>
          <a:off x="364012" y="5832294"/>
          <a:ext cx="5735223" cy="1819254"/>
        </a:xfrm>
        <a:prstGeom prst="rect">
          <a:avLst/>
        </a:prstGeom>
      </xdr:spPr>
    </xdr:pic>
    <xdr:clientData/>
  </xdr:twoCellAnchor>
  <xdr:twoCellAnchor>
    <xdr:from>
      <xdr:col>2</xdr:col>
      <xdr:colOff>1197197</xdr:colOff>
      <xdr:row>14</xdr:row>
      <xdr:rowOff>452995</xdr:rowOff>
    </xdr:from>
    <xdr:to>
      <xdr:col>3</xdr:col>
      <xdr:colOff>234585</xdr:colOff>
      <xdr:row>19</xdr:row>
      <xdr:rowOff>153693</xdr:rowOff>
    </xdr:to>
    <xdr:sp macro="" textlink="">
      <xdr:nvSpPr>
        <xdr:cNvPr id="4" name="Frame 3">
          <a:extLst>
            <a:ext uri="{FF2B5EF4-FFF2-40B4-BE49-F238E27FC236}">
              <a16:creationId xmlns:a16="http://schemas.microsoft.com/office/drawing/2014/main" id="{90C5C065-10A4-6D06-2931-ECB7F31BDD2E}"/>
            </a:ext>
          </a:extLst>
        </xdr:cNvPr>
        <xdr:cNvSpPr/>
      </xdr:nvSpPr>
      <xdr:spPr>
        <a:xfrm>
          <a:off x="5185159" y="6147772"/>
          <a:ext cx="930254" cy="1520762"/>
        </a:xfrm>
        <a:prstGeom prst="fram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EE7058EB-B4F9-E444-A96A-BCE822DFF1BA}"/>
            </a:ext>
          </a:extLst>
        </xdr:cNvPr>
        <xdr:cNvPicPr>
          <a:picLocks noChangeAspect="1"/>
        </xdr:cNvPicPr>
      </xdr:nvPicPr>
      <xdr:blipFill>
        <a:blip xmlns:r="http://schemas.openxmlformats.org/officeDocument/2006/relationships" r:embed="rId2"/>
        <a:stretch>
          <a:fillRect/>
        </a:stretch>
      </xdr:blipFill>
      <xdr:spPr>
        <a:xfrm>
          <a:off x="22960383" y="2921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D2F46CB7-B1FA-3B41-9861-6A4A0CDEB873}"/>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51253545" y="292100"/>
          <a:ext cx="8024073" cy="2921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227D65C5-50B0-FE4E-8809-537A48CE5349}"/>
            </a:ext>
          </a:extLst>
        </xdr:cNvPr>
        <xdr:cNvSpPr txBox="1">
          <a:spLocks noChangeArrowheads="1"/>
        </xdr:cNvSpPr>
      </xdr:nvSpPr>
      <xdr:spPr bwMode="auto">
        <a:xfrm>
          <a:off x="51207129" y="8763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8D80E03D-1CC8-5E46-9072-658616589C3C}"/>
            </a:ext>
          </a:extLst>
        </xdr:cNvPr>
        <xdr:cNvPicPr>
          <a:picLocks noChangeAspect="1"/>
        </xdr:cNvPicPr>
      </xdr:nvPicPr>
      <xdr:blipFill>
        <a:blip xmlns:r="http://schemas.openxmlformats.org/officeDocument/2006/relationships" r:embed="rId2"/>
        <a:stretch>
          <a:fillRect/>
        </a:stretch>
      </xdr:blipFill>
      <xdr:spPr>
        <a:xfrm>
          <a:off x="33628383" y="1524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138FE8C8-DCF0-C049-BED9-82B374C5775C}"/>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61921545" y="152400"/>
          <a:ext cx="8024073"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FC2ABB3C-CF07-1643-A61B-FBE5909368E1}"/>
            </a:ext>
          </a:extLst>
        </xdr:cNvPr>
        <xdr:cNvSpPr txBox="1">
          <a:spLocks noChangeArrowheads="1"/>
        </xdr:cNvSpPr>
      </xdr:nvSpPr>
      <xdr:spPr bwMode="auto">
        <a:xfrm>
          <a:off x="61875129" y="4191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880893C2-C8B5-D94E-8012-897E6DB42CF7}"/>
            </a:ext>
          </a:extLst>
        </xdr:cNvPr>
        <xdr:cNvPicPr>
          <a:picLocks noChangeAspect="1"/>
        </xdr:cNvPicPr>
      </xdr:nvPicPr>
      <xdr:blipFill>
        <a:blip xmlns:r="http://schemas.openxmlformats.org/officeDocument/2006/relationships" r:embed="rId2"/>
        <a:stretch>
          <a:fillRect/>
        </a:stretch>
      </xdr:blipFill>
      <xdr:spPr>
        <a:xfrm>
          <a:off x="33628383" y="1524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868AC291-F8F5-BC44-BFC3-8405DE81552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61921545" y="152400"/>
          <a:ext cx="8024073"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B9D4B83F-70FC-8845-A9C7-1DF216036F7F}"/>
            </a:ext>
          </a:extLst>
        </xdr:cNvPr>
        <xdr:cNvSpPr txBox="1">
          <a:spLocks noChangeArrowheads="1"/>
        </xdr:cNvSpPr>
      </xdr:nvSpPr>
      <xdr:spPr bwMode="auto">
        <a:xfrm>
          <a:off x="61875129" y="4191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E117722B-3E04-864E-AB83-A84DA7474FA7}"/>
            </a:ext>
          </a:extLst>
        </xdr:cNvPr>
        <xdr:cNvPicPr>
          <a:picLocks noChangeAspect="1"/>
        </xdr:cNvPicPr>
      </xdr:nvPicPr>
      <xdr:blipFill>
        <a:blip xmlns:r="http://schemas.openxmlformats.org/officeDocument/2006/relationships" r:embed="rId2"/>
        <a:stretch>
          <a:fillRect/>
        </a:stretch>
      </xdr:blipFill>
      <xdr:spPr>
        <a:xfrm>
          <a:off x="33628383" y="1524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2DE7A092-D330-2442-A60D-EF36A1003469}"/>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61921545" y="152400"/>
          <a:ext cx="8024073"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184C4C8F-21D8-FF4D-902E-8456C23363E1}"/>
            </a:ext>
          </a:extLst>
        </xdr:cNvPr>
        <xdr:cNvSpPr txBox="1">
          <a:spLocks noChangeArrowheads="1"/>
        </xdr:cNvSpPr>
      </xdr:nvSpPr>
      <xdr:spPr bwMode="auto">
        <a:xfrm>
          <a:off x="61875129" y="4191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0690324F-EF6D-C740-832C-55FE67226F3D}"/>
            </a:ext>
          </a:extLst>
        </xdr:cNvPr>
        <xdr:cNvPicPr>
          <a:picLocks noChangeAspect="1"/>
        </xdr:cNvPicPr>
      </xdr:nvPicPr>
      <xdr:blipFill>
        <a:blip xmlns:r="http://schemas.openxmlformats.org/officeDocument/2006/relationships" r:embed="rId2"/>
        <a:stretch>
          <a:fillRect/>
        </a:stretch>
      </xdr:blipFill>
      <xdr:spPr>
        <a:xfrm>
          <a:off x="33628383" y="1524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CCD2577C-555C-D440-9798-D1850B81B737}"/>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61921545" y="152400"/>
          <a:ext cx="8024073"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D13534E0-ED49-CC44-98CB-503638B1002E}"/>
            </a:ext>
          </a:extLst>
        </xdr:cNvPr>
        <xdr:cNvSpPr txBox="1">
          <a:spLocks noChangeArrowheads="1"/>
        </xdr:cNvSpPr>
      </xdr:nvSpPr>
      <xdr:spPr bwMode="auto">
        <a:xfrm>
          <a:off x="61875129" y="4191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C92EC436-0DA3-5948-9DEA-1A37128BF68D}"/>
            </a:ext>
          </a:extLst>
        </xdr:cNvPr>
        <xdr:cNvPicPr>
          <a:picLocks noChangeAspect="1"/>
        </xdr:cNvPicPr>
      </xdr:nvPicPr>
      <xdr:blipFill>
        <a:blip xmlns:r="http://schemas.openxmlformats.org/officeDocument/2006/relationships" r:embed="rId2"/>
        <a:stretch>
          <a:fillRect/>
        </a:stretch>
      </xdr:blipFill>
      <xdr:spPr>
        <a:xfrm>
          <a:off x="33628383" y="1524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3EF42DC9-93B5-5D44-9661-6AC57EC5D8D1}"/>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61921545" y="152400"/>
          <a:ext cx="8024073"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0CCF5940-4EBE-EC4C-BA4B-4FFAF00709D5}"/>
            </a:ext>
          </a:extLst>
        </xdr:cNvPr>
        <xdr:cNvSpPr txBox="1">
          <a:spLocks noChangeArrowheads="1"/>
        </xdr:cNvSpPr>
      </xdr:nvSpPr>
      <xdr:spPr bwMode="auto">
        <a:xfrm>
          <a:off x="61875129" y="4191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23</xdr:col>
      <xdr:colOff>74983</xdr:colOff>
      <xdr:row>1</xdr:row>
      <xdr:rowOff>0</xdr:rowOff>
    </xdr:from>
    <xdr:to>
      <xdr:col>55</xdr:col>
      <xdr:colOff>12103</xdr:colOff>
      <xdr:row>2</xdr:row>
      <xdr:rowOff>62277</xdr:rowOff>
    </xdr:to>
    <xdr:pic>
      <xdr:nvPicPr>
        <xdr:cNvPr id="2" name="Picture 1">
          <a:hlinkClick xmlns:r="http://schemas.openxmlformats.org/officeDocument/2006/relationships" r:id="rId1"/>
          <a:extLst>
            <a:ext uri="{FF2B5EF4-FFF2-40B4-BE49-F238E27FC236}">
              <a16:creationId xmlns:a16="http://schemas.microsoft.com/office/drawing/2014/main" id="{5536007F-B354-0548-A1A5-AA8F93E87337}"/>
            </a:ext>
          </a:extLst>
        </xdr:cNvPr>
        <xdr:cNvPicPr>
          <a:picLocks noChangeAspect="1"/>
        </xdr:cNvPicPr>
      </xdr:nvPicPr>
      <xdr:blipFill>
        <a:blip xmlns:r="http://schemas.openxmlformats.org/officeDocument/2006/relationships" r:embed="rId2"/>
        <a:stretch>
          <a:fillRect/>
        </a:stretch>
      </xdr:blipFill>
      <xdr:spPr>
        <a:xfrm>
          <a:off x="33628383" y="152400"/>
          <a:ext cx="21476320" cy="328977"/>
        </a:xfrm>
        <a:prstGeom prst="rect">
          <a:avLst/>
        </a:prstGeom>
        <a:effectLst>
          <a:reflection blurRad="6350" stA="52000" endA="300" endPos="32000" dist="12700" dir="5400000" sy="-100000" algn="bl" rotWithShape="0"/>
        </a:effectLst>
      </xdr:spPr>
    </xdr:pic>
    <xdr:clientData/>
  </xdr:twoCellAnchor>
  <xdr:twoCellAnchor>
    <xdr:from>
      <xdr:col>65</xdr:col>
      <xdr:colOff>97945</xdr:colOff>
      <xdr:row>1</xdr:row>
      <xdr:rowOff>0</xdr:rowOff>
    </xdr:from>
    <xdr:to>
      <xdr:col>77</xdr:col>
      <xdr:colOff>44818</xdr:colOff>
      <xdr:row>2</xdr:row>
      <xdr:rowOff>0</xdr:rowOff>
    </xdr:to>
    <xdr:pic>
      <xdr:nvPicPr>
        <xdr:cNvPr id="3" name="Picture 2">
          <a:extLst>
            <a:ext uri="{FF2B5EF4-FFF2-40B4-BE49-F238E27FC236}">
              <a16:creationId xmlns:a16="http://schemas.microsoft.com/office/drawing/2014/main" id="{702C132F-7C84-5945-8266-1231029340A7}"/>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76" t="15556" r="4002" b="14074"/>
        <a:stretch/>
      </xdr:blipFill>
      <xdr:spPr bwMode="auto">
        <a:xfrm>
          <a:off x="61921545" y="152400"/>
          <a:ext cx="8024073"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65</xdr:col>
      <xdr:colOff>51529</xdr:colOff>
      <xdr:row>2</xdr:row>
      <xdr:rowOff>0</xdr:rowOff>
    </xdr:from>
    <xdr:to>
      <xdr:col>77</xdr:col>
      <xdr:colOff>95096</xdr:colOff>
      <xdr:row>2</xdr:row>
      <xdr:rowOff>85668</xdr:rowOff>
    </xdr:to>
    <xdr:sp macro="" textlink="">
      <xdr:nvSpPr>
        <xdr:cNvPr id="4" name="Text Box 7">
          <a:extLst>
            <a:ext uri="{FF2B5EF4-FFF2-40B4-BE49-F238E27FC236}">
              <a16:creationId xmlns:a16="http://schemas.microsoft.com/office/drawing/2014/main" id="{8AFD94CD-2BD6-F04C-9FB5-3FDE75EFEF5E}"/>
            </a:ext>
          </a:extLst>
        </xdr:cNvPr>
        <xdr:cNvSpPr txBox="1">
          <a:spLocks noChangeArrowheads="1"/>
        </xdr:cNvSpPr>
      </xdr:nvSpPr>
      <xdr:spPr bwMode="auto">
        <a:xfrm>
          <a:off x="61875129" y="419100"/>
          <a:ext cx="8120767" cy="856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800" b="1" i="0" u="none" strike="noStrike" kern="0" cap="none" spc="0" normalizeH="0" baseline="0" noProof="0">
              <a:ln>
                <a:noFill/>
              </a:ln>
              <a:solidFill>
                <a:srgbClr val="FFFFFF"/>
              </a:solidFill>
              <a:effectLst/>
              <a:uLnTx/>
              <a:uFillTx/>
              <a:latin typeface="Calibri"/>
              <a:cs typeface="Calibri"/>
            </a:rPr>
            <a:t>D  e  v  e  l  o  p  m  e  n  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600" b="1" i="0" u="none" strike="noStrike" kern="0" cap="none" spc="0" normalizeH="0" baseline="0" noProof="0">
            <a:ln>
              <a:noFill/>
            </a:ln>
            <a:solidFill>
              <a:srgbClr val="FFFFFF"/>
            </a:solidFill>
            <a:effectLst/>
            <a:uLnTx/>
            <a:uFillTx/>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i.sharepoint.com/My%20Documents/Closed%20Deals/Mack-Cali%20Portfolio/Investment%20Committee%20Book/$600k%20price%20adjustment%20VI/Section%203%20-%20Mack-Cali%20Portfolio%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uli.sharepoint.com/Users/Charles%20A%20Long/Dropbox/Development-L-T/West%20Oakland/1600%207th%20St/Equity%20Book%20and%20Financials/efscluster1/eusersdefpaths/greystar/live/41900914476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uli.sharepoint.com/Documents%20and%20Settings/ahiggins/Local%20Settings/Temporary%20Internet%20Files/OLK16E/North%20Houston%20Medical%20Base%20Case%208-17-04%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uli.sharepoint.com/LAXUsers/koura/Analyst%20Bullpen/2%20-%20Seattle%20Deals/Seattle/South%20Lake%20Union/1%208%2012%20-%20Seattle%20282%20-%20AW_KAO_1.10.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li.sharepoint.com/Users/matthewticknor/Dropbox/Development-L-T/Oakland/585%2022nd%20St/Asset%20Management/G:/Real%20Estate/_New%20Deals/NYC%20-%2085%20West%20Broadway/Model/hotel%20model/kimpton%20hotel%20development%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li.sharepoint.com/Users/matthewticknor/Dropbox/Development-L-T/Oakland/585%2022nd%20St/Asset%20Management/G:/My%20Documents/Starwood/Models/FiMo%20Clean%203-1-04%20-%20May%20actfo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li.sharepoint.com/BCI-FS1/Users/FHC/ESTIMATE/Large%20Projects%20Estimates%202005/Carmichael%20Library%2025006/Bid%20Card%20Carmichael%20Library%201_27_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li.sharepoint.com/Documents%20and%20Settings/tpender.CHS/Local%20Settings/Temporary%20Internet%20Files/OLK12F/45760934376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li.sharepoint.com/Users/Matt/Dropbox/Greystar/Deals/Menlo%20Park/Equity%20Book/Menlo%20Park%20-%2065%25%20LTC%20-%2011-17-2013%20-%20broken%20link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li.sharepoint.com/users/SAMR/Invoices/Greystar%20Investments/GCP%20Invoice-JMIGR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li.sharepoint.com/beaconlakes/Shared%20Documents/Beacon%20Lakes/100%20Land%20and%20Feasibility/Project%20Budget/MULE%20and%20Partners%20model%20greystar%20Beacon%20Lakes%203-5-07%20v5/beacon%20MULE2007_Beta2.3/MULE2007_Beta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li.sharepoint.com/Documents%20and%20Settings/drbrown.AUSTIN/Local%20Settings/Temporary%20Internet%20Files/OLK1/4986416272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sheetName val="Dealsumm"/>
      <sheetName val="Assm"/>
      <sheetName val="#"/>
      <sheetName val="#debt"/>
      <sheetName val="A"/>
      <sheetName val="B"/>
      <sheetName val="C"/>
      <sheetName val="Profit"/>
      <sheetName val="FeeAnalysis"/>
      <sheetName val="Land Assm"/>
      <sheetName val="Land #"/>
      <sheetName val="Land #debt"/>
      <sheetName val="Mont Assm"/>
      <sheetName val="Mont #"/>
      <sheetName val="Mont #debt"/>
      <sheetName val="Metr Assm"/>
      <sheetName val="Metr #"/>
      <sheetName val="Metr #debt"/>
      <sheetName val="Rep Assm"/>
      <sheetName val="Rep #"/>
      <sheetName val="Rep #deb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erty taxes-NOI-Prop 13 2538"/>
      <sheetName val="585 22nd NOI reduction-Prop 13"/>
      <sheetName val="471 Fees and allowances"/>
      <sheetName val="Unit mix revised 2538 08-04-16"/>
      <sheetName val="Unit mix revised 585 01-24-17"/>
      <sheetName val="570 Fees and Allowances"/>
      <sheetName val="Operating Expense &amp; Income 2538"/>
      <sheetName val="Rental pro-forma-97 UNITS-2538"/>
      <sheetName val="OVERALL DRAW 2538"/>
      <sheetName val="Equity Investor Sheet 2538"/>
      <sheetName val="26th - PM Budget"/>
      <sheetName val="2538 ALL EXPENSES"/>
      <sheetName val="2538 CONTRACTS"/>
      <sheetName val="Monthly Draw 585&amp;2538"/>
      <sheetName val="Operating Expense &amp; Income-585"/>
      <sheetName val="Rental pro-forma 585"/>
      <sheetName val="OVERALL DRAW 585"/>
      <sheetName val="Equity Investor Sheet 585"/>
      <sheetName val="21st - PM Budget"/>
      <sheetName val="585 ALL EXPENSES"/>
      <sheetName val="585 CONTRACTS"/>
      <sheetName val="UBS Waterfall"/>
      <sheetName val="Return Summary"/>
      <sheetName val="Trended CF-Simple 2538"/>
      <sheetName val="Trended CF-Simple585"/>
      <sheetName val="2538 BID LOG 5-16-17"/>
      <sheetName val="2538 BID LOG 6-6-17"/>
      <sheetName val="COSTS BOTH"/>
      <sheetName val="CONSOLIDATED"/>
      <sheetName val="DESIGN DRAW 585"/>
      <sheetName val="DESIGN DRAW 2538"/>
      <sheetName val="10y Libor"/>
      <sheetName val="60 units-OLD"/>
      <sheetName val="TIC Structure"/>
      <sheetName val="10 Yr. - Cash Flow"/>
      <sheetName val="One Pager - Assumptions"/>
      <sheetName val="NOI Down"/>
      <sheetName val="Rent Roll"/>
      <sheetName val="Rent"/>
      <sheetName val="TI"/>
      <sheetName val="Supporting Info."/>
      <sheetName val="Lease-Up"/>
      <sheetName val="Client Specif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erty taxes-NOI-Prop 13 2538"/>
      <sheetName val="585 22nd NOI reduction-Prop 13"/>
      <sheetName val="471 Fees and allowances"/>
      <sheetName val="Unit mix revised 2538 08-04-16"/>
      <sheetName val="Unit mix revised 585 01-24-17"/>
      <sheetName val="570 Fees and Allowances"/>
      <sheetName val="Operating Expense &amp; Income 2538"/>
      <sheetName val="Rental pro-forma-97 UNITS-2538"/>
      <sheetName val="OVERALL DRAW 2538"/>
      <sheetName val="Equity Investor Sheet 2538"/>
      <sheetName val="26th - PM Budget"/>
      <sheetName val="2538 ALL EXPENSES"/>
      <sheetName val="2538 CONTRACTS"/>
      <sheetName val="Monthly Draw 585&amp;2538"/>
      <sheetName val="Operating Expense &amp; Income-585"/>
      <sheetName val="Rental pro-forma 585"/>
      <sheetName val="OVERALL DRAW 585"/>
      <sheetName val="Equity Investor Sheet 585"/>
      <sheetName val="21st - PM Budget"/>
      <sheetName val="585 ALL EXPENSES"/>
      <sheetName val="585 CONTRACTS"/>
      <sheetName val="UBS Waterfall"/>
      <sheetName val="Return Summary"/>
      <sheetName val="Trended CF-Simple 2538"/>
      <sheetName val="Trended CF-Simple585"/>
      <sheetName val="2538 BID LOG 5-16-17"/>
      <sheetName val="2538 BID LOG 6-6-17"/>
      <sheetName val="COSTS BOTH"/>
      <sheetName val="CONSOLIDATED"/>
      <sheetName val="DESIGN DRAW 585"/>
      <sheetName val="DESIGN DRAW 2538"/>
      <sheetName val="10y Libor"/>
      <sheetName val="60 units-OLD"/>
      <sheetName val="Updates"/>
      <sheetName val="Negotiations Page"/>
      <sheetName val="Land Flip"/>
      <sheetName val="Parking"/>
      <sheetName val="base case"/>
      <sheetName val="Spent to Date"/>
      <sheetName val="Table of Contents"/>
      <sheetName val="Lanes Analysis"/>
      <sheetName val="Investment Committee Cover"/>
      <sheetName val="Executive Summary"/>
      <sheetName val="Assumptions Tracker"/>
      <sheetName val="Development Images"/>
      <sheetName val="Lanes Summary"/>
      <sheetName val="1 - Location"/>
      <sheetName val="2 - Supply &amp; Demand"/>
      <sheetName val="3 - Basis"/>
      <sheetName val="4 - Rents"/>
      <sheetName val="5 - Rent Growth"/>
      <sheetName val="6 - Development"/>
      <sheetName val="7 - Construction"/>
      <sheetName val="8 - Transaction Timing"/>
      <sheetName val="9 - Partnership Structure"/>
      <sheetName val="10 - Returns"/>
      <sheetName val="NOT IN USE - Detailed Budget"/>
      <sheetName val="Muni Fees"/>
      <sheetName val="New Detailed Budget MT"/>
      <sheetName val="Input"/>
      <sheetName val="Equity Package"/>
      <sheetName val="Coinvest Analysis"/>
      <sheetName val="Pursuit Schedule"/>
      <sheetName val="Comparison IC"/>
      <sheetName val="Sales Analysis"/>
      <sheetName val="REIS 2Q12"/>
      <sheetName val="Untrended Cash Flow"/>
      <sheetName val="Trended Cash Flow"/>
      <sheetName val="Comparison Table"/>
      <sheetName val="REIS YE2011"/>
      <sheetName val="Mgmt Sign Off"/>
      <sheetName val="Capitalization"/>
      <sheetName val="Comparison"/>
      <sheetName val="3Q11 REIS Report"/>
      <sheetName val="Exhibits"/>
      <sheetName val="Develop. Integrated Lifecycle"/>
      <sheetName val="Integrated Checklist"/>
      <sheetName val="Conceptual Design Review"/>
      <sheetName val="Detailed Costs"/>
      <sheetName val="Deposit Dollars"/>
      <sheetName val="Pursuit Costs"/>
      <sheetName val="Tools"/>
      <sheetName val="Generic Cover"/>
      <sheetName val="Notes"/>
      <sheetName val="Protocol &amp; Policy"/>
      <sheetName val="Suggestions"/>
      <sheetName val="Calc Table"/>
      <sheetName val="Project Cost Summary"/>
      <sheetName val="Lease Up"/>
      <sheetName val="Lists"/>
      <sheetName val="Origin"/>
      <sheetName val="Construction Costs"/>
      <sheetName val="Expense Detail"/>
      <sheetName val="Data"/>
      <sheetName val="Operating Expense &amp; Income"/>
      <sheetName val="Property taxes-NOI- Prop 13"/>
      <sheetName val="Rental pro-forma-97 UNITS"/>
      <sheetName val="Schedule-Budgets-2538"/>
      <sheetName val="Monthly Draw 2538"/>
      <sheetName val="Trended CF-Simple"/>
      <sheetName val="Rent Roll table for Equity Book"/>
      <sheetName val="Cost Allocation to commer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NPU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erty taxes-NOI-Prop 13 2538"/>
      <sheetName val="585 22nd NOI reduction-Prop 13"/>
      <sheetName val="471 Fees and allowances"/>
      <sheetName val="Unit mix revised 2538 08-04-16"/>
      <sheetName val="Unit mix revised 585 01-24-17"/>
      <sheetName val="570 Fees and Allowances"/>
      <sheetName val="Operating Expense &amp; Income 2538"/>
      <sheetName val="Rental pro-forma-97 UNITS-2538"/>
      <sheetName val="OVERALL DRAW 2538"/>
      <sheetName val="Equity Investor Sheet 2538"/>
      <sheetName val="26th - PM Budget"/>
      <sheetName val="2538 ALL EXPENSES"/>
      <sheetName val="2538 CONTRACTS"/>
      <sheetName val="Monthly Draw 585&amp;2538"/>
      <sheetName val="Operating Expense &amp; Income-585"/>
      <sheetName val="Rental pro-forma 585"/>
      <sheetName val="OVERALL DRAW 585"/>
      <sheetName val="Equity Investor Sheet 585"/>
      <sheetName val="21st - PM Budget"/>
      <sheetName val="585 ALL EXPENSES"/>
      <sheetName val="585 CONTRACTS"/>
      <sheetName val="UBS Waterfall"/>
      <sheetName val="Return Summary"/>
      <sheetName val="Trended CF-Simple 2538"/>
      <sheetName val="Trended CF-Simple585"/>
      <sheetName val="2538 BID LOG 5-16-17"/>
      <sheetName val="2538 BID LOG 6-6-17"/>
      <sheetName val="COSTS BOTH"/>
      <sheetName val="CONSOLIDATED"/>
      <sheetName val="DESIGN DRAW 585"/>
      <sheetName val="DESIGN DRAW 2538"/>
      <sheetName val="10y Libor"/>
      <sheetName val="60 units-OLD"/>
      <sheetName val="Frontsheet"/>
      <sheetName val="Bid Form"/>
      <sheetName val="1"/>
      <sheetName val="2"/>
      <sheetName val="3"/>
      <sheetName val="4"/>
      <sheetName val="5"/>
      <sheetName val="6"/>
      <sheetName val="8"/>
      <sheetName val="7"/>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Trade Breakdown"/>
      <sheetName val="Notes"/>
      <sheetName val="Mac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Report"/>
      <sheetName val="Message"/>
      <sheetName val="Operating Expense &amp; Income"/>
      <sheetName val="Property taxes-NOI- Prop 13"/>
      <sheetName val="Rental pro-forma-97 UNITS"/>
      <sheetName val="OVERALL DRAW 2538"/>
      <sheetName val="Schedule-Budgets-2538"/>
      <sheetName val="Equity Investor Sheet 2538"/>
      <sheetName val="Monthly Draw 2538"/>
      <sheetName val="Trended CF-Simple"/>
      <sheetName val="Rent Roll table for Equity Book"/>
      <sheetName val="Cost Allocation to commercial"/>
      <sheetName val="DESIGN DRAW 2538"/>
      <sheetName val="2538 CONTRACTS"/>
      <sheetName val="60 units-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ates"/>
      <sheetName val="Lanes Analysis"/>
      <sheetName val="Pursuit Schedule"/>
      <sheetName val="Investment Committee Cover"/>
      <sheetName val="Executive Summary"/>
      <sheetName val="Development Images"/>
      <sheetName val="Lanes Summary"/>
      <sheetName val="1 - Location"/>
      <sheetName val="2 - Supply &amp; Demand"/>
      <sheetName val="3 - Basis"/>
      <sheetName val="4 - Rents"/>
      <sheetName val="5 - Rent Growth"/>
      <sheetName val="6 - Development"/>
      <sheetName val="7 - Construction"/>
      <sheetName val="8 - Transaction Timing"/>
      <sheetName val="10 - Returns"/>
      <sheetName val="9 - Assumptions Tracker"/>
      <sheetName val="Sales Comps"/>
      <sheetName val="Rent Comps"/>
      <sheetName val="Equity Page"/>
      <sheetName val="Mgmt Sign Off"/>
      <sheetName val="Input"/>
      <sheetName val="Trended Cash Flow"/>
      <sheetName val="Coinvest Analysis"/>
      <sheetName val="Sale Value Analysis"/>
      <sheetName val="Pursuit Cost IRR"/>
      <sheetName val="Sheet1"/>
      <sheetName val="Detailed Budget"/>
      <sheetName val="Development Budget"/>
      <sheetName val="Muni Fees"/>
      <sheetName val="Elan San Fran"/>
      <sheetName val="Yardi"/>
      <sheetName val="REIS"/>
      <sheetName val="Project Budget"/>
      <sheetName val="Sensitivity Analysis"/>
      <sheetName val="IRR Bridge"/>
      <sheetName val="Calc Table"/>
      <sheetName val="Unit Matrix"/>
      <sheetName val="Concord Mix"/>
      <sheetName val="Pursuit_Expenses by cost code"/>
      <sheetName val="Tracker"/>
      <sheetName val="Construction"/>
      <sheetName val="Budget"/>
      <sheetName val="Unit Mix"/>
      <sheetName val="Inclusionary Housing"/>
      <sheetName val="Untrended Cash Flow"/>
      <sheetName val="Project Cost Summary"/>
      <sheetName val="Capitalization"/>
      <sheetName val="Lease Up"/>
      <sheetName val="List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mize Your Invoice"/>
      <sheetName val="AutoOpen Stub Data"/>
      <sheetName val="Invoice"/>
      <sheetName val="Macros"/>
      <sheetName val="ATW"/>
      <sheetName val="Lock"/>
      <sheetName val="Intl Data Table"/>
      <sheetName val="TemplateInformation"/>
      <sheetName val="GCP Invoice-JMIGR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al Input"/>
      <sheetName val="Annual CF Input"/>
      <sheetName val="Monthly CF Input"/>
      <sheetName val="Pools"/>
      <sheetName val="RE Valuation"/>
      <sheetName val="JV Financials"/>
      <sheetName val="GE Economics"/>
      <sheetName val="Metrics"/>
      <sheetName val="Sensitivities"/>
      <sheetName val="Deal Assumptions"/>
      <sheetName val="Property Assumptions"/>
      <sheetName val="Debt Worksheet"/>
      <sheetName val="Equity Worksheet"/>
      <sheetName val="FAS 141"/>
      <sheetName val="Overhead"/>
      <sheetName val="Data Tape"/>
      <sheetName val="Criteria"/>
      <sheetName val="UW vs 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98641627242"/>
      <sheetName val="Template"/>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X44"/>
  <sheetViews>
    <sheetView showGridLines="0" topLeftCell="D4" zoomScaleNormal="100" zoomScaleSheetLayoutView="90" workbookViewId="0">
      <selection activeCell="K12" sqref="K12"/>
    </sheetView>
  </sheetViews>
  <sheetFormatPr defaultColWidth="8.85546875" defaultRowHeight="23.25" customHeight="1"/>
  <cols>
    <col min="1" max="1" width="4.85546875" style="62" customWidth="1"/>
    <col min="2" max="2" width="42.28515625" style="62" customWidth="1"/>
    <col min="3" max="3" width="50.28515625" style="62" bestFit="1" customWidth="1"/>
    <col min="4" max="4" width="20.85546875" style="62" customWidth="1"/>
    <col min="5" max="5" width="24.28515625" style="62" bestFit="1" customWidth="1"/>
    <col min="6" max="6" width="25.42578125" style="62" customWidth="1"/>
    <col min="7" max="8" width="23.7109375" style="62" customWidth="1"/>
    <col min="9" max="9" width="22.140625" style="62" customWidth="1"/>
    <col min="10" max="10" width="22.42578125" style="62" customWidth="1"/>
    <col min="11" max="11" width="24.42578125" style="62" customWidth="1"/>
    <col min="12" max="12" width="23.140625" style="62" customWidth="1"/>
    <col min="13" max="13" width="21.85546875" style="62" customWidth="1"/>
    <col min="14" max="14" width="18.42578125" style="62" bestFit="1" customWidth="1"/>
    <col min="15" max="15" width="28.28515625" style="62" customWidth="1"/>
    <col min="16" max="16" width="29.28515625" style="62" customWidth="1"/>
    <col min="17" max="17" width="37" style="62" customWidth="1"/>
    <col min="18" max="18" width="14.85546875" style="62" customWidth="1"/>
    <col min="19" max="20" width="20.42578125" style="62" bestFit="1" customWidth="1"/>
    <col min="21" max="21" width="17" style="62" bestFit="1" customWidth="1"/>
    <col min="22" max="22" width="17" style="62" customWidth="1"/>
    <col min="23" max="23" width="22.140625" style="62" customWidth="1"/>
    <col min="24" max="16384" width="8.85546875" style="62"/>
  </cols>
  <sheetData>
    <row r="1" spans="2:24" ht="23.25" customHeight="1" thickBot="1"/>
    <row r="2" spans="2:24" ht="23.25" customHeight="1">
      <c r="B2" s="1011" t="s">
        <v>690</v>
      </c>
      <c r="C2" s="1012"/>
      <c r="D2" s="1012"/>
      <c r="E2" s="1012"/>
      <c r="F2" s="1012"/>
      <c r="G2" s="1012"/>
      <c r="H2" s="1012"/>
      <c r="I2" s="1012"/>
      <c r="J2" s="1012"/>
      <c r="K2" s="1012"/>
      <c r="L2" s="1012"/>
      <c r="M2" s="1012"/>
      <c r="N2" s="1012"/>
      <c r="O2" s="1012"/>
      <c r="P2" s="1012"/>
      <c r="Q2" s="1013"/>
      <c r="R2" s="86"/>
      <c r="S2" s="86"/>
      <c r="T2" s="86"/>
      <c r="U2" s="86"/>
    </row>
    <row r="3" spans="2:24" ht="23.25" customHeight="1" thickBot="1">
      <c r="B3" s="1014"/>
      <c r="C3" s="1015"/>
      <c r="D3" s="1015"/>
      <c r="E3" s="1015"/>
      <c r="F3" s="1015"/>
      <c r="G3" s="1015"/>
      <c r="H3" s="1015"/>
      <c r="I3" s="1015"/>
      <c r="J3" s="1015"/>
      <c r="K3" s="1015"/>
      <c r="L3" s="1015"/>
      <c r="M3" s="1015"/>
      <c r="N3" s="1015"/>
      <c r="O3" s="1015"/>
      <c r="P3" s="1015"/>
      <c r="Q3" s="1016"/>
      <c r="R3" s="86"/>
      <c r="X3" s="63"/>
    </row>
    <row r="4" spans="2:24" ht="61.5" customHeight="1">
      <c r="B4" s="49" t="s">
        <v>35</v>
      </c>
      <c r="C4" s="50" t="s">
        <v>36</v>
      </c>
      <c r="D4" s="50" t="s">
        <v>128</v>
      </c>
      <c r="E4" s="50" t="s">
        <v>303</v>
      </c>
      <c r="F4" s="51" t="s">
        <v>37</v>
      </c>
      <c r="G4" s="52" t="s">
        <v>401</v>
      </c>
      <c r="H4" s="53" t="s">
        <v>129</v>
      </c>
      <c r="I4" s="50" t="s">
        <v>402</v>
      </c>
      <c r="J4" s="51" t="s">
        <v>130</v>
      </c>
      <c r="K4" s="50" t="s">
        <v>38</v>
      </c>
      <c r="L4" s="50" t="s">
        <v>131</v>
      </c>
      <c r="M4" s="52" t="s">
        <v>132</v>
      </c>
      <c r="N4" s="53" t="s">
        <v>39</v>
      </c>
      <c r="O4" s="50" t="s">
        <v>491</v>
      </c>
      <c r="P4" s="50" t="s">
        <v>133</v>
      </c>
      <c r="Q4" s="54" t="s">
        <v>40</v>
      </c>
    </row>
    <row r="5" spans="2:24" s="64" customFormat="1" ht="23.1" customHeight="1">
      <c r="B5" s="145" t="s">
        <v>414</v>
      </c>
      <c r="C5" s="55" t="s">
        <v>125</v>
      </c>
      <c r="D5" s="144">
        <v>607123</v>
      </c>
      <c r="E5" s="144" t="s">
        <v>304</v>
      </c>
      <c r="F5" s="143" t="s">
        <v>646</v>
      </c>
      <c r="G5" s="394">
        <f>'Site 1 - Financial'!D8+'Site 1 - Financial'!D15</f>
        <v>269500</v>
      </c>
      <c r="H5" s="394">
        <f>'Site 1 - Financial'!D19</f>
        <v>101382</v>
      </c>
      <c r="I5" s="534">
        <f>'Site 1 - Financial'!B30</f>
        <v>12</v>
      </c>
      <c r="J5" s="328">
        <f>'Site 1 - Financial'!I29</f>
        <v>331072303.96136868</v>
      </c>
      <c r="K5" s="328">
        <f>'Site 1 - Financial'!I27</f>
        <v>228663977.89256197</v>
      </c>
      <c r="L5" s="329">
        <f>'Site 1 - Financial'!E24</f>
        <v>102898790.05165288</v>
      </c>
      <c r="M5" s="329">
        <f>'Site 1 - Financial'!E23</f>
        <v>125765187.84090909</v>
      </c>
      <c r="N5" s="330">
        <f>'Site 1 - Financial'!E25</f>
        <v>0</v>
      </c>
      <c r="O5" s="331">
        <f>J5/(K5-N5)-1</f>
        <v>0.44785508855672651</v>
      </c>
      <c r="P5" s="334">
        <f>'Site 1 - Draw'!C59</f>
        <v>0.18195395997119435</v>
      </c>
      <c r="Q5" s="335">
        <f>'Site 1 - Draw'!C63</f>
        <v>0.24482412232768502</v>
      </c>
    </row>
    <row r="6" spans="2:24" s="64" customFormat="1" ht="23.1" customHeight="1">
      <c r="B6" s="371" t="s">
        <v>415</v>
      </c>
      <c r="C6" s="56" t="s">
        <v>407</v>
      </c>
      <c r="D6" s="372">
        <v>397411</v>
      </c>
      <c r="E6" s="372" t="s">
        <v>386</v>
      </c>
      <c r="F6" s="373" t="s">
        <v>646</v>
      </c>
      <c r="G6" s="394">
        <f>'Site 2 - Financial'!D8+'Site 2 - Financial'!D15</f>
        <v>544500</v>
      </c>
      <c r="H6" s="394">
        <f>'Site 2 - Financial'!D20</f>
        <v>59740</v>
      </c>
      <c r="I6" s="535">
        <f>'Site 2 - Financial'!B31</f>
        <v>27</v>
      </c>
      <c r="J6" s="402">
        <f>'Site 2 - Financial'!I29</f>
        <v>545641927.60197234</v>
      </c>
      <c r="K6" s="402">
        <f>'Site 2 - Financial'!I27</f>
        <v>367513774.80729127</v>
      </c>
      <c r="L6" s="398">
        <f>'Site 2 - Financial'!E25</f>
        <v>165381198.66328105</v>
      </c>
      <c r="M6" s="403">
        <f>'Site 2 - Financial'!E24</f>
        <v>202132576.14401022</v>
      </c>
      <c r="N6" s="403">
        <f>'Site 2 - Financial'!E26</f>
        <v>0</v>
      </c>
      <c r="O6" s="399">
        <f>J6/(K6-N6)-1</f>
        <v>0.48468428942040065</v>
      </c>
      <c r="P6" s="400">
        <f>'Site 2 - Draw'!C60</f>
        <v>0.14881184455258256</v>
      </c>
      <c r="Q6" s="401">
        <f>'Site 2 - Draw'!C64</f>
        <v>0.18220213394345497</v>
      </c>
    </row>
    <row r="7" spans="2:24" s="64" customFormat="1" ht="23.1" customHeight="1">
      <c r="B7" s="404" t="s">
        <v>410</v>
      </c>
      <c r="C7" s="357" t="s">
        <v>411</v>
      </c>
      <c r="D7" s="405">
        <v>350141</v>
      </c>
      <c r="E7" s="405" t="s">
        <v>304</v>
      </c>
      <c r="F7" s="406" t="s">
        <v>409</v>
      </c>
      <c r="G7" s="395">
        <f>'Site 3 - Financial'!D8+'Site 3 - Financial'!D15</f>
        <v>175700</v>
      </c>
      <c r="H7" s="395">
        <f>'Site 3 - Financial'!D20</f>
        <v>97131</v>
      </c>
      <c r="I7" s="535">
        <f>'Site 3 - Financial'!B31</f>
        <v>13</v>
      </c>
      <c r="J7" s="407">
        <f>'Site 3 - Financial'!I29</f>
        <v>234870048.910707</v>
      </c>
      <c r="K7" s="408">
        <f>'Site 3 - Financial'!I27</f>
        <v>161645932.16890496</v>
      </c>
      <c r="L7" s="407">
        <f>'Site 3 - Financial'!E25</f>
        <v>72740669.476007223</v>
      </c>
      <c r="M7" s="407">
        <f>'Site 3 - Financial'!E24</f>
        <v>88905262.692897737</v>
      </c>
      <c r="N7" s="407">
        <f>'Site 3 - Financial'!E26</f>
        <v>0</v>
      </c>
      <c r="O7" s="409">
        <f>J7/(K7-N7)-1</f>
        <v>0.45299077903976981</v>
      </c>
      <c r="P7" s="410">
        <f>'Site 3 - Draw'!C66</f>
        <v>0.20958374902126242</v>
      </c>
      <c r="Q7" s="411">
        <f>'Site 3 - Draw'!C70</f>
        <v>0.27637963693877232</v>
      </c>
    </row>
    <row r="8" spans="2:24" s="881" customFormat="1" ht="23.1" customHeight="1">
      <c r="B8" s="393" t="s">
        <v>416</v>
      </c>
      <c r="C8" s="397" t="s">
        <v>395</v>
      </c>
      <c r="D8" s="369">
        <v>221651</v>
      </c>
      <c r="E8" s="369" t="s">
        <v>304</v>
      </c>
      <c r="F8" s="370" t="s">
        <v>408</v>
      </c>
      <c r="G8" s="394">
        <f>'Site 4 - Financial'!D8</f>
        <v>0</v>
      </c>
      <c r="H8" s="394">
        <f>'Site 4 - Financial'!D13</f>
        <v>152646</v>
      </c>
      <c r="I8" s="533">
        <f>'Site 4 - Financial'!B24</f>
        <v>9</v>
      </c>
      <c r="J8" s="398">
        <f>'Site 4 - Financial'!I29</f>
        <v>126579941.36055055</v>
      </c>
      <c r="K8" s="398">
        <f>'Site 4 - Financial'!I27</f>
        <v>99429054.651404962</v>
      </c>
      <c r="L8" s="398">
        <f>'Site 4 - Financial'!E18</f>
        <v>42683205.603689224</v>
      </c>
      <c r="M8" s="398">
        <f>'Site 4 - Financial'!E17</f>
        <v>54685980.058272734</v>
      </c>
      <c r="N8" s="908">
        <f>'Site 4 - Financial'!E19</f>
        <v>2059868.9894430041</v>
      </c>
      <c r="O8" s="399">
        <f t="shared" ref="O8:O11" si="0">J8/(K8-N8)-1</f>
        <v>0.30000000000000004</v>
      </c>
      <c r="P8" s="400">
        <f>'Site 4 - Draw'!C58</f>
        <v>0.15441048166736948</v>
      </c>
      <c r="Q8" s="401">
        <f>'Site 4 - Draw'!C62</f>
        <v>0.20265165278735919</v>
      </c>
    </row>
    <row r="9" spans="2:24" s="64" customFormat="1" ht="23.1" customHeight="1">
      <c r="B9" s="393" t="s">
        <v>418</v>
      </c>
      <c r="C9" s="397" t="s">
        <v>417</v>
      </c>
      <c r="D9" s="369">
        <v>274942</v>
      </c>
      <c r="E9" s="369" t="s">
        <v>419</v>
      </c>
      <c r="F9" s="370" t="s">
        <v>646</v>
      </c>
      <c r="G9" s="394">
        <f>'Site 5 - Financial'!D8+'Site 5 - Financial'!D15</f>
        <v>217250</v>
      </c>
      <c r="H9" s="394">
        <f>'Site 5 - Financial'!D20</f>
        <v>27243</v>
      </c>
      <c r="I9" s="533">
        <f>'Site 5 - Financial'!B31</f>
        <v>22</v>
      </c>
      <c r="J9" s="398">
        <f>'Site 5 - Financial'!I29</f>
        <v>256680046.14720827</v>
      </c>
      <c r="K9" s="398">
        <f>'Site 5 - Financial'!I27</f>
        <v>196993993.87923557</v>
      </c>
      <c r="L9" s="398">
        <f>'Site 5 - Financial'!E25</f>
        <v>88647297.245655999</v>
      </c>
      <c r="M9" s="398">
        <f>'Site 5 - Financial'!E24</f>
        <v>108346696.63357957</v>
      </c>
      <c r="N9" s="908">
        <f>'Site 5 - Financial'!E26</f>
        <v>0</v>
      </c>
      <c r="O9" s="889">
        <f t="shared" si="0"/>
        <v>0.30298412196547675</v>
      </c>
      <c r="P9" s="400">
        <f>'Site 5 - Draw'!C67</f>
        <v>0.12298317975535289</v>
      </c>
      <c r="Q9" s="401">
        <f>'Site 5 - Draw'!C71</f>
        <v>0.14253295283069733</v>
      </c>
    </row>
    <row r="10" spans="2:24" s="64" customFormat="1" ht="23.1" customHeight="1">
      <c r="B10" s="890" t="s">
        <v>429</v>
      </c>
      <c r="C10" s="891" t="s">
        <v>564</v>
      </c>
      <c r="D10" s="892">
        <v>20422</v>
      </c>
      <c r="E10" s="892" t="s">
        <v>386</v>
      </c>
      <c r="F10" s="893" t="s">
        <v>646</v>
      </c>
      <c r="G10" s="894">
        <f>'Site 6 - Financial'!D8</f>
        <v>77000</v>
      </c>
      <c r="H10" s="894">
        <f>'Site 6 - Financial'!D13</f>
        <v>14577</v>
      </c>
      <c r="I10" s="533">
        <f>'Site 6 - Financial'!B24</f>
        <v>8</v>
      </c>
      <c r="J10" s="895">
        <f>'Site 6 - Financial'!I29</f>
        <v>79886127.158397093</v>
      </c>
      <c r="K10" s="896">
        <f>'Site 6 - Financial'!I27</f>
        <v>59348850.655285738</v>
      </c>
      <c r="L10" s="895">
        <f>'Site 6 - Financial'!E18</f>
        <v>26706982.79487858</v>
      </c>
      <c r="M10" s="895">
        <f>'Site 6 - Financial'!E17</f>
        <v>32641867.860407159</v>
      </c>
      <c r="N10" s="895">
        <f>'Site 6 - Financial'!E19</f>
        <v>0</v>
      </c>
      <c r="O10" s="889">
        <f t="shared" si="0"/>
        <v>0.3460433736517905</v>
      </c>
      <c r="P10" s="897">
        <f>'Site 6 - Draw'!C58</f>
        <v>0.11766117856110925</v>
      </c>
      <c r="Q10" s="898">
        <f>'Site 6 - Draw'!C62</f>
        <v>0.16036831122026718</v>
      </c>
    </row>
    <row r="11" spans="2:24" s="64" customFormat="1" ht="23.1" customHeight="1">
      <c r="B11" s="890" t="s">
        <v>523</v>
      </c>
      <c r="C11" s="891" t="s">
        <v>524</v>
      </c>
      <c r="D11" s="892">
        <v>121389</v>
      </c>
      <c r="E11" s="892" t="s">
        <v>304</v>
      </c>
      <c r="F11" s="893" t="s">
        <v>646</v>
      </c>
      <c r="G11" s="894">
        <f>'Site 7 - Financial'!D8</f>
        <v>68250</v>
      </c>
      <c r="H11" s="894">
        <f>'Site 7 - Financial'!D13</f>
        <v>27037</v>
      </c>
      <c r="I11" s="533">
        <f>'Site 7 - Financial'!B24</f>
        <v>7</v>
      </c>
      <c r="J11" s="895">
        <f>'Site 7 - Financial'!I29</f>
        <v>107626426.11928803</v>
      </c>
      <c r="K11" s="896">
        <f>'Site 7 - Financial'!I27</f>
        <v>73483033.68169421</v>
      </c>
      <c r="L11" s="895">
        <f>'Site 7 - Financial'!E18</f>
        <v>33067365.156762391</v>
      </c>
      <c r="M11" s="895">
        <f>'Site 7 - Financial'!E17</f>
        <v>40415668.524931818</v>
      </c>
      <c r="N11" s="895">
        <f>'Site 7 - Financial'!E19</f>
        <v>0</v>
      </c>
      <c r="O11" s="889">
        <f t="shared" si="0"/>
        <v>0.46464320710400231</v>
      </c>
      <c r="P11" s="897">
        <f>'Site 7 - Draw'!C60</f>
        <v>0.30680495737591462</v>
      </c>
      <c r="Q11" s="898">
        <f>'Site 7 - Draw'!C64</f>
        <v>0.46672473848926432</v>
      </c>
    </row>
    <row r="12" spans="2:24" ht="30.75" customHeight="1" thickBot="1">
      <c r="B12" s="57" t="s">
        <v>41</v>
      </c>
      <c r="C12" s="58"/>
      <c r="D12" s="396">
        <f>SUM(D5:D11)</f>
        <v>1993079</v>
      </c>
      <c r="E12" s="59"/>
      <c r="F12" s="60"/>
      <c r="G12" s="396">
        <f>SUM(G5:G11)</f>
        <v>1352200</v>
      </c>
      <c r="H12" s="396">
        <f>SUM(H5:H11)</f>
        <v>479756</v>
      </c>
      <c r="I12" s="60"/>
      <c r="J12" s="61">
        <f>SUM(J5:J11)</f>
        <v>1682356821.2594922</v>
      </c>
      <c r="K12" s="61">
        <f>SUM(K5:K11)</f>
        <v>1187078617.7363789</v>
      </c>
      <c r="L12" s="61">
        <f>SUM(L5:L11)</f>
        <v>532125508.99192739</v>
      </c>
      <c r="M12" s="61">
        <f>SUM(M5:M11)</f>
        <v>652893239.75500822</v>
      </c>
      <c r="N12" s="874">
        <f>SUM(N5:N11)</f>
        <v>2059868.9894430041</v>
      </c>
      <c r="O12" s="434">
        <f>J12/(K12-N12)-1</f>
        <v>0.41968793577186192</v>
      </c>
      <c r="P12" s="906">
        <f>'All Components Draw'!C12</f>
        <v>0.16532810088136696</v>
      </c>
      <c r="Q12" s="907">
        <f>'All Components Draw'!C21</f>
        <v>0.21605385738947502</v>
      </c>
    </row>
    <row r="13" spans="2:24" ht="23.25" customHeight="1" thickBot="1">
      <c r="B13" s="1017" t="s">
        <v>42</v>
      </c>
      <c r="C13" s="1018"/>
      <c r="D13" s="1018"/>
      <c r="E13" s="1018"/>
      <c r="F13" s="1018"/>
      <c r="G13" s="1018"/>
      <c r="H13" s="1018"/>
      <c r="I13" s="1018"/>
      <c r="J13" s="1018"/>
      <c r="K13" s="1018"/>
      <c r="L13" s="1018"/>
      <c r="M13" s="1018"/>
      <c r="N13" s="1018"/>
      <c r="O13" s="1018"/>
      <c r="P13" s="1018"/>
      <c r="Q13" s="1019"/>
    </row>
    <row r="14" spans="2:24" ht="34.700000000000003" customHeight="1">
      <c r="B14" s="387" t="s">
        <v>43</v>
      </c>
      <c r="C14" s="133" t="s">
        <v>427</v>
      </c>
      <c r="D14" s="443" t="s">
        <v>670</v>
      </c>
      <c r="E14" s="133" t="s">
        <v>430</v>
      </c>
      <c r="F14" s="388" t="s">
        <v>44</v>
      </c>
      <c r="G14" s="1029" t="str">
        <f>B5</f>
        <v>King's Court</v>
      </c>
      <c r="H14" s="1030"/>
      <c r="I14" s="1035" t="str">
        <f>B6</f>
        <v>Hawk's Nest</v>
      </c>
      <c r="J14" s="1036"/>
      <c r="K14" s="1037" t="str">
        <f>B7</f>
        <v>Chinook</v>
      </c>
      <c r="L14" s="1038"/>
      <c r="M14" s="1037" t="str">
        <f>B8</f>
        <v>County Center</v>
      </c>
      <c r="N14" s="1038"/>
      <c r="O14" s="437" t="str">
        <f>B9</f>
        <v>Goat Hill</v>
      </c>
      <c r="P14" s="475" t="str">
        <f>B10</f>
        <v>The Argyle</v>
      </c>
      <c r="Q14" s="423" t="str">
        <f>B11</f>
        <v>The Yesler</v>
      </c>
    </row>
    <row r="15" spans="2:24" ht="21.95" customHeight="1">
      <c r="B15" s="415" t="s">
        <v>518</v>
      </c>
      <c r="C15" s="419">
        <v>0</v>
      </c>
      <c r="D15" s="444">
        <f>C15*'Site 1 - Financial'!$H$10*0.25</f>
        <v>0</v>
      </c>
      <c r="E15" s="447">
        <v>7500000</v>
      </c>
      <c r="F15" s="450">
        <f>E15+D15</f>
        <v>7500000</v>
      </c>
      <c r="G15" s="1031">
        <f>F15*(1/7)</f>
        <v>1071428.5714285714</v>
      </c>
      <c r="H15" s="1032"/>
      <c r="I15" s="1032">
        <f>$F15*(2/7)</f>
        <v>2142857.1428571427</v>
      </c>
      <c r="J15" s="1032"/>
      <c r="K15" s="1032">
        <f>$F15*(2/7)</f>
        <v>2142857.1428571427</v>
      </c>
      <c r="L15" s="1032"/>
      <c r="M15" s="1032">
        <v>0</v>
      </c>
      <c r="N15" s="1032"/>
      <c r="O15" s="450">
        <v>0</v>
      </c>
      <c r="P15" s="453">
        <f>$F15*(1/14)</f>
        <v>535714.28571428568</v>
      </c>
      <c r="Q15" s="456">
        <f>$F15*(3/14)</f>
        <v>1607142.857142857</v>
      </c>
    </row>
    <row r="16" spans="2:24" ht="21.95" customHeight="1">
      <c r="B16" s="416" t="s">
        <v>426</v>
      </c>
      <c r="C16" s="420">
        <v>0</v>
      </c>
      <c r="D16" s="445">
        <f>C16*'Site 1 - Financial'!$H$10*0.25</f>
        <v>0</v>
      </c>
      <c r="E16" s="448">
        <v>7500000</v>
      </c>
      <c r="F16" s="451">
        <f t="shared" ref="F16:F21" si="1">E16+D16</f>
        <v>7500000</v>
      </c>
      <c r="G16" s="1033">
        <f t="shared" ref="G16:G21" si="2">F16*(1/7)</f>
        <v>1071428.5714285714</v>
      </c>
      <c r="H16" s="1034"/>
      <c r="I16" s="1034">
        <f t="shared" ref="I16:I21" si="3">$F16*(2/7)</f>
        <v>2142857.1428571427</v>
      </c>
      <c r="J16" s="1034"/>
      <c r="K16" s="1034">
        <f t="shared" ref="K16:K21" si="4">$F16*(2/7)</f>
        <v>2142857.1428571427</v>
      </c>
      <c r="L16" s="1034"/>
      <c r="M16" s="1034">
        <v>0</v>
      </c>
      <c r="N16" s="1034"/>
      <c r="O16" s="451">
        <v>0</v>
      </c>
      <c r="P16" s="454">
        <f t="shared" ref="P16:P21" si="5">$F16*(1/14)</f>
        <v>535714.28571428568</v>
      </c>
      <c r="Q16" s="457">
        <f t="shared" ref="Q16:Q21" si="6">$F16*(3/14)</f>
        <v>1607142.857142857</v>
      </c>
    </row>
    <row r="17" spans="2:17" ht="21.95" customHeight="1">
      <c r="B17" s="416" t="s">
        <v>425</v>
      </c>
      <c r="C17" s="420">
        <v>0</v>
      </c>
      <c r="D17" s="445">
        <f>C17*'Site 1 - Financial'!$H$10*0.25</f>
        <v>0</v>
      </c>
      <c r="E17" s="448">
        <v>7500000</v>
      </c>
      <c r="F17" s="451">
        <f t="shared" si="1"/>
        <v>7500000</v>
      </c>
      <c r="G17" s="1033">
        <f t="shared" si="2"/>
        <v>1071428.5714285714</v>
      </c>
      <c r="H17" s="1034"/>
      <c r="I17" s="1034">
        <f t="shared" si="3"/>
        <v>2142857.1428571427</v>
      </c>
      <c r="J17" s="1034"/>
      <c r="K17" s="1034">
        <f t="shared" si="4"/>
        <v>2142857.1428571427</v>
      </c>
      <c r="L17" s="1034"/>
      <c r="M17" s="1034">
        <v>0</v>
      </c>
      <c r="N17" s="1034"/>
      <c r="O17" s="451">
        <v>0</v>
      </c>
      <c r="P17" s="454">
        <f t="shared" si="5"/>
        <v>535714.28571428568</v>
      </c>
      <c r="Q17" s="457">
        <f t="shared" si="6"/>
        <v>1607142.857142857</v>
      </c>
    </row>
    <row r="18" spans="2:17" ht="21.95" customHeight="1">
      <c r="B18" s="416" t="s">
        <v>424</v>
      </c>
      <c r="C18" s="420">
        <v>0</v>
      </c>
      <c r="D18" s="445">
        <f>C18*'Site 1 - Financial'!$H$10*0.25</f>
        <v>0</v>
      </c>
      <c r="E18" s="448">
        <v>7500000</v>
      </c>
      <c r="F18" s="451">
        <f t="shared" si="1"/>
        <v>7500000</v>
      </c>
      <c r="G18" s="1033">
        <f t="shared" si="2"/>
        <v>1071428.5714285714</v>
      </c>
      <c r="H18" s="1034"/>
      <c r="I18" s="1034">
        <f t="shared" si="3"/>
        <v>2142857.1428571427</v>
      </c>
      <c r="J18" s="1034"/>
      <c r="K18" s="1034">
        <f t="shared" si="4"/>
        <v>2142857.1428571427</v>
      </c>
      <c r="L18" s="1034"/>
      <c r="M18" s="1034">
        <v>0</v>
      </c>
      <c r="N18" s="1034"/>
      <c r="O18" s="451">
        <v>0</v>
      </c>
      <c r="P18" s="454">
        <f t="shared" si="5"/>
        <v>535714.28571428568</v>
      </c>
      <c r="Q18" s="457">
        <f t="shared" si="6"/>
        <v>1607142.857142857</v>
      </c>
    </row>
    <row r="19" spans="2:17" ht="21.95" customHeight="1">
      <c r="B19" s="416" t="s">
        <v>517</v>
      </c>
      <c r="C19" s="420">
        <v>0</v>
      </c>
      <c r="D19" s="445">
        <f>C19*'Site 1 - Financial'!$H$10*0.25</f>
        <v>0</v>
      </c>
      <c r="E19" s="448">
        <v>7500000</v>
      </c>
      <c r="F19" s="451">
        <f t="shared" si="1"/>
        <v>7500000</v>
      </c>
      <c r="G19" s="1033">
        <f t="shared" si="2"/>
        <v>1071428.5714285714</v>
      </c>
      <c r="H19" s="1034"/>
      <c r="I19" s="1034">
        <f t="shared" si="3"/>
        <v>2142857.1428571427</v>
      </c>
      <c r="J19" s="1034"/>
      <c r="K19" s="1034">
        <f t="shared" si="4"/>
        <v>2142857.1428571427</v>
      </c>
      <c r="L19" s="1034"/>
      <c r="M19" s="1034">
        <v>0</v>
      </c>
      <c r="N19" s="1034"/>
      <c r="O19" s="451">
        <v>0</v>
      </c>
      <c r="P19" s="454">
        <f t="shared" si="5"/>
        <v>535714.28571428568</v>
      </c>
      <c r="Q19" s="457">
        <f t="shared" si="6"/>
        <v>1607142.857142857</v>
      </c>
    </row>
    <row r="20" spans="2:17" ht="21.95" customHeight="1">
      <c r="B20" s="416" t="s">
        <v>423</v>
      </c>
      <c r="C20" s="420">
        <v>0</v>
      </c>
      <c r="D20" s="445">
        <f>C20*'Site 1 - Financial'!$H$10*0.25</f>
        <v>0</v>
      </c>
      <c r="E20" s="448">
        <v>7500000</v>
      </c>
      <c r="F20" s="451">
        <f t="shared" si="1"/>
        <v>7500000</v>
      </c>
      <c r="G20" s="1033">
        <f t="shared" si="2"/>
        <v>1071428.5714285714</v>
      </c>
      <c r="H20" s="1034"/>
      <c r="I20" s="1034">
        <f t="shared" si="3"/>
        <v>2142857.1428571427</v>
      </c>
      <c r="J20" s="1034"/>
      <c r="K20" s="1034">
        <f t="shared" si="4"/>
        <v>2142857.1428571427</v>
      </c>
      <c r="L20" s="1034"/>
      <c r="M20" s="1034">
        <v>0</v>
      </c>
      <c r="N20" s="1034"/>
      <c r="O20" s="451">
        <v>0</v>
      </c>
      <c r="P20" s="454">
        <f t="shared" si="5"/>
        <v>535714.28571428568</v>
      </c>
      <c r="Q20" s="457">
        <f t="shared" si="6"/>
        <v>1607142.857142857</v>
      </c>
    </row>
    <row r="21" spans="2:17" ht="21.95" customHeight="1">
      <c r="B21" s="417" t="s">
        <v>422</v>
      </c>
      <c r="C21" s="421">
        <v>0</v>
      </c>
      <c r="D21" s="446">
        <f>C21*'Site 1 - Financial'!$H$10*0.25</f>
        <v>0</v>
      </c>
      <c r="E21" s="449">
        <v>7500000</v>
      </c>
      <c r="F21" s="452">
        <f t="shared" si="1"/>
        <v>7500000</v>
      </c>
      <c r="G21" s="1027">
        <f t="shared" si="2"/>
        <v>1071428.5714285714</v>
      </c>
      <c r="H21" s="1028"/>
      <c r="I21" s="1028">
        <f t="shared" si="3"/>
        <v>2142857.1428571427</v>
      </c>
      <c r="J21" s="1028"/>
      <c r="K21" s="1028">
        <f t="shared" si="4"/>
        <v>2142857.1428571427</v>
      </c>
      <c r="L21" s="1028"/>
      <c r="M21" s="1028">
        <v>0</v>
      </c>
      <c r="N21" s="1028"/>
      <c r="O21" s="452">
        <v>0</v>
      </c>
      <c r="P21" s="455">
        <f t="shared" si="5"/>
        <v>535714.28571428568</v>
      </c>
      <c r="Q21" s="458">
        <f t="shared" si="6"/>
        <v>1607142.857142857</v>
      </c>
    </row>
    <row r="22" spans="2:17" s="65" customFormat="1" ht="23.25" customHeight="1" thickBot="1">
      <c r="B22" s="390" t="s">
        <v>45</v>
      </c>
      <c r="C22" s="422">
        <f>SUM(C15:C21)</f>
        <v>0</v>
      </c>
      <c r="D22" s="418">
        <f>SUM(D15:D21)</f>
        <v>0</v>
      </c>
      <c r="E22" s="418">
        <f>SUM(E15:E21)</f>
        <v>52500000</v>
      </c>
      <c r="F22" s="389">
        <f>SUM(F15:F21)</f>
        <v>52500000</v>
      </c>
      <c r="G22" s="989">
        <f>SUM(G15:H21)</f>
        <v>7499999.9999999981</v>
      </c>
      <c r="H22" s="990"/>
      <c r="I22" s="1039">
        <f>SUM(I15:J21)</f>
        <v>14999999.999999996</v>
      </c>
      <c r="J22" s="1040"/>
      <c r="K22" s="1039">
        <f>SUM(K15:L21)</f>
        <v>14999999.999999996</v>
      </c>
      <c r="L22" s="1040"/>
      <c r="M22" s="1039">
        <f>SUM(M15:N21)</f>
        <v>0</v>
      </c>
      <c r="N22" s="1040"/>
      <c r="O22" s="435">
        <f>SUM(O15:O21)</f>
        <v>0</v>
      </c>
      <c r="P22" s="476">
        <f>SUM(P15:P21)</f>
        <v>3749999.9999999991</v>
      </c>
      <c r="Q22" s="424">
        <f>SUM(Q15:Q21)</f>
        <v>11249999.999999998</v>
      </c>
    </row>
    <row r="23" spans="2:17" ht="23.25" hidden="1" customHeight="1" thickTop="1" thickBot="1">
      <c r="B23" s="425"/>
      <c r="Q23" s="426"/>
    </row>
    <row r="24" spans="2:17" ht="23.25" customHeight="1" thickBot="1">
      <c r="B24" s="991" t="s">
        <v>138</v>
      </c>
      <c r="C24" s="992"/>
      <c r="D24" s="992"/>
      <c r="E24" s="992"/>
      <c r="F24" s="992"/>
      <c r="G24" s="992"/>
      <c r="H24" s="992"/>
      <c r="I24" s="992"/>
      <c r="J24" s="992"/>
      <c r="K24" s="992"/>
      <c r="L24" s="992"/>
      <c r="M24" s="992"/>
      <c r="N24" s="992"/>
      <c r="O24" s="992"/>
      <c r="P24" s="992"/>
      <c r="Q24" s="993"/>
    </row>
    <row r="25" spans="2:17" s="333" customFormat="1" ht="35.25" customHeight="1">
      <c r="B25" s="1006" t="s">
        <v>35</v>
      </c>
      <c r="C25" s="1007"/>
      <c r="D25" s="1007"/>
      <c r="E25" s="1007"/>
      <c r="F25" s="1008"/>
      <c r="G25" s="1020" t="str">
        <f>G14</f>
        <v>King's Court</v>
      </c>
      <c r="H25" s="998"/>
      <c r="I25" s="998" t="str">
        <f>I14</f>
        <v>Hawk's Nest</v>
      </c>
      <c r="J25" s="998"/>
      <c r="K25" s="1025" t="str">
        <f>K14</f>
        <v>Chinook</v>
      </c>
      <c r="L25" s="1025"/>
      <c r="M25" s="998" t="str">
        <f>M14</f>
        <v>County Center</v>
      </c>
      <c r="N25" s="998"/>
      <c r="O25" s="436" t="str">
        <f>O14</f>
        <v>Goat Hill</v>
      </c>
      <c r="P25" s="436" t="str">
        <f>P14</f>
        <v>The Argyle</v>
      </c>
      <c r="Q25" s="332" t="str">
        <f>Q14</f>
        <v>The Yesler</v>
      </c>
    </row>
    <row r="26" spans="2:17" ht="35.25" customHeight="1">
      <c r="B26" s="1022" t="s">
        <v>136</v>
      </c>
      <c r="C26" s="1023"/>
      <c r="D26" s="1023"/>
      <c r="E26" s="1023"/>
      <c r="F26" s="1024"/>
      <c r="G26" s="1021" t="s">
        <v>608</v>
      </c>
      <c r="H26" s="999"/>
      <c r="I26" s="999" t="s">
        <v>623</v>
      </c>
      <c r="J26" s="999"/>
      <c r="K26" s="999" t="s">
        <v>608</v>
      </c>
      <c r="L26" s="999"/>
      <c r="M26" s="1026" t="s">
        <v>608</v>
      </c>
      <c r="N26" s="1026"/>
      <c r="O26" s="472" t="s">
        <v>611</v>
      </c>
      <c r="P26" s="536" t="s">
        <v>615</v>
      </c>
      <c r="Q26" s="459" t="s">
        <v>619</v>
      </c>
    </row>
    <row r="27" spans="2:17" ht="35.25" customHeight="1">
      <c r="B27" s="1003" t="s">
        <v>137</v>
      </c>
      <c r="C27" s="1004"/>
      <c r="D27" s="1004"/>
      <c r="E27" s="1004"/>
      <c r="F27" s="1005"/>
      <c r="G27" s="1009" t="s">
        <v>428</v>
      </c>
      <c r="H27" s="994"/>
      <c r="I27" s="994" t="s">
        <v>624</v>
      </c>
      <c r="J27" s="994"/>
      <c r="K27" s="994" t="s">
        <v>428</v>
      </c>
      <c r="L27" s="994"/>
      <c r="M27" s="995" t="s">
        <v>428</v>
      </c>
      <c r="N27" s="995"/>
      <c r="O27" s="473" t="s">
        <v>428</v>
      </c>
      <c r="P27" s="473" t="s">
        <v>616</v>
      </c>
      <c r="Q27" s="460" t="s">
        <v>428</v>
      </c>
    </row>
    <row r="28" spans="2:17" ht="35.25" customHeight="1">
      <c r="B28" s="1003" t="s">
        <v>134</v>
      </c>
      <c r="C28" s="1004"/>
      <c r="D28" s="1004"/>
      <c r="E28" s="1004"/>
      <c r="F28" s="1005"/>
      <c r="G28" s="1009" t="s">
        <v>622</v>
      </c>
      <c r="H28" s="994"/>
      <c r="I28" s="994" t="s">
        <v>625</v>
      </c>
      <c r="J28" s="994"/>
      <c r="K28" s="994" t="s">
        <v>622</v>
      </c>
      <c r="L28" s="994"/>
      <c r="M28" s="995" t="s">
        <v>609</v>
      </c>
      <c r="N28" s="995"/>
      <c r="O28" s="473" t="s">
        <v>613</v>
      </c>
      <c r="P28" s="473" t="s">
        <v>617</v>
      </c>
      <c r="Q28" s="460" t="s">
        <v>620</v>
      </c>
    </row>
    <row r="29" spans="2:17" ht="35.25" customHeight="1" thickBot="1">
      <c r="B29" s="1000" t="s">
        <v>135</v>
      </c>
      <c r="C29" s="1001"/>
      <c r="D29" s="1001"/>
      <c r="E29" s="1001"/>
      <c r="F29" s="1002"/>
      <c r="G29" s="996" t="s">
        <v>612</v>
      </c>
      <c r="H29" s="997"/>
      <c r="I29" s="997" t="s">
        <v>626</v>
      </c>
      <c r="J29" s="997"/>
      <c r="K29" s="997" t="s">
        <v>612</v>
      </c>
      <c r="L29" s="997"/>
      <c r="M29" s="1010" t="s">
        <v>610</v>
      </c>
      <c r="N29" s="1010"/>
      <c r="O29" s="474" t="s">
        <v>614</v>
      </c>
      <c r="P29" s="474" t="s">
        <v>618</v>
      </c>
      <c r="Q29" s="461" t="s">
        <v>621</v>
      </c>
    </row>
    <row r="30" spans="2:17" ht="21" customHeight="1">
      <c r="B30" s="986" t="s">
        <v>669</v>
      </c>
      <c r="C30" s="987"/>
      <c r="D30" s="987"/>
      <c r="E30" s="988"/>
      <c r="F30" s="954"/>
      <c r="G30" s="986" t="s">
        <v>682</v>
      </c>
      <c r="H30" s="987"/>
      <c r="I30" s="987"/>
      <c r="J30" s="987"/>
      <c r="K30" s="987"/>
      <c r="L30" s="987"/>
      <c r="M30" s="987"/>
      <c r="N30" s="987"/>
      <c r="O30" s="987"/>
      <c r="P30" s="987"/>
      <c r="Q30" s="988"/>
    </row>
    <row r="31" spans="2:17" ht="35.25" customHeight="1" thickBot="1">
      <c r="B31" s="919" t="s">
        <v>656</v>
      </c>
      <c r="C31" s="920" t="s">
        <v>83</v>
      </c>
      <c r="D31" s="920" t="s">
        <v>183</v>
      </c>
      <c r="E31" s="921" t="s">
        <v>659</v>
      </c>
      <c r="F31" s="955"/>
      <c r="G31" s="958" t="s">
        <v>476</v>
      </c>
      <c r="H31" s="963" t="s">
        <v>691</v>
      </c>
      <c r="I31" s="974" t="s">
        <v>692</v>
      </c>
      <c r="J31" s="959" t="s">
        <v>693</v>
      </c>
      <c r="K31" s="964" t="s">
        <v>694</v>
      </c>
      <c r="L31" s="960" t="s">
        <v>681</v>
      </c>
      <c r="M31" s="961" t="s">
        <v>640</v>
      </c>
      <c r="N31" s="972" t="s">
        <v>680</v>
      </c>
      <c r="O31" s="973" t="s">
        <v>641</v>
      </c>
      <c r="P31" s="960" t="s">
        <v>522</v>
      </c>
      <c r="Q31" s="962" t="s">
        <v>683</v>
      </c>
    </row>
    <row r="32" spans="2:17" ht="23.45" customHeight="1">
      <c r="B32" s="910" t="s">
        <v>587</v>
      </c>
      <c r="C32" s="911">
        <f>'Site 1 - Financial'!C15+'Site 2 - Financial'!C15+'Site 3 - Financial'!C15+'Site 5 - Financial'!C15+'Site 6 - Financial'!C8</f>
        <v>730</v>
      </c>
      <c r="D32" s="911">
        <f>'Site 1 - Financial'!D15+'Site 2 - Financial'!D15+'Site 3 - Financial'!D15+'Site 5 - Financial'!D15+'Site 6 - Financial'!D8</f>
        <v>547500</v>
      </c>
      <c r="E32" s="912">
        <f>D32/$D$34</f>
        <v>0.62432293745367462</v>
      </c>
      <c r="F32" s="955"/>
      <c r="G32" s="910" t="s">
        <v>414</v>
      </c>
      <c r="H32" s="965">
        <f>'Site 1 - Financial'!C8</f>
        <v>200</v>
      </c>
      <c r="I32" s="967">
        <f>'Site 1 - Financial'!D8</f>
        <v>134750</v>
      </c>
      <c r="J32" s="957">
        <f>'Site 1 - Financial'!C15</f>
        <v>200</v>
      </c>
      <c r="K32" s="966">
        <f>'Site 1 - Financial'!D15</f>
        <v>134750</v>
      </c>
      <c r="L32" s="911">
        <f>'Site 1 - Financial'!C17</f>
        <v>12</v>
      </c>
      <c r="M32" s="911">
        <f>'Site 1 - Financial'!D17</f>
        <v>101382</v>
      </c>
      <c r="N32" s="965">
        <f>'Site 1 - Financial'!C18</f>
        <v>0</v>
      </c>
      <c r="O32" s="967">
        <f>'Site 1 - Financial'!D18</f>
        <v>0</v>
      </c>
      <c r="P32" s="911">
        <f>'Site 1 - Financial'!C26+'Site 1 - Financial'!C27</f>
        <v>0</v>
      </c>
      <c r="Q32" s="950">
        <f>'Site 1 - Financial'!C28</f>
        <v>0</v>
      </c>
    </row>
    <row r="33" spans="2:17" ht="23.25" customHeight="1">
      <c r="B33" s="910" t="s">
        <v>586</v>
      </c>
      <c r="C33" s="911">
        <f>'Site 3 - Financial'!C8+'Site 5 - Financial'!C8</f>
        <v>456</v>
      </c>
      <c r="D33" s="911">
        <f>'Site 3 - Financial'!D8+'Site 5 - Financial'!D8</f>
        <v>329450</v>
      </c>
      <c r="E33" s="912">
        <f t="shared" ref="E33:E34" si="7">D33/$D$34</f>
        <v>0.37567706254632532</v>
      </c>
      <c r="F33" s="955"/>
      <c r="G33" s="910" t="s">
        <v>410</v>
      </c>
      <c r="H33" s="965">
        <f>'Site 3 - Financial'!C8</f>
        <v>166</v>
      </c>
      <c r="I33" s="967">
        <f>'Site 3 - Financial'!D8</f>
        <v>122700</v>
      </c>
      <c r="J33" s="911">
        <f>+'Site 3 - Financial'!C15</f>
        <v>70</v>
      </c>
      <c r="K33" s="967">
        <f>+'Site 3 - Financial'!D15</f>
        <v>53000</v>
      </c>
      <c r="L33" s="911">
        <f>'Site 3 - Financial'!C18</f>
        <v>6</v>
      </c>
      <c r="M33" s="911">
        <f>'Site 3 - Financial'!D18</f>
        <v>38268</v>
      </c>
      <c r="N33" s="965">
        <f>'Site 3 - Financial'!C19</f>
        <v>6</v>
      </c>
      <c r="O33" s="967">
        <f>'Site 3 - Financial'!D19</f>
        <v>58863</v>
      </c>
      <c r="P33" s="911">
        <f>'Site 3 - Financial'!C27+'Site 3 - Financial'!C28</f>
        <v>270</v>
      </c>
      <c r="Q33" s="950">
        <f>'Site 3 - Financial'!C29</f>
        <v>89515</v>
      </c>
    </row>
    <row r="34" spans="2:17" ht="23.25" customHeight="1">
      <c r="B34" s="913" t="s">
        <v>684</v>
      </c>
      <c r="C34" s="914">
        <f>SUM(C32:C33)</f>
        <v>1186</v>
      </c>
      <c r="D34" s="914">
        <f>SUM(D32:D33)</f>
        <v>876950</v>
      </c>
      <c r="E34" s="915">
        <f t="shared" si="7"/>
        <v>1</v>
      </c>
      <c r="F34" s="955"/>
      <c r="G34" s="910" t="s">
        <v>416</v>
      </c>
      <c r="H34" s="965">
        <v>0</v>
      </c>
      <c r="I34" s="967">
        <v>0</v>
      </c>
      <c r="J34" s="911">
        <v>0</v>
      </c>
      <c r="K34" s="967">
        <v>0</v>
      </c>
      <c r="L34" s="911">
        <f>'Site 4 - Financial'!C11</f>
        <v>10</v>
      </c>
      <c r="M34" s="911">
        <f>'Site 4 - Financial'!D11</f>
        <v>86819</v>
      </c>
      <c r="N34" s="965">
        <f>'Site 4 - Financial'!C12</f>
        <v>6</v>
      </c>
      <c r="O34" s="967">
        <f>'Site 4 - Financial'!D12</f>
        <v>65827</v>
      </c>
      <c r="P34" s="911">
        <v>0</v>
      </c>
      <c r="Q34" s="950">
        <v>0</v>
      </c>
    </row>
    <row r="35" spans="2:17" ht="23.25" customHeight="1">
      <c r="B35" s="919" t="s">
        <v>658</v>
      </c>
      <c r="C35" s="920" t="s">
        <v>83</v>
      </c>
      <c r="D35" s="920" t="s">
        <v>183</v>
      </c>
      <c r="E35" s="921" t="s">
        <v>659</v>
      </c>
      <c r="F35" s="955"/>
      <c r="G35" s="913" t="s">
        <v>687</v>
      </c>
      <c r="H35" s="968">
        <f>SUM(H32:H34)</f>
        <v>366</v>
      </c>
      <c r="I35" s="969">
        <f>SUM(I32:I34)</f>
        <v>257450</v>
      </c>
      <c r="J35" s="914">
        <f t="shared" ref="J35:K35" si="8">SUM(J32:J34)</f>
        <v>270</v>
      </c>
      <c r="K35" s="969">
        <f t="shared" si="8"/>
        <v>187750</v>
      </c>
      <c r="L35" s="914">
        <f t="shared" ref="L35:Q35" si="9">SUM(L32:L34)</f>
        <v>28</v>
      </c>
      <c r="M35" s="914">
        <f t="shared" si="9"/>
        <v>226469</v>
      </c>
      <c r="N35" s="968">
        <f t="shared" si="9"/>
        <v>12</v>
      </c>
      <c r="O35" s="969">
        <f t="shared" si="9"/>
        <v>124690</v>
      </c>
      <c r="P35" s="914">
        <f t="shared" si="9"/>
        <v>270</v>
      </c>
      <c r="Q35" s="951">
        <f t="shared" si="9"/>
        <v>89515</v>
      </c>
    </row>
    <row r="36" spans="2:17" ht="23.25" customHeight="1">
      <c r="B36" s="910" t="s">
        <v>587</v>
      </c>
      <c r="C36" s="911">
        <v>0</v>
      </c>
      <c r="D36" s="911">
        <v>0</v>
      </c>
      <c r="E36" s="912">
        <f>D36/$D$38</f>
        <v>0</v>
      </c>
      <c r="F36" s="955"/>
      <c r="G36" s="910" t="s">
        <v>418</v>
      </c>
      <c r="H36" s="965">
        <f>'Site 5 - Financial'!C8</f>
        <v>290</v>
      </c>
      <c r="I36" s="967">
        <f>'Site 5 - Financial'!D8</f>
        <v>206750</v>
      </c>
      <c r="J36" s="911">
        <f>+'Site 5 - Financial'!C15</f>
        <v>15</v>
      </c>
      <c r="K36" s="967">
        <f>+'Site 5 - Financial'!D15</f>
        <v>10500</v>
      </c>
      <c r="L36" s="911">
        <f>'Site 5 - Financial'!C18</f>
        <v>8</v>
      </c>
      <c r="M36" s="911">
        <f>'Site 5 - Financial'!D18</f>
        <v>27243</v>
      </c>
      <c r="N36" s="965">
        <v>0</v>
      </c>
      <c r="O36" s="967">
        <v>0</v>
      </c>
      <c r="P36" s="911">
        <f>'Site 5 - Financial'!C27+'Site 5 - Financial'!C28</f>
        <v>720</v>
      </c>
      <c r="Q36" s="950">
        <f>'Site 5 - Financial'!C29</f>
        <v>237306</v>
      </c>
    </row>
    <row r="37" spans="2:17" ht="23.25" customHeight="1">
      <c r="B37" s="910" t="s">
        <v>586</v>
      </c>
      <c r="C37" s="911">
        <f>'Site 1 - Financial'!C8+'Site 2 - Financial'!C8+'Site 7 - Financial'!C8</f>
        <v>630</v>
      </c>
      <c r="D37" s="911">
        <f>'Site 1 - Financial'!D8+'Site 2 - Financial'!D8+'Site 7 - Financial'!D8</f>
        <v>475250</v>
      </c>
      <c r="E37" s="912">
        <f t="shared" ref="E37:E38" si="10">D37/$D$38</f>
        <v>1</v>
      </c>
      <c r="F37" s="955"/>
      <c r="G37" s="910" t="s">
        <v>429</v>
      </c>
      <c r="H37" s="965">
        <v>0</v>
      </c>
      <c r="I37" s="967">
        <v>0</v>
      </c>
      <c r="J37" s="911">
        <f>'Site 6 - Financial'!C8</f>
        <v>120</v>
      </c>
      <c r="K37" s="967">
        <f>'Site 6 - Financial'!D8</f>
        <v>77000</v>
      </c>
      <c r="L37" s="911">
        <f>'Site 6 - Financial'!C11</f>
        <v>4</v>
      </c>
      <c r="M37" s="911">
        <f>'Site 6 - Financial'!D11</f>
        <v>14577</v>
      </c>
      <c r="N37" s="965">
        <v>0</v>
      </c>
      <c r="O37" s="967">
        <v>0</v>
      </c>
      <c r="P37" s="911">
        <f>'Site 6 - Financial'!C20+'Site 6 - Financial'!C21</f>
        <v>50</v>
      </c>
      <c r="Q37" s="950">
        <f>'Site 6 - Financial'!C22</f>
        <v>14233</v>
      </c>
    </row>
    <row r="38" spans="2:17" ht="23.25" customHeight="1">
      <c r="B38" s="913" t="s">
        <v>685</v>
      </c>
      <c r="C38" s="914">
        <f>SUM(C36:C37)</f>
        <v>630</v>
      </c>
      <c r="D38" s="914">
        <f>SUM(D36:D37)</f>
        <v>475250</v>
      </c>
      <c r="E38" s="915">
        <f t="shared" si="10"/>
        <v>1</v>
      </c>
      <c r="F38" s="955"/>
      <c r="G38" s="913" t="s">
        <v>688</v>
      </c>
      <c r="H38" s="968">
        <f>SUM(H36:H37)</f>
        <v>290</v>
      </c>
      <c r="I38" s="969">
        <f>SUM(I36:I37)</f>
        <v>206750</v>
      </c>
      <c r="J38" s="914">
        <f t="shared" ref="J38:K38" si="11">SUM(J36:J37)</f>
        <v>135</v>
      </c>
      <c r="K38" s="969">
        <f t="shared" si="11"/>
        <v>87500</v>
      </c>
      <c r="L38" s="914">
        <f t="shared" ref="L38:Q38" si="12">SUM(L36:L37)</f>
        <v>12</v>
      </c>
      <c r="M38" s="914">
        <f t="shared" si="12"/>
        <v>41820</v>
      </c>
      <c r="N38" s="968">
        <f t="shared" si="12"/>
        <v>0</v>
      </c>
      <c r="O38" s="969">
        <f t="shared" si="12"/>
        <v>0</v>
      </c>
      <c r="P38" s="914">
        <f t="shared" si="12"/>
        <v>770</v>
      </c>
      <c r="Q38" s="951">
        <f t="shared" si="12"/>
        <v>251539</v>
      </c>
    </row>
    <row r="39" spans="2:17" ht="23.25" customHeight="1">
      <c r="B39" s="919" t="s">
        <v>657</v>
      </c>
      <c r="C39" s="920" t="s">
        <v>83</v>
      </c>
      <c r="D39" s="920" t="s">
        <v>183</v>
      </c>
      <c r="E39" s="921" t="s">
        <v>659</v>
      </c>
      <c r="F39" s="955"/>
      <c r="G39" s="910" t="s">
        <v>415</v>
      </c>
      <c r="H39" s="965">
        <f>'Site 2 - Financial'!C8</f>
        <v>325</v>
      </c>
      <c r="I39" s="967">
        <f>'Site 2 - Financial'!D8</f>
        <v>272250</v>
      </c>
      <c r="J39" s="911">
        <f>+'Site 2 - Financial'!C15</f>
        <v>325</v>
      </c>
      <c r="K39" s="967">
        <f>+'Site 2 - Financial'!D15</f>
        <v>272250</v>
      </c>
      <c r="L39" s="911">
        <f>'Site 2 - Financial'!C18</f>
        <v>2</v>
      </c>
      <c r="M39" s="911">
        <f>'Site 2 - Financial'!D18</f>
        <v>59740</v>
      </c>
      <c r="N39" s="965">
        <v>0</v>
      </c>
      <c r="O39" s="967">
        <v>0</v>
      </c>
      <c r="P39" s="911">
        <f>'Site 2 - Financial'!C27+'Site 2 - Financial'!C28</f>
        <v>390</v>
      </c>
      <c r="Q39" s="950">
        <f>'Site 2 - Financial'!C29</f>
        <v>128196</v>
      </c>
    </row>
    <row r="40" spans="2:17" ht="23.25" customHeight="1">
      <c r="B40" s="910" t="s">
        <v>587</v>
      </c>
      <c r="C40" s="911">
        <f>C36+C32</f>
        <v>730</v>
      </c>
      <c r="D40" s="911">
        <f>D36+D32</f>
        <v>547500</v>
      </c>
      <c r="E40" s="912">
        <f>D40/$D$42</f>
        <v>0.40489572548439579</v>
      </c>
      <c r="F40" s="955"/>
      <c r="G40" s="910" t="s">
        <v>523</v>
      </c>
      <c r="H40" s="965">
        <f>'Site 7 - Financial'!C8</f>
        <v>105</v>
      </c>
      <c r="I40" s="967">
        <f>'Site 7 - Financial'!D8</f>
        <v>68250</v>
      </c>
      <c r="J40" s="911">
        <v>0</v>
      </c>
      <c r="K40" s="967">
        <v>0</v>
      </c>
      <c r="L40" s="911">
        <f>'Site 7 - Financial'!C11</f>
        <v>6</v>
      </c>
      <c r="M40" s="911">
        <f>'Site 7 - Financial'!D11</f>
        <v>27037</v>
      </c>
      <c r="N40" s="965">
        <v>0</v>
      </c>
      <c r="O40" s="967">
        <v>0</v>
      </c>
      <c r="P40" s="911">
        <v>0</v>
      </c>
      <c r="Q40" s="950">
        <v>0</v>
      </c>
    </row>
    <row r="41" spans="2:17" ht="23.25" customHeight="1">
      <c r="B41" s="910" t="s">
        <v>586</v>
      </c>
      <c r="C41" s="911">
        <f>C37+C33</f>
        <v>1086</v>
      </c>
      <c r="D41" s="911">
        <f>D37+D33</f>
        <v>804700</v>
      </c>
      <c r="E41" s="912">
        <f t="shared" ref="E41:E42" si="13">D41/$D$42</f>
        <v>0.59510427451560421</v>
      </c>
      <c r="F41" s="955"/>
      <c r="G41" s="913" t="s">
        <v>689</v>
      </c>
      <c r="H41" s="968">
        <f>SUM(H39:H40)</f>
        <v>430</v>
      </c>
      <c r="I41" s="969">
        <f>SUM(I39:I40)</f>
        <v>340500</v>
      </c>
      <c r="J41" s="914">
        <f t="shared" ref="J41:K41" si="14">SUM(J39:J40)</f>
        <v>325</v>
      </c>
      <c r="K41" s="969">
        <f t="shared" si="14"/>
        <v>272250</v>
      </c>
      <c r="L41" s="914">
        <f>SUM(L39:L40)</f>
        <v>8</v>
      </c>
      <c r="M41" s="914">
        <f t="shared" ref="M41" si="15">SUM(M39:M40)</f>
        <v>86777</v>
      </c>
      <c r="N41" s="968">
        <f t="shared" ref="N41" si="16">SUM(N39:N40)</f>
        <v>0</v>
      </c>
      <c r="O41" s="969">
        <f t="shared" ref="O41" si="17">SUM(O39:O40)</f>
        <v>0</v>
      </c>
      <c r="P41" s="914">
        <f t="shared" ref="P41" si="18">SUM(P39:P40)</f>
        <v>390</v>
      </c>
      <c r="Q41" s="951">
        <f t="shared" ref="Q41" si="19">SUM(Q39:Q40)</f>
        <v>128196</v>
      </c>
    </row>
    <row r="42" spans="2:17" ht="23.25" customHeight="1" thickBot="1">
      <c r="B42" s="916" t="s">
        <v>686</v>
      </c>
      <c r="C42" s="917">
        <f>SUM(C40:C41)</f>
        <v>1816</v>
      </c>
      <c r="D42" s="917">
        <f>SUM(D40:D41)</f>
        <v>1352200</v>
      </c>
      <c r="E42" s="918">
        <f t="shared" si="13"/>
        <v>1</v>
      </c>
      <c r="F42" s="956"/>
      <c r="G42" s="949" t="s">
        <v>668</v>
      </c>
      <c r="H42" s="970">
        <f>H41+H38+H35</f>
        <v>1086</v>
      </c>
      <c r="I42" s="971">
        <f>I41+I38+I35</f>
        <v>804700</v>
      </c>
      <c r="J42" s="952">
        <f t="shared" ref="J42:K42" si="20">J41+J38+J35</f>
        <v>730</v>
      </c>
      <c r="K42" s="971">
        <f t="shared" si="20"/>
        <v>547500</v>
      </c>
      <c r="L42" s="952">
        <f t="shared" ref="L42:Q42" si="21">L41+L38+L35</f>
        <v>48</v>
      </c>
      <c r="M42" s="952">
        <f t="shared" si="21"/>
        <v>355066</v>
      </c>
      <c r="N42" s="970">
        <f t="shared" si="21"/>
        <v>12</v>
      </c>
      <c r="O42" s="971">
        <f t="shared" si="21"/>
        <v>124690</v>
      </c>
      <c r="P42" s="952">
        <f t="shared" si="21"/>
        <v>1430</v>
      </c>
      <c r="Q42" s="953">
        <f t="shared" si="21"/>
        <v>469250</v>
      </c>
    </row>
    <row r="43" spans="2:17" ht="23.25" customHeight="1">
      <c r="J43" s="948"/>
      <c r="K43" s="948"/>
      <c r="L43" s="948"/>
    </row>
    <row r="44" spans="2:17" ht="23.25" customHeight="1">
      <c r="H44" s="414"/>
      <c r="L44" s="414"/>
    </row>
  </sheetData>
  <mergeCells count="66">
    <mergeCell ref="K14:L14"/>
    <mergeCell ref="M14:N14"/>
    <mergeCell ref="M22:N22"/>
    <mergeCell ref="K22:L22"/>
    <mergeCell ref="I22:J22"/>
    <mergeCell ref="K20:L20"/>
    <mergeCell ref="K21:L21"/>
    <mergeCell ref="M15:N15"/>
    <mergeCell ref="M16:N16"/>
    <mergeCell ref="M17:N17"/>
    <mergeCell ref="M18:N18"/>
    <mergeCell ref="M19:N19"/>
    <mergeCell ref="M20:N20"/>
    <mergeCell ref="M21:N21"/>
    <mergeCell ref="K15:L15"/>
    <mergeCell ref="K16:L16"/>
    <mergeCell ref="K17:L17"/>
    <mergeCell ref="K18:L18"/>
    <mergeCell ref="K19:L19"/>
    <mergeCell ref="G19:H19"/>
    <mergeCell ref="G20:H20"/>
    <mergeCell ref="I19:J19"/>
    <mergeCell ref="I20:J20"/>
    <mergeCell ref="I21:J21"/>
    <mergeCell ref="G14:H14"/>
    <mergeCell ref="G15:H15"/>
    <mergeCell ref="G16:H16"/>
    <mergeCell ref="G17:H17"/>
    <mergeCell ref="G18:H18"/>
    <mergeCell ref="I14:J14"/>
    <mergeCell ref="I15:J15"/>
    <mergeCell ref="I16:J16"/>
    <mergeCell ref="I17:J17"/>
    <mergeCell ref="I18:J18"/>
    <mergeCell ref="M28:N28"/>
    <mergeCell ref="M29:N29"/>
    <mergeCell ref="B2:Q3"/>
    <mergeCell ref="B13:Q13"/>
    <mergeCell ref="G25:H25"/>
    <mergeCell ref="G26:H26"/>
    <mergeCell ref="G27:H27"/>
    <mergeCell ref="B26:F26"/>
    <mergeCell ref="B27:F27"/>
    <mergeCell ref="I27:J27"/>
    <mergeCell ref="K25:L25"/>
    <mergeCell ref="K26:L26"/>
    <mergeCell ref="K27:L27"/>
    <mergeCell ref="M25:N25"/>
    <mergeCell ref="M26:N26"/>
    <mergeCell ref="G21:H21"/>
    <mergeCell ref="G30:Q30"/>
    <mergeCell ref="B30:E30"/>
    <mergeCell ref="G22:H22"/>
    <mergeCell ref="B24:Q24"/>
    <mergeCell ref="K28:L28"/>
    <mergeCell ref="M27:N27"/>
    <mergeCell ref="G29:H29"/>
    <mergeCell ref="I25:J25"/>
    <mergeCell ref="I26:J26"/>
    <mergeCell ref="B29:F29"/>
    <mergeCell ref="I28:J28"/>
    <mergeCell ref="I29:J29"/>
    <mergeCell ref="B28:F28"/>
    <mergeCell ref="B25:F25"/>
    <mergeCell ref="G28:H28"/>
    <mergeCell ref="K29:L29"/>
  </mergeCells>
  <phoneticPr fontId="168" type="noConversion"/>
  <printOptions horizontalCentered="1" verticalCentered="1"/>
  <pageMargins left="0.7" right="0.7" top="0.75" bottom="0.75" header="0.3" footer="0.3"/>
  <pageSetup scale="26" fitToHeight="0" orientation="landscape" horizontalDpi="4294967292" verticalDpi="4294967292" r:id="rId1"/>
  <headerFooter>
    <oddHeader>&amp;C&amp;"Times New Roman Bold,Bold"&amp;14&amp;K000000INVESTOR SHEET</oddHeader>
    <oddFooter>&amp;CPage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A8AC-BCB7-364E-832C-9735C2530453}">
  <sheetPr>
    <tabColor rgb="FF92D050"/>
    <pageSetUpPr fitToPage="1"/>
  </sheetPr>
  <dimension ref="B1:K90"/>
  <sheetViews>
    <sheetView showGridLines="0" topLeftCell="A2" zoomScale="75" zoomScaleNormal="110" zoomScaleSheetLayoutView="90" workbookViewId="0">
      <selection activeCell="I30" sqref="I30"/>
    </sheetView>
  </sheetViews>
  <sheetFormatPr defaultColWidth="8.85546875" defaultRowHeight="23.25" customHeight="1"/>
  <cols>
    <col min="1" max="1" width="2" style="48" customWidth="1"/>
    <col min="2" max="2" width="36.42578125" style="48" bestFit="1" customWidth="1"/>
    <col min="3" max="3" width="32.140625" style="48" bestFit="1" customWidth="1"/>
    <col min="4" max="4" width="22.42578125" style="48" bestFit="1" customWidth="1"/>
    <col min="5" max="5" width="18.42578125" style="48" customWidth="1"/>
    <col min="6" max="6" width="18.140625" style="48" bestFit="1" customWidth="1"/>
    <col min="7" max="7" width="44.85546875" style="48" customWidth="1"/>
    <col min="8" max="11" width="26.140625" style="48" customWidth="1"/>
    <col min="12" max="12" width="13.140625" style="48" bestFit="1" customWidth="1"/>
    <col min="13" max="13" width="24.42578125" style="48" customWidth="1"/>
    <col min="14" max="14" width="32.42578125" style="48" customWidth="1"/>
    <col min="15" max="15" width="20.140625" style="48" customWidth="1"/>
    <col min="16" max="16384" width="8.85546875" style="48"/>
  </cols>
  <sheetData>
    <row r="1" spans="2:11" ht="12" customHeight="1" thickBot="1">
      <c r="B1" s="115"/>
      <c r="C1" s="115"/>
      <c r="D1" s="113"/>
      <c r="E1" s="116"/>
    </row>
    <row r="2" spans="2:11" ht="21" customHeight="1">
      <c r="B2" s="1249" t="str">
        <f>'Development Program'!B7</f>
        <v>Chinook</v>
      </c>
      <c r="C2" s="1250"/>
      <c r="D2" s="1250"/>
      <c r="E2" s="1250"/>
      <c r="F2" s="1251"/>
      <c r="G2" s="1268" t="s">
        <v>100</v>
      </c>
      <c r="H2" s="1244" t="s">
        <v>18</v>
      </c>
      <c r="I2" s="1244" t="s">
        <v>96</v>
      </c>
      <c r="J2" s="1074" t="s">
        <v>90</v>
      </c>
    </row>
    <row r="3" spans="2:11" ht="21" customHeight="1" thickBot="1">
      <c r="B3" s="87" t="s">
        <v>396</v>
      </c>
      <c r="C3" s="310" t="s">
        <v>83</v>
      </c>
      <c r="D3" s="311" t="s">
        <v>387</v>
      </c>
      <c r="E3" s="310" t="s">
        <v>388</v>
      </c>
      <c r="F3" s="114" t="s">
        <v>389</v>
      </c>
      <c r="G3" s="1269"/>
      <c r="H3" s="1245"/>
      <c r="I3" s="1245"/>
      <c r="J3" s="1270"/>
    </row>
    <row r="4" spans="2:11" ht="21" customHeight="1">
      <c r="B4" s="146" t="s">
        <v>85</v>
      </c>
      <c r="C4" s="147">
        <v>31</v>
      </c>
      <c r="D4" s="148">
        <f>Assumptions!C7*C4</f>
        <v>13950</v>
      </c>
      <c r="E4" s="149">
        <f>Assumptions!D7</f>
        <v>2000</v>
      </c>
      <c r="F4" s="150">
        <f>E4*C4*12</f>
        <v>744000</v>
      </c>
      <c r="G4" s="120" t="str">
        <f>Assumptions!F19</f>
        <v>Residential Condominium Hard Costs for Construction</v>
      </c>
      <c r="H4" s="269">
        <f>'Market Research'!H117</f>
        <v>290</v>
      </c>
      <c r="I4" s="270">
        <f>H4*(D8+D15)</f>
        <v>50953000</v>
      </c>
      <c r="J4" s="289">
        <f t="shared" ref="J4:J9" si="0">I4/($C$15+$C$8+$C$20)</f>
        <v>205455.64516129033</v>
      </c>
    </row>
    <row r="5" spans="2:11" ht="21" customHeight="1">
      <c r="B5" s="151" t="s">
        <v>187</v>
      </c>
      <c r="C5" s="152">
        <v>75</v>
      </c>
      <c r="D5" s="153">
        <f>Assumptions!C9*C5</f>
        <v>48750</v>
      </c>
      <c r="E5" s="154">
        <f>Assumptions!D9</f>
        <v>2400</v>
      </c>
      <c r="F5" s="155">
        <f>C5*E5*12</f>
        <v>2160000</v>
      </c>
      <c r="G5" s="477" t="s">
        <v>412</v>
      </c>
      <c r="H5" s="269">
        <f>'Market Research'!H122</f>
        <v>275</v>
      </c>
      <c r="I5" s="270">
        <f>H5*D19*0</f>
        <v>0</v>
      </c>
      <c r="J5" s="290">
        <f t="shared" si="0"/>
        <v>0</v>
      </c>
    </row>
    <row r="6" spans="2:11" ht="21" customHeight="1">
      <c r="B6" s="151" t="s">
        <v>188</v>
      </c>
      <c r="C6" s="152">
        <v>60</v>
      </c>
      <c r="D6" s="153">
        <f>Assumptions!C11*C6</f>
        <v>60000</v>
      </c>
      <c r="E6" s="154">
        <f>Assumptions!D11</f>
        <v>3400</v>
      </c>
      <c r="F6" s="155">
        <f>C6*E6*12</f>
        <v>2448000</v>
      </c>
      <c r="G6" s="477" t="s">
        <v>307</v>
      </c>
      <c r="H6" s="269">
        <f>'Market Research'!H122</f>
        <v>275</v>
      </c>
      <c r="I6" s="270">
        <f>H5*D18</f>
        <v>10523700</v>
      </c>
      <c r="J6" s="290">
        <f t="shared" si="0"/>
        <v>42434.274193548386</v>
      </c>
    </row>
    <row r="7" spans="2:11" ht="21" customHeight="1" thickBot="1">
      <c r="B7" s="156" t="s">
        <v>189</v>
      </c>
      <c r="C7" s="157">
        <v>0</v>
      </c>
      <c r="D7" s="158">
        <f>Assumptions!C13*C7</f>
        <v>0</v>
      </c>
      <c r="E7" s="159">
        <f>Assumptions!D13</f>
        <v>4600</v>
      </c>
      <c r="F7" s="160">
        <f>E7*C7*12</f>
        <v>0</v>
      </c>
      <c r="G7" s="477" t="s">
        <v>413</v>
      </c>
      <c r="H7" s="269">
        <f>'Market Research'!H135</f>
        <v>160</v>
      </c>
      <c r="I7" s="270">
        <f>H7*C29*0.5</f>
        <v>7161200</v>
      </c>
      <c r="J7" s="290">
        <f t="shared" si="0"/>
        <v>28875.806451612902</v>
      </c>
    </row>
    <row r="8" spans="2:11" ht="21" customHeight="1">
      <c r="B8" s="1218" t="s">
        <v>86</v>
      </c>
      <c r="C8" s="1220">
        <f>SUM(C4:C7)</f>
        <v>166</v>
      </c>
      <c r="D8" s="1253">
        <f>SUM(D4:D7)</f>
        <v>122700</v>
      </c>
      <c r="E8" s="1255">
        <f>F8/C8/12</f>
        <v>2686.7469879518071</v>
      </c>
      <c r="F8" s="1206">
        <f>SUM(F4:F7)</f>
        <v>5352000</v>
      </c>
      <c r="G8" s="477" t="s">
        <v>20</v>
      </c>
      <c r="H8" s="273">
        <v>0.1</v>
      </c>
      <c r="I8" s="270">
        <f>H8*SUM(I4:I7)</f>
        <v>6863790</v>
      </c>
      <c r="J8" s="290">
        <f t="shared" si="0"/>
        <v>27676.572580645163</v>
      </c>
    </row>
    <row r="9" spans="2:11" ht="21" customHeight="1">
      <c r="B9" s="1252"/>
      <c r="C9" s="1221"/>
      <c r="D9" s="1254"/>
      <c r="E9" s="1256"/>
      <c r="F9" s="1248"/>
      <c r="G9" s="120" t="s">
        <v>6</v>
      </c>
      <c r="H9" s="274" t="s">
        <v>24</v>
      </c>
      <c r="I9" s="270">
        <v>0</v>
      </c>
      <c r="J9" s="290">
        <f t="shared" si="0"/>
        <v>0</v>
      </c>
    </row>
    <row r="10" spans="2:11" ht="21" customHeight="1" thickBot="1">
      <c r="B10" s="87" t="s">
        <v>581</v>
      </c>
      <c r="C10" s="310" t="s">
        <v>83</v>
      </c>
      <c r="D10" s="311" t="s">
        <v>387</v>
      </c>
      <c r="E10" s="310" t="s">
        <v>582</v>
      </c>
      <c r="F10" s="114" t="s">
        <v>389</v>
      </c>
      <c r="G10" s="120" t="s">
        <v>308</v>
      </c>
      <c r="H10" s="275">
        <f>'Market Research'!C53</f>
        <v>45000000</v>
      </c>
      <c r="I10" s="270">
        <f>H10*C24</f>
        <v>29239669.4214876</v>
      </c>
      <c r="J10" s="290">
        <f t="shared" ref="J10:J17" si="1">I10/($C$15+$C$8+$C$20)</f>
        <v>117901.89282857903</v>
      </c>
    </row>
    <row r="11" spans="2:11" ht="21" customHeight="1">
      <c r="B11" s="146" t="s">
        <v>85</v>
      </c>
      <c r="C11" s="736">
        <v>15</v>
      </c>
      <c r="D11" s="148">
        <f>Assumptions!C7*C11</f>
        <v>6750</v>
      </c>
      <c r="E11" s="737">
        <f>'Site 2 - Financial'!E11</f>
        <v>1768</v>
      </c>
      <c r="F11" s="356">
        <f>E11*C11*12</f>
        <v>318240</v>
      </c>
      <c r="G11" s="477" t="s">
        <v>21</v>
      </c>
      <c r="H11" s="573" t="s">
        <v>367</v>
      </c>
      <c r="I11" s="270">
        <v>325000</v>
      </c>
      <c r="J11" s="289">
        <f t="shared" si="1"/>
        <v>1310.483870967742</v>
      </c>
    </row>
    <row r="12" spans="2:11" ht="21" customHeight="1">
      <c r="B12" s="151" t="s">
        <v>187</v>
      </c>
      <c r="C12" s="739">
        <v>25</v>
      </c>
      <c r="D12" s="153">
        <f>Assumptions!C9*C12</f>
        <v>16250</v>
      </c>
      <c r="E12" s="740">
        <f>'Site 2 - Financial'!E12</f>
        <v>1895</v>
      </c>
      <c r="F12" s="356">
        <f>E12*C12*12</f>
        <v>568500</v>
      </c>
      <c r="G12" s="477" t="s">
        <v>42</v>
      </c>
      <c r="H12" s="265" t="s">
        <v>368</v>
      </c>
      <c r="I12" s="270">
        <f>'Development Program'!K22</f>
        <v>14999999.999999996</v>
      </c>
      <c r="J12" s="290">
        <f t="shared" si="1"/>
        <v>60483.870967741917</v>
      </c>
    </row>
    <row r="13" spans="2:11" ht="21" customHeight="1">
      <c r="B13" s="151" t="s">
        <v>188</v>
      </c>
      <c r="C13" s="739">
        <v>30</v>
      </c>
      <c r="D13" s="878">
        <f>C13*Assumptions!C11</f>
        <v>30000</v>
      </c>
      <c r="E13" s="880">
        <f>'Site 2 - Financial'!E13</f>
        <v>2274</v>
      </c>
      <c r="F13" s="356">
        <f>E13*C13*12</f>
        <v>818640</v>
      </c>
      <c r="G13" s="486" t="s">
        <v>23</v>
      </c>
      <c r="H13" s="261" t="s">
        <v>24</v>
      </c>
      <c r="I13" s="262">
        <v>400000</v>
      </c>
      <c r="J13" s="290">
        <f t="shared" ref="J13" si="2">I13/($C$15+$C$8+$C$20)</f>
        <v>1612.9032258064517</v>
      </c>
      <c r="K13" s="879"/>
    </row>
    <row r="14" spans="2:11" ht="21" customHeight="1" thickBot="1">
      <c r="B14" s="156" t="s">
        <v>189</v>
      </c>
      <c r="C14" s="741">
        <v>0</v>
      </c>
      <c r="D14" s="158">
        <f>Assumptions!C13*C14</f>
        <v>0</v>
      </c>
      <c r="E14" s="742">
        <f>'Site 2 - Financial'!E14</f>
        <v>2628</v>
      </c>
      <c r="F14" s="356">
        <f>E14*C14*12</f>
        <v>0</v>
      </c>
      <c r="G14" s="118" t="s">
        <v>361</v>
      </c>
      <c r="H14" s="285">
        <v>0.02</v>
      </c>
      <c r="I14" s="262">
        <f>H14*I10</f>
        <v>584793.38842975197</v>
      </c>
      <c r="J14" s="290">
        <f t="shared" si="1"/>
        <v>2358.0378565715805</v>
      </c>
    </row>
    <row r="15" spans="2:11" ht="21" customHeight="1">
      <c r="B15" s="1218" t="s">
        <v>86</v>
      </c>
      <c r="C15" s="1220">
        <f>SUM(C11:C14)</f>
        <v>70</v>
      </c>
      <c r="D15" s="1253">
        <f>SUM(D11:D14)</f>
        <v>53000</v>
      </c>
      <c r="E15" s="1255">
        <f>F15/12/C15</f>
        <v>2030.2142857142858</v>
      </c>
      <c r="F15" s="1206">
        <f>SUM(F11:F14)</f>
        <v>1705380</v>
      </c>
      <c r="G15" s="118" t="s">
        <v>26</v>
      </c>
      <c r="H15" s="263">
        <v>0.04</v>
      </c>
      <c r="I15" s="262">
        <f>H15*SUM(I4:I7)</f>
        <v>2745516</v>
      </c>
      <c r="J15" s="290">
        <f t="shared" si="1"/>
        <v>11070.629032258064</v>
      </c>
    </row>
    <row r="16" spans="2:11" ht="21" customHeight="1">
      <c r="B16" s="1252"/>
      <c r="C16" s="1221"/>
      <c r="D16" s="1254"/>
      <c r="E16" s="1256"/>
      <c r="F16" s="1248"/>
      <c r="G16" s="118" t="s">
        <v>27</v>
      </c>
      <c r="H16" s="264">
        <v>0.03</v>
      </c>
      <c r="I16" s="262">
        <f>H16*SUM(I4:I15)</f>
        <v>3713900.0642975201</v>
      </c>
      <c r="J16" s="290">
        <f t="shared" si="1"/>
        <v>14975.403485070645</v>
      </c>
    </row>
    <row r="17" spans="2:11" ht="21" customHeight="1" thickBot="1">
      <c r="B17" s="177" t="s">
        <v>87</v>
      </c>
      <c r="C17" s="310" t="s">
        <v>83</v>
      </c>
      <c r="D17" s="310" t="s">
        <v>387</v>
      </c>
      <c r="E17" s="310" t="s">
        <v>88</v>
      </c>
      <c r="F17" s="114" t="s">
        <v>84</v>
      </c>
      <c r="G17" s="118" t="s">
        <v>28</v>
      </c>
      <c r="H17" s="263">
        <v>0.02</v>
      </c>
      <c r="I17" s="262">
        <f>H17*SUM(I4:I7)</f>
        <v>1372758</v>
      </c>
      <c r="J17" s="290">
        <f t="shared" si="1"/>
        <v>5535.3145161290322</v>
      </c>
    </row>
    <row r="18" spans="2:11" ht="21" customHeight="1">
      <c r="B18" s="161" t="s">
        <v>1</v>
      </c>
      <c r="C18" s="162">
        <v>6</v>
      </c>
      <c r="D18" s="163">
        <v>38268</v>
      </c>
      <c r="E18" s="164">
        <f>Assumptions!F7</f>
        <v>35</v>
      </c>
      <c r="F18" s="165">
        <f>D18*E18</f>
        <v>1339380</v>
      </c>
      <c r="G18" s="486" t="s">
        <v>98</v>
      </c>
      <c r="H18" s="746">
        <v>8.8293999999999994E-3</v>
      </c>
      <c r="I18" s="262">
        <f>H18*I10</f>
        <v>258168.73719008258</v>
      </c>
      <c r="J18" s="290">
        <f>I18/($C$15+$C$8+$C$20)</f>
        <v>1041.0029725406555</v>
      </c>
    </row>
    <row r="19" spans="2:11" ht="21" customHeight="1" thickBot="1">
      <c r="B19" s="166" t="s">
        <v>0</v>
      </c>
      <c r="C19" s="167">
        <v>6</v>
      </c>
      <c r="D19" s="168">
        <v>58863</v>
      </c>
      <c r="E19" s="169">
        <f>Assumptions!G7</f>
        <v>45</v>
      </c>
      <c r="F19" s="170">
        <f>D19*E19</f>
        <v>2648835</v>
      </c>
      <c r="G19" s="118" t="s">
        <v>29</v>
      </c>
      <c r="H19" s="265">
        <v>6000</v>
      </c>
      <c r="I19" s="262">
        <f>H19*(C8+C20)</f>
        <v>1068000</v>
      </c>
      <c r="J19" s="290">
        <f t="shared" ref="J19:J26" si="3">I19/($C$15+$C$8+$C$20)</f>
        <v>4306.4516129032254</v>
      </c>
    </row>
    <row r="20" spans="2:11" ht="21" customHeight="1">
      <c r="B20" s="1218" t="s">
        <v>86</v>
      </c>
      <c r="C20" s="1220">
        <f>SUM(C18:C19)</f>
        <v>12</v>
      </c>
      <c r="D20" s="1222">
        <f>SUM(D18:D19)</f>
        <v>97131</v>
      </c>
      <c r="E20" s="1224">
        <f>IF(D20=0,0,F20/D20)</f>
        <v>41.060166167341016</v>
      </c>
      <c r="F20" s="1206">
        <f>SUM(F18:F19)</f>
        <v>3988215</v>
      </c>
      <c r="G20" s="118" t="s">
        <v>30</v>
      </c>
      <c r="H20" s="261" t="s">
        <v>24</v>
      </c>
      <c r="I20" s="262">
        <v>400000</v>
      </c>
      <c r="J20" s="290">
        <f t="shared" si="3"/>
        <v>1612.9032258064517</v>
      </c>
    </row>
    <row r="21" spans="2:11" ht="21" customHeight="1" thickBot="1">
      <c r="B21" s="1219"/>
      <c r="C21" s="1221"/>
      <c r="D21" s="1223"/>
      <c r="E21" s="1225"/>
      <c r="F21" s="1207"/>
      <c r="G21" s="118" t="s">
        <v>31</v>
      </c>
      <c r="H21" s="266" t="s">
        <v>363</v>
      </c>
      <c r="I21" s="262">
        <f>'Site 3 - Draw'!C23</f>
        <v>2270322.0575000001</v>
      </c>
      <c r="J21" s="290">
        <f t="shared" si="3"/>
        <v>9154.5244254032259</v>
      </c>
    </row>
    <row r="22" spans="2:11" ht="21" customHeight="1">
      <c r="B22" s="1059" t="s">
        <v>371</v>
      </c>
      <c r="C22" s="1061"/>
      <c r="D22" s="1215" t="s">
        <v>203</v>
      </c>
      <c r="E22" s="1216"/>
      <c r="F22" s="1217"/>
      <c r="G22" s="118" t="s">
        <v>364</v>
      </c>
      <c r="H22" s="267">
        <f>'Market Research'!H125</f>
        <v>150</v>
      </c>
      <c r="I22" s="262">
        <f>H22*D20</f>
        <v>14569650</v>
      </c>
      <c r="J22" s="290">
        <f t="shared" si="3"/>
        <v>58748.588709677417</v>
      </c>
    </row>
    <row r="23" spans="2:11" ht="21" customHeight="1" thickBot="1">
      <c r="B23" s="134" t="s">
        <v>319</v>
      </c>
      <c r="C23" s="190" t="s">
        <v>375</v>
      </c>
      <c r="D23" s="134" t="s">
        <v>319</v>
      </c>
      <c r="E23" s="135" t="s">
        <v>103</v>
      </c>
      <c r="F23" s="190" t="s">
        <v>90</v>
      </c>
      <c r="G23" s="118" t="s">
        <v>365</v>
      </c>
      <c r="H23" s="268">
        <v>0.06</v>
      </c>
      <c r="I23" s="262">
        <f>H23*('Site 3 - Draw'!G49+'Site 3 - Draw'!G58)*5</f>
        <v>1196464.5</v>
      </c>
      <c r="J23" s="290">
        <f t="shared" si="3"/>
        <v>4824.4536290322585</v>
      </c>
    </row>
    <row r="24" spans="2:11" ht="21" customHeight="1">
      <c r="B24" s="293" t="s">
        <v>372</v>
      </c>
      <c r="C24" s="294">
        <f>28304/43560</f>
        <v>0.64977043158861336</v>
      </c>
      <c r="D24" s="303">
        <f>Assumptions!I11</f>
        <v>0.55000000000000004</v>
      </c>
      <c r="E24" s="304">
        <f>D24*I$27</f>
        <v>88905262.692897737</v>
      </c>
      <c r="F24" s="305">
        <f>E24/($C$8+$C$20)</f>
        <v>499467.76793762774</v>
      </c>
      <c r="G24" s="486" t="s">
        <v>33</v>
      </c>
      <c r="H24" s="487">
        <v>0.01</v>
      </c>
      <c r="I24" s="262">
        <v>1600000</v>
      </c>
      <c r="J24" s="290">
        <f t="shared" si="3"/>
        <v>6451.6129032258068</v>
      </c>
    </row>
    <row r="25" spans="2:11" ht="21" customHeight="1">
      <c r="B25" s="295" t="s">
        <v>373</v>
      </c>
      <c r="C25" s="392">
        <f>111205+175700</f>
        <v>286905</v>
      </c>
      <c r="D25" s="306">
        <f>1-D24</f>
        <v>0.44999999999999996</v>
      </c>
      <c r="E25" s="301">
        <f>(D25*I27)-E26</f>
        <v>72740669.476007223</v>
      </c>
      <c r="F25" s="302">
        <f>E25/($C$8+$C$20)</f>
        <v>408655.44649442262</v>
      </c>
      <c r="G25" s="488" t="s">
        <v>34</v>
      </c>
      <c r="H25" s="489">
        <f>Assumptions!$I$13</f>
        <v>5.2499999999999998E-2</v>
      </c>
      <c r="I25" s="262">
        <f>I24*H25*100</f>
        <v>8400000</v>
      </c>
      <c r="J25" s="290">
        <f t="shared" si="3"/>
        <v>33870.967741935485</v>
      </c>
    </row>
    <row r="26" spans="2:11" ht="21" customHeight="1" thickBot="1">
      <c r="B26" s="295" t="s">
        <v>374</v>
      </c>
      <c r="C26" s="296">
        <f>D8+D20+D15</f>
        <v>272831</v>
      </c>
      <c r="D26" s="295" t="s">
        <v>382</v>
      </c>
      <c r="E26" s="312">
        <v>0</v>
      </c>
      <c r="F26" s="313">
        <f>E26/($C$8+$C$20)</f>
        <v>0</v>
      </c>
      <c r="G26" s="121" t="s">
        <v>99</v>
      </c>
      <c r="H26" s="259" t="s">
        <v>24</v>
      </c>
      <c r="I26" s="260">
        <v>3000000</v>
      </c>
      <c r="J26" s="291">
        <f t="shared" si="3"/>
        <v>12096.774193548386</v>
      </c>
    </row>
    <row r="27" spans="2:11" ht="21" customHeight="1">
      <c r="B27" s="295" t="s">
        <v>376</v>
      </c>
      <c r="C27" s="297">
        <v>135</v>
      </c>
      <c r="D27" s="295" t="s">
        <v>383</v>
      </c>
      <c r="E27" s="307">
        <f>SUM(E24:E26)</f>
        <v>161645932.16890496</v>
      </c>
      <c r="F27" s="308">
        <f>SUM(F24:F26)</f>
        <v>908123.21443205036</v>
      </c>
      <c r="G27" s="122" t="s">
        <v>100</v>
      </c>
      <c r="H27" s="319" t="s">
        <v>202</v>
      </c>
      <c r="I27" s="320">
        <f>SUM(I4:I26)</f>
        <v>161645932.16890496</v>
      </c>
      <c r="J27" s="321">
        <f t="shared" ref="J27:J29" si="4">I27/($C$13+$C$8)</f>
        <v>824724.14371890284</v>
      </c>
    </row>
    <row r="28" spans="2:11" ht="21" customHeight="1" thickBot="1">
      <c r="B28" s="295" t="s">
        <v>377</v>
      </c>
      <c r="C28" s="297">
        <v>135</v>
      </c>
      <c r="D28" s="299"/>
      <c r="E28" s="309"/>
      <c r="F28" s="300"/>
      <c r="G28" s="123" t="s">
        <v>382</v>
      </c>
      <c r="H28" s="322" t="s">
        <v>202</v>
      </c>
      <c r="I28" s="323">
        <f>IF(I27-I32&gt;0,I27-I32,0)</f>
        <v>0</v>
      </c>
      <c r="J28" s="324">
        <f t="shared" si="4"/>
        <v>0</v>
      </c>
    </row>
    <row r="29" spans="2:11" ht="21" customHeight="1">
      <c r="B29" s="298" t="s">
        <v>421</v>
      </c>
      <c r="C29" s="296">
        <v>89515</v>
      </c>
      <c r="D29" s="1228" t="s">
        <v>104</v>
      </c>
      <c r="E29" s="1230">
        <f>E24+E25</f>
        <v>161645932.16890496</v>
      </c>
      <c r="F29" s="1210">
        <f>ROUND((F25+F24),-3)</f>
        <v>908000</v>
      </c>
      <c r="G29" s="123" t="s">
        <v>324</v>
      </c>
      <c r="H29" s="322" t="s">
        <v>202</v>
      </c>
      <c r="I29" s="323">
        <f>'Site 3 - Draw'!G37+'Site 3 - Draw'!G38+'Site 3 - Draw'!G46+'Site 3 - Draw'!G47+'Site 3 - Draw'!G55+'Site 3 - Draw'!G56+'Site 3 - Draw'!G64+'Site 3 - Draw'!G65</f>
        <v>234870048.910707</v>
      </c>
      <c r="J29" s="324">
        <f t="shared" si="4"/>
        <v>1198316.5760750356</v>
      </c>
    </row>
    <row r="30" spans="2:11" ht="21" customHeight="1" thickBot="1">
      <c r="B30" s="413" t="s">
        <v>420</v>
      </c>
      <c r="C30" s="412">
        <f>C25/(C24*43560)</f>
        <v>10.136553137365745</v>
      </c>
      <c r="D30" s="1229"/>
      <c r="E30" s="1231"/>
      <c r="F30" s="1211"/>
      <c r="G30" s="123" t="s">
        <v>101</v>
      </c>
      <c r="H30" s="322" t="s">
        <v>202</v>
      </c>
      <c r="I30" s="355">
        <f>('Site 3 - Draw'!H37+'Site 3 - Draw'!H46+'Site 3 - Draw'!H55+'Site 3 - Draw'!H64)/I27</f>
        <v>6.8011076889088889E-2</v>
      </c>
      <c r="J30" s="325" t="s">
        <v>202</v>
      </c>
    </row>
    <row r="31" spans="2:11" ht="21" customHeight="1" thickBot="1">
      <c r="B31" s="391">
        <v>13</v>
      </c>
      <c r="C31" s="392">
        <f>C25/B31</f>
        <v>22069.615384615383</v>
      </c>
      <c r="D31" s="1208" t="s">
        <v>105</v>
      </c>
      <c r="E31" s="1209"/>
      <c r="F31" s="245" t="s">
        <v>370</v>
      </c>
      <c r="G31" s="123" t="s">
        <v>102</v>
      </c>
      <c r="H31" s="322" t="s">
        <v>202</v>
      </c>
      <c r="I31" s="507">
        <f>I29/(I27-I28)-1</f>
        <v>0.45299077903976981</v>
      </c>
      <c r="J31" s="326" t="s">
        <v>202</v>
      </c>
      <c r="K31" s="251"/>
    </row>
    <row r="32" spans="2:11" ht="21" customHeight="1" thickBot="1">
      <c r="B32" s="299" t="s">
        <v>380</v>
      </c>
      <c r="C32" s="300" t="s">
        <v>6</v>
      </c>
      <c r="D32" s="1238" t="s">
        <v>321</v>
      </c>
      <c r="E32" s="1239"/>
      <c r="F32" s="314">
        <f>'Site 3 - Draw'!G47+'Site 3 - Draw'!G38</f>
        <v>133923552.71941368</v>
      </c>
      <c r="G32" s="886">
        <v>0.3</v>
      </c>
      <c r="H32" s="327" t="s">
        <v>202</v>
      </c>
      <c r="I32" s="887">
        <f>I29/(1+G32)</f>
        <v>180669268.39285153</v>
      </c>
      <c r="J32" s="345">
        <f t="shared" ref="J32" si="5">I32/($C$13+$C$8)</f>
        <v>921781.98159618129</v>
      </c>
      <c r="K32" s="251"/>
    </row>
    <row r="33" spans="2:11" ht="21" customHeight="1" thickBot="1">
      <c r="B33" s="1208" t="s">
        <v>109</v>
      </c>
      <c r="C33" s="1212"/>
      <c r="D33" s="1213" t="s">
        <v>378</v>
      </c>
      <c r="E33" s="1214"/>
      <c r="F33" s="356" t="s">
        <v>154</v>
      </c>
      <c r="G33" s="748"/>
      <c r="H33" s="749"/>
      <c r="I33" s="749"/>
      <c r="J33" s="749"/>
    </row>
    <row r="34" spans="2:11" ht="21" customHeight="1">
      <c r="B34" s="286" t="s">
        <v>133</v>
      </c>
      <c r="C34" s="882">
        <f>'Site 3 - Draw'!C66</f>
        <v>0.20958374902126242</v>
      </c>
      <c r="D34" s="1213" t="s">
        <v>379</v>
      </c>
      <c r="E34" s="1214"/>
      <c r="F34" s="315" t="s">
        <v>154</v>
      </c>
      <c r="G34" s="750"/>
      <c r="H34" s="751"/>
      <c r="I34" s="752"/>
      <c r="J34" s="751"/>
      <c r="K34" s="251"/>
    </row>
    <row r="35" spans="2:11" ht="21" customHeight="1">
      <c r="B35" s="287" t="s">
        <v>40</v>
      </c>
      <c r="C35" s="883">
        <f>'Site 3 - Draw'!C70</f>
        <v>0.27637963693877232</v>
      </c>
      <c r="D35" s="1226" t="s">
        <v>322</v>
      </c>
      <c r="E35" s="1227"/>
      <c r="F35" s="316">
        <f>'Site 3 - Draw'!G56+'Site 3 - Draw'!G65</f>
        <v>90272987.529596329</v>
      </c>
      <c r="G35" s="753"/>
      <c r="H35" s="1271"/>
      <c r="I35" s="1271"/>
      <c r="J35" s="751"/>
    </row>
    <row r="36" spans="2:11" ht="21" customHeight="1">
      <c r="B36" s="287" t="s">
        <v>653</v>
      </c>
      <c r="C36" s="884">
        <f>Assumptions!I6</f>
        <v>0.05</v>
      </c>
      <c r="D36" s="1240" t="s">
        <v>323</v>
      </c>
      <c r="E36" s="1241"/>
      <c r="F36" s="317">
        <f>F32+F35</f>
        <v>224196540.24901003</v>
      </c>
      <c r="G36" s="754"/>
      <c r="H36" s="1272"/>
      <c r="I36" s="1272"/>
      <c r="J36" s="755"/>
    </row>
    <row r="37" spans="2:11" ht="21" customHeight="1">
      <c r="B37" s="287" t="s">
        <v>652</v>
      </c>
      <c r="C37" s="884">
        <f>Assumptions!$I$7</f>
        <v>4.7500000000000001E-2</v>
      </c>
      <c r="D37" s="1234" t="s">
        <v>106</v>
      </c>
      <c r="E37" s="1235"/>
      <c r="F37" s="316">
        <f>E24</f>
        <v>88905262.692897737</v>
      </c>
      <c r="G37" s="747"/>
      <c r="H37" s="747"/>
      <c r="I37" s="747"/>
      <c r="J37" s="747"/>
    </row>
    <row r="38" spans="2:11" ht="21" customHeight="1">
      <c r="B38" s="287" t="s">
        <v>384</v>
      </c>
      <c r="C38" s="884">
        <f>Assumptions!I9</f>
        <v>4.4999999999999998E-2</v>
      </c>
      <c r="D38" s="1234" t="s">
        <v>107</v>
      </c>
      <c r="E38" s="1235"/>
      <c r="F38" s="316">
        <f>E25</f>
        <v>72740669.476007223</v>
      </c>
      <c r="G38" s="747"/>
      <c r="H38" s="747"/>
      <c r="I38" s="747"/>
      <c r="J38" s="747"/>
    </row>
    <row r="39" spans="2:11" ht="21" customHeight="1" thickBot="1">
      <c r="B39" s="288" t="s">
        <v>385</v>
      </c>
      <c r="C39" s="885">
        <f>Assumptions!I8</f>
        <v>0.05</v>
      </c>
      <c r="D39" s="1236" t="s">
        <v>108</v>
      </c>
      <c r="E39" s="1237"/>
      <c r="F39" s="318">
        <f>F36-F37-F38</f>
        <v>62550608.080105066</v>
      </c>
      <c r="G39" s="756"/>
      <c r="H39" s="756"/>
      <c r="I39" s="756"/>
      <c r="J39" s="756"/>
    </row>
    <row r="40" spans="2:11" ht="15.95" customHeight="1"/>
    <row r="41" spans="2:11" ht="15" customHeight="1">
      <c r="D41" s="136"/>
      <c r="E41" s="136"/>
      <c r="F41" s="136"/>
    </row>
    <row r="42" spans="2:11" ht="15" customHeight="1">
      <c r="D42" s="124"/>
    </row>
    <row r="43" spans="2:11" ht="15" customHeight="1">
      <c r="D43" s="124"/>
      <c r="G43" s="136"/>
      <c r="H43" s="136"/>
      <c r="I43" s="136"/>
      <c r="J43" s="136"/>
    </row>
    <row r="44" spans="2:11" ht="12.75">
      <c r="D44" s="124"/>
      <c r="G44" s="124"/>
      <c r="H44" s="124"/>
      <c r="I44" s="124"/>
      <c r="J44" s="124"/>
    </row>
    <row r="45" spans="2:11" ht="12.75">
      <c r="D45" s="171"/>
      <c r="G45" s="124"/>
      <c r="H45" s="124"/>
      <c r="I45" s="124"/>
      <c r="J45" s="124"/>
    </row>
    <row r="46" spans="2:11" s="136" customFormat="1" ht="12.75">
      <c r="B46" s="48"/>
      <c r="C46" s="48"/>
      <c r="D46" s="171"/>
      <c r="E46" s="48"/>
      <c r="F46" s="48"/>
      <c r="G46" s="119"/>
      <c r="H46" s="119"/>
      <c r="I46" s="119"/>
      <c r="J46" s="119"/>
    </row>
    <row r="47" spans="2:11" ht="12.75">
      <c r="B47" s="136"/>
      <c r="C47" s="136"/>
      <c r="G47" s="124"/>
      <c r="H47" s="124"/>
      <c r="I47" s="124"/>
      <c r="J47" s="124"/>
    </row>
    <row r="48" spans="2:11" ht="12.95" customHeight="1">
      <c r="B48" s="124"/>
      <c r="C48" s="124"/>
      <c r="G48" s="124"/>
      <c r="H48" s="124"/>
      <c r="I48" s="124"/>
      <c r="J48" s="124"/>
    </row>
    <row r="49" spans="2:10" ht="12.75">
      <c r="B49" s="124"/>
      <c r="C49" s="124"/>
      <c r="G49" s="119"/>
      <c r="H49" s="119"/>
      <c r="I49" s="119"/>
      <c r="J49" s="119"/>
    </row>
    <row r="50" spans="2:10" s="136" customFormat="1" ht="12.75">
      <c r="B50" s="119"/>
      <c r="C50" s="119"/>
      <c r="D50" s="48"/>
      <c r="E50" s="48"/>
      <c r="F50" s="48"/>
      <c r="G50" s="124"/>
      <c r="H50" s="124"/>
      <c r="I50" s="124"/>
      <c r="J50" s="124"/>
    </row>
    <row r="51" spans="2:10" s="124" customFormat="1" ht="12.75">
      <c r="D51" s="48"/>
      <c r="E51" s="48"/>
      <c r="F51" s="48"/>
    </row>
    <row r="52" spans="2:10" s="124" customFormat="1" ht="12.75">
      <c r="D52" s="48"/>
      <c r="E52" s="48"/>
      <c r="F52" s="48"/>
    </row>
    <row r="53" spans="2:10" s="119" customFormat="1" ht="12.75">
      <c r="D53" s="48"/>
      <c r="E53" s="48"/>
      <c r="F53" s="48"/>
      <c r="G53" s="171"/>
      <c r="H53" s="171"/>
      <c r="I53" s="171"/>
      <c r="J53" s="171"/>
    </row>
    <row r="54" spans="2:10" s="124" customFormat="1" ht="12.75">
      <c r="D54" s="48"/>
      <c r="E54" s="48"/>
      <c r="F54" s="48"/>
      <c r="G54" s="171"/>
      <c r="H54" s="171"/>
      <c r="I54" s="171"/>
      <c r="J54" s="171"/>
    </row>
    <row r="55" spans="2:10" s="124" customFormat="1" ht="12.75">
      <c r="D55" s="48"/>
      <c r="E55" s="48"/>
      <c r="F55" s="48"/>
      <c r="G55" s="48"/>
      <c r="H55" s="48"/>
      <c r="I55" s="48"/>
      <c r="J55" s="48"/>
    </row>
    <row r="56" spans="2:10" s="119" customFormat="1" ht="12.75">
      <c r="B56" s="124"/>
      <c r="C56" s="124"/>
      <c r="D56" s="48"/>
      <c r="E56" s="48"/>
      <c r="F56" s="48"/>
      <c r="G56" s="48"/>
      <c r="H56" s="48"/>
      <c r="I56" s="48"/>
      <c r="J56" s="48"/>
    </row>
    <row r="57" spans="2:10" s="124" customFormat="1" ht="12.75">
      <c r="B57" s="48"/>
      <c r="C57" s="171"/>
      <c r="D57" s="48"/>
      <c r="E57" s="48"/>
      <c r="F57" s="48"/>
      <c r="G57" s="48"/>
      <c r="H57" s="48"/>
      <c r="I57" s="48"/>
      <c r="J57" s="48"/>
    </row>
    <row r="58" spans="2:10" s="124" customFormat="1" ht="12.75">
      <c r="B58" s="48"/>
      <c r="C58" s="171"/>
      <c r="D58" s="48"/>
      <c r="E58" s="48"/>
      <c r="F58" s="48"/>
      <c r="G58" s="171"/>
      <c r="H58" s="48"/>
      <c r="I58" s="48"/>
      <c r="J58" s="48"/>
    </row>
    <row r="59" spans="2:10" s="124" customFormat="1" ht="12.75">
      <c r="B59" s="48"/>
      <c r="C59" s="48"/>
      <c r="D59" s="48"/>
      <c r="E59" s="48"/>
      <c r="F59" s="48"/>
      <c r="G59" s="171"/>
      <c r="H59" s="48"/>
      <c r="I59" s="48"/>
      <c r="J59" s="48"/>
    </row>
    <row r="60" spans="2:10" ht="12.75"/>
    <row r="61" spans="2:10" ht="12.75"/>
    <row r="62" spans="2:10" ht="12.75">
      <c r="G62" s="171"/>
    </row>
    <row r="63" spans="2:10" ht="15" customHeight="1"/>
    <row r="64" spans="2:10" ht="12.75"/>
    <row r="65" ht="12.75"/>
    <row r="66" ht="12.75"/>
    <row r="67" ht="12.75"/>
    <row r="68" ht="12.75"/>
    <row r="69" ht="12.75"/>
    <row r="70" ht="15" customHeight="1"/>
    <row r="71" ht="15" customHeight="1"/>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sheetData>
  <mergeCells count="37">
    <mergeCell ref="E29:E30"/>
    <mergeCell ref="H35:I35"/>
    <mergeCell ref="H36:I36"/>
    <mergeCell ref="D34:E34"/>
    <mergeCell ref="D35:E35"/>
    <mergeCell ref="D36:E36"/>
    <mergeCell ref="D37:E37"/>
    <mergeCell ref="D38:E38"/>
    <mergeCell ref="D39:E39"/>
    <mergeCell ref="F20:F21"/>
    <mergeCell ref="B22:C22"/>
    <mergeCell ref="D22:F22"/>
    <mergeCell ref="B20:B21"/>
    <mergeCell ref="C20:C21"/>
    <mergeCell ref="D20:D21"/>
    <mergeCell ref="E20:E21"/>
    <mergeCell ref="B33:C33"/>
    <mergeCell ref="D33:E33"/>
    <mergeCell ref="F29:F30"/>
    <mergeCell ref="D31:E31"/>
    <mergeCell ref="D32:E32"/>
    <mergeCell ref="D29:D30"/>
    <mergeCell ref="B15:B16"/>
    <mergeCell ref="C15:C16"/>
    <mergeCell ref="D15:D16"/>
    <mergeCell ref="E15:E16"/>
    <mergeCell ref="F15:F16"/>
    <mergeCell ref="H2:H3"/>
    <mergeCell ref="I2:I3"/>
    <mergeCell ref="J2:J3"/>
    <mergeCell ref="B8:B9"/>
    <mergeCell ref="C8:C9"/>
    <mergeCell ref="D8:D9"/>
    <mergeCell ref="E8:E9"/>
    <mergeCell ref="F8:F9"/>
    <mergeCell ref="B2:F2"/>
    <mergeCell ref="G2:G3"/>
  </mergeCells>
  <printOptions horizontalCentered="1" verticalCentered="1"/>
  <pageMargins left="0.7" right="0.7" top="0.75" bottom="0.75" header="0.3" footer="0.3"/>
  <pageSetup scale="91" fitToHeight="0" orientation="landscape" horizontalDpi="4294967292" verticalDpi="4294967292" r:id="rId1"/>
  <headerFooter>
    <oddHeader>&amp;C&amp;"Times New Roman Bold,Bold"&amp;14&amp;K000000INVESTOR SHEET</oddHeader>
    <oddFooter>&amp;CPage &amp;P of &amp;N</oddFooter>
  </headerFooter>
  <ignoredErrors>
    <ignoredError sqref="E20 E8 E15"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D3F40-9C21-4C45-8DA5-2643E4554DF7}">
  <sheetPr>
    <tabColor rgb="FF92D050"/>
  </sheetPr>
  <dimension ref="A1:AS75"/>
  <sheetViews>
    <sheetView topLeftCell="A26" zoomScale="88" zoomScaleNormal="100" zoomScalePageLayoutView="125" workbookViewId="0">
      <selection activeCell="E49" sqref="E49"/>
    </sheetView>
  </sheetViews>
  <sheetFormatPr defaultColWidth="8.85546875" defaultRowHeight="15" outlineLevelRow="1"/>
  <cols>
    <col min="1" max="1" width="4" style="47" customWidth="1"/>
    <col min="2" max="2" width="49.140625" style="48" bestFit="1" customWidth="1"/>
    <col min="3" max="3" width="20.85546875" style="48" customWidth="1"/>
    <col min="4" max="15" width="15.140625" style="48" customWidth="1"/>
    <col min="16" max="38" width="17" style="48" customWidth="1"/>
    <col min="39" max="39" width="16.42578125" style="48" customWidth="1"/>
    <col min="40" max="40" width="15" style="89" customWidth="1"/>
    <col min="41" max="41" width="17.85546875" style="89" bestFit="1" customWidth="1"/>
    <col min="42" max="42" width="9.42578125" style="48" bestFit="1" customWidth="1"/>
    <col min="43" max="43" width="11.85546875" style="48" bestFit="1" customWidth="1"/>
    <col min="44" max="45" width="9.42578125" style="48" bestFit="1" customWidth="1"/>
    <col min="46" max="16384" width="8.85546875" style="48"/>
  </cols>
  <sheetData>
    <row r="1" spans="1:45" s="47" customFormat="1" ht="15.75" thickBot="1">
      <c r="AN1" s="125"/>
      <c r="AO1" s="125"/>
    </row>
    <row r="2" spans="1:45" s="89" customFormat="1" ht="15.75" thickBot="1">
      <c r="A2" s="125"/>
      <c r="B2" s="1257" t="str">
        <f>'Development Program'!K25</f>
        <v>Chinook</v>
      </c>
      <c r="C2" s="221" t="s">
        <v>330</v>
      </c>
      <c r="D2" s="117">
        <v>0</v>
      </c>
      <c r="E2" s="214">
        <f t="shared" ref="E2:O2" si="0">D2+1</f>
        <v>1</v>
      </c>
      <c r="F2" s="358">
        <f>E2+1</f>
        <v>2</v>
      </c>
      <c r="G2" s="128">
        <f>F2+1</f>
        <v>3</v>
      </c>
      <c r="H2" s="374">
        <f t="shared" si="0"/>
        <v>4</v>
      </c>
      <c r="I2" s="129">
        <f t="shared" si="0"/>
        <v>5</v>
      </c>
      <c r="J2" s="129">
        <f t="shared" si="0"/>
        <v>6</v>
      </c>
      <c r="K2" s="129">
        <f>J2+1</f>
        <v>7</v>
      </c>
      <c r="L2" s="129">
        <f>K2+1</f>
        <v>8</v>
      </c>
      <c r="M2" s="129">
        <f>L2+1</f>
        <v>9</v>
      </c>
      <c r="N2" s="129">
        <f t="shared" si="0"/>
        <v>10</v>
      </c>
      <c r="O2" s="246">
        <f t="shared" si="0"/>
        <v>11</v>
      </c>
      <c r="P2" s="48"/>
      <c r="Q2" s="48"/>
      <c r="R2" s="48"/>
      <c r="S2" s="48"/>
      <c r="T2" s="48"/>
      <c r="U2" s="48"/>
      <c r="V2" s="48"/>
      <c r="W2" s="48"/>
      <c r="X2" s="48"/>
      <c r="Y2" s="48"/>
      <c r="Z2" s="48"/>
      <c r="AA2" s="48"/>
      <c r="AB2" s="48"/>
      <c r="AC2" s="48"/>
      <c r="AD2" s="48"/>
      <c r="AE2" s="48"/>
      <c r="AF2" s="48"/>
      <c r="AG2" s="48"/>
      <c r="AH2" s="48"/>
      <c r="AI2" s="48"/>
      <c r="AJ2" s="48"/>
      <c r="AK2" s="48"/>
      <c r="AL2" s="48"/>
      <c r="AM2" s="48"/>
      <c r="AP2" s="48"/>
      <c r="AQ2" s="48"/>
      <c r="AR2" s="48"/>
      <c r="AS2" s="48"/>
    </row>
    <row r="3" spans="1:45" s="89" customFormat="1" ht="41.45" customHeight="1" thickBot="1">
      <c r="A3" s="125"/>
      <c r="B3" s="1203"/>
      <c r="C3" s="222" t="s">
        <v>103</v>
      </c>
      <c r="D3" s="276">
        <v>45413</v>
      </c>
      <c r="E3" s="277">
        <f t="shared" ref="E3:O3" si="1">EDATE(D3,12)</f>
        <v>45778</v>
      </c>
      <c r="F3" s="359">
        <f t="shared" si="1"/>
        <v>46143</v>
      </c>
      <c r="G3" s="210">
        <f t="shared" si="1"/>
        <v>46508</v>
      </c>
      <c r="H3" s="375">
        <f t="shared" si="1"/>
        <v>46874</v>
      </c>
      <c r="I3" s="211">
        <f t="shared" si="1"/>
        <v>47239</v>
      </c>
      <c r="J3" s="211">
        <f t="shared" si="1"/>
        <v>47604</v>
      </c>
      <c r="K3" s="211">
        <f t="shared" si="1"/>
        <v>47969</v>
      </c>
      <c r="L3" s="211">
        <f t="shared" si="1"/>
        <v>48335</v>
      </c>
      <c r="M3" s="211">
        <f t="shared" si="1"/>
        <v>48700</v>
      </c>
      <c r="N3" s="211">
        <f t="shared" si="1"/>
        <v>49065</v>
      </c>
      <c r="O3" s="212">
        <f t="shared" si="1"/>
        <v>49430</v>
      </c>
      <c r="P3" s="48"/>
      <c r="Q3" s="48"/>
      <c r="R3" s="48"/>
      <c r="S3" s="48"/>
      <c r="T3" s="48"/>
      <c r="U3" s="48"/>
      <c r="V3" s="48"/>
      <c r="W3" s="48"/>
      <c r="X3" s="48"/>
      <c r="Y3" s="48"/>
      <c r="Z3" s="48"/>
      <c r="AA3" s="48"/>
      <c r="AB3" s="48"/>
      <c r="AC3" s="48"/>
      <c r="AD3" s="48"/>
      <c r="AE3" s="48"/>
      <c r="AF3" s="48"/>
      <c r="AG3" s="48"/>
      <c r="AH3" s="48"/>
      <c r="AI3" s="48"/>
      <c r="AJ3" s="48"/>
      <c r="AK3" s="48"/>
      <c r="AL3" s="48"/>
      <c r="AM3" s="48"/>
      <c r="AP3" s="48"/>
      <c r="AQ3" s="48"/>
      <c r="AR3" s="48"/>
      <c r="AS3" s="48"/>
    </row>
    <row r="4" spans="1:45" s="89" customFormat="1" ht="63.95" hidden="1" customHeight="1" thickBot="1">
      <c r="A4" s="125"/>
      <c r="B4" s="1258"/>
      <c r="C4" s="223" t="s">
        <v>45</v>
      </c>
      <c r="D4" s="200" t="e">
        <f>EOMONTH(#REF!,3)</f>
        <v>#REF!</v>
      </c>
      <c r="E4" s="201" t="e">
        <f t="shared" ref="E4:J4" si="2">EOMONTH(D4,3)</f>
        <v>#REF!</v>
      </c>
      <c r="F4" s="360" t="e">
        <f>EOMONTH(#REF!,3)</f>
        <v>#REF!</v>
      </c>
      <c r="G4" s="108" t="e">
        <f>EOMONTH(#REF!,3)</f>
        <v>#REF!</v>
      </c>
      <c r="H4" s="493" t="e">
        <f t="shared" si="2"/>
        <v>#REF!</v>
      </c>
      <c r="I4" s="91" t="e">
        <f t="shared" si="2"/>
        <v>#REF!</v>
      </c>
      <c r="J4" s="91" t="e">
        <f t="shared" si="2"/>
        <v>#REF!</v>
      </c>
      <c r="K4" s="91" t="e">
        <f>EOMONTH(#REF!,3)</f>
        <v>#REF!</v>
      </c>
      <c r="L4" s="91" t="e">
        <f>EOMONTH(#REF!,3)</f>
        <v>#REF!</v>
      </c>
      <c r="M4" s="91" t="e">
        <f>EOMONTH(K4,3)</f>
        <v>#REF!</v>
      </c>
      <c r="N4" s="91" t="e">
        <f t="shared" ref="N4" si="3">EOMONTH(M4,3)</f>
        <v>#REF!</v>
      </c>
      <c r="O4" s="98" t="e">
        <f>EOMONTH(J4,3)</f>
        <v>#REF!</v>
      </c>
      <c r="AP4" s="48"/>
      <c r="AQ4" s="48"/>
      <c r="AR4" s="48"/>
      <c r="AS4" s="48"/>
    </row>
    <row r="5" spans="1:45" s="89" customFormat="1" ht="15.75" thickBot="1">
      <c r="A5" s="125"/>
      <c r="B5" s="92" t="s">
        <v>110</v>
      </c>
      <c r="C5" s="224">
        <v>1</v>
      </c>
      <c r="D5" s="490">
        <f>D29/$C$29</f>
        <v>0.27750509426573167</v>
      </c>
      <c r="E5" s="492">
        <f t="shared" ref="E5:F5" si="4">E29/$C$29</f>
        <v>0.36114091478279459</v>
      </c>
      <c r="F5" s="491">
        <f t="shared" si="4"/>
        <v>0.3613539909514738</v>
      </c>
      <c r="G5" s="213" t="s">
        <v>202</v>
      </c>
      <c r="H5" s="376" t="s">
        <v>202</v>
      </c>
      <c r="I5" s="95" t="s">
        <v>202</v>
      </c>
      <c r="J5" s="95" t="s">
        <v>202</v>
      </c>
      <c r="K5" s="95" t="s">
        <v>202</v>
      </c>
      <c r="L5" s="95" t="s">
        <v>202</v>
      </c>
      <c r="M5" s="95" t="s">
        <v>202</v>
      </c>
      <c r="N5" s="95" t="s">
        <v>202</v>
      </c>
      <c r="O5" s="112" t="s">
        <v>202</v>
      </c>
      <c r="AP5" s="48"/>
      <c r="AQ5" s="48"/>
      <c r="AR5" s="48"/>
      <c r="AS5" s="48"/>
    </row>
    <row r="6" spans="1:45" s="89" customFormat="1">
      <c r="A6" s="125"/>
      <c r="B6" s="258" t="str">
        <f>'Site 3 - Financial'!G4</f>
        <v>Residential Condominium Hard Costs for Construction</v>
      </c>
      <c r="C6" s="220">
        <f>'Site 3 - Financial'!I4</f>
        <v>50953000</v>
      </c>
      <c r="D6" s="483">
        <v>0</v>
      </c>
      <c r="E6" s="484">
        <f>(1/2)*$C6</f>
        <v>25476500</v>
      </c>
      <c r="F6" s="484">
        <f>(1/2)*$C$6</f>
        <v>25476500</v>
      </c>
      <c r="G6" s="482" t="s">
        <v>202</v>
      </c>
      <c r="H6" s="377" t="s">
        <v>202</v>
      </c>
      <c r="I6" s="253" t="s">
        <v>202</v>
      </c>
      <c r="J6" s="253" t="s">
        <v>202</v>
      </c>
      <c r="K6" s="253" t="s">
        <v>202</v>
      </c>
      <c r="L6" s="253" t="s">
        <v>202</v>
      </c>
      <c r="M6" s="253" t="s">
        <v>202</v>
      </c>
      <c r="N6" s="253" t="s">
        <v>202</v>
      </c>
      <c r="O6" s="254" t="s">
        <v>202</v>
      </c>
      <c r="P6" s="867"/>
      <c r="AP6" s="48"/>
      <c r="AQ6" s="48"/>
      <c r="AR6" s="48"/>
      <c r="AS6" s="48"/>
    </row>
    <row r="7" spans="1:45" s="89" customFormat="1">
      <c r="A7" s="125"/>
      <c r="B7" s="258" t="str">
        <f>'Site 3 - Financial'!G5</f>
        <v>Office Shell &amp; Core Hard Costs for Construction (0%)</v>
      </c>
      <c r="C7" s="220">
        <f>'Site 3 - Financial'!I5</f>
        <v>0</v>
      </c>
      <c r="D7" s="203">
        <v>0</v>
      </c>
      <c r="E7" s="484">
        <f t="shared" ref="E7:F10" si="5">(1/2)*$C7</f>
        <v>0</v>
      </c>
      <c r="F7" s="484">
        <f t="shared" si="5"/>
        <v>0</v>
      </c>
      <c r="G7" s="252" t="s">
        <v>202</v>
      </c>
      <c r="H7" s="377" t="s">
        <v>202</v>
      </c>
      <c r="I7" s="253" t="s">
        <v>202</v>
      </c>
      <c r="J7" s="253" t="s">
        <v>202</v>
      </c>
      <c r="K7" s="253" t="s">
        <v>202</v>
      </c>
      <c r="L7" s="253" t="s">
        <v>202</v>
      </c>
      <c r="M7" s="253" t="s">
        <v>202</v>
      </c>
      <c r="N7" s="253" t="s">
        <v>202</v>
      </c>
      <c r="O7" s="254" t="s">
        <v>202</v>
      </c>
      <c r="P7" s="867"/>
      <c r="AP7" s="48"/>
      <c r="AQ7" s="48"/>
      <c r="AR7" s="48"/>
      <c r="AS7" s="48"/>
    </row>
    <row r="8" spans="1:45" s="89" customFormat="1">
      <c r="A8" s="125"/>
      <c r="B8" s="258" t="str">
        <f>'Site 3 - Financial'!G6</f>
        <v>Retail Hard Costs for Construction</v>
      </c>
      <c r="C8" s="220">
        <f>'Site 3 - Financial'!I6</f>
        <v>10523700</v>
      </c>
      <c r="D8" s="203">
        <v>0</v>
      </c>
      <c r="E8" s="484">
        <f t="shared" si="5"/>
        <v>5261850</v>
      </c>
      <c r="F8" s="484">
        <f t="shared" si="5"/>
        <v>5261850</v>
      </c>
      <c r="G8" s="252" t="s">
        <v>202</v>
      </c>
      <c r="H8" s="377" t="s">
        <v>202</v>
      </c>
      <c r="I8" s="253" t="s">
        <v>202</v>
      </c>
      <c r="J8" s="253" t="s">
        <v>202</v>
      </c>
      <c r="K8" s="253" t="s">
        <v>202</v>
      </c>
      <c r="L8" s="253" t="s">
        <v>202</v>
      </c>
      <c r="M8" s="253" t="s">
        <v>202</v>
      </c>
      <c r="N8" s="253" t="s">
        <v>202</v>
      </c>
      <c r="O8" s="254" t="s">
        <v>202</v>
      </c>
      <c r="P8" s="867"/>
      <c r="AP8" s="48"/>
      <c r="AQ8" s="48"/>
      <c r="AR8" s="48"/>
      <c r="AS8" s="48"/>
    </row>
    <row r="9" spans="1:45" s="89" customFormat="1">
      <c r="A9" s="125"/>
      <c r="B9" s="258" t="str">
        <f>'Site 3 - Financial'!G7</f>
        <v>Parking stalls (0%)</v>
      </c>
      <c r="C9" s="220">
        <f>'Site 3 - Financial'!I7</f>
        <v>7161200</v>
      </c>
      <c r="D9" s="203">
        <v>0</v>
      </c>
      <c r="E9" s="484">
        <f t="shared" si="5"/>
        <v>3580600</v>
      </c>
      <c r="F9" s="484">
        <f t="shared" si="5"/>
        <v>3580600</v>
      </c>
      <c r="G9" s="252" t="s">
        <v>202</v>
      </c>
      <c r="H9" s="377" t="s">
        <v>202</v>
      </c>
      <c r="I9" s="253" t="s">
        <v>202</v>
      </c>
      <c r="J9" s="253" t="s">
        <v>202</v>
      </c>
      <c r="K9" s="253" t="s">
        <v>202</v>
      </c>
      <c r="L9" s="253" t="s">
        <v>202</v>
      </c>
      <c r="M9" s="253" t="s">
        <v>202</v>
      </c>
      <c r="N9" s="253" t="s">
        <v>202</v>
      </c>
      <c r="O9" s="254" t="s">
        <v>202</v>
      </c>
      <c r="P9" s="867"/>
      <c r="AP9" s="48"/>
      <c r="AQ9" s="48"/>
      <c r="AR9" s="48"/>
      <c r="AS9" s="48"/>
    </row>
    <row r="10" spans="1:45" s="89" customFormat="1">
      <c r="A10" s="125"/>
      <c r="B10" s="258" t="str">
        <f>'Site 3 - Financial'!G8</f>
        <v>Hard Cost Contingency</v>
      </c>
      <c r="C10" s="220">
        <f>'Site 3 - Financial'!I8</f>
        <v>6863790</v>
      </c>
      <c r="D10" s="203">
        <v>0</v>
      </c>
      <c r="E10" s="484">
        <f t="shared" si="5"/>
        <v>3431895</v>
      </c>
      <c r="F10" s="484">
        <f t="shared" si="5"/>
        <v>3431895</v>
      </c>
      <c r="G10" s="255" t="s">
        <v>202</v>
      </c>
      <c r="H10" s="378" t="s">
        <v>202</v>
      </c>
      <c r="I10" s="256" t="s">
        <v>202</v>
      </c>
      <c r="J10" s="256" t="s">
        <v>202</v>
      </c>
      <c r="K10" s="256" t="s">
        <v>202</v>
      </c>
      <c r="L10" s="256" t="s">
        <v>202</v>
      </c>
      <c r="M10" s="256" t="s">
        <v>202</v>
      </c>
      <c r="N10" s="256" t="s">
        <v>202</v>
      </c>
      <c r="O10" s="257" t="s">
        <v>202</v>
      </c>
      <c r="P10" s="867"/>
      <c r="AP10" s="48"/>
      <c r="AQ10" s="48"/>
      <c r="AR10" s="48"/>
      <c r="AS10" s="48"/>
    </row>
    <row r="11" spans="1:45" s="89" customFormat="1">
      <c r="A11" s="125"/>
      <c r="B11" s="258" t="str">
        <f>'Site 3 - Financial'!G9</f>
        <v>Demolition</v>
      </c>
      <c r="C11" s="220">
        <f>'Site 3 - Financial'!I9</f>
        <v>0</v>
      </c>
      <c r="D11" s="203">
        <v>0</v>
      </c>
      <c r="E11" s="204">
        <v>0</v>
      </c>
      <c r="F11" s="361">
        <v>0</v>
      </c>
      <c r="G11" s="255" t="s">
        <v>202</v>
      </c>
      <c r="H11" s="378" t="s">
        <v>202</v>
      </c>
      <c r="I11" s="256" t="s">
        <v>202</v>
      </c>
      <c r="J11" s="256" t="s">
        <v>202</v>
      </c>
      <c r="K11" s="256" t="s">
        <v>202</v>
      </c>
      <c r="L11" s="256" t="s">
        <v>202</v>
      </c>
      <c r="M11" s="256" t="s">
        <v>202</v>
      </c>
      <c r="N11" s="256" t="s">
        <v>202</v>
      </c>
      <c r="O11" s="257" t="s">
        <v>202</v>
      </c>
      <c r="P11" s="867"/>
      <c r="AP11" s="48"/>
      <c r="AQ11" s="48"/>
      <c r="AR11" s="48"/>
      <c r="AS11" s="48"/>
    </row>
    <row r="12" spans="1:45" s="89" customFormat="1" ht="18.95" customHeight="1">
      <c r="A12" s="125"/>
      <c r="B12" s="258" t="str">
        <f>'Site 3 - Financial'!G10</f>
        <v>Land</v>
      </c>
      <c r="C12" s="220">
        <f>'Site 3 - Financial'!I10</f>
        <v>29239669.4214876</v>
      </c>
      <c r="D12" s="203">
        <f>C12</f>
        <v>29239669.4214876</v>
      </c>
      <c r="E12" s="204">
        <v>0</v>
      </c>
      <c r="F12" s="361">
        <v>0</v>
      </c>
      <c r="G12" s="255" t="s">
        <v>202</v>
      </c>
      <c r="H12" s="378" t="s">
        <v>202</v>
      </c>
      <c r="I12" s="256" t="s">
        <v>202</v>
      </c>
      <c r="J12" s="256" t="s">
        <v>202</v>
      </c>
      <c r="K12" s="256" t="s">
        <v>202</v>
      </c>
      <c r="L12" s="256" t="s">
        <v>202</v>
      </c>
      <c r="M12" s="256" t="s">
        <v>202</v>
      </c>
      <c r="N12" s="253" t="s">
        <v>202</v>
      </c>
      <c r="O12" s="257" t="s">
        <v>202</v>
      </c>
      <c r="P12" s="867"/>
      <c r="AP12" s="48"/>
      <c r="AQ12" s="48"/>
      <c r="AR12" s="48"/>
      <c r="AS12" s="48"/>
    </row>
    <row r="13" spans="1:45" s="89" customFormat="1">
      <c r="A13" s="125"/>
      <c r="B13" s="258" t="str">
        <f>'Site 3 - Financial'!G11</f>
        <v>Municipal Fees and Allowances</v>
      </c>
      <c r="C13" s="220">
        <f>'Site 3 - Financial'!I11</f>
        <v>325000</v>
      </c>
      <c r="D13" s="203">
        <f>C13</f>
        <v>325000</v>
      </c>
      <c r="E13" s="204">
        <v>0</v>
      </c>
      <c r="F13" s="361">
        <v>0</v>
      </c>
      <c r="G13" s="255" t="s">
        <v>202</v>
      </c>
      <c r="H13" s="378" t="s">
        <v>202</v>
      </c>
      <c r="I13" s="256" t="s">
        <v>202</v>
      </c>
      <c r="J13" s="256" t="s">
        <v>202</v>
      </c>
      <c r="K13" s="256" t="s">
        <v>202</v>
      </c>
      <c r="L13" s="256" t="s">
        <v>202</v>
      </c>
      <c r="M13" s="256" t="s">
        <v>202</v>
      </c>
      <c r="N13" s="256" t="s">
        <v>202</v>
      </c>
      <c r="O13" s="257" t="s">
        <v>202</v>
      </c>
      <c r="P13" s="867"/>
      <c r="AP13" s="48"/>
      <c r="AQ13" s="48"/>
      <c r="AR13" s="48"/>
      <c r="AS13" s="48"/>
    </row>
    <row r="14" spans="1:45" s="89" customFormat="1">
      <c r="A14" s="125"/>
      <c r="B14" s="258" t="str">
        <f>'Site 3 - Financial'!G12</f>
        <v>Infrastructure Allocation</v>
      </c>
      <c r="C14" s="220">
        <f>'Site 3 - Financial'!I12</f>
        <v>14999999.999999996</v>
      </c>
      <c r="D14" s="203">
        <f>C14/3</f>
        <v>4999999.9999999991</v>
      </c>
      <c r="E14" s="204">
        <f>D14</f>
        <v>4999999.9999999991</v>
      </c>
      <c r="F14" s="361">
        <f>E14</f>
        <v>4999999.9999999991</v>
      </c>
      <c r="G14" s="252" t="s">
        <v>202</v>
      </c>
      <c r="H14" s="377" t="s">
        <v>202</v>
      </c>
      <c r="I14" s="253" t="s">
        <v>202</v>
      </c>
      <c r="J14" s="253" t="s">
        <v>202</v>
      </c>
      <c r="K14" s="253" t="s">
        <v>202</v>
      </c>
      <c r="L14" s="253" t="s">
        <v>202</v>
      </c>
      <c r="M14" s="253" t="s">
        <v>202</v>
      </c>
      <c r="N14" s="253" t="s">
        <v>202</v>
      </c>
      <c r="O14" s="254" t="s">
        <v>202</v>
      </c>
      <c r="P14" s="867"/>
      <c r="AP14" s="48"/>
      <c r="AQ14" s="48"/>
      <c r="AR14" s="48"/>
      <c r="AS14" s="48"/>
    </row>
    <row r="15" spans="1:45" s="89" customFormat="1">
      <c r="A15" s="125"/>
      <c r="B15" s="258" t="str">
        <f>'Site 3 - Financial'!H13</f>
        <v>Estimate</v>
      </c>
      <c r="C15" s="220">
        <f>'Site 3 - Financial'!J13</f>
        <v>1612.9032258064517</v>
      </c>
      <c r="D15" s="203">
        <f>C15/2</f>
        <v>806.45161290322585</v>
      </c>
      <c r="E15" s="204">
        <v>0</v>
      </c>
      <c r="F15" s="361">
        <f>C15/2</f>
        <v>806.45161290322585</v>
      </c>
      <c r="G15" s="252" t="s">
        <v>202</v>
      </c>
      <c r="H15" s="377" t="s">
        <v>202</v>
      </c>
      <c r="I15" s="253" t="s">
        <v>202</v>
      </c>
      <c r="J15" s="253" t="s">
        <v>202</v>
      </c>
      <c r="K15" s="253" t="s">
        <v>202</v>
      </c>
      <c r="L15" s="253" t="s">
        <v>202</v>
      </c>
      <c r="M15" s="253" t="s">
        <v>202</v>
      </c>
      <c r="N15" s="253" t="s">
        <v>202</v>
      </c>
      <c r="O15" s="254" t="s">
        <v>202</v>
      </c>
      <c r="P15" s="867"/>
      <c r="AP15" s="48"/>
      <c r="AQ15" s="48"/>
      <c r="AR15" s="48"/>
      <c r="AS15" s="48"/>
    </row>
    <row r="16" spans="1:45" s="89" customFormat="1">
      <c r="A16" s="125"/>
      <c r="B16" s="258" t="str">
        <f>'Site 3 - Financial'!G14</f>
        <v>Land Closing Costs/Commissions</v>
      </c>
      <c r="C16" s="220">
        <f>'Site 3 - Financial'!I14</f>
        <v>584793.38842975197</v>
      </c>
      <c r="D16" s="203">
        <f>C16</f>
        <v>584793.38842975197</v>
      </c>
      <c r="E16" s="204">
        <v>0</v>
      </c>
      <c r="F16" s="361">
        <v>0</v>
      </c>
      <c r="G16" s="255" t="s">
        <v>202</v>
      </c>
      <c r="H16" s="378" t="s">
        <v>202</v>
      </c>
      <c r="I16" s="256" t="s">
        <v>202</v>
      </c>
      <c r="J16" s="256" t="s">
        <v>202</v>
      </c>
      <c r="K16" s="256" t="s">
        <v>202</v>
      </c>
      <c r="L16" s="256" t="s">
        <v>202</v>
      </c>
      <c r="M16" s="256" t="s">
        <v>202</v>
      </c>
      <c r="N16" s="256" t="s">
        <v>202</v>
      </c>
      <c r="O16" s="257" t="s">
        <v>202</v>
      </c>
      <c r="P16" s="867"/>
      <c r="AP16" s="48"/>
      <c r="AQ16" s="48"/>
      <c r="AR16" s="48"/>
      <c r="AS16" s="48"/>
    </row>
    <row r="17" spans="1:45" s="89" customFormat="1">
      <c r="A17" s="125"/>
      <c r="B17" s="258" t="str">
        <f>'Site 3 - Financial'!G15</f>
        <v xml:space="preserve">Design </v>
      </c>
      <c r="C17" s="220">
        <f>'Site 3 - Financial'!I15</f>
        <v>2745516</v>
      </c>
      <c r="D17" s="203">
        <f>C17*0.75</f>
        <v>2059137</v>
      </c>
      <c r="E17" s="204">
        <f>C17*0.125</f>
        <v>343189.5</v>
      </c>
      <c r="F17" s="361">
        <f>E17</f>
        <v>343189.5</v>
      </c>
      <c r="G17" s="255" t="s">
        <v>202</v>
      </c>
      <c r="H17" s="378" t="s">
        <v>202</v>
      </c>
      <c r="I17" s="256" t="s">
        <v>202</v>
      </c>
      <c r="J17" s="256" t="s">
        <v>202</v>
      </c>
      <c r="K17" s="256" t="s">
        <v>202</v>
      </c>
      <c r="L17" s="256" t="s">
        <v>202</v>
      </c>
      <c r="M17" s="256" t="s">
        <v>202</v>
      </c>
      <c r="N17" s="256" t="s">
        <v>202</v>
      </c>
      <c r="O17" s="257" t="s">
        <v>202</v>
      </c>
      <c r="P17" s="867"/>
      <c r="AP17" s="48"/>
      <c r="AQ17" s="48"/>
      <c r="AR17" s="48"/>
      <c r="AS17" s="48"/>
    </row>
    <row r="18" spans="1:45" s="89" customFormat="1" ht="18.95" customHeight="1">
      <c r="A18" s="125"/>
      <c r="B18" s="258" t="str">
        <f>'Site 3 - Financial'!G16</f>
        <v>Developer Fee</v>
      </c>
      <c r="C18" s="220">
        <f>'Site 3 - Financial'!I16</f>
        <v>3713900.0642975201</v>
      </c>
      <c r="D18" s="203">
        <f>$C18/3</f>
        <v>1237966.6880991734</v>
      </c>
      <c r="E18" s="204">
        <f t="shared" ref="E18:F18" si="6">$C$18/3</f>
        <v>1237966.6880991734</v>
      </c>
      <c r="F18" s="205">
        <f t="shared" si="6"/>
        <v>1237966.6880991734</v>
      </c>
      <c r="G18" s="255" t="s">
        <v>202</v>
      </c>
      <c r="H18" s="378" t="s">
        <v>202</v>
      </c>
      <c r="I18" s="256" t="s">
        <v>202</v>
      </c>
      <c r="J18" s="256" t="s">
        <v>202</v>
      </c>
      <c r="K18" s="256" t="s">
        <v>202</v>
      </c>
      <c r="L18" s="256" t="s">
        <v>202</v>
      </c>
      <c r="M18" s="256" t="s">
        <v>202</v>
      </c>
      <c r="N18" s="253" t="s">
        <v>202</v>
      </c>
      <c r="O18" s="257" t="s">
        <v>202</v>
      </c>
      <c r="P18" s="867"/>
      <c r="AP18" s="48"/>
      <c r="AQ18" s="48"/>
      <c r="AR18" s="48"/>
      <c r="AS18" s="48"/>
    </row>
    <row r="19" spans="1:45" s="89" customFormat="1">
      <c r="A19" s="125"/>
      <c r="B19" s="258" t="str">
        <f>'Site 3 - Financial'!G17</f>
        <v>Construction Management Fee</v>
      </c>
      <c r="C19" s="220">
        <f>'Site 3 - Financial'!I17</f>
        <v>1372758</v>
      </c>
      <c r="D19" s="203">
        <f t="shared" ref="D19:F21" si="7">$C19/3</f>
        <v>457586</v>
      </c>
      <c r="E19" s="204">
        <f t="shared" si="7"/>
        <v>457586</v>
      </c>
      <c r="F19" s="205">
        <f t="shared" si="7"/>
        <v>457586</v>
      </c>
      <c r="G19" s="255" t="s">
        <v>202</v>
      </c>
      <c r="H19" s="378" t="s">
        <v>202</v>
      </c>
      <c r="I19" s="256" t="s">
        <v>202</v>
      </c>
      <c r="J19" s="256" t="s">
        <v>202</v>
      </c>
      <c r="K19" s="256" t="s">
        <v>202</v>
      </c>
      <c r="L19" s="256" t="s">
        <v>202</v>
      </c>
      <c r="M19" s="256" t="s">
        <v>202</v>
      </c>
      <c r="N19" s="256" t="s">
        <v>202</v>
      </c>
      <c r="O19" s="257" t="s">
        <v>202</v>
      </c>
      <c r="P19" s="867"/>
      <c r="AP19" s="48"/>
      <c r="AQ19" s="48"/>
      <c r="AR19" s="48"/>
      <c r="AS19" s="48"/>
    </row>
    <row r="20" spans="1:45" s="89" customFormat="1">
      <c r="A20" s="125"/>
      <c r="B20" s="258" t="str">
        <f>'Site 3 - Financial'!G18</f>
        <v>Taxes</v>
      </c>
      <c r="C20" s="220">
        <f>'Site 3 - Financial'!I18</f>
        <v>258168.73719008258</v>
      </c>
      <c r="D20" s="203">
        <f>C20/3</f>
        <v>86056.245730027527</v>
      </c>
      <c r="E20" s="204">
        <f>D20</f>
        <v>86056.245730027527</v>
      </c>
      <c r="F20" s="361">
        <f>E20</f>
        <v>86056.245730027527</v>
      </c>
      <c r="G20" s="252" t="s">
        <v>202</v>
      </c>
      <c r="H20" s="377" t="s">
        <v>202</v>
      </c>
      <c r="I20" s="253" t="s">
        <v>202</v>
      </c>
      <c r="J20" s="253" t="s">
        <v>202</v>
      </c>
      <c r="K20" s="253" t="s">
        <v>202</v>
      </c>
      <c r="L20" s="253" t="s">
        <v>202</v>
      </c>
      <c r="M20" s="253" t="s">
        <v>202</v>
      </c>
      <c r="N20" s="253" t="s">
        <v>202</v>
      </c>
      <c r="O20" s="254" t="s">
        <v>202</v>
      </c>
      <c r="P20" s="867"/>
      <c r="AP20" s="48"/>
      <c r="AQ20" s="48"/>
      <c r="AR20" s="48"/>
      <c r="AS20" s="48"/>
    </row>
    <row r="21" spans="1:45" s="89" customFormat="1">
      <c r="A21" s="125"/>
      <c r="B21" s="258" t="str">
        <f>'Site 3 - Financial'!G19</f>
        <v>Insurance</v>
      </c>
      <c r="C21" s="220">
        <f>'Site 3 - Financial'!I19</f>
        <v>1068000</v>
      </c>
      <c r="D21" s="203">
        <f t="shared" si="7"/>
        <v>356000</v>
      </c>
      <c r="E21" s="204">
        <f t="shared" si="7"/>
        <v>356000</v>
      </c>
      <c r="F21" s="205">
        <f t="shared" si="7"/>
        <v>356000</v>
      </c>
      <c r="G21" s="252" t="s">
        <v>202</v>
      </c>
      <c r="H21" s="377" t="s">
        <v>202</v>
      </c>
      <c r="I21" s="253" t="s">
        <v>202</v>
      </c>
      <c r="J21" s="253" t="s">
        <v>202</v>
      </c>
      <c r="K21" s="253" t="s">
        <v>202</v>
      </c>
      <c r="L21" s="253" t="s">
        <v>202</v>
      </c>
      <c r="M21" s="253" t="s">
        <v>202</v>
      </c>
      <c r="N21" s="253" t="s">
        <v>202</v>
      </c>
      <c r="O21" s="254" t="s">
        <v>202</v>
      </c>
      <c r="P21" s="867"/>
      <c r="AP21" s="48"/>
      <c r="AQ21" s="48"/>
      <c r="AR21" s="48"/>
      <c r="AS21" s="48"/>
    </row>
    <row r="22" spans="1:45" s="89" customFormat="1">
      <c r="A22" s="125"/>
      <c r="B22" s="258" t="str">
        <f>'Site 3 - Financial'!G20</f>
        <v>Marketing, FFE and Preleasing</v>
      </c>
      <c r="C22" s="220">
        <f>'Site 3 - Financial'!I20</f>
        <v>400000</v>
      </c>
      <c r="D22" s="203">
        <v>0</v>
      </c>
      <c r="E22" s="204">
        <f>C22/2</f>
        <v>200000</v>
      </c>
      <c r="F22" s="361">
        <f>C22/2</f>
        <v>200000</v>
      </c>
      <c r="G22" s="252" t="s">
        <v>202</v>
      </c>
      <c r="H22" s="377" t="s">
        <v>202</v>
      </c>
      <c r="I22" s="253" t="s">
        <v>202</v>
      </c>
      <c r="J22" s="253" t="s">
        <v>202</v>
      </c>
      <c r="K22" s="253" t="s">
        <v>202</v>
      </c>
      <c r="L22" s="253" t="s">
        <v>202</v>
      </c>
      <c r="M22" s="253" t="s">
        <v>202</v>
      </c>
      <c r="N22" s="253" t="s">
        <v>202</v>
      </c>
      <c r="O22" s="254" t="s">
        <v>202</v>
      </c>
      <c r="P22" s="867"/>
      <c r="AP22" s="48"/>
      <c r="AQ22" s="48"/>
      <c r="AR22" s="48"/>
      <c r="AS22" s="48"/>
    </row>
    <row r="23" spans="1:45" s="89" customFormat="1">
      <c r="A23" s="125"/>
      <c r="B23" s="258" t="str">
        <f>'Site 3 - Financial'!G21</f>
        <v>Operating Deficit</v>
      </c>
      <c r="C23" s="220">
        <f>-SUM(D37:F37,D55:F55,D64:F64,D46:F46)</f>
        <v>2270322.0575000001</v>
      </c>
      <c r="D23" s="203">
        <f>-(D37+D55+D64+D46)</f>
        <v>0</v>
      </c>
      <c r="E23" s="204">
        <f t="shared" ref="E23:F23" si="8">-(E37+E55+E64+E46)</f>
        <v>1118385.25</v>
      </c>
      <c r="F23" s="361">
        <f t="shared" si="8"/>
        <v>1151936.8075000001</v>
      </c>
      <c r="G23" s="252" t="s">
        <v>202</v>
      </c>
      <c r="H23" s="377" t="s">
        <v>202</v>
      </c>
      <c r="I23" s="253" t="s">
        <v>202</v>
      </c>
      <c r="J23" s="253" t="s">
        <v>202</v>
      </c>
      <c r="K23" s="253" t="s">
        <v>202</v>
      </c>
      <c r="L23" s="253" t="s">
        <v>202</v>
      </c>
      <c r="M23" s="253" t="s">
        <v>202</v>
      </c>
      <c r="N23" s="253" t="s">
        <v>202</v>
      </c>
      <c r="O23" s="254" t="s">
        <v>202</v>
      </c>
      <c r="P23" s="867"/>
      <c r="AP23" s="48"/>
      <c r="AQ23" s="48"/>
      <c r="AR23" s="48"/>
      <c r="AS23" s="48"/>
    </row>
    <row r="24" spans="1:45" s="89" customFormat="1">
      <c r="A24" s="125"/>
      <c r="B24" s="258" t="str">
        <f>'Site 3 - Financial'!G22</f>
        <v>Commercial Interior Fitout Cost</v>
      </c>
      <c r="C24" s="220">
        <f>'Site 3 - Financial'!I22</f>
        <v>14569650</v>
      </c>
      <c r="D24" s="203">
        <v>0</v>
      </c>
      <c r="E24" s="204">
        <f>C24/2</f>
        <v>7284825</v>
      </c>
      <c r="F24" s="361">
        <f>C24/2</f>
        <v>7284825</v>
      </c>
      <c r="G24" s="252" t="s">
        <v>202</v>
      </c>
      <c r="H24" s="377" t="s">
        <v>202</v>
      </c>
      <c r="I24" s="253" t="s">
        <v>202</v>
      </c>
      <c r="J24" s="253" t="s">
        <v>202</v>
      </c>
      <c r="K24" s="253" t="s">
        <v>202</v>
      </c>
      <c r="L24" s="253" t="s">
        <v>202</v>
      </c>
      <c r="M24" s="253" t="s">
        <v>202</v>
      </c>
      <c r="N24" s="253" t="s">
        <v>202</v>
      </c>
      <c r="O24" s="254" t="s">
        <v>202</v>
      </c>
      <c r="P24" s="867"/>
      <c r="AP24" s="48"/>
      <c r="AQ24" s="48"/>
      <c r="AR24" s="48"/>
      <c r="AS24" s="48"/>
    </row>
    <row r="25" spans="1:45" s="89" customFormat="1">
      <c r="A25" s="125"/>
      <c r="B25" s="258" t="str">
        <f>'Site 3 - Financial'!G23</f>
        <v>Commercial Brokerage Commission</v>
      </c>
      <c r="C25" s="220">
        <f>'Site 3 - Financial'!I23</f>
        <v>1196464.5</v>
      </c>
      <c r="D25" s="203">
        <v>0</v>
      </c>
      <c r="E25" s="204">
        <f>C25/2</f>
        <v>598232.25</v>
      </c>
      <c r="F25" s="361">
        <f>C25/2</f>
        <v>598232.25</v>
      </c>
      <c r="G25" s="252" t="s">
        <v>202</v>
      </c>
      <c r="H25" s="377" t="s">
        <v>202</v>
      </c>
      <c r="I25" s="253" t="s">
        <v>202</v>
      </c>
      <c r="J25" s="253" t="s">
        <v>202</v>
      </c>
      <c r="K25" s="253" t="s">
        <v>202</v>
      </c>
      <c r="L25" s="253" t="s">
        <v>202</v>
      </c>
      <c r="M25" s="253" t="s">
        <v>202</v>
      </c>
      <c r="N25" s="253" t="s">
        <v>202</v>
      </c>
      <c r="O25" s="254" t="s">
        <v>202</v>
      </c>
      <c r="P25" s="867"/>
      <c r="AP25" s="48"/>
      <c r="AQ25" s="48"/>
      <c r="AR25" s="48"/>
      <c r="AS25" s="48"/>
    </row>
    <row r="26" spans="1:45" s="89" customFormat="1">
      <c r="A26" s="125"/>
      <c r="B26" s="258" t="str">
        <f>'Site 3 - Financial'!G24</f>
        <v>Construction Loan Origination</v>
      </c>
      <c r="C26" s="220">
        <f>'Site 3 - Financial'!I24</f>
        <v>1600000</v>
      </c>
      <c r="D26" s="203">
        <f>C26</f>
        <v>1600000</v>
      </c>
      <c r="E26" s="204">
        <v>0</v>
      </c>
      <c r="F26" s="361">
        <v>0</v>
      </c>
      <c r="G26" s="252" t="s">
        <v>202</v>
      </c>
      <c r="H26" s="377" t="s">
        <v>202</v>
      </c>
      <c r="I26" s="253" t="s">
        <v>202</v>
      </c>
      <c r="J26" s="253" t="s">
        <v>202</v>
      </c>
      <c r="K26" s="253" t="s">
        <v>202</v>
      </c>
      <c r="L26" s="253" t="s">
        <v>202</v>
      </c>
      <c r="M26" s="253" t="s">
        <v>202</v>
      </c>
      <c r="N26" s="253" t="s">
        <v>202</v>
      </c>
      <c r="O26" s="254" t="s">
        <v>202</v>
      </c>
      <c r="P26" s="867"/>
      <c r="AP26" s="48"/>
      <c r="AQ26" s="48"/>
      <c r="AR26" s="48"/>
      <c r="AS26" s="48"/>
    </row>
    <row r="27" spans="1:45" s="89" customFormat="1">
      <c r="A27" s="125"/>
      <c r="B27" s="258" t="str">
        <f>'Site 3 - Financial'!G25</f>
        <v>Construction Interest</v>
      </c>
      <c r="C27" s="220">
        <f>'Site 3 - Financial'!I25</f>
        <v>8400000</v>
      </c>
      <c r="D27" s="203">
        <f>C27/3</f>
        <v>2800000</v>
      </c>
      <c r="E27" s="204">
        <f>D27</f>
        <v>2800000</v>
      </c>
      <c r="F27" s="361">
        <f>E27</f>
        <v>2800000</v>
      </c>
      <c r="G27" s="252" t="s">
        <v>202</v>
      </c>
      <c r="H27" s="377" t="s">
        <v>202</v>
      </c>
      <c r="I27" s="253" t="s">
        <v>202</v>
      </c>
      <c r="J27" s="253" t="s">
        <v>202</v>
      </c>
      <c r="K27" s="253" t="s">
        <v>202</v>
      </c>
      <c r="L27" s="253" t="s">
        <v>202</v>
      </c>
      <c r="M27" s="253" t="s">
        <v>202</v>
      </c>
      <c r="N27" s="253" t="s">
        <v>202</v>
      </c>
      <c r="O27" s="254" t="s">
        <v>202</v>
      </c>
      <c r="P27" s="867"/>
      <c r="AP27" s="48"/>
      <c r="AQ27" s="48"/>
      <c r="AR27" s="48"/>
      <c r="AS27" s="48"/>
    </row>
    <row r="28" spans="1:45" s="89" customFormat="1" ht="15.75" thickBot="1">
      <c r="A28" s="125"/>
      <c r="B28" s="258" t="str">
        <f>'Site 3 - Financial'!G26</f>
        <v>Additional Contingency</v>
      </c>
      <c r="C28" s="220">
        <f>'Site 3 - Financial'!I26</f>
        <v>3000000</v>
      </c>
      <c r="D28" s="203">
        <f>C28/3</f>
        <v>1000000</v>
      </c>
      <c r="E28" s="204">
        <f>D28</f>
        <v>1000000</v>
      </c>
      <c r="F28" s="361">
        <f>E28</f>
        <v>1000000</v>
      </c>
      <c r="G28" s="252" t="s">
        <v>202</v>
      </c>
      <c r="H28" s="377" t="s">
        <v>202</v>
      </c>
      <c r="I28" s="253" t="s">
        <v>202</v>
      </c>
      <c r="J28" s="253" t="s">
        <v>202</v>
      </c>
      <c r="K28" s="253" t="s">
        <v>202</v>
      </c>
      <c r="L28" s="253" t="s">
        <v>202</v>
      </c>
      <c r="M28" s="253" t="s">
        <v>202</v>
      </c>
      <c r="N28" s="253" t="s">
        <v>202</v>
      </c>
      <c r="O28" s="254" t="s">
        <v>202</v>
      </c>
      <c r="P28" s="867"/>
      <c r="AP28" s="48"/>
      <c r="AQ28" s="48"/>
      <c r="AR28" s="48"/>
      <c r="AS28" s="48"/>
    </row>
    <row r="29" spans="1:45" s="89" customFormat="1" ht="15.75" thickBot="1">
      <c r="A29" s="125"/>
      <c r="B29" s="92" t="s">
        <v>38</v>
      </c>
      <c r="C29" s="240">
        <f t="shared" ref="C29:O29" si="9">SUM(C6:C28)</f>
        <v>161247545.07213077</v>
      </c>
      <c r="D29" s="241">
        <f t="shared" si="9"/>
        <v>44747015.195359461</v>
      </c>
      <c r="E29" s="242">
        <f t="shared" si="9"/>
        <v>58233085.933829203</v>
      </c>
      <c r="F29" s="362">
        <f t="shared" si="9"/>
        <v>58267443.942942105</v>
      </c>
      <c r="G29" s="241">
        <f t="shared" ref="G29" si="10">SUM(G6:G28)</f>
        <v>0</v>
      </c>
      <c r="H29" s="379">
        <f t="shared" si="9"/>
        <v>0</v>
      </c>
      <c r="I29" s="242">
        <f t="shared" si="9"/>
        <v>0</v>
      </c>
      <c r="J29" s="242">
        <f t="shared" si="9"/>
        <v>0</v>
      </c>
      <c r="K29" s="242">
        <f t="shared" si="9"/>
        <v>0</v>
      </c>
      <c r="L29" s="242">
        <f t="shared" si="9"/>
        <v>0</v>
      </c>
      <c r="M29" s="242">
        <f t="shared" si="9"/>
        <v>0</v>
      </c>
      <c r="N29" s="242">
        <f t="shared" si="9"/>
        <v>0</v>
      </c>
      <c r="O29" s="243">
        <f t="shared" si="9"/>
        <v>0</v>
      </c>
      <c r="AP29" s="48"/>
      <c r="AQ29" s="48"/>
      <c r="AR29" s="48"/>
      <c r="AS29" s="48"/>
    </row>
    <row r="30" spans="1:45" s="125" customFormat="1">
      <c r="B30" s="185" t="s">
        <v>584</v>
      </c>
      <c r="C30" s="216"/>
      <c r="D30" s="236"/>
      <c r="E30" s="227"/>
      <c r="F30" s="363"/>
      <c r="G30" s="236"/>
      <c r="H30" s="380"/>
      <c r="I30" s="227"/>
      <c r="J30" s="227"/>
      <c r="K30" s="227"/>
      <c r="L30" s="227"/>
      <c r="M30" s="227"/>
      <c r="N30" s="227"/>
      <c r="O30" s="228"/>
      <c r="AP30" s="47"/>
      <c r="AQ30" s="47"/>
      <c r="AR30" s="47"/>
      <c r="AS30" s="47"/>
    </row>
    <row r="31" spans="1:45" s="125" customFormat="1">
      <c r="B31" s="186" t="s">
        <v>91</v>
      </c>
      <c r="C31" s="217" t="s">
        <v>202</v>
      </c>
      <c r="D31" s="237">
        <v>0</v>
      </c>
      <c r="E31" s="229">
        <v>0</v>
      </c>
      <c r="F31" s="364">
        <v>0</v>
      </c>
      <c r="G31" s="237">
        <f>'Site 3 - Financial'!F8</f>
        <v>5352000</v>
      </c>
      <c r="H31" s="229">
        <f>G31*(1+Assumptions!$F$8)</f>
        <v>5512560</v>
      </c>
      <c r="I31" s="229" t="s">
        <v>202</v>
      </c>
      <c r="J31" s="229" t="s">
        <v>202</v>
      </c>
      <c r="K31" s="229" t="s">
        <v>202</v>
      </c>
      <c r="L31" s="229" t="s">
        <v>202</v>
      </c>
      <c r="M31" s="229" t="s">
        <v>202</v>
      </c>
      <c r="N31" s="229" t="s">
        <v>202</v>
      </c>
      <c r="O31" s="230" t="s">
        <v>202</v>
      </c>
      <c r="AP31" s="47"/>
      <c r="AQ31" s="47"/>
      <c r="AR31" s="47"/>
      <c r="AS31" s="47"/>
    </row>
    <row r="32" spans="1:45" s="125" customFormat="1">
      <c r="B32" s="186" t="s">
        <v>521</v>
      </c>
      <c r="C32" s="217" t="s">
        <v>202</v>
      </c>
      <c r="D32" s="237">
        <v>0</v>
      </c>
      <c r="E32" s="229">
        <v>0</v>
      </c>
      <c r="F32" s="364">
        <v>0</v>
      </c>
      <c r="G32" s="237">
        <f>'Site 3 - Financial'!C27*12*Assumptions!D20</f>
        <v>405000</v>
      </c>
      <c r="H32" s="229">
        <f>G32*(1+Assumptions!$F$8)</f>
        <v>417150</v>
      </c>
      <c r="I32" s="229" t="s">
        <v>202</v>
      </c>
      <c r="J32" s="229" t="s">
        <v>202</v>
      </c>
      <c r="K32" s="229" t="s">
        <v>202</v>
      </c>
      <c r="L32" s="229" t="s">
        <v>202</v>
      </c>
      <c r="M32" s="229" t="s">
        <v>202</v>
      </c>
      <c r="N32" s="229" t="s">
        <v>202</v>
      </c>
      <c r="O32" s="230" t="s">
        <v>202</v>
      </c>
      <c r="AP32" s="47"/>
      <c r="AQ32" s="47"/>
      <c r="AR32" s="47"/>
      <c r="AS32" s="47"/>
    </row>
    <row r="33" spans="2:45" s="125" customFormat="1">
      <c r="B33" s="197" t="s">
        <v>309</v>
      </c>
      <c r="C33" s="217" t="s">
        <v>202</v>
      </c>
      <c r="D33" s="237">
        <v>0</v>
      </c>
      <c r="E33" s="229">
        <v>0</v>
      </c>
      <c r="F33" s="364">
        <v>0</v>
      </c>
      <c r="G33" s="237">
        <f>(Assumptions!D33+Assumptions!D35+Assumptions!D37)*'Site 3 - Financial'!D8</f>
        <v>889575</v>
      </c>
      <c r="H33" s="229">
        <f>G33*(1+Assumptions!$F$8)</f>
        <v>916262.25</v>
      </c>
      <c r="I33" s="229" t="s">
        <v>202</v>
      </c>
      <c r="J33" s="229" t="s">
        <v>202</v>
      </c>
      <c r="K33" s="229" t="s">
        <v>202</v>
      </c>
      <c r="L33" s="229" t="s">
        <v>202</v>
      </c>
      <c r="M33" s="229" t="s">
        <v>202</v>
      </c>
      <c r="N33" s="229" t="s">
        <v>202</v>
      </c>
      <c r="O33" s="230" t="s">
        <v>202</v>
      </c>
      <c r="AP33" s="47"/>
      <c r="AQ33" s="47"/>
      <c r="AR33" s="47"/>
      <c r="AS33" s="47"/>
    </row>
    <row r="34" spans="2:45" s="125" customFormat="1">
      <c r="B34" s="225" t="s">
        <v>93</v>
      </c>
      <c r="C34" s="226" t="s">
        <v>202</v>
      </c>
      <c r="D34" s="109">
        <f>SUM(D31:D33)</f>
        <v>0</v>
      </c>
      <c r="E34" s="101">
        <f t="shared" ref="E34:G34" si="11">SUM(E31:E33)</f>
        <v>0</v>
      </c>
      <c r="F34" s="365">
        <f t="shared" si="11"/>
        <v>0</v>
      </c>
      <c r="G34" s="109">
        <f t="shared" si="11"/>
        <v>6646575</v>
      </c>
      <c r="H34" s="102">
        <f>SUM(H31:H33)</f>
        <v>6845972.25</v>
      </c>
      <c r="I34" s="101" t="s">
        <v>202</v>
      </c>
      <c r="J34" s="101" t="s">
        <v>202</v>
      </c>
      <c r="K34" s="101" t="s">
        <v>202</v>
      </c>
      <c r="L34" s="101" t="s">
        <v>202</v>
      </c>
      <c r="M34" s="101" t="s">
        <v>202</v>
      </c>
      <c r="N34" s="101" t="s">
        <v>202</v>
      </c>
      <c r="O34" s="110" t="s">
        <v>202</v>
      </c>
      <c r="AP34" s="47"/>
      <c r="AQ34" s="47"/>
      <c r="AR34" s="47"/>
      <c r="AS34" s="47"/>
    </row>
    <row r="35" spans="2:45" s="125" customFormat="1">
      <c r="B35" s="197" t="s">
        <v>525</v>
      </c>
      <c r="C35" s="217" t="s">
        <v>202</v>
      </c>
      <c r="D35" s="237">
        <v>0</v>
      </c>
      <c r="E35" s="229">
        <f>-(Assumptions!D34+Assumptions!D35)*'Site 3 - Financial'!D8</f>
        <v>-705525</v>
      </c>
      <c r="F35" s="364">
        <f>E35*(1+Assumptions!$F$8)</f>
        <v>-726690.75</v>
      </c>
      <c r="G35" s="237">
        <f>-(Assumptions!D38*'Site 3 - Financial'!D8)*((1+Assumptions!$F$8)^'Site 3 - Draw'!G2)</f>
        <v>-1340776.0290000001</v>
      </c>
      <c r="H35" s="381">
        <f>-(Assumptions!D38*'Site 3 - Financial'!D8)*((1+Assumptions!$F$8)^'Site 3 - Draw'!H2)</f>
        <v>-1380999.30987</v>
      </c>
      <c r="I35" s="229" t="s">
        <v>202</v>
      </c>
      <c r="J35" s="229" t="s">
        <v>202</v>
      </c>
      <c r="K35" s="229" t="s">
        <v>202</v>
      </c>
      <c r="L35" s="229" t="s">
        <v>202</v>
      </c>
      <c r="M35" s="229" t="s">
        <v>202</v>
      </c>
      <c r="N35" s="229" t="s">
        <v>202</v>
      </c>
      <c r="O35" s="230" t="s">
        <v>202</v>
      </c>
      <c r="AP35" s="47"/>
      <c r="AQ35" s="47"/>
      <c r="AR35" s="47"/>
      <c r="AS35" s="47"/>
    </row>
    <row r="36" spans="2:45" s="125" customFormat="1">
      <c r="B36" s="197" t="s">
        <v>316</v>
      </c>
      <c r="C36" s="217" t="s">
        <v>202</v>
      </c>
      <c r="D36" s="237">
        <f t="shared" ref="D36:H36" si="12">-5%*D34</f>
        <v>0</v>
      </c>
      <c r="E36" s="229">
        <f t="shared" si="12"/>
        <v>0</v>
      </c>
      <c r="F36" s="364">
        <f t="shared" si="12"/>
        <v>0</v>
      </c>
      <c r="G36" s="237">
        <f t="shared" si="12"/>
        <v>-332328.75</v>
      </c>
      <c r="H36" s="381">
        <f t="shared" si="12"/>
        <v>-342298.61250000005</v>
      </c>
      <c r="I36" s="229" t="s">
        <v>202</v>
      </c>
      <c r="J36" s="229" t="s">
        <v>202</v>
      </c>
      <c r="K36" s="229" t="s">
        <v>202</v>
      </c>
      <c r="L36" s="229" t="s">
        <v>202</v>
      </c>
      <c r="M36" s="229" t="s">
        <v>202</v>
      </c>
      <c r="N36" s="229" t="s">
        <v>202</v>
      </c>
      <c r="O36" s="230" t="s">
        <v>202</v>
      </c>
      <c r="AP36" s="47"/>
      <c r="AQ36" s="47"/>
      <c r="AR36" s="47"/>
      <c r="AS36" s="47"/>
    </row>
    <row r="37" spans="2:45" s="125" customFormat="1">
      <c r="B37" s="225" t="s">
        <v>94</v>
      </c>
      <c r="C37" s="226" t="s">
        <v>202</v>
      </c>
      <c r="D37" s="109">
        <f t="shared" ref="D37:E37" si="13">SUM(D34:D36)</f>
        <v>0</v>
      </c>
      <c r="E37" s="101">
        <f t="shared" si="13"/>
        <v>-705525</v>
      </c>
      <c r="F37" s="365">
        <f t="shared" ref="F37:H37" si="14">SUM(F34:F36)</f>
        <v>-726690.75</v>
      </c>
      <c r="G37" s="109">
        <f t="shared" si="14"/>
        <v>4973470.2209999999</v>
      </c>
      <c r="H37" s="102">
        <f t="shared" si="14"/>
        <v>5122674.3276300002</v>
      </c>
      <c r="I37" s="101" t="s">
        <v>202</v>
      </c>
      <c r="J37" s="101" t="s">
        <v>202</v>
      </c>
      <c r="K37" s="101" t="s">
        <v>202</v>
      </c>
      <c r="L37" s="101" t="s">
        <v>202</v>
      </c>
      <c r="M37" s="101" t="s">
        <v>202</v>
      </c>
      <c r="N37" s="101" t="s">
        <v>202</v>
      </c>
      <c r="O37" s="110" t="s">
        <v>202</v>
      </c>
      <c r="AP37" s="47"/>
      <c r="AQ37" s="47"/>
      <c r="AR37" s="47"/>
      <c r="AS37" s="47"/>
    </row>
    <row r="38" spans="2:45" s="125" customFormat="1" ht="15.75" thickBot="1">
      <c r="B38" s="209" t="s">
        <v>317</v>
      </c>
      <c r="C38" s="218" t="s">
        <v>202</v>
      </c>
      <c r="D38" s="238">
        <v>0</v>
      </c>
      <c r="E38" s="231">
        <v>0</v>
      </c>
      <c r="F38" s="366">
        <v>0</v>
      </c>
      <c r="G38" s="238">
        <f>(H37/Assumptions!$I$7)*0.98</f>
        <v>105688859.81215578</v>
      </c>
      <c r="H38" s="382">
        <v>0</v>
      </c>
      <c r="I38" s="231" t="s">
        <v>202</v>
      </c>
      <c r="J38" s="231" t="s">
        <v>202</v>
      </c>
      <c r="K38" s="231" t="s">
        <v>202</v>
      </c>
      <c r="L38" s="231" t="s">
        <v>202</v>
      </c>
      <c r="M38" s="231" t="s">
        <v>202</v>
      </c>
      <c r="N38" s="231" t="s">
        <v>202</v>
      </c>
      <c r="O38" s="232" t="s">
        <v>202</v>
      </c>
      <c r="AP38" s="47"/>
      <c r="AQ38" s="47"/>
      <c r="AR38" s="47"/>
      <c r="AS38" s="47"/>
    </row>
    <row r="39" spans="2:45" s="125" customFormat="1">
      <c r="B39" s="185" t="s">
        <v>583</v>
      </c>
      <c r="C39" s="216"/>
      <c r="D39" s="236"/>
      <c r="E39" s="227"/>
      <c r="F39" s="363"/>
      <c r="G39" s="236"/>
      <c r="H39" s="227"/>
      <c r="I39" s="227"/>
      <c r="J39" s="227"/>
      <c r="K39" s="227"/>
      <c r="L39" s="227"/>
      <c r="M39" s="363"/>
      <c r="N39" s="236"/>
      <c r="O39" s="466"/>
      <c r="AO39" s="47"/>
      <c r="AP39" s="47"/>
      <c r="AQ39" s="47"/>
      <c r="AR39" s="47"/>
    </row>
    <row r="40" spans="2:45" s="125" customFormat="1">
      <c r="B40" s="186" t="s">
        <v>91</v>
      </c>
      <c r="C40" s="217" t="s">
        <v>202</v>
      </c>
      <c r="D40" s="237">
        <v>0</v>
      </c>
      <c r="E40" s="229">
        <v>0</v>
      </c>
      <c r="F40" s="364">
        <v>0</v>
      </c>
      <c r="G40" s="237">
        <f>'Site 3 - Financial'!F15</f>
        <v>1705380</v>
      </c>
      <c r="H40" s="229">
        <f>G40*(1+Assumptions!$F$8)</f>
        <v>1756541.4000000001</v>
      </c>
      <c r="I40" s="229" t="s">
        <v>202</v>
      </c>
      <c r="J40" s="229" t="s">
        <v>202</v>
      </c>
      <c r="K40" s="744" t="s">
        <v>202</v>
      </c>
      <c r="L40" s="229" t="s">
        <v>202</v>
      </c>
      <c r="M40" s="364" t="s">
        <v>202</v>
      </c>
      <c r="N40" s="237" t="s">
        <v>202</v>
      </c>
      <c r="O40" s="230" t="s">
        <v>202</v>
      </c>
      <c r="AO40" s="47"/>
      <c r="AP40" s="47"/>
      <c r="AQ40" s="47"/>
      <c r="AR40" s="47"/>
    </row>
    <row r="41" spans="2:45" s="125" customFormat="1">
      <c r="B41" s="186" t="s">
        <v>521</v>
      </c>
      <c r="C41" s="217" t="s">
        <v>202</v>
      </c>
      <c r="D41" s="237">
        <v>0</v>
      </c>
      <c r="E41" s="229">
        <v>0</v>
      </c>
      <c r="F41" s="364">
        <v>0</v>
      </c>
      <c r="G41" s="237">
        <v>0</v>
      </c>
      <c r="H41" s="229">
        <v>0</v>
      </c>
      <c r="I41" s="229" t="s">
        <v>202</v>
      </c>
      <c r="J41" s="229" t="s">
        <v>202</v>
      </c>
      <c r="K41" s="229" t="s">
        <v>202</v>
      </c>
      <c r="L41" s="229" t="s">
        <v>202</v>
      </c>
      <c r="M41" s="364" t="s">
        <v>202</v>
      </c>
      <c r="N41" s="237" t="s">
        <v>202</v>
      </c>
      <c r="O41" s="230" t="s">
        <v>202</v>
      </c>
      <c r="AO41" s="47"/>
      <c r="AP41" s="47"/>
      <c r="AQ41" s="47"/>
      <c r="AR41" s="47"/>
    </row>
    <row r="42" spans="2:45" s="125" customFormat="1">
      <c r="B42" s="197" t="s">
        <v>309</v>
      </c>
      <c r="C42" s="217" t="s">
        <v>202</v>
      </c>
      <c r="D42" s="237">
        <v>0</v>
      </c>
      <c r="E42" s="229">
        <v>0</v>
      </c>
      <c r="F42" s="364">
        <v>0</v>
      </c>
      <c r="G42" s="237">
        <f>(Assumptions!$D$35+Assumptions!$D$37)*'Site 3 - Financial'!D15*(1+Assumptions!$F$8)^$G$2</f>
        <v>376444.45150000002</v>
      </c>
      <c r="H42" s="229">
        <f>G42*(1+Assumptions!$F$8)</f>
        <v>387737.78504500003</v>
      </c>
      <c r="I42" s="229" t="s">
        <v>202</v>
      </c>
      <c r="J42" s="229" t="s">
        <v>202</v>
      </c>
      <c r="K42" s="229" t="s">
        <v>202</v>
      </c>
      <c r="L42" s="229" t="s">
        <v>202</v>
      </c>
      <c r="M42" s="364" t="s">
        <v>202</v>
      </c>
      <c r="N42" s="237" t="s">
        <v>202</v>
      </c>
      <c r="O42" s="230" t="s">
        <v>202</v>
      </c>
      <c r="AO42" s="47"/>
      <c r="AP42" s="47"/>
      <c r="AQ42" s="47"/>
      <c r="AR42" s="47"/>
    </row>
    <row r="43" spans="2:45" s="125" customFormat="1">
      <c r="B43" s="225" t="s">
        <v>93</v>
      </c>
      <c r="C43" s="226" t="s">
        <v>202</v>
      </c>
      <c r="D43" s="109">
        <f>SUM(D40:D42)</f>
        <v>0</v>
      </c>
      <c r="E43" s="101">
        <f t="shared" ref="E43:G43" si="15">SUM(E40:E42)</f>
        <v>0</v>
      </c>
      <c r="F43" s="365">
        <f t="shared" si="15"/>
        <v>0</v>
      </c>
      <c r="G43" s="109">
        <f t="shared" si="15"/>
        <v>2081824.4515</v>
      </c>
      <c r="H43" s="101">
        <f>SUM(H40:H42)</f>
        <v>2144279.1850450002</v>
      </c>
      <c r="I43" s="101" t="s">
        <v>202</v>
      </c>
      <c r="J43" s="101" t="s">
        <v>202</v>
      </c>
      <c r="K43" s="101" t="s">
        <v>202</v>
      </c>
      <c r="L43" s="101" t="s">
        <v>202</v>
      </c>
      <c r="M43" s="365" t="s">
        <v>202</v>
      </c>
      <c r="N43" s="109" t="s">
        <v>202</v>
      </c>
      <c r="O43" s="467" t="s">
        <v>202</v>
      </c>
      <c r="AO43" s="47"/>
      <c r="AP43" s="47"/>
      <c r="AQ43" s="47"/>
      <c r="AR43" s="47"/>
    </row>
    <row r="44" spans="2:45" s="125" customFormat="1">
      <c r="B44" s="197" t="s">
        <v>525</v>
      </c>
      <c r="C44" s="217" t="s">
        <v>202</v>
      </c>
      <c r="D44" s="237">
        <v>0</v>
      </c>
      <c r="E44" s="229">
        <f>-(Assumptions!$D$26+Assumptions!$D$27)*'Site 3 - Financial'!$D$15</f>
        <v>-145750</v>
      </c>
      <c r="F44" s="364">
        <f>E44*(1+Assumptions!$F$8)</f>
        <v>-150122.5</v>
      </c>
      <c r="G44" s="237">
        <f>-(Assumptions!$D$38)*('Site 3 - Financial'!$D$15)*(1+Assumptions!$F$8)^$G$2</f>
        <v>-579145.31000000006</v>
      </c>
      <c r="H44" s="229">
        <f>G44*(1+Assumptions!$F$8)</f>
        <v>-596519.66930000007</v>
      </c>
      <c r="I44" s="229" t="s">
        <v>202</v>
      </c>
      <c r="J44" s="229" t="s">
        <v>202</v>
      </c>
      <c r="K44" s="229" t="s">
        <v>202</v>
      </c>
      <c r="L44" s="229" t="s">
        <v>202</v>
      </c>
      <c r="M44" s="364" t="s">
        <v>202</v>
      </c>
      <c r="N44" s="237" t="s">
        <v>202</v>
      </c>
      <c r="O44" s="315" t="s">
        <v>202</v>
      </c>
      <c r="AO44" s="47"/>
      <c r="AP44" s="47"/>
      <c r="AQ44" s="47"/>
      <c r="AR44" s="47"/>
    </row>
    <row r="45" spans="2:45" s="125" customFormat="1">
      <c r="B45" s="197" t="s">
        <v>316</v>
      </c>
      <c r="C45" s="217" t="s">
        <v>202</v>
      </c>
      <c r="D45" s="237">
        <f t="shared" ref="D45:H45" si="16">-5%*D43</f>
        <v>0</v>
      </c>
      <c r="E45" s="229">
        <f t="shared" si="16"/>
        <v>0</v>
      </c>
      <c r="F45" s="364">
        <f t="shared" si="16"/>
        <v>0</v>
      </c>
      <c r="G45" s="237">
        <f t="shared" si="16"/>
        <v>-104091.22257500001</v>
      </c>
      <c r="H45" s="229">
        <f t="shared" si="16"/>
        <v>-107213.95925225002</v>
      </c>
      <c r="I45" s="229" t="s">
        <v>202</v>
      </c>
      <c r="J45" s="229" t="s">
        <v>202</v>
      </c>
      <c r="K45" s="229" t="s">
        <v>202</v>
      </c>
      <c r="L45" s="229" t="s">
        <v>202</v>
      </c>
      <c r="M45" s="364" t="s">
        <v>202</v>
      </c>
      <c r="N45" s="237" t="s">
        <v>202</v>
      </c>
      <c r="O45" s="315" t="s">
        <v>202</v>
      </c>
      <c r="AO45" s="47"/>
      <c r="AP45" s="47"/>
      <c r="AQ45" s="47"/>
      <c r="AR45" s="47"/>
    </row>
    <row r="46" spans="2:45" s="125" customFormat="1">
      <c r="B46" s="225" t="s">
        <v>94</v>
      </c>
      <c r="C46" s="226" t="s">
        <v>202</v>
      </c>
      <c r="D46" s="109">
        <f t="shared" ref="D46:E46" si="17">SUM(D43:D45)</f>
        <v>0</v>
      </c>
      <c r="E46" s="101">
        <f t="shared" si="17"/>
        <v>-145750</v>
      </c>
      <c r="F46" s="365">
        <f t="shared" ref="F46:H46" si="18">SUM(F43:F45)</f>
        <v>-150122.5</v>
      </c>
      <c r="G46" s="109">
        <f t="shared" si="18"/>
        <v>1398587.9189249999</v>
      </c>
      <c r="H46" s="101">
        <f t="shared" si="18"/>
        <v>1440545.5564927501</v>
      </c>
      <c r="I46" s="101" t="s">
        <v>202</v>
      </c>
      <c r="J46" s="101" t="s">
        <v>202</v>
      </c>
      <c r="K46" s="101" t="s">
        <v>202</v>
      </c>
      <c r="L46" s="101" t="s">
        <v>202</v>
      </c>
      <c r="M46" s="365" t="s">
        <v>202</v>
      </c>
      <c r="N46" s="109" t="s">
        <v>202</v>
      </c>
      <c r="O46" s="467" t="s">
        <v>202</v>
      </c>
      <c r="AO46" s="47"/>
      <c r="AP46" s="47"/>
      <c r="AQ46" s="47"/>
      <c r="AR46" s="47"/>
    </row>
    <row r="47" spans="2:45" s="125" customFormat="1" ht="15.75" thickBot="1">
      <c r="B47" s="209" t="s">
        <v>317</v>
      </c>
      <c r="C47" s="218" t="s">
        <v>202</v>
      </c>
      <c r="D47" s="238">
        <v>0</v>
      </c>
      <c r="E47" s="231">
        <v>0</v>
      </c>
      <c r="F47" s="366">
        <v>0</v>
      </c>
      <c r="G47" s="238">
        <f>(H46/Assumptions!$I$6)*0.98</f>
        <v>28234692.9072579</v>
      </c>
      <c r="H47" s="231">
        <v>0</v>
      </c>
      <c r="I47" s="231" t="s">
        <v>202</v>
      </c>
      <c r="J47" s="231" t="s">
        <v>202</v>
      </c>
      <c r="K47" s="231" t="s">
        <v>202</v>
      </c>
      <c r="L47" s="231" t="s">
        <v>202</v>
      </c>
      <c r="M47" s="366" t="s">
        <v>202</v>
      </c>
      <c r="N47" s="238" t="s">
        <v>202</v>
      </c>
      <c r="O47" s="468" t="s">
        <v>202</v>
      </c>
      <c r="AO47" s="47"/>
      <c r="AP47" s="47"/>
      <c r="AQ47" s="47"/>
      <c r="AR47" s="47"/>
    </row>
    <row r="48" spans="2:45" s="125" customFormat="1">
      <c r="B48" s="185" t="s">
        <v>325</v>
      </c>
      <c r="C48" s="216"/>
      <c r="D48" s="236"/>
      <c r="E48" s="227"/>
      <c r="F48" s="363"/>
      <c r="G48" s="236"/>
      <c r="H48" s="380"/>
      <c r="I48" s="227"/>
      <c r="J48" s="227"/>
      <c r="K48" s="227"/>
      <c r="L48" s="227"/>
      <c r="M48" s="227"/>
      <c r="N48" s="227"/>
      <c r="O48" s="228"/>
      <c r="AP48" s="47"/>
      <c r="AQ48" s="47"/>
      <c r="AR48" s="47"/>
      <c r="AS48" s="47"/>
    </row>
    <row r="49" spans="2:45" s="125" customFormat="1">
      <c r="B49" s="186" t="s">
        <v>91</v>
      </c>
      <c r="C49" s="217" t="s">
        <v>202</v>
      </c>
      <c r="D49" s="237">
        <v>0</v>
      </c>
      <c r="E49" s="229">
        <v>0</v>
      </c>
      <c r="F49" s="364">
        <v>0</v>
      </c>
      <c r="G49" s="237">
        <f>'Site 3 - Financial'!D18*'Site 3 - Financial'!E18</f>
        <v>1339380</v>
      </c>
      <c r="H49" s="229">
        <f>G49*(1+Assumptions!$F$8)</f>
        <v>1379561.4000000001</v>
      </c>
      <c r="I49" s="229" t="s">
        <v>202</v>
      </c>
      <c r="J49" s="229" t="s">
        <v>202</v>
      </c>
      <c r="K49" s="229" t="s">
        <v>202</v>
      </c>
      <c r="L49" s="229" t="s">
        <v>202</v>
      </c>
      <c r="M49" s="229" t="s">
        <v>202</v>
      </c>
      <c r="N49" s="229" t="s">
        <v>202</v>
      </c>
      <c r="O49" s="230" t="s">
        <v>202</v>
      </c>
      <c r="AP49" s="47"/>
      <c r="AQ49" s="47"/>
      <c r="AR49" s="47"/>
      <c r="AS49" s="47"/>
    </row>
    <row r="50" spans="2:45" s="125" customFormat="1">
      <c r="B50" s="186" t="s">
        <v>521</v>
      </c>
      <c r="C50" s="217" t="s">
        <v>202</v>
      </c>
      <c r="D50" s="237">
        <v>0</v>
      </c>
      <c r="E50" s="229">
        <v>0</v>
      </c>
      <c r="F50" s="364">
        <v>0</v>
      </c>
      <c r="G50" s="237">
        <f>('Site 3 - Financial'!C28/2)*12*Assumptions!D21</f>
        <v>283500</v>
      </c>
      <c r="H50" s="229">
        <f>G50*(1+Assumptions!$F$8)</f>
        <v>292005</v>
      </c>
      <c r="I50" s="229" t="s">
        <v>202</v>
      </c>
      <c r="J50" s="229" t="s">
        <v>202</v>
      </c>
      <c r="K50" s="229" t="s">
        <v>202</v>
      </c>
      <c r="L50" s="229" t="s">
        <v>202</v>
      </c>
      <c r="M50" s="229" t="s">
        <v>202</v>
      </c>
      <c r="N50" s="229" t="s">
        <v>202</v>
      </c>
      <c r="O50" s="230" t="s">
        <v>202</v>
      </c>
      <c r="AP50" s="47"/>
      <c r="AQ50" s="47"/>
      <c r="AR50" s="47"/>
      <c r="AS50" s="47"/>
    </row>
    <row r="51" spans="2:45" s="125" customFormat="1">
      <c r="B51" s="197" t="s">
        <v>309</v>
      </c>
      <c r="C51" s="217" t="s">
        <v>202</v>
      </c>
      <c r="D51" s="237">
        <v>0</v>
      </c>
      <c r="E51" s="229">
        <v>0</v>
      </c>
      <c r="F51" s="364">
        <v>0</v>
      </c>
      <c r="G51" s="237">
        <f>(Assumptions!D30*'Site 3 - Financial'!D18)*(1+Assumptions!$F$8)^G2</f>
        <v>204900.7364964</v>
      </c>
      <c r="H51" s="229">
        <f>G51*(1+Assumptions!$F$8)</f>
        <v>211047.75859129202</v>
      </c>
      <c r="I51" s="229" t="s">
        <v>202</v>
      </c>
      <c r="J51" s="229" t="s">
        <v>202</v>
      </c>
      <c r="K51" s="229" t="s">
        <v>202</v>
      </c>
      <c r="L51" s="229" t="s">
        <v>202</v>
      </c>
      <c r="M51" s="229" t="s">
        <v>202</v>
      </c>
      <c r="N51" s="229" t="s">
        <v>202</v>
      </c>
      <c r="O51" s="230" t="s">
        <v>202</v>
      </c>
      <c r="AP51" s="47"/>
      <c r="AQ51" s="47"/>
      <c r="AR51" s="47"/>
      <c r="AS51" s="47"/>
    </row>
    <row r="52" spans="2:45" s="125" customFormat="1">
      <c r="B52" s="225" t="s">
        <v>93</v>
      </c>
      <c r="C52" s="226" t="s">
        <v>202</v>
      </c>
      <c r="D52" s="109">
        <f>SUM(D49:D51)</f>
        <v>0</v>
      </c>
      <c r="E52" s="101">
        <f>SUM(E49:E51)</f>
        <v>0</v>
      </c>
      <c r="F52" s="365">
        <f>SUM(F49:F51)</f>
        <v>0</v>
      </c>
      <c r="G52" s="109">
        <f>SUM(G49:G51)</f>
        <v>1827780.7364964001</v>
      </c>
      <c r="H52" s="102">
        <f>SUM(H49:H51)</f>
        <v>1882614.1585912921</v>
      </c>
      <c r="I52" s="101" t="s">
        <v>202</v>
      </c>
      <c r="J52" s="101" t="s">
        <v>202</v>
      </c>
      <c r="K52" s="101" t="s">
        <v>202</v>
      </c>
      <c r="L52" s="101" t="s">
        <v>202</v>
      </c>
      <c r="M52" s="101" t="s">
        <v>202</v>
      </c>
      <c r="N52" s="101" t="s">
        <v>202</v>
      </c>
      <c r="O52" s="110" t="s">
        <v>202</v>
      </c>
      <c r="AP52" s="47"/>
      <c r="AQ52" s="47"/>
      <c r="AR52" s="47"/>
      <c r="AS52" s="47"/>
    </row>
    <row r="53" spans="2:45" s="125" customFormat="1">
      <c r="B53" s="197" t="s">
        <v>525</v>
      </c>
      <c r="C53" s="217" t="s">
        <v>202</v>
      </c>
      <c r="D53" s="237">
        <v>0</v>
      </c>
      <c r="E53" s="229">
        <f>-(Assumptions!D26+Assumptions!D27)*'Site 3 - Financial'!D18</f>
        <v>-105237</v>
      </c>
      <c r="F53" s="364">
        <f>E53*(1+Assumptions!$F$8)</f>
        <v>-108394.11</v>
      </c>
      <c r="G53" s="237">
        <f>-(Assumptions!D30*'Site 3 - Financial'!D18)*(1+Assumptions!$F$8)^G2</f>
        <v>-204900.7364964</v>
      </c>
      <c r="H53" s="229">
        <f>G53*(1+Assumptions!$F$8)</f>
        <v>-211047.75859129202</v>
      </c>
      <c r="I53" s="229" t="s">
        <v>202</v>
      </c>
      <c r="J53" s="229" t="s">
        <v>202</v>
      </c>
      <c r="K53" s="229" t="s">
        <v>202</v>
      </c>
      <c r="L53" s="229" t="s">
        <v>202</v>
      </c>
      <c r="M53" s="229" t="s">
        <v>202</v>
      </c>
      <c r="N53" s="229" t="s">
        <v>202</v>
      </c>
      <c r="O53" s="230" t="s">
        <v>202</v>
      </c>
      <c r="AP53" s="47"/>
      <c r="AQ53" s="47"/>
      <c r="AR53" s="47"/>
      <c r="AS53" s="47"/>
    </row>
    <row r="54" spans="2:45" s="125" customFormat="1">
      <c r="B54" s="197" t="s">
        <v>316</v>
      </c>
      <c r="C54" s="217" t="s">
        <v>202</v>
      </c>
      <c r="D54" s="237">
        <f t="shared" ref="D54:H54" si="19">-5%*D52</f>
        <v>0</v>
      </c>
      <c r="E54" s="229">
        <f t="shared" si="19"/>
        <v>0</v>
      </c>
      <c r="F54" s="364">
        <f t="shared" si="19"/>
        <v>0</v>
      </c>
      <c r="G54" s="237">
        <f t="shared" si="19"/>
        <v>-91389.03682482001</v>
      </c>
      <c r="H54" s="381">
        <f t="shared" si="19"/>
        <v>-94130.707929564611</v>
      </c>
      <c r="I54" s="229" t="s">
        <v>202</v>
      </c>
      <c r="J54" s="229" t="s">
        <v>202</v>
      </c>
      <c r="K54" s="229" t="s">
        <v>202</v>
      </c>
      <c r="L54" s="229" t="s">
        <v>202</v>
      </c>
      <c r="M54" s="229" t="s">
        <v>202</v>
      </c>
      <c r="N54" s="229" t="s">
        <v>202</v>
      </c>
      <c r="O54" s="230" t="s">
        <v>202</v>
      </c>
      <c r="AP54" s="47"/>
      <c r="AQ54" s="47"/>
      <c r="AR54" s="47"/>
      <c r="AS54" s="47"/>
    </row>
    <row r="55" spans="2:45" s="125" customFormat="1">
      <c r="B55" s="225" t="s">
        <v>94</v>
      </c>
      <c r="C55" s="226" t="s">
        <v>202</v>
      </c>
      <c r="D55" s="109">
        <f t="shared" ref="D55:H55" si="20">SUM(D52:D54)</f>
        <v>0</v>
      </c>
      <c r="E55" s="101">
        <f t="shared" si="20"/>
        <v>-105237</v>
      </c>
      <c r="F55" s="365">
        <f>SUM(F52:F54)</f>
        <v>-108394.11</v>
      </c>
      <c r="G55" s="109">
        <f t="shared" si="20"/>
        <v>1531490.9631751799</v>
      </c>
      <c r="H55" s="102">
        <f t="shared" si="20"/>
        <v>1577435.6920704355</v>
      </c>
      <c r="I55" s="101" t="s">
        <v>202</v>
      </c>
      <c r="J55" s="101" t="s">
        <v>202</v>
      </c>
      <c r="K55" s="101" t="s">
        <v>202</v>
      </c>
      <c r="L55" s="101" t="s">
        <v>202</v>
      </c>
      <c r="M55" s="101" t="s">
        <v>202</v>
      </c>
      <c r="N55" s="101" t="s">
        <v>202</v>
      </c>
      <c r="O55" s="110" t="s">
        <v>202</v>
      </c>
      <c r="AP55" s="47"/>
      <c r="AQ55" s="47"/>
      <c r="AR55" s="47"/>
      <c r="AS55" s="47"/>
    </row>
    <row r="56" spans="2:45" s="125" customFormat="1" ht="15.75" thickBot="1">
      <c r="B56" s="209" t="s">
        <v>317</v>
      </c>
      <c r="C56" s="218" t="s">
        <v>202</v>
      </c>
      <c r="D56" s="238">
        <v>0</v>
      </c>
      <c r="E56" s="231">
        <v>0</v>
      </c>
      <c r="F56" s="366">
        <v>0</v>
      </c>
      <c r="G56" s="238">
        <f>(H55/Assumptions!$I$9)*0.98</f>
        <v>34353043.960645042</v>
      </c>
      <c r="H56" s="382">
        <v>0</v>
      </c>
      <c r="I56" s="231" t="s">
        <v>202</v>
      </c>
      <c r="J56" s="231" t="s">
        <v>202</v>
      </c>
      <c r="K56" s="231" t="s">
        <v>202</v>
      </c>
      <c r="L56" s="231" t="s">
        <v>202</v>
      </c>
      <c r="M56" s="231" t="s">
        <v>202</v>
      </c>
      <c r="N56" s="231" t="s">
        <v>202</v>
      </c>
      <c r="O56" s="232" t="s">
        <v>202</v>
      </c>
      <c r="AP56" s="47"/>
      <c r="AQ56" s="47"/>
      <c r="AR56" s="47"/>
      <c r="AS56" s="47"/>
    </row>
    <row r="57" spans="2:45" s="125" customFormat="1">
      <c r="B57" s="185" t="s">
        <v>391</v>
      </c>
      <c r="C57" s="216"/>
      <c r="D57" s="236"/>
      <c r="E57" s="227"/>
      <c r="F57" s="363"/>
      <c r="G57" s="236"/>
      <c r="H57" s="380"/>
      <c r="I57" s="227"/>
      <c r="J57" s="227"/>
      <c r="K57" s="227"/>
      <c r="L57" s="227"/>
      <c r="M57" s="227"/>
      <c r="N57" s="227"/>
      <c r="O57" s="228"/>
      <c r="AP57" s="47"/>
      <c r="AQ57" s="47"/>
      <c r="AR57" s="47"/>
      <c r="AS57" s="47"/>
    </row>
    <row r="58" spans="2:45" s="125" customFormat="1">
      <c r="B58" s="186" t="s">
        <v>91</v>
      </c>
      <c r="C58" s="217" t="s">
        <v>202</v>
      </c>
      <c r="D58" s="237">
        <v>0</v>
      </c>
      <c r="E58" s="229">
        <v>0</v>
      </c>
      <c r="F58" s="364">
        <v>0</v>
      </c>
      <c r="G58" s="237">
        <f>'Site 3 - Financial'!D19*'Site 3 - Financial'!E19</f>
        <v>2648835</v>
      </c>
      <c r="H58" s="229">
        <f>G58*(1+Assumptions!$F$8)</f>
        <v>2728300.0500000003</v>
      </c>
      <c r="I58" s="229" t="s">
        <v>202</v>
      </c>
      <c r="J58" s="229" t="s">
        <v>202</v>
      </c>
      <c r="K58" s="229" t="s">
        <v>202</v>
      </c>
      <c r="L58" s="229" t="s">
        <v>202</v>
      </c>
      <c r="M58" s="229" t="s">
        <v>202</v>
      </c>
      <c r="N58" s="229" t="s">
        <v>202</v>
      </c>
      <c r="O58" s="230" t="s">
        <v>202</v>
      </c>
      <c r="AP58" s="47"/>
      <c r="AQ58" s="47"/>
      <c r="AR58" s="47"/>
      <c r="AS58" s="47"/>
    </row>
    <row r="59" spans="2:45" s="125" customFormat="1">
      <c r="B59" s="186" t="s">
        <v>521</v>
      </c>
      <c r="C59" s="217" t="s">
        <v>202</v>
      </c>
      <c r="D59" s="237">
        <v>0</v>
      </c>
      <c r="E59" s="229">
        <v>0</v>
      </c>
      <c r="F59" s="364">
        <v>0</v>
      </c>
      <c r="G59" s="237">
        <f>('Site 3 - Financial'!C28/2)*12*Assumptions!D21</f>
        <v>283500</v>
      </c>
      <c r="H59" s="229">
        <f>G59*(1+Assumptions!$F$8)</f>
        <v>292005</v>
      </c>
      <c r="I59" s="229" t="s">
        <v>202</v>
      </c>
      <c r="J59" s="229" t="s">
        <v>202</v>
      </c>
      <c r="K59" s="229" t="s">
        <v>202</v>
      </c>
      <c r="L59" s="229" t="s">
        <v>202</v>
      </c>
      <c r="M59" s="229" t="s">
        <v>202</v>
      </c>
      <c r="N59" s="229" t="s">
        <v>202</v>
      </c>
      <c r="O59" s="230" t="s">
        <v>202</v>
      </c>
      <c r="AP59" s="47"/>
      <c r="AQ59" s="47"/>
      <c r="AR59" s="47"/>
      <c r="AS59" s="47"/>
    </row>
    <row r="60" spans="2:45" s="125" customFormat="1">
      <c r="B60" s="186" t="s">
        <v>309</v>
      </c>
      <c r="C60" s="217" t="s">
        <v>202</v>
      </c>
      <c r="D60" s="237">
        <v>0</v>
      </c>
      <c r="E60" s="229">
        <v>0</v>
      </c>
      <c r="F60" s="364">
        <v>0</v>
      </c>
      <c r="G60" s="237">
        <f>(Assumptions!D30*'Site 3 - Financial'!D19)*(1+Assumptions!F8)^G2</f>
        <v>315173.82806490001</v>
      </c>
      <c r="H60" s="229">
        <f>G60*(1+Assumptions!$F$8)</f>
        <v>324629.04290684703</v>
      </c>
      <c r="I60" s="229" t="s">
        <v>202</v>
      </c>
      <c r="J60" s="229" t="s">
        <v>202</v>
      </c>
      <c r="K60" s="229" t="s">
        <v>202</v>
      </c>
      <c r="L60" s="229" t="s">
        <v>202</v>
      </c>
      <c r="M60" s="229" t="s">
        <v>202</v>
      </c>
      <c r="N60" s="229" t="s">
        <v>202</v>
      </c>
      <c r="O60" s="230" t="s">
        <v>202</v>
      </c>
      <c r="AP60" s="47"/>
      <c r="AQ60" s="47"/>
      <c r="AR60" s="47"/>
      <c r="AS60" s="47"/>
    </row>
    <row r="61" spans="2:45" s="125" customFormat="1">
      <c r="B61" s="225" t="s">
        <v>93</v>
      </c>
      <c r="C61" s="226" t="s">
        <v>202</v>
      </c>
      <c r="D61" s="109">
        <f t="shared" ref="D61:H61" si="21">SUM(D58:D60)</f>
        <v>0</v>
      </c>
      <c r="E61" s="101">
        <f t="shared" si="21"/>
        <v>0</v>
      </c>
      <c r="F61" s="365">
        <f>SUM(F58:F60)</f>
        <v>0</v>
      </c>
      <c r="G61" s="109">
        <f t="shared" si="21"/>
        <v>3247508.8280648999</v>
      </c>
      <c r="H61" s="102">
        <f t="shared" si="21"/>
        <v>3344934.0929068471</v>
      </c>
      <c r="I61" s="101" t="s">
        <v>202</v>
      </c>
      <c r="J61" s="101" t="s">
        <v>202</v>
      </c>
      <c r="K61" s="101" t="s">
        <v>202</v>
      </c>
      <c r="L61" s="101" t="s">
        <v>202</v>
      </c>
      <c r="M61" s="101" t="s">
        <v>202</v>
      </c>
      <c r="N61" s="101" t="s">
        <v>202</v>
      </c>
      <c r="O61" s="110" t="s">
        <v>202</v>
      </c>
      <c r="AP61" s="47"/>
      <c r="AQ61" s="47"/>
      <c r="AR61" s="47"/>
      <c r="AS61" s="47"/>
    </row>
    <row r="62" spans="2:45" s="125" customFormat="1">
      <c r="B62" s="197" t="s">
        <v>525</v>
      </c>
      <c r="C62" s="217" t="s">
        <v>202</v>
      </c>
      <c r="D62" s="237">
        <v>0</v>
      </c>
      <c r="E62" s="229">
        <f>-(Assumptions!D26+Assumptions!D27)*'Site 3 - Financial'!D19</f>
        <v>-161873.25</v>
      </c>
      <c r="F62" s="364">
        <f>E62*(1+Assumptions!$F$8)</f>
        <v>-166729.44750000001</v>
      </c>
      <c r="G62" s="237">
        <f>-(Assumptions!D30*'Site 3 - Financial'!D19)*(1+Assumptions!$F$8)^G2</f>
        <v>-315173.82806490001</v>
      </c>
      <c r="H62" s="229">
        <f>G62*(1+Assumptions!$F$8)</f>
        <v>-324629.04290684703</v>
      </c>
      <c r="I62" s="229" t="s">
        <v>202</v>
      </c>
      <c r="J62" s="229" t="s">
        <v>202</v>
      </c>
      <c r="K62" s="229" t="s">
        <v>202</v>
      </c>
      <c r="L62" s="229" t="s">
        <v>202</v>
      </c>
      <c r="M62" s="229" t="s">
        <v>202</v>
      </c>
      <c r="N62" s="229" t="s">
        <v>202</v>
      </c>
      <c r="O62" s="230" t="s">
        <v>202</v>
      </c>
      <c r="AP62" s="47"/>
      <c r="AQ62" s="47"/>
      <c r="AR62" s="47"/>
      <c r="AS62" s="47"/>
    </row>
    <row r="63" spans="2:45" s="125" customFormat="1">
      <c r="B63" s="186" t="s">
        <v>316</v>
      </c>
      <c r="C63" s="217" t="s">
        <v>202</v>
      </c>
      <c r="D63" s="237">
        <f t="shared" ref="D63:H63" si="22">-5%*D61</f>
        <v>0</v>
      </c>
      <c r="E63" s="229">
        <f t="shared" si="22"/>
        <v>0</v>
      </c>
      <c r="F63" s="364">
        <f t="shared" si="22"/>
        <v>0</v>
      </c>
      <c r="G63" s="237">
        <f t="shared" si="22"/>
        <v>-162375.441403245</v>
      </c>
      <c r="H63" s="381">
        <f t="shared" si="22"/>
        <v>-167246.70464534237</v>
      </c>
      <c r="I63" s="229" t="s">
        <v>202</v>
      </c>
      <c r="J63" s="229" t="s">
        <v>202</v>
      </c>
      <c r="K63" s="229" t="s">
        <v>202</v>
      </c>
      <c r="L63" s="229" t="s">
        <v>202</v>
      </c>
      <c r="M63" s="229" t="s">
        <v>202</v>
      </c>
      <c r="N63" s="229" t="s">
        <v>202</v>
      </c>
      <c r="O63" s="230" t="s">
        <v>202</v>
      </c>
      <c r="AP63" s="47"/>
      <c r="AQ63" s="47"/>
      <c r="AR63" s="47"/>
      <c r="AS63" s="47"/>
    </row>
    <row r="64" spans="2:45" s="125" customFormat="1">
      <c r="B64" s="225" t="s">
        <v>94</v>
      </c>
      <c r="C64" s="226" t="s">
        <v>202</v>
      </c>
      <c r="D64" s="109">
        <f t="shared" ref="D64:H64" si="23">SUM(D61:D63)</f>
        <v>0</v>
      </c>
      <c r="E64" s="101">
        <f t="shared" si="23"/>
        <v>-161873.25</v>
      </c>
      <c r="F64" s="365">
        <f>SUM(F61:F63)</f>
        <v>-166729.44750000001</v>
      </c>
      <c r="G64" s="109">
        <f t="shared" si="23"/>
        <v>2769959.5585967549</v>
      </c>
      <c r="H64" s="102">
        <f t="shared" si="23"/>
        <v>2853058.3453546581</v>
      </c>
      <c r="I64" s="101" t="s">
        <v>202</v>
      </c>
      <c r="J64" s="101" t="s">
        <v>202</v>
      </c>
      <c r="K64" s="101" t="s">
        <v>202</v>
      </c>
      <c r="L64" s="101" t="s">
        <v>202</v>
      </c>
      <c r="M64" s="101" t="s">
        <v>202</v>
      </c>
      <c r="N64" s="101" t="s">
        <v>202</v>
      </c>
      <c r="O64" s="110" t="s">
        <v>202</v>
      </c>
      <c r="AP64" s="47"/>
      <c r="AQ64" s="47"/>
      <c r="AR64" s="47"/>
      <c r="AS64" s="47"/>
    </row>
    <row r="65" spans="1:45" s="125" customFormat="1" ht="15.75" thickBot="1">
      <c r="B65" s="189" t="s">
        <v>317</v>
      </c>
      <c r="C65" s="218" t="s">
        <v>202</v>
      </c>
      <c r="D65" s="238">
        <v>0</v>
      </c>
      <c r="E65" s="231">
        <v>0</v>
      </c>
      <c r="F65" s="366">
        <v>0</v>
      </c>
      <c r="G65" s="238">
        <f>H64/Assumptions!$I$8*0.98</f>
        <v>55919943.568951294</v>
      </c>
      <c r="H65" s="382">
        <v>0</v>
      </c>
      <c r="I65" s="231" t="s">
        <v>202</v>
      </c>
      <c r="J65" s="231" t="s">
        <v>202</v>
      </c>
      <c r="K65" s="231" t="s">
        <v>202</v>
      </c>
      <c r="L65" s="231" t="s">
        <v>202</v>
      </c>
      <c r="M65" s="231" t="s">
        <v>202</v>
      </c>
      <c r="N65" s="231" t="s">
        <v>202</v>
      </c>
      <c r="O65" s="232" t="s">
        <v>202</v>
      </c>
      <c r="AP65" s="47"/>
      <c r="AQ65" s="47"/>
      <c r="AR65" s="47"/>
      <c r="AS65" s="47"/>
    </row>
    <row r="66" spans="1:45" s="125" customFormat="1" ht="15.75" thickBot="1">
      <c r="B66" s="240" t="s">
        <v>328</v>
      </c>
      <c r="C66" s="336">
        <f>IRR(D66:N66)</f>
        <v>0.20958374902126242</v>
      </c>
      <c r="D66" s="241">
        <f>-D29</f>
        <v>-44747015.195359461</v>
      </c>
      <c r="E66" s="242">
        <f>-E29</f>
        <v>-58233085.933829203</v>
      </c>
      <c r="F66" s="362">
        <f>-F29</f>
        <v>-58267443.942942105</v>
      </c>
      <c r="G66" s="379">
        <f>SUM(G37:G38,G64:G65,G55:G56,G29,G46:G47)</f>
        <v>234870048.91070694</v>
      </c>
      <c r="H66" s="242">
        <v>0</v>
      </c>
      <c r="I66" s="242">
        <v>0</v>
      </c>
      <c r="J66" s="242">
        <v>0</v>
      </c>
      <c r="K66" s="242">
        <v>0</v>
      </c>
      <c r="L66" s="242">
        <v>0</v>
      </c>
      <c r="M66" s="242">
        <v>0</v>
      </c>
      <c r="N66" s="242">
        <v>0</v>
      </c>
      <c r="O66" s="243">
        <v>0</v>
      </c>
      <c r="AP66" s="47"/>
      <c r="AQ66" s="47"/>
      <c r="AR66" s="47"/>
      <c r="AS66" s="47"/>
    </row>
    <row r="67" spans="1:45" s="125" customFormat="1">
      <c r="B67" s="186" t="s">
        <v>651</v>
      </c>
      <c r="C67" s="244">
        <f>Assumptions!I13</f>
        <v>5.2499999999999998E-2</v>
      </c>
      <c r="D67" s="239">
        <f>C67*-'Site 3 - Financial'!E24</f>
        <v>-4667526.2913771309</v>
      </c>
      <c r="E67" s="234">
        <f t="shared" ref="E67" si="24">D67</f>
        <v>-4667526.2913771309</v>
      </c>
      <c r="F67" s="367">
        <f>D67</f>
        <v>-4667526.2913771309</v>
      </c>
      <c r="G67" s="239">
        <f>E67</f>
        <v>-4667526.2913771309</v>
      </c>
      <c r="H67" s="384" t="s">
        <v>202</v>
      </c>
      <c r="I67" s="234" t="s">
        <v>202</v>
      </c>
      <c r="J67" s="234" t="s">
        <v>202</v>
      </c>
      <c r="K67" s="234" t="s">
        <v>202</v>
      </c>
      <c r="L67" s="234" t="s">
        <v>202</v>
      </c>
      <c r="M67" s="234" t="s">
        <v>202</v>
      </c>
      <c r="N67" s="234" t="s">
        <v>202</v>
      </c>
      <c r="O67" s="235" t="s">
        <v>202</v>
      </c>
      <c r="AP67" s="47"/>
      <c r="AQ67" s="47"/>
      <c r="AR67" s="47"/>
      <c r="AS67" s="47"/>
    </row>
    <row r="68" spans="1:45" s="191" customFormat="1" outlineLevel="1">
      <c r="B68" s="337" t="s">
        <v>650</v>
      </c>
      <c r="C68" s="338"/>
      <c r="D68" s="339">
        <f>'Site 3 - Financial'!E24</f>
        <v>88905262.692897737</v>
      </c>
      <c r="E68" s="340">
        <f>D68</f>
        <v>88905262.692897737</v>
      </c>
      <c r="F68" s="368">
        <f>E68</f>
        <v>88905262.692897737</v>
      </c>
      <c r="G68" s="339">
        <f>-'Site 3 - Financial'!E24</f>
        <v>-88905262.692897737</v>
      </c>
      <c r="H68" s="385" t="s">
        <v>202</v>
      </c>
      <c r="I68" s="340" t="s">
        <v>202</v>
      </c>
      <c r="J68" s="340" t="s">
        <v>202</v>
      </c>
      <c r="K68" s="340" t="s">
        <v>202</v>
      </c>
      <c r="L68" s="340" t="s">
        <v>202</v>
      </c>
      <c r="M68" s="340" t="s">
        <v>202</v>
      </c>
      <c r="N68" s="340" t="s">
        <v>202</v>
      </c>
      <c r="O68" s="386" t="s">
        <v>202</v>
      </c>
      <c r="AP68" s="344"/>
      <c r="AQ68" s="344"/>
      <c r="AR68" s="344"/>
      <c r="AS68" s="344"/>
    </row>
    <row r="69" spans="1:45" s="125" customFormat="1" ht="15.75" thickBot="1">
      <c r="B69" s="186" t="s">
        <v>332</v>
      </c>
      <c r="C69" s="219"/>
      <c r="D69" s="239">
        <f>D66*'Site 3 - Financial'!$D$25</f>
        <v>-20136156.837911755</v>
      </c>
      <c r="E69" s="234">
        <f>E66*'Site 3 - Financial'!$D$25</f>
        <v>-26204888.670223139</v>
      </c>
      <c r="F69" s="367">
        <f>F66*'Site 3 - Financial'!$D$25</f>
        <v>-26220349.774323944</v>
      </c>
      <c r="G69" s="239">
        <v>0</v>
      </c>
      <c r="H69" s="384" t="s">
        <v>202</v>
      </c>
      <c r="I69" s="234" t="s">
        <v>202</v>
      </c>
      <c r="J69" s="234" t="s">
        <v>202</v>
      </c>
      <c r="K69" s="234" t="s">
        <v>202</v>
      </c>
      <c r="L69" s="234" t="s">
        <v>202</v>
      </c>
      <c r="M69" s="234" t="s">
        <v>202</v>
      </c>
      <c r="N69" s="234" t="s">
        <v>202</v>
      </c>
      <c r="O69" s="235" t="s">
        <v>202</v>
      </c>
      <c r="AP69" s="47"/>
      <c r="AQ69" s="47"/>
      <c r="AR69" s="47"/>
      <c r="AS69" s="47"/>
    </row>
    <row r="70" spans="1:45" s="137" customFormat="1" ht="15.75" thickBot="1">
      <c r="B70" s="240" t="s">
        <v>329</v>
      </c>
      <c r="C70" s="336">
        <f>IRR(D70:N70)</f>
        <v>0.27637963693877232</v>
      </c>
      <c r="D70" s="241">
        <f>D69+D67</f>
        <v>-24803683.129288886</v>
      </c>
      <c r="E70" s="242">
        <f>E69+E67</f>
        <v>-30872414.96160027</v>
      </c>
      <c r="F70" s="362">
        <f>F69+F67</f>
        <v>-30887876.065701075</v>
      </c>
      <c r="G70" s="241">
        <f>SUM(G66:G69)</f>
        <v>141297259.92643207</v>
      </c>
      <c r="H70" s="379">
        <v>0</v>
      </c>
      <c r="I70" s="242">
        <v>0</v>
      </c>
      <c r="J70" s="242">
        <v>0</v>
      </c>
      <c r="K70" s="242">
        <v>0</v>
      </c>
      <c r="L70" s="242">
        <v>0</v>
      </c>
      <c r="M70" s="242">
        <v>0</v>
      </c>
      <c r="N70" s="242">
        <v>0</v>
      </c>
      <c r="O70" s="243">
        <v>0</v>
      </c>
      <c r="AP70" s="248"/>
      <c r="AQ70" s="248"/>
      <c r="AR70" s="248"/>
      <c r="AS70" s="248"/>
    </row>
    <row r="71" spans="1:45" s="89" customFormat="1">
      <c r="A71" s="125"/>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P71" s="48"/>
      <c r="AQ71" s="48"/>
      <c r="AR71" s="48"/>
      <c r="AS71" s="48"/>
    </row>
    <row r="72" spans="1:45" s="89" customFormat="1">
      <c r="A72" s="125"/>
      <c r="B72" s="48"/>
      <c r="C72" s="171"/>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P72" s="48"/>
      <c r="AQ72" s="48"/>
      <c r="AR72" s="48"/>
      <c r="AS72" s="48"/>
    </row>
    <row r="73" spans="1:45" s="89" customFormat="1">
      <c r="A73" s="125"/>
      <c r="B73" s="48"/>
      <c r="C73" s="171"/>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P73" s="48"/>
      <c r="AQ73" s="48"/>
      <c r="AR73" s="48"/>
      <c r="AS73" s="48"/>
    </row>
    <row r="74" spans="1:45" s="89" customFormat="1">
      <c r="A74" s="125"/>
      <c r="B74" s="136"/>
      <c r="C74" s="176"/>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P74" s="48"/>
      <c r="AQ74" s="48"/>
      <c r="AR74" s="48"/>
      <c r="AS74" s="48"/>
    </row>
    <row r="75" spans="1:45" s="89" customFormat="1">
      <c r="A75" s="125"/>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P75" s="48"/>
      <c r="AQ75" s="48"/>
      <c r="AR75" s="48"/>
      <c r="AS75" s="48"/>
    </row>
  </sheetData>
  <mergeCells count="1">
    <mergeCell ref="B2:B4"/>
  </mergeCells>
  <conditionalFormatting sqref="D4:O4">
    <cfRule type="cellIs" dxfId="27" priority="1" operator="equal">
      <formula>#REF!</formula>
    </cfRule>
    <cfRule type="cellIs" dxfId="26" priority="2" operator="equal">
      <formula>#REF!</formula>
    </cfRule>
    <cfRule type="cellIs" dxfId="25" priority="3" operator="equal">
      <formula>#REF!</formula>
    </cfRule>
    <cfRule type="cellIs" dxfId="24" priority="4"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47B8A-DA8B-2F4E-8D4E-92DF730014B4}">
  <sheetPr>
    <tabColor rgb="FF92D050"/>
    <pageSetUpPr fitToPage="1"/>
  </sheetPr>
  <dimension ref="B1:K83"/>
  <sheetViews>
    <sheetView showGridLines="0" zoomScale="89" zoomScaleNormal="110" zoomScaleSheetLayoutView="90" workbookViewId="0">
      <selection activeCell="J31" sqref="J31"/>
    </sheetView>
  </sheetViews>
  <sheetFormatPr defaultColWidth="8.85546875" defaultRowHeight="23.25" customHeight="1"/>
  <cols>
    <col min="1" max="1" width="2" style="48" customWidth="1"/>
    <col min="2" max="2" width="36.42578125" style="48" bestFit="1" customWidth="1"/>
    <col min="3" max="3" width="32.140625" style="48" bestFit="1" customWidth="1"/>
    <col min="4" max="4" width="22.42578125" style="48" bestFit="1" customWidth="1"/>
    <col min="5" max="5" width="18.42578125" style="48" customWidth="1"/>
    <col min="6" max="6" width="18.140625" style="48" bestFit="1" customWidth="1"/>
    <col min="7" max="7" width="44.85546875" style="48" customWidth="1"/>
    <col min="8" max="11" width="26.140625" style="48" customWidth="1"/>
    <col min="12" max="12" width="13.140625" style="48" bestFit="1" customWidth="1"/>
    <col min="13" max="13" width="24.42578125" style="48" customWidth="1"/>
    <col min="14" max="14" width="32.42578125" style="48" customWidth="1"/>
    <col min="15" max="15" width="20.140625" style="48" customWidth="1"/>
    <col min="16" max="16384" width="8.85546875" style="48"/>
  </cols>
  <sheetData>
    <row r="1" spans="2:10" ht="12" customHeight="1" thickBot="1">
      <c r="B1" s="115"/>
      <c r="C1" s="115"/>
      <c r="D1" s="113"/>
      <c r="E1" s="116"/>
    </row>
    <row r="2" spans="2:10" ht="21" customHeight="1">
      <c r="B2" s="1249" t="str">
        <f>'Development Program'!B8</f>
        <v>County Center</v>
      </c>
      <c r="C2" s="1250"/>
      <c r="D2" s="1250"/>
      <c r="E2" s="1250"/>
      <c r="F2" s="1251"/>
      <c r="G2" s="1268" t="s">
        <v>100</v>
      </c>
      <c r="H2" s="1244" t="s">
        <v>18</v>
      </c>
      <c r="I2" s="1244" t="s">
        <v>96</v>
      </c>
      <c r="J2" s="1246" t="s">
        <v>90</v>
      </c>
    </row>
    <row r="3" spans="2:10" ht="21" customHeight="1" thickBot="1">
      <c r="B3" s="87" t="s">
        <v>396</v>
      </c>
      <c r="C3" s="310" t="s">
        <v>83</v>
      </c>
      <c r="D3" s="311" t="s">
        <v>387</v>
      </c>
      <c r="E3" s="310" t="s">
        <v>388</v>
      </c>
      <c r="F3" s="114" t="s">
        <v>389</v>
      </c>
      <c r="G3" s="1269"/>
      <c r="H3" s="1245"/>
      <c r="I3" s="1245"/>
      <c r="J3" s="1247"/>
    </row>
    <row r="4" spans="2:10" ht="21" customHeight="1">
      <c r="B4" s="146" t="s">
        <v>85</v>
      </c>
      <c r="C4" s="147">
        <v>0</v>
      </c>
      <c r="D4" s="148">
        <f>Assumptions!C7*C4</f>
        <v>0</v>
      </c>
      <c r="E4" s="149">
        <f>Assumptions!D7</f>
        <v>2000</v>
      </c>
      <c r="F4" s="150">
        <f>E4*C4*12</f>
        <v>0</v>
      </c>
      <c r="G4" s="120" t="str">
        <f>Assumptions!F19</f>
        <v>Residential Condominium Hard Costs for Construction</v>
      </c>
      <c r="H4" s="269">
        <f>'Market Research'!H116</f>
        <v>275</v>
      </c>
      <c r="I4" s="270">
        <f>H4*D8</f>
        <v>0</v>
      </c>
      <c r="J4" s="289">
        <f t="shared" ref="J4:J29" si="0">I4/($C$13+$C$8)</f>
        <v>0</v>
      </c>
    </row>
    <row r="5" spans="2:10" ht="21" customHeight="1">
      <c r="B5" s="151" t="s">
        <v>187</v>
      </c>
      <c r="C5" s="152">
        <v>0</v>
      </c>
      <c r="D5" s="153">
        <f>Assumptions!C9*C5</f>
        <v>0</v>
      </c>
      <c r="E5" s="154">
        <f>Assumptions!D9</f>
        <v>2400</v>
      </c>
      <c r="F5" s="155">
        <f>E5*C5*12</f>
        <v>0</v>
      </c>
      <c r="G5" s="477" t="s">
        <v>412</v>
      </c>
      <c r="H5" s="271">
        <f>'Market Research'!H122</f>
        <v>275</v>
      </c>
      <c r="I5" s="270">
        <f>H5*D12*0</f>
        <v>0</v>
      </c>
      <c r="J5" s="290">
        <f t="shared" si="0"/>
        <v>0</v>
      </c>
    </row>
    <row r="6" spans="2:10" ht="21" customHeight="1">
      <c r="B6" s="151" t="s">
        <v>188</v>
      </c>
      <c r="C6" s="152">
        <v>0</v>
      </c>
      <c r="D6" s="153">
        <f>Assumptions!C11*C6</f>
        <v>0</v>
      </c>
      <c r="E6" s="154">
        <f>Assumptions!D11</f>
        <v>3400</v>
      </c>
      <c r="F6" s="155">
        <f>E6*C6*12</f>
        <v>0</v>
      </c>
      <c r="G6" s="477" t="s">
        <v>526</v>
      </c>
      <c r="H6" s="271">
        <f>'Market Research'!H122</f>
        <v>275</v>
      </c>
      <c r="I6" s="270">
        <f>H6*D11*0</f>
        <v>0</v>
      </c>
      <c r="J6" s="290">
        <f t="shared" si="0"/>
        <v>0</v>
      </c>
    </row>
    <row r="7" spans="2:10" ht="21" customHeight="1" thickBot="1">
      <c r="B7" s="156" t="s">
        <v>189</v>
      </c>
      <c r="C7" s="157">
        <v>0</v>
      </c>
      <c r="D7" s="158">
        <f>Assumptions!C13*C7</f>
        <v>0</v>
      </c>
      <c r="E7" s="159">
        <f>Assumptions!D13</f>
        <v>4600</v>
      </c>
      <c r="F7" s="160">
        <f>E7*C7*12</f>
        <v>0</v>
      </c>
      <c r="G7" s="120" t="s">
        <v>522</v>
      </c>
      <c r="H7" s="272" t="s">
        <v>154</v>
      </c>
      <c r="I7" s="270">
        <v>0</v>
      </c>
      <c r="J7" s="290">
        <f t="shared" si="0"/>
        <v>0</v>
      </c>
    </row>
    <row r="8" spans="2:10" ht="21" customHeight="1">
      <c r="B8" s="1218" t="s">
        <v>86</v>
      </c>
      <c r="C8" s="1220">
        <f>SUM(C4:C7)</f>
        <v>0</v>
      </c>
      <c r="D8" s="1273">
        <f>SUM(D4:D7)</f>
        <v>0</v>
      </c>
      <c r="E8" s="1255" t="s">
        <v>154</v>
      </c>
      <c r="F8" s="1206">
        <f>SUM(F4:F7)</f>
        <v>0</v>
      </c>
      <c r="G8" s="120" t="s">
        <v>20</v>
      </c>
      <c r="H8" s="273">
        <v>0.1</v>
      </c>
      <c r="I8" s="270">
        <f>H8*SUM(I4:I7)</f>
        <v>0</v>
      </c>
      <c r="J8" s="290">
        <f t="shared" si="0"/>
        <v>0</v>
      </c>
    </row>
    <row r="9" spans="2:10" ht="21" customHeight="1">
      <c r="B9" s="1252"/>
      <c r="C9" s="1221"/>
      <c r="D9" s="1274"/>
      <c r="E9" s="1256"/>
      <c r="F9" s="1248"/>
      <c r="G9" s="120" t="s">
        <v>528</v>
      </c>
      <c r="H9" s="274" t="s">
        <v>24</v>
      </c>
      <c r="I9" s="270">
        <v>500000</v>
      </c>
      <c r="J9" s="290">
        <f t="shared" si="0"/>
        <v>31250</v>
      </c>
    </row>
    <row r="10" spans="2:10" ht="21" customHeight="1" thickBot="1">
      <c r="B10" s="177" t="s">
        <v>397</v>
      </c>
      <c r="C10" s="310" t="s">
        <v>83</v>
      </c>
      <c r="D10" s="310" t="s">
        <v>387</v>
      </c>
      <c r="E10" s="310" t="s">
        <v>88</v>
      </c>
      <c r="F10" s="114" t="s">
        <v>84</v>
      </c>
      <c r="G10" s="120" t="s">
        <v>308</v>
      </c>
      <c r="H10" s="275">
        <f>'Market Research'!C53</f>
        <v>45000000</v>
      </c>
      <c r="I10" s="270">
        <f>H10*C17</f>
        <v>61239669.4214876</v>
      </c>
      <c r="J10" s="290">
        <f t="shared" si="0"/>
        <v>3827479.338842975</v>
      </c>
    </row>
    <row r="11" spans="2:10" ht="21" customHeight="1">
      <c r="B11" s="161" t="s">
        <v>1</v>
      </c>
      <c r="C11" s="162">
        <v>10</v>
      </c>
      <c r="D11" s="163">
        <v>86819</v>
      </c>
      <c r="E11" s="164">
        <f>Assumptions!F7</f>
        <v>35</v>
      </c>
      <c r="F11" s="165">
        <f>D11*E11</f>
        <v>3038665</v>
      </c>
      <c r="G11" s="477" t="s">
        <v>21</v>
      </c>
      <c r="H11" s="573" t="s">
        <v>542</v>
      </c>
      <c r="I11" s="270">
        <v>200000</v>
      </c>
      <c r="J11" s="289">
        <f t="shared" si="0"/>
        <v>12500</v>
      </c>
    </row>
    <row r="12" spans="2:10" ht="21" customHeight="1" thickBot="1">
      <c r="B12" s="166" t="s">
        <v>0</v>
      </c>
      <c r="C12" s="167">
        <v>6</v>
      </c>
      <c r="D12" s="168">
        <v>65827</v>
      </c>
      <c r="E12" s="169">
        <f>Assumptions!G7</f>
        <v>45</v>
      </c>
      <c r="F12" s="170">
        <f>D12*E12</f>
        <v>2962215</v>
      </c>
      <c r="G12" s="477" t="s">
        <v>42</v>
      </c>
      <c r="H12" s="265" t="s">
        <v>368</v>
      </c>
      <c r="I12" s="270">
        <f>'Development Program'!M22</f>
        <v>0</v>
      </c>
      <c r="J12" s="290">
        <f t="shared" si="0"/>
        <v>0</v>
      </c>
    </row>
    <row r="13" spans="2:10" ht="21" customHeight="1">
      <c r="B13" s="1218" t="s">
        <v>86</v>
      </c>
      <c r="C13" s="1220">
        <f>SUM(C11:C12)</f>
        <v>16</v>
      </c>
      <c r="D13" s="1222">
        <f>SUM(D11:D12)</f>
        <v>152646</v>
      </c>
      <c r="E13" s="1224">
        <f>IF(D13=0,0,F13/D13)</f>
        <v>39.3123960012054</v>
      </c>
      <c r="F13" s="1206">
        <f>SUM(F11:F12)</f>
        <v>6000880</v>
      </c>
      <c r="G13" s="118" t="s">
        <v>23</v>
      </c>
      <c r="H13" s="261" t="s">
        <v>24</v>
      </c>
      <c r="I13" s="262">
        <v>400000</v>
      </c>
      <c r="J13" s="290">
        <f t="shared" si="0"/>
        <v>25000</v>
      </c>
    </row>
    <row r="14" spans="2:10" ht="21" customHeight="1" thickBot="1">
      <c r="B14" s="1219"/>
      <c r="C14" s="1221"/>
      <c r="D14" s="1223"/>
      <c r="E14" s="1225"/>
      <c r="F14" s="1207"/>
      <c r="G14" s="118" t="s">
        <v>361</v>
      </c>
      <c r="H14" s="285">
        <v>0.02</v>
      </c>
      <c r="I14" s="262">
        <f>H14*I10</f>
        <v>1224793.3884297521</v>
      </c>
      <c r="J14" s="290">
        <f t="shared" si="0"/>
        <v>76549.586776859505</v>
      </c>
    </row>
    <row r="15" spans="2:10" ht="21" customHeight="1">
      <c r="B15" s="1059" t="s">
        <v>371</v>
      </c>
      <c r="C15" s="1061"/>
      <c r="D15" s="1215" t="s">
        <v>203</v>
      </c>
      <c r="E15" s="1216"/>
      <c r="F15" s="1217"/>
      <c r="G15" s="118" t="s">
        <v>26</v>
      </c>
      <c r="H15" s="263">
        <v>0.04</v>
      </c>
      <c r="I15" s="262">
        <f>H15*SUM(I4:I7)</f>
        <v>0</v>
      </c>
      <c r="J15" s="290">
        <f t="shared" si="0"/>
        <v>0</v>
      </c>
    </row>
    <row r="16" spans="2:10" ht="21" customHeight="1" thickBot="1">
      <c r="B16" s="134" t="s">
        <v>319</v>
      </c>
      <c r="C16" s="190" t="s">
        <v>375</v>
      </c>
      <c r="D16" s="134" t="s">
        <v>319</v>
      </c>
      <c r="E16" s="135" t="s">
        <v>103</v>
      </c>
      <c r="F16" s="190" t="s">
        <v>90</v>
      </c>
      <c r="G16" s="118" t="s">
        <v>27</v>
      </c>
      <c r="H16" s="264">
        <v>0.03</v>
      </c>
      <c r="I16" s="262">
        <f>H16*SUM(I4:I15)</f>
        <v>1906933.8842975206</v>
      </c>
      <c r="J16" s="290">
        <f t="shared" si="0"/>
        <v>119183.36776859504</v>
      </c>
    </row>
    <row r="17" spans="2:11" ht="21" customHeight="1">
      <c r="B17" s="293" t="s">
        <v>372</v>
      </c>
      <c r="C17" s="294">
        <f>59280/43560</f>
        <v>1.3608815426997245</v>
      </c>
      <c r="D17" s="303">
        <f>Assumptions!I11</f>
        <v>0.55000000000000004</v>
      </c>
      <c r="E17" s="304">
        <f>D17*I$27</f>
        <v>54685980.058272734</v>
      </c>
      <c r="F17" s="305">
        <f>E17/($C$8+$C$13)</f>
        <v>3417873.7536420459</v>
      </c>
      <c r="G17" s="118" t="s">
        <v>28</v>
      </c>
      <c r="H17" s="263">
        <v>0.02</v>
      </c>
      <c r="I17" s="262">
        <f>H17*SUM(I4:I7)</f>
        <v>0</v>
      </c>
      <c r="J17" s="290">
        <f t="shared" si="0"/>
        <v>0</v>
      </c>
    </row>
    <row r="18" spans="2:11" ht="21" customHeight="1">
      <c r="B18" s="295" t="s">
        <v>373</v>
      </c>
      <c r="C18" s="392">
        <f>173278</f>
        <v>173278</v>
      </c>
      <c r="D18" s="306">
        <f>1-D17</f>
        <v>0.44999999999999996</v>
      </c>
      <c r="E18" s="301">
        <f>(D18*I27)-E19</f>
        <v>42683205.603689224</v>
      </c>
      <c r="F18" s="302">
        <f>E18/($C$8+$C$13)</f>
        <v>2667700.3502305765</v>
      </c>
      <c r="G18" s="486" t="s">
        <v>98</v>
      </c>
      <c r="H18" s="746">
        <v>8.8293999999999994E-3</v>
      </c>
      <c r="I18" s="262">
        <f>H18*I10</f>
        <v>540709.5371900826</v>
      </c>
      <c r="J18" s="290">
        <f t="shared" si="0"/>
        <v>33794.346074380162</v>
      </c>
    </row>
    <row r="19" spans="2:11" ht="21" customHeight="1">
      <c r="B19" s="295" t="s">
        <v>374</v>
      </c>
      <c r="C19" s="296">
        <f>D8+D13</f>
        <v>152646</v>
      </c>
      <c r="D19" s="295" t="s">
        <v>382</v>
      </c>
      <c r="E19" s="312">
        <f>I28</f>
        <v>2059868.9894430041</v>
      </c>
      <c r="F19" s="313">
        <f>E19/($C$8+$C$13)</f>
        <v>128741.81184018776</v>
      </c>
      <c r="G19" s="118" t="s">
        <v>29</v>
      </c>
      <c r="H19" s="265">
        <v>6000</v>
      </c>
      <c r="I19" s="262">
        <f>H19*(C8+C13)</f>
        <v>96000</v>
      </c>
      <c r="J19" s="290">
        <f t="shared" si="0"/>
        <v>6000</v>
      </c>
    </row>
    <row r="20" spans="2:11" ht="21" customHeight="1">
      <c r="B20" s="295" t="s">
        <v>376</v>
      </c>
      <c r="C20" s="297">
        <v>0</v>
      </c>
      <c r="D20" s="295" t="s">
        <v>383</v>
      </c>
      <c r="E20" s="307">
        <f>SUM(E17:E19)</f>
        <v>99429054.651404962</v>
      </c>
      <c r="F20" s="308">
        <f>SUM(F17:F19)</f>
        <v>6214315.9157128101</v>
      </c>
      <c r="G20" s="118" t="s">
        <v>30</v>
      </c>
      <c r="H20" s="261" t="s">
        <v>24</v>
      </c>
      <c r="I20" s="262">
        <v>400000</v>
      </c>
      <c r="J20" s="290">
        <f t="shared" si="0"/>
        <v>25000</v>
      </c>
    </row>
    <row r="21" spans="2:11" ht="21" customHeight="1" thickBot="1">
      <c r="B21" s="295" t="s">
        <v>377</v>
      </c>
      <c r="C21" s="297">
        <v>0</v>
      </c>
      <c r="D21" s="299"/>
      <c r="E21" s="309"/>
      <c r="F21" s="300"/>
      <c r="G21" s="118" t="s">
        <v>31</v>
      </c>
      <c r="H21" s="266" t="s">
        <v>363</v>
      </c>
      <c r="I21" s="262">
        <f>-SUM('Site 4 - Draw'!D47:E47,'Site 4 - Draw'!D56:E56)</f>
        <v>419776.5</v>
      </c>
      <c r="J21" s="290">
        <f t="shared" si="0"/>
        <v>26236.03125</v>
      </c>
    </row>
    <row r="22" spans="2:11" ht="21" customHeight="1">
      <c r="B22" s="298" t="s">
        <v>421</v>
      </c>
      <c r="C22" s="297">
        <v>0</v>
      </c>
      <c r="D22" s="1228" t="s">
        <v>104</v>
      </c>
      <c r="E22" s="1230">
        <f>E17+E18</f>
        <v>97369185.661961958</v>
      </c>
      <c r="F22" s="1210">
        <f t="shared" ref="F22:F23" si="1">E22/($C$8+$C$13)</f>
        <v>6085574.1038726224</v>
      </c>
      <c r="G22" s="118" t="s">
        <v>364</v>
      </c>
      <c r="H22" s="267">
        <f>'Market Research'!H125</f>
        <v>150</v>
      </c>
      <c r="I22" s="262">
        <f>H22*D13</f>
        <v>22896900</v>
      </c>
      <c r="J22" s="290">
        <f t="shared" si="0"/>
        <v>1431056.25</v>
      </c>
    </row>
    <row r="23" spans="2:11" ht="21" customHeight="1" thickBot="1">
      <c r="B23" s="413" t="s">
        <v>420</v>
      </c>
      <c r="C23" s="412">
        <f>C18/(C17*43560)</f>
        <v>2.92304318488529</v>
      </c>
      <c r="D23" s="1229"/>
      <c r="E23" s="1231"/>
      <c r="F23" s="1211">
        <f t="shared" si="1"/>
        <v>0</v>
      </c>
      <c r="G23" s="118" t="s">
        <v>365</v>
      </c>
      <c r="H23" s="268">
        <v>0.06</v>
      </c>
      <c r="I23" s="262">
        <f>('Site 4 - Draw'!G41+'Site 4 - Draw'!G50)*5*0.06</f>
        <v>1854271.92</v>
      </c>
      <c r="J23" s="290">
        <f t="shared" si="0"/>
        <v>115891.995</v>
      </c>
    </row>
    <row r="24" spans="2:11" ht="21" customHeight="1" thickBot="1">
      <c r="B24" s="391">
        <v>9</v>
      </c>
      <c r="C24" s="392">
        <f>C18/B24</f>
        <v>19253.111111111109</v>
      </c>
      <c r="D24" s="1208" t="s">
        <v>399</v>
      </c>
      <c r="E24" s="1209"/>
      <c r="F24" s="245" t="s">
        <v>370</v>
      </c>
      <c r="G24" s="486" t="s">
        <v>33</v>
      </c>
      <c r="H24" s="487">
        <v>0.01</v>
      </c>
      <c r="I24" s="262">
        <v>1000000</v>
      </c>
      <c r="J24" s="290">
        <f t="shared" si="0"/>
        <v>62500</v>
      </c>
      <c r="K24" s="251"/>
    </row>
    <row r="25" spans="2:11" ht="21" customHeight="1" thickBot="1">
      <c r="B25" s="299" t="s">
        <v>380</v>
      </c>
      <c r="C25" s="300" t="s">
        <v>381</v>
      </c>
      <c r="D25" s="1238" t="s">
        <v>321</v>
      </c>
      <c r="E25" s="1239"/>
      <c r="F25" s="314">
        <v>0</v>
      </c>
      <c r="G25" s="488" t="s">
        <v>34</v>
      </c>
      <c r="H25" s="489">
        <f>Assumptions!$I$13</f>
        <v>5.2499999999999998E-2</v>
      </c>
      <c r="I25" s="262">
        <f>I24*H25*100</f>
        <v>5250000</v>
      </c>
      <c r="J25" s="290">
        <f t="shared" si="0"/>
        <v>328125</v>
      </c>
      <c r="K25" s="251"/>
    </row>
    <row r="26" spans="2:11" ht="21" customHeight="1" thickBot="1">
      <c r="B26" s="1208" t="s">
        <v>398</v>
      </c>
      <c r="C26" s="1212"/>
      <c r="D26" s="1213" t="s">
        <v>378</v>
      </c>
      <c r="E26" s="1214"/>
      <c r="F26" s="356" t="s">
        <v>154</v>
      </c>
      <c r="G26" s="121" t="s">
        <v>99</v>
      </c>
      <c r="H26" s="259" t="s">
        <v>24</v>
      </c>
      <c r="I26" s="260">
        <v>1500000</v>
      </c>
      <c r="J26" s="291">
        <f t="shared" si="0"/>
        <v>93750</v>
      </c>
    </row>
    <row r="27" spans="2:11" ht="21" customHeight="1">
      <c r="B27" s="286" t="s">
        <v>133</v>
      </c>
      <c r="C27" s="882">
        <f>'Site 4 - Draw'!C58</f>
        <v>0.15441048166736948</v>
      </c>
      <c r="D27" s="1213" t="s">
        <v>379</v>
      </c>
      <c r="E27" s="1214"/>
      <c r="F27" s="315" t="s">
        <v>154</v>
      </c>
      <c r="G27" s="122" t="s">
        <v>100</v>
      </c>
      <c r="H27" s="319" t="s">
        <v>202</v>
      </c>
      <c r="I27" s="320">
        <f>SUM(I4:I26)</f>
        <v>99429054.651404962</v>
      </c>
      <c r="J27" s="321">
        <f t="shared" si="0"/>
        <v>6214315.9157128101</v>
      </c>
      <c r="K27" s="251"/>
    </row>
    <row r="28" spans="2:11" ht="21" customHeight="1">
      <c r="B28" s="287" t="s">
        <v>40</v>
      </c>
      <c r="C28" s="883">
        <f>'Site 4 - Draw'!C62</f>
        <v>0.20265165278735919</v>
      </c>
      <c r="D28" s="1226" t="s">
        <v>322</v>
      </c>
      <c r="E28" s="1227"/>
      <c r="F28" s="316">
        <f>'Site 4 - Draw'!F57+'Site 4 - Draw'!F48</f>
        <v>120909028.60674407</v>
      </c>
      <c r="G28" s="123" t="s">
        <v>382</v>
      </c>
      <c r="H28" s="322" t="s">
        <v>202</v>
      </c>
      <c r="I28" s="323">
        <f>IF(I27-I32&gt;0,I27-I32,0)</f>
        <v>2059868.9894430041</v>
      </c>
      <c r="J28" s="324">
        <f t="shared" si="0"/>
        <v>128741.81184018776</v>
      </c>
    </row>
    <row r="29" spans="2:11" ht="21" customHeight="1">
      <c r="B29" s="287" t="s">
        <v>653</v>
      </c>
      <c r="C29" s="884">
        <f>Assumptions!I6</f>
        <v>0.05</v>
      </c>
      <c r="D29" s="1240" t="s">
        <v>323</v>
      </c>
      <c r="E29" s="1241"/>
      <c r="F29" s="317">
        <f>F25+F28</f>
        <v>120909028.60674407</v>
      </c>
      <c r="G29" s="123" t="s">
        <v>324</v>
      </c>
      <c r="H29" s="322" t="s">
        <v>202</v>
      </c>
      <c r="I29" s="323">
        <f>'Site 4 - Draw'!F47+'Site 4 - Draw'!F48+'Site 4 - Draw'!F56+'Site 4 - Draw'!F57</f>
        <v>126579941.36055055</v>
      </c>
      <c r="J29" s="324">
        <f t="shared" si="0"/>
        <v>7911246.3350344095</v>
      </c>
    </row>
    <row r="30" spans="2:11" ht="21" customHeight="1">
      <c r="B30" s="287" t="s">
        <v>652</v>
      </c>
      <c r="C30" s="884">
        <f>Assumptions!$I$7</f>
        <v>4.7500000000000001E-2</v>
      </c>
      <c r="D30" s="1234" t="s">
        <v>106</v>
      </c>
      <c r="E30" s="1235"/>
      <c r="F30" s="316">
        <f>E17</f>
        <v>54685980.058272734</v>
      </c>
      <c r="G30" s="123" t="s">
        <v>101</v>
      </c>
      <c r="H30" s="322" t="s">
        <v>202</v>
      </c>
      <c r="I30" s="355">
        <f>('Site 4 - Draw'!G47+'Site 4 - Draw'!G56)/I27</f>
        <v>5.87458078214581E-2</v>
      </c>
      <c r="J30" s="325" t="s">
        <v>202</v>
      </c>
    </row>
    <row r="31" spans="2:11" ht="21" customHeight="1">
      <c r="B31" s="287" t="s">
        <v>384</v>
      </c>
      <c r="C31" s="884">
        <f>Assumptions!I9</f>
        <v>4.4999999999999998E-2</v>
      </c>
      <c r="D31" s="1234" t="s">
        <v>107</v>
      </c>
      <c r="E31" s="1235"/>
      <c r="F31" s="316">
        <f>E18</f>
        <v>42683205.603689224</v>
      </c>
      <c r="G31" s="123" t="s">
        <v>102</v>
      </c>
      <c r="H31" s="322" t="s">
        <v>202</v>
      </c>
      <c r="I31" s="507">
        <f>I29/(I27-I28)-1</f>
        <v>0.30000000000000004</v>
      </c>
      <c r="J31" s="326" t="s">
        <v>202</v>
      </c>
    </row>
    <row r="32" spans="2:11" ht="21" customHeight="1" thickBot="1">
      <c r="B32" s="288" t="s">
        <v>385</v>
      </c>
      <c r="C32" s="885">
        <f>Assumptions!I8</f>
        <v>0.05</v>
      </c>
      <c r="D32" s="1236" t="s">
        <v>108</v>
      </c>
      <c r="E32" s="1237"/>
      <c r="F32" s="318">
        <f>F29-F30-F31</f>
        <v>23539842.944782108</v>
      </c>
      <c r="G32" s="886">
        <v>0.3</v>
      </c>
      <c r="H32" s="327" t="s">
        <v>202</v>
      </c>
      <c r="I32" s="887">
        <f>I29/(1+G32)</f>
        <v>97369185.661961958</v>
      </c>
      <c r="J32" s="345">
        <f t="shared" ref="J32" si="2">I32/($C$13+$C$8)</f>
        <v>6085574.1038726224</v>
      </c>
    </row>
    <row r="33" spans="2:10" ht="15.95" customHeight="1">
      <c r="G33" s="247"/>
      <c r="H33" s="178"/>
      <c r="I33" s="178"/>
      <c r="J33" s="178"/>
    </row>
    <row r="34" spans="2:10" ht="15" customHeight="1">
      <c r="D34" s="136"/>
      <c r="E34" s="136"/>
      <c r="F34" s="136"/>
      <c r="G34" s="179"/>
      <c r="H34" s="180"/>
      <c r="I34" s="181"/>
      <c r="J34" s="180"/>
    </row>
    <row r="35" spans="2:10" ht="15" customHeight="1">
      <c r="D35" s="124"/>
      <c r="G35" s="182"/>
      <c r="H35" s="1232"/>
      <c r="I35" s="1232"/>
      <c r="J35" s="180"/>
    </row>
    <row r="36" spans="2:10" ht="15" customHeight="1">
      <c r="D36" s="124"/>
      <c r="G36" s="183"/>
      <c r="H36" s="1233"/>
      <c r="I36" s="1233"/>
      <c r="J36" s="184"/>
    </row>
    <row r="37" spans="2:10" ht="12.75">
      <c r="D37" s="124"/>
    </row>
    <row r="38" spans="2:10" ht="12.75">
      <c r="D38" s="171"/>
    </row>
    <row r="39" spans="2:10" s="136" customFormat="1" ht="12.75">
      <c r="B39" s="48"/>
      <c r="C39" s="48"/>
      <c r="D39" s="171"/>
      <c r="E39" s="48"/>
      <c r="F39" s="48"/>
    </row>
    <row r="40" spans="2:10" ht="12.75">
      <c r="B40" s="136"/>
      <c r="C40" s="136"/>
    </row>
    <row r="41" spans="2:10" ht="12.95" customHeight="1">
      <c r="B41" s="124"/>
      <c r="C41" s="124"/>
    </row>
    <row r="42" spans="2:10" ht="12.75">
      <c r="B42" s="124"/>
      <c r="C42" s="124"/>
    </row>
    <row r="43" spans="2:10" s="136" customFormat="1" ht="12.75">
      <c r="B43" s="119"/>
      <c r="C43" s="119"/>
      <c r="D43" s="48"/>
      <c r="E43" s="48"/>
      <c r="F43" s="48"/>
    </row>
    <row r="44" spans="2:10" s="124" customFormat="1" ht="12.75">
      <c r="D44" s="48"/>
      <c r="E44" s="48"/>
      <c r="F44" s="48"/>
    </row>
    <row r="45" spans="2:10" s="124" customFormat="1" ht="12.75">
      <c r="D45" s="48"/>
      <c r="E45" s="48"/>
      <c r="F45" s="48"/>
    </row>
    <row r="46" spans="2:10" s="119" customFormat="1" ht="12.75">
      <c r="D46" s="48"/>
      <c r="E46" s="48"/>
      <c r="F46" s="48"/>
    </row>
    <row r="47" spans="2:10" s="124" customFormat="1" ht="12.75">
      <c r="D47" s="48"/>
      <c r="E47" s="48"/>
      <c r="F47" s="48"/>
    </row>
    <row r="48" spans="2:10" s="124" customFormat="1" ht="12.75">
      <c r="D48" s="48"/>
      <c r="E48" s="48"/>
      <c r="F48" s="48"/>
    </row>
    <row r="49" spans="2:10" s="119" customFormat="1" ht="12.75">
      <c r="B49" s="124"/>
      <c r="C49" s="124"/>
      <c r="D49" s="48"/>
      <c r="E49" s="48"/>
      <c r="F49" s="48"/>
    </row>
    <row r="50" spans="2:10" s="124" customFormat="1" ht="12.75">
      <c r="B50" s="48"/>
      <c r="C50" s="171"/>
      <c r="D50" s="48"/>
      <c r="E50" s="48"/>
      <c r="F50" s="48"/>
    </row>
    <row r="51" spans="2:10" s="124" customFormat="1" ht="12.75">
      <c r="B51" s="48"/>
      <c r="C51" s="171"/>
      <c r="D51" s="48"/>
      <c r="E51" s="48"/>
      <c r="F51" s="48"/>
    </row>
    <row r="52" spans="2:10" s="124" customFormat="1" ht="12.75">
      <c r="B52" s="48"/>
      <c r="C52" s="48"/>
      <c r="D52" s="48"/>
      <c r="E52" s="48"/>
      <c r="F52" s="48"/>
    </row>
    <row r="53" spans="2:10" ht="12.75">
      <c r="G53" s="171"/>
      <c r="H53" s="171"/>
      <c r="I53" s="171"/>
      <c r="J53" s="171"/>
    </row>
    <row r="54" spans="2:10" ht="12.75">
      <c r="G54" s="171"/>
      <c r="H54" s="171"/>
      <c r="I54" s="171"/>
      <c r="J54" s="171"/>
    </row>
    <row r="55" spans="2:10" ht="12.75"/>
    <row r="56" spans="2:10" ht="15" customHeight="1"/>
    <row r="57" spans="2:10" ht="12.75"/>
    <row r="58" spans="2:10" ht="12.75">
      <c r="G58" s="171"/>
    </row>
    <row r="59" spans="2:10" ht="12.75">
      <c r="G59" s="171"/>
    </row>
    <row r="60" spans="2:10" ht="12.75"/>
    <row r="61" spans="2:10" ht="12.75"/>
    <row r="62" spans="2:10" ht="12.75">
      <c r="G62" s="171"/>
    </row>
    <row r="63" spans="2:10" ht="15" customHeight="1"/>
    <row r="64" spans="2:10" ht="15" customHeight="1"/>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sheetData>
  <mergeCells count="32">
    <mergeCell ref="H2:H3"/>
    <mergeCell ref="I2:I3"/>
    <mergeCell ref="J2:J3"/>
    <mergeCell ref="B8:B9"/>
    <mergeCell ref="C8:C9"/>
    <mergeCell ref="D8:D9"/>
    <mergeCell ref="E8:E9"/>
    <mergeCell ref="F8:F9"/>
    <mergeCell ref="F13:F14"/>
    <mergeCell ref="B15:C15"/>
    <mergeCell ref="D15:F15"/>
    <mergeCell ref="B2:F2"/>
    <mergeCell ref="G2:G3"/>
    <mergeCell ref="B26:C26"/>
    <mergeCell ref="D26:E26"/>
    <mergeCell ref="B13:B14"/>
    <mergeCell ref="C13:C14"/>
    <mergeCell ref="D13:D14"/>
    <mergeCell ref="E13:E14"/>
    <mergeCell ref="D22:D23"/>
    <mergeCell ref="E22:E23"/>
    <mergeCell ref="F22:F23"/>
    <mergeCell ref="D24:E24"/>
    <mergeCell ref="D25:E25"/>
    <mergeCell ref="H35:I35"/>
    <mergeCell ref="H36:I36"/>
    <mergeCell ref="D27:E27"/>
    <mergeCell ref="D28:E28"/>
    <mergeCell ref="D29:E29"/>
    <mergeCell ref="D30:E30"/>
    <mergeCell ref="D31:E31"/>
    <mergeCell ref="D32:E32"/>
  </mergeCells>
  <printOptions horizontalCentered="1" verticalCentered="1"/>
  <pageMargins left="0.7" right="0.7" top="0.75" bottom="0.75" header="0.3" footer="0.3"/>
  <pageSetup scale="91" fitToHeight="0" orientation="landscape" horizontalDpi="4294967292" verticalDpi="4294967292" r:id="rId1"/>
  <headerFooter>
    <oddHeader>&amp;C&amp;"Times New Roman Bold,Bold"&amp;14&amp;K000000INVESTOR SHEET</oddHeader>
    <oddFooter>&amp;CPage &amp;P of &amp;N</oddFooter>
  </headerFooter>
  <ignoredErrors>
    <ignoredError sqref="E13"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69F57-70D0-3248-A70B-2DBA8EDFECD2}">
  <sheetPr>
    <tabColor rgb="FF92D050"/>
  </sheetPr>
  <dimension ref="A1:AS67"/>
  <sheetViews>
    <sheetView zoomScaleNormal="110" zoomScalePageLayoutView="125" workbookViewId="0">
      <selection activeCell="G1" sqref="G1"/>
    </sheetView>
  </sheetViews>
  <sheetFormatPr defaultColWidth="8.85546875" defaultRowHeight="15" outlineLevelRow="1"/>
  <cols>
    <col min="1" max="1" width="4" style="47" customWidth="1"/>
    <col min="2" max="2" width="50.7109375" style="48" customWidth="1"/>
    <col min="3" max="3" width="20.85546875" style="48" customWidth="1"/>
    <col min="4" max="15" width="15.140625" style="48" customWidth="1"/>
    <col min="16" max="38" width="17" style="48" customWidth="1"/>
    <col min="39" max="39" width="16.42578125" style="48" customWidth="1"/>
    <col min="40" max="40" width="15" style="89" customWidth="1"/>
    <col min="41" max="41" width="17.85546875" style="89" bestFit="1" customWidth="1"/>
    <col min="42" max="42" width="9.42578125" style="48" bestFit="1" customWidth="1"/>
    <col min="43" max="43" width="11.85546875" style="48" bestFit="1" customWidth="1"/>
    <col min="44" max="45" width="9.42578125" style="48" bestFit="1" customWidth="1"/>
    <col min="46" max="16384" width="8.85546875" style="48"/>
  </cols>
  <sheetData>
    <row r="1" spans="2:45" s="47" customFormat="1" ht="15.75" thickBot="1">
      <c r="AN1" s="125"/>
      <c r="AO1" s="125"/>
    </row>
    <row r="2" spans="2:45" s="125" customFormat="1" ht="15.75" thickBot="1">
      <c r="B2" s="1257" t="str">
        <f>'Development Program'!B8</f>
        <v>County Center</v>
      </c>
      <c r="C2" s="221" t="s">
        <v>330</v>
      </c>
      <c r="D2" s="117">
        <v>0</v>
      </c>
      <c r="E2" s="358">
        <f t="shared" ref="E2:H2" si="0">D2+1</f>
        <v>1</v>
      </c>
      <c r="F2" s="128">
        <f>E2+1</f>
        <v>2</v>
      </c>
      <c r="G2" s="374">
        <f>F2+1</f>
        <v>3</v>
      </c>
      <c r="H2" s="129">
        <f t="shared" si="0"/>
        <v>4</v>
      </c>
      <c r="I2" s="129">
        <f t="shared" ref="I2:J2" si="1">G2+1</f>
        <v>4</v>
      </c>
      <c r="J2" s="129">
        <f t="shared" si="1"/>
        <v>5</v>
      </c>
      <c r="K2" s="129">
        <f t="shared" ref="K2" si="2">J2+1</f>
        <v>6</v>
      </c>
      <c r="L2" s="129">
        <f t="shared" ref="L2" si="3">K2+1</f>
        <v>7</v>
      </c>
      <c r="M2" s="129">
        <f t="shared" ref="M2" si="4">L2+1</f>
        <v>8</v>
      </c>
      <c r="N2" s="129">
        <f t="shared" ref="N2" si="5">M2+1</f>
        <v>9</v>
      </c>
      <c r="O2" s="246">
        <f t="shared" ref="O2" si="6">N2+1</f>
        <v>10</v>
      </c>
      <c r="P2" s="47"/>
      <c r="Q2" s="47"/>
      <c r="R2" s="47"/>
      <c r="S2" s="47"/>
      <c r="T2" s="47"/>
      <c r="U2" s="47"/>
      <c r="V2" s="47"/>
      <c r="W2" s="47"/>
      <c r="X2" s="47"/>
      <c r="Y2" s="47"/>
      <c r="Z2" s="47"/>
      <c r="AA2" s="47"/>
      <c r="AB2" s="47"/>
      <c r="AC2" s="47"/>
      <c r="AD2" s="47"/>
      <c r="AE2" s="47"/>
      <c r="AF2" s="47"/>
      <c r="AG2" s="47"/>
      <c r="AH2" s="47"/>
      <c r="AI2" s="47"/>
      <c r="AJ2" s="47"/>
      <c r="AK2" s="47"/>
      <c r="AL2" s="47"/>
      <c r="AM2" s="47"/>
      <c r="AP2" s="47"/>
      <c r="AQ2" s="47"/>
      <c r="AR2" s="47"/>
      <c r="AS2" s="47"/>
    </row>
    <row r="3" spans="2:45" s="125" customFormat="1" ht="41.45" customHeight="1" thickBot="1">
      <c r="B3" s="1203"/>
      <c r="C3" s="222" t="s">
        <v>103</v>
      </c>
      <c r="D3" s="276">
        <v>45413</v>
      </c>
      <c r="E3" s="359">
        <f>EDATE(D3,12)</f>
        <v>45778</v>
      </c>
      <c r="F3" s="210">
        <f>EDATE(E3,12)</f>
        <v>46143</v>
      </c>
      <c r="G3" s="375">
        <f>EDATE(F3,12)</f>
        <v>46508</v>
      </c>
      <c r="H3" s="211">
        <f t="shared" ref="H3" si="7">EDATE(G3,12)</f>
        <v>46874</v>
      </c>
      <c r="I3" s="211">
        <f t="shared" ref="I3:J3" si="8">EDATE(G3,12)</f>
        <v>46874</v>
      </c>
      <c r="J3" s="211">
        <f t="shared" si="8"/>
        <v>47239</v>
      </c>
      <c r="K3" s="211">
        <f t="shared" ref="K3" si="9">EDATE(J3,12)</f>
        <v>47604</v>
      </c>
      <c r="L3" s="211">
        <f t="shared" ref="L3" si="10">EDATE(K3,12)</f>
        <v>47969</v>
      </c>
      <c r="M3" s="211">
        <f t="shared" ref="M3" si="11">EDATE(L3,12)</f>
        <v>48335</v>
      </c>
      <c r="N3" s="211">
        <f t="shared" ref="N3" si="12">EDATE(M3,12)</f>
        <v>48700</v>
      </c>
      <c r="O3" s="212">
        <f t="shared" ref="O3" si="13">EDATE(N3,12)</f>
        <v>49065</v>
      </c>
      <c r="P3" s="47"/>
      <c r="Q3" s="47"/>
      <c r="R3" s="47"/>
      <c r="S3" s="47"/>
      <c r="T3" s="47"/>
      <c r="U3" s="47"/>
      <c r="V3" s="47"/>
      <c r="W3" s="47"/>
      <c r="X3" s="47"/>
      <c r="Y3" s="47"/>
      <c r="Z3" s="47"/>
      <c r="AA3" s="47"/>
      <c r="AB3" s="47"/>
      <c r="AC3" s="47"/>
      <c r="AD3" s="47"/>
      <c r="AE3" s="47"/>
      <c r="AF3" s="47"/>
      <c r="AG3" s="47"/>
      <c r="AH3" s="47"/>
      <c r="AI3" s="47"/>
      <c r="AJ3" s="47"/>
      <c r="AK3" s="47"/>
      <c r="AL3" s="47"/>
      <c r="AM3" s="47"/>
      <c r="AP3" s="47"/>
      <c r="AQ3" s="47"/>
      <c r="AR3" s="47"/>
      <c r="AS3" s="47"/>
    </row>
    <row r="4" spans="2:45" s="125" customFormat="1" ht="63.95" hidden="1" customHeight="1" thickBot="1">
      <c r="B4" s="1258"/>
      <c r="C4" s="223" t="s">
        <v>45</v>
      </c>
      <c r="D4" s="200" t="e">
        <f>EOMONTH(#REF!,3)</f>
        <v>#REF!</v>
      </c>
      <c r="E4" s="360" t="e">
        <f t="shared" ref="E4:H4" si="14">EOMONTH(D4,3)</f>
        <v>#REF!</v>
      </c>
      <c r="F4" s="108" t="e">
        <f>EOMONTH(#REF!,3)</f>
        <v>#REF!</v>
      </c>
      <c r="G4" s="90" t="e">
        <f t="shared" si="14"/>
        <v>#REF!</v>
      </c>
      <c r="H4" s="91" t="e">
        <f t="shared" si="14"/>
        <v>#REF!</v>
      </c>
      <c r="I4" s="91" t="e">
        <f>EOMONTH(#REF!,3)</f>
        <v>#REF!</v>
      </c>
      <c r="J4" s="91" t="e">
        <f>EOMONTH(#REF!,3)</f>
        <v>#REF!</v>
      </c>
      <c r="K4" s="91" t="e">
        <f t="shared" ref="K4" si="15">EOMONTH(J4,3)</f>
        <v>#REF!</v>
      </c>
      <c r="L4" s="91" t="e">
        <f>EOMONTH(J4,3)</f>
        <v>#REF!</v>
      </c>
      <c r="M4" s="91" t="e">
        <f>EOMONTH(K4,3)</f>
        <v>#REF!</v>
      </c>
      <c r="N4" s="91" t="e">
        <f t="shared" ref="N4" si="16">EOMONTH(M4,3)</f>
        <v>#REF!</v>
      </c>
      <c r="O4" s="98" t="e">
        <f>EOMONTH(#REF!,3)</f>
        <v>#REF!</v>
      </c>
      <c r="AP4" s="47"/>
      <c r="AQ4" s="47"/>
      <c r="AR4" s="47"/>
      <c r="AS4" s="47"/>
    </row>
    <row r="5" spans="2:45" s="125" customFormat="1" ht="15.75" thickBot="1">
      <c r="B5" s="92" t="s">
        <v>110</v>
      </c>
      <c r="C5" s="224">
        <v>1</v>
      </c>
      <c r="D5" s="485">
        <f>D30/$C$30</f>
        <v>0.81675738531195285</v>
      </c>
      <c r="E5" s="860">
        <f t="shared" ref="E5" si="17">E30/$C$30</f>
        <v>0.18324261468804695</v>
      </c>
      <c r="F5" s="862" t="s">
        <v>202</v>
      </c>
      <c r="G5" s="376" t="s">
        <v>202</v>
      </c>
      <c r="H5" s="95" t="s">
        <v>202</v>
      </c>
      <c r="I5" s="95" t="s">
        <v>202</v>
      </c>
      <c r="J5" s="95" t="s">
        <v>202</v>
      </c>
      <c r="K5" s="95" t="s">
        <v>202</v>
      </c>
      <c r="L5" s="95" t="s">
        <v>202</v>
      </c>
      <c r="M5" s="95" t="s">
        <v>202</v>
      </c>
      <c r="N5" s="95" t="s">
        <v>202</v>
      </c>
      <c r="O5" s="112" t="s">
        <v>202</v>
      </c>
      <c r="AP5" s="47"/>
      <c r="AQ5" s="47"/>
      <c r="AR5" s="47"/>
      <c r="AS5" s="47"/>
    </row>
    <row r="6" spans="2:45" s="125" customFormat="1">
      <c r="B6" s="258" t="str">
        <f>'Site 4 - Financial'!G4</f>
        <v>Residential Condominium Hard Costs for Construction</v>
      </c>
      <c r="C6" s="220">
        <f>'Site 4 - Financial'!I4</f>
        <v>0</v>
      </c>
      <c r="D6" s="483">
        <v>0</v>
      </c>
      <c r="E6" s="521">
        <f>1/2*$C6</f>
        <v>0</v>
      </c>
      <c r="F6" s="252" t="s">
        <v>202</v>
      </c>
      <c r="G6" s="377" t="s">
        <v>202</v>
      </c>
      <c r="H6" s="253" t="s">
        <v>202</v>
      </c>
      <c r="I6" s="253" t="s">
        <v>202</v>
      </c>
      <c r="J6" s="253" t="s">
        <v>202</v>
      </c>
      <c r="K6" s="253" t="s">
        <v>202</v>
      </c>
      <c r="L6" s="253" t="s">
        <v>202</v>
      </c>
      <c r="M6" s="253" t="s">
        <v>202</v>
      </c>
      <c r="N6" s="253" t="s">
        <v>202</v>
      </c>
      <c r="O6" s="254" t="s">
        <v>202</v>
      </c>
      <c r="P6" s="126"/>
      <c r="AP6" s="47"/>
      <c r="AQ6" s="47"/>
      <c r="AR6" s="47"/>
      <c r="AS6" s="47"/>
    </row>
    <row r="7" spans="2:45" s="125" customFormat="1">
      <c r="B7" s="258" t="str">
        <f>'Site 4 - Financial'!G5</f>
        <v>Office Shell &amp; Core Hard Costs for Construction (0%)</v>
      </c>
      <c r="C7" s="220">
        <f>'Site 4 - Financial'!I5</f>
        <v>0</v>
      </c>
      <c r="D7" s="203">
        <v>0</v>
      </c>
      <c r="E7" s="361">
        <f t="shared" ref="E7:E10" si="18">1/2*$C7</f>
        <v>0</v>
      </c>
      <c r="F7" s="252" t="s">
        <v>202</v>
      </c>
      <c r="G7" s="377" t="s">
        <v>202</v>
      </c>
      <c r="H7" s="253" t="s">
        <v>202</v>
      </c>
      <c r="I7" s="253" t="s">
        <v>202</v>
      </c>
      <c r="J7" s="253" t="s">
        <v>202</v>
      </c>
      <c r="K7" s="253" t="s">
        <v>202</v>
      </c>
      <c r="L7" s="253" t="s">
        <v>202</v>
      </c>
      <c r="M7" s="253" t="s">
        <v>202</v>
      </c>
      <c r="N7" s="253" t="s">
        <v>202</v>
      </c>
      <c r="O7" s="254" t="s">
        <v>202</v>
      </c>
      <c r="P7" s="126"/>
      <c r="AP7" s="47"/>
      <c r="AQ7" s="47"/>
      <c r="AR7" s="47"/>
      <c r="AS7" s="47"/>
    </row>
    <row r="8" spans="2:45" s="125" customFormat="1">
      <c r="B8" s="258" t="str">
        <f>'Site 4 - Financial'!G6</f>
        <v>Retail Hard Costs for Construction (0%)</v>
      </c>
      <c r="C8" s="220">
        <f>'Site 4 - Financial'!I6</f>
        <v>0</v>
      </c>
      <c r="D8" s="203">
        <v>0</v>
      </c>
      <c r="E8" s="361">
        <f t="shared" si="18"/>
        <v>0</v>
      </c>
      <c r="F8" s="252" t="s">
        <v>202</v>
      </c>
      <c r="G8" s="377" t="s">
        <v>202</v>
      </c>
      <c r="H8" s="253" t="s">
        <v>202</v>
      </c>
      <c r="I8" s="253" t="s">
        <v>202</v>
      </c>
      <c r="J8" s="253" t="s">
        <v>202</v>
      </c>
      <c r="K8" s="253" t="s">
        <v>202</v>
      </c>
      <c r="L8" s="253" t="s">
        <v>202</v>
      </c>
      <c r="M8" s="253" t="s">
        <v>202</v>
      </c>
      <c r="N8" s="253" t="s">
        <v>202</v>
      </c>
      <c r="O8" s="254" t="s">
        <v>202</v>
      </c>
      <c r="P8" s="126"/>
      <c r="AP8" s="47"/>
      <c r="AQ8" s="47"/>
      <c r="AR8" s="47"/>
      <c r="AS8" s="47"/>
    </row>
    <row r="9" spans="2:45" s="125" customFormat="1">
      <c r="B9" s="258" t="str">
        <f>'Site 4 - Financial'!G7</f>
        <v>Parking Stalls</v>
      </c>
      <c r="C9" s="220">
        <f>'Site 4 - Financial'!I7</f>
        <v>0</v>
      </c>
      <c r="D9" s="203">
        <v>0</v>
      </c>
      <c r="E9" s="361">
        <f t="shared" si="18"/>
        <v>0</v>
      </c>
      <c r="F9" s="252" t="s">
        <v>202</v>
      </c>
      <c r="G9" s="377" t="s">
        <v>202</v>
      </c>
      <c r="H9" s="253" t="s">
        <v>202</v>
      </c>
      <c r="I9" s="253" t="s">
        <v>202</v>
      </c>
      <c r="J9" s="253" t="s">
        <v>202</v>
      </c>
      <c r="K9" s="253" t="s">
        <v>202</v>
      </c>
      <c r="L9" s="253" t="s">
        <v>202</v>
      </c>
      <c r="M9" s="253" t="s">
        <v>202</v>
      </c>
      <c r="N9" s="253" t="s">
        <v>202</v>
      </c>
      <c r="O9" s="254" t="s">
        <v>202</v>
      </c>
      <c r="P9" s="126"/>
      <c r="AP9" s="47"/>
      <c r="AQ9" s="47"/>
      <c r="AR9" s="47"/>
      <c r="AS9" s="47"/>
    </row>
    <row r="10" spans="2:45" s="125" customFormat="1">
      <c r="B10" s="258" t="str">
        <f>'Site 4 - Financial'!G8</f>
        <v>Hard Cost Contingency</v>
      </c>
      <c r="C10" s="220">
        <f>'Site 4 - Financial'!I8</f>
        <v>0</v>
      </c>
      <c r="D10" s="203">
        <v>0</v>
      </c>
      <c r="E10" s="361">
        <f t="shared" si="18"/>
        <v>0</v>
      </c>
      <c r="F10" s="255" t="s">
        <v>202</v>
      </c>
      <c r="G10" s="378" t="s">
        <v>202</v>
      </c>
      <c r="H10" s="256" t="s">
        <v>202</v>
      </c>
      <c r="I10" s="256" t="s">
        <v>202</v>
      </c>
      <c r="J10" s="256" t="s">
        <v>202</v>
      </c>
      <c r="K10" s="256" t="s">
        <v>202</v>
      </c>
      <c r="L10" s="256" t="s">
        <v>202</v>
      </c>
      <c r="M10" s="256" t="s">
        <v>202</v>
      </c>
      <c r="N10" s="256" t="s">
        <v>202</v>
      </c>
      <c r="O10" s="257" t="s">
        <v>202</v>
      </c>
      <c r="P10" s="126"/>
      <c r="AP10" s="47"/>
      <c r="AQ10" s="47"/>
      <c r="AR10" s="47"/>
      <c r="AS10" s="47"/>
    </row>
    <row r="11" spans="2:45" s="125" customFormat="1">
      <c r="B11" s="258" t="str">
        <f>'Site 4 - Financial'!G9</f>
        <v>Demolition (Included for Building Transformation)</v>
      </c>
      <c r="C11" s="220">
        <f>'Site 4 - Financial'!I9</f>
        <v>500000</v>
      </c>
      <c r="D11" s="203">
        <f>C11</f>
        <v>500000</v>
      </c>
      <c r="E11" s="361">
        <v>0</v>
      </c>
      <c r="F11" s="255" t="s">
        <v>202</v>
      </c>
      <c r="G11" s="378" t="s">
        <v>202</v>
      </c>
      <c r="H11" s="256" t="s">
        <v>202</v>
      </c>
      <c r="I11" s="256" t="s">
        <v>202</v>
      </c>
      <c r="J11" s="256" t="s">
        <v>202</v>
      </c>
      <c r="K11" s="256" t="s">
        <v>202</v>
      </c>
      <c r="L11" s="256" t="s">
        <v>202</v>
      </c>
      <c r="M11" s="256" t="s">
        <v>202</v>
      </c>
      <c r="N11" s="256" t="s">
        <v>202</v>
      </c>
      <c r="O11" s="257" t="s">
        <v>202</v>
      </c>
      <c r="P11" s="126"/>
      <c r="AP11" s="47"/>
      <c r="AQ11" s="47"/>
      <c r="AR11" s="47"/>
      <c r="AS11" s="47"/>
    </row>
    <row r="12" spans="2:45" s="125" customFormat="1" ht="18.95" customHeight="1">
      <c r="B12" s="258" t="str">
        <f>'Site 4 - Financial'!G10</f>
        <v>Land</v>
      </c>
      <c r="C12" s="220">
        <f>'Site 4 - Financial'!I10</f>
        <v>61239669.4214876</v>
      </c>
      <c r="D12" s="203">
        <f>C12</f>
        <v>61239669.4214876</v>
      </c>
      <c r="E12" s="361">
        <v>0</v>
      </c>
      <c r="F12" s="255" t="s">
        <v>202</v>
      </c>
      <c r="G12" s="378" t="s">
        <v>202</v>
      </c>
      <c r="H12" s="256" t="s">
        <v>202</v>
      </c>
      <c r="I12" s="256" t="s">
        <v>202</v>
      </c>
      <c r="J12" s="256" t="s">
        <v>202</v>
      </c>
      <c r="K12" s="256" t="s">
        <v>202</v>
      </c>
      <c r="L12" s="256" t="s">
        <v>202</v>
      </c>
      <c r="M12" s="256" t="s">
        <v>202</v>
      </c>
      <c r="N12" s="253" t="s">
        <v>202</v>
      </c>
      <c r="O12" s="257" t="s">
        <v>202</v>
      </c>
      <c r="P12" s="126"/>
      <c r="AP12" s="47"/>
      <c r="AQ12" s="47"/>
      <c r="AR12" s="47"/>
      <c r="AS12" s="47"/>
    </row>
    <row r="13" spans="2:45" s="125" customFormat="1">
      <c r="B13" s="258" t="str">
        <f>'Site 4 - Financial'!G11</f>
        <v>Municipal Fees and Allowances</v>
      </c>
      <c r="C13" s="220">
        <f>'Site 4 - Financial'!I11</f>
        <v>200000</v>
      </c>
      <c r="D13" s="203">
        <f>C13</f>
        <v>200000</v>
      </c>
      <c r="E13" s="361">
        <v>0</v>
      </c>
      <c r="F13" s="255" t="s">
        <v>202</v>
      </c>
      <c r="G13" s="378" t="s">
        <v>202</v>
      </c>
      <c r="H13" s="256" t="s">
        <v>202</v>
      </c>
      <c r="I13" s="256" t="s">
        <v>202</v>
      </c>
      <c r="J13" s="256" t="s">
        <v>202</v>
      </c>
      <c r="K13" s="256" t="s">
        <v>202</v>
      </c>
      <c r="L13" s="256" t="s">
        <v>202</v>
      </c>
      <c r="M13" s="256" t="s">
        <v>202</v>
      </c>
      <c r="N13" s="256" t="s">
        <v>202</v>
      </c>
      <c r="O13" s="257" t="s">
        <v>202</v>
      </c>
      <c r="P13" s="126"/>
      <c r="AP13" s="47"/>
      <c r="AQ13" s="47"/>
      <c r="AR13" s="47"/>
      <c r="AS13" s="47"/>
    </row>
    <row r="14" spans="2:45" s="125" customFormat="1">
      <c r="B14" s="258" t="str">
        <f>'Site 4 - Financial'!G12</f>
        <v>Infrastructure Allocation</v>
      </c>
      <c r="C14" s="220">
        <f>'Site 4 - Financial'!I12</f>
        <v>0</v>
      </c>
      <c r="D14" s="203">
        <f>$C14/2</f>
        <v>0</v>
      </c>
      <c r="E14" s="361">
        <f>$C$14/2</f>
        <v>0</v>
      </c>
      <c r="F14" s="252" t="s">
        <v>202</v>
      </c>
      <c r="G14" s="377" t="s">
        <v>202</v>
      </c>
      <c r="H14" s="253" t="s">
        <v>202</v>
      </c>
      <c r="I14" s="253" t="s">
        <v>202</v>
      </c>
      <c r="J14" s="253" t="s">
        <v>202</v>
      </c>
      <c r="K14" s="253" t="s">
        <v>202</v>
      </c>
      <c r="L14" s="253" t="s">
        <v>202</v>
      </c>
      <c r="M14" s="253" t="s">
        <v>202</v>
      </c>
      <c r="N14" s="253" t="s">
        <v>202</v>
      </c>
      <c r="O14" s="254" t="s">
        <v>202</v>
      </c>
      <c r="P14" s="126"/>
      <c r="AP14" s="47"/>
      <c r="AQ14" s="47"/>
      <c r="AR14" s="47"/>
      <c r="AS14" s="47"/>
    </row>
    <row r="15" spans="2:45" s="125" customFormat="1">
      <c r="B15" s="258" t="str">
        <f>'Site 4 - Financial'!G13</f>
        <v>Legal</v>
      </c>
      <c r="C15" s="220">
        <f>'Site 4 - Financial'!I13</f>
        <v>400000</v>
      </c>
      <c r="D15" s="203">
        <f>1/2*C15</f>
        <v>200000</v>
      </c>
      <c r="E15" s="361">
        <f>D15</f>
        <v>200000</v>
      </c>
      <c r="F15" s="252" t="s">
        <v>202</v>
      </c>
      <c r="G15" s="377" t="s">
        <v>202</v>
      </c>
      <c r="H15" s="253" t="s">
        <v>202</v>
      </c>
      <c r="I15" s="253" t="s">
        <v>202</v>
      </c>
      <c r="J15" s="253" t="s">
        <v>202</v>
      </c>
      <c r="K15" s="253" t="s">
        <v>202</v>
      </c>
      <c r="L15" s="253" t="s">
        <v>202</v>
      </c>
      <c r="M15" s="253" t="s">
        <v>202</v>
      </c>
      <c r="N15" s="253" t="s">
        <v>202</v>
      </c>
      <c r="O15" s="254" t="s">
        <v>202</v>
      </c>
      <c r="P15" s="126"/>
      <c r="AP15" s="47"/>
      <c r="AQ15" s="47"/>
      <c r="AR15" s="47"/>
      <c r="AS15" s="47"/>
    </row>
    <row r="16" spans="2:45" s="125" customFormat="1">
      <c r="B16" s="258" t="str">
        <f>'Site 4 - Financial'!G14</f>
        <v>Land Closing Costs/Commissions</v>
      </c>
      <c r="C16" s="220">
        <f>'Site 4 - Financial'!I14</f>
        <v>1224793.3884297521</v>
      </c>
      <c r="D16" s="203">
        <f>C16</f>
        <v>1224793.3884297521</v>
      </c>
      <c r="E16" s="361">
        <v>0</v>
      </c>
      <c r="F16" s="255" t="s">
        <v>202</v>
      </c>
      <c r="G16" s="378" t="s">
        <v>202</v>
      </c>
      <c r="H16" s="256" t="s">
        <v>202</v>
      </c>
      <c r="I16" s="256" t="s">
        <v>202</v>
      </c>
      <c r="J16" s="256" t="s">
        <v>202</v>
      </c>
      <c r="K16" s="256" t="s">
        <v>202</v>
      </c>
      <c r="L16" s="256" t="s">
        <v>202</v>
      </c>
      <c r="M16" s="256" t="s">
        <v>202</v>
      </c>
      <c r="N16" s="256" t="s">
        <v>202</v>
      </c>
      <c r="O16" s="257" t="s">
        <v>202</v>
      </c>
      <c r="P16" s="126"/>
      <c r="AP16" s="47"/>
      <c r="AQ16" s="47"/>
      <c r="AR16" s="47"/>
      <c r="AS16" s="47"/>
    </row>
    <row r="17" spans="2:45" s="125" customFormat="1">
      <c r="B17" s="258" t="str">
        <f>'Site 4 - Financial'!G15</f>
        <v xml:space="preserve">Design </v>
      </c>
      <c r="C17" s="220">
        <f>'Site 4 - Financial'!I15</f>
        <v>0</v>
      </c>
      <c r="D17" s="203">
        <f>0.75*C17</f>
        <v>0</v>
      </c>
      <c r="E17" s="361">
        <f>0.125*C17</f>
        <v>0</v>
      </c>
      <c r="F17" s="255" t="s">
        <v>202</v>
      </c>
      <c r="G17" s="378" t="s">
        <v>202</v>
      </c>
      <c r="H17" s="256" t="s">
        <v>202</v>
      </c>
      <c r="I17" s="256" t="s">
        <v>202</v>
      </c>
      <c r="J17" s="256" t="s">
        <v>202</v>
      </c>
      <c r="K17" s="256" t="s">
        <v>202</v>
      </c>
      <c r="L17" s="256" t="s">
        <v>202</v>
      </c>
      <c r="M17" s="256" t="s">
        <v>202</v>
      </c>
      <c r="N17" s="256" t="s">
        <v>202</v>
      </c>
      <c r="O17" s="257" t="s">
        <v>202</v>
      </c>
      <c r="P17" s="126"/>
      <c r="AP17" s="47"/>
      <c r="AQ17" s="47"/>
      <c r="AR17" s="47"/>
      <c r="AS17" s="47"/>
    </row>
    <row r="18" spans="2:45" s="125" customFormat="1" ht="18.95" customHeight="1">
      <c r="B18" s="258" t="str">
        <f>'Site 4 - Financial'!G16</f>
        <v>Developer Fee</v>
      </c>
      <c r="C18" s="220">
        <f>'Site 4 - Financial'!I16</f>
        <v>1906933.8842975206</v>
      </c>
      <c r="D18" s="203">
        <f>$C18/2</f>
        <v>953466.94214876031</v>
      </c>
      <c r="E18" s="361">
        <f>$C18/2</f>
        <v>953466.94214876031</v>
      </c>
      <c r="F18" s="255" t="s">
        <v>202</v>
      </c>
      <c r="G18" s="378" t="s">
        <v>202</v>
      </c>
      <c r="H18" s="256" t="s">
        <v>202</v>
      </c>
      <c r="I18" s="256" t="s">
        <v>202</v>
      </c>
      <c r="J18" s="256" t="s">
        <v>202</v>
      </c>
      <c r="K18" s="256" t="s">
        <v>202</v>
      </c>
      <c r="L18" s="256" t="s">
        <v>202</v>
      </c>
      <c r="M18" s="256" t="s">
        <v>202</v>
      </c>
      <c r="N18" s="253" t="s">
        <v>202</v>
      </c>
      <c r="O18" s="257" t="s">
        <v>202</v>
      </c>
      <c r="P18" s="126"/>
      <c r="AP18" s="47"/>
      <c r="AQ18" s="47"/>
      <c r="AR18" s="47"/>
      <c r="AS18" s="47"/>
    </row>
    <row r="19" spans="2:45" s="125" customFormat="1">
      <c r="B19" s="258" t="str">
        <f>'Site 4 - Financial'!G17</f>
        <v>Construction Management Fee</v>
      </c>
      <c r="C19" s="220">
        <f>'Site 4 - Financial'!I17</f>
        <v>0</v>
      </c>
      <c r="D19" s="203">
        <f t="shared" ref="D19:E19" si="19">$C19/3</f>
        <v>0</v>
      </c>
      <c r="E19" s="361">
        <f t="shared" si="19"/>
        <v>0</v>
      </c>
      <c r="F19" s="255" t="s">
        <v>202</v>
      </c>
      <c r="G19" s="378" t="s">
        <v>202</v>
      </c>
      <c r="H19" s="256" t="s">
        <v>202</v>
      </c>
      <c r="I19" s="256" t="s">
        <v>202</v>
      </c>
      <c r="J19" s="256" t="s">
        <v>202</v>
      </c>
      <c r="K19" s="256" t="s">
        <v>202</v>
      </c>
      <c r="L19" s="256" t="s">
        <v>202</v>
      </c>
      <c r="M19" s="256" t="s">
        <v>202</v>
      </c>
      <c r="N19" s="256" t="s">
        <v>202</v>
      </c>
      <c r="O19" s="257" t="s">
        <v>202</v>
      </c>
      <c r="P19" s="126"/>
      <c r="AP19" s="47"/>
      <c r="AQ19" s="47"/>
      <c r="AR19" s="47"/>
      <c r="AS19" s="47"/>
    </row>
    <row r="20" spans="2:45" s="125" customFormat="1">
      <c r="B20" s="258" t="str">
        <f>'Site 4 - Financial'!G18</f>
        <v>Taxes</v>
      </c>
      <c r="C20" s="220">
        <f>'Site 4 - Financial'!I18</f>
        <v>540709.5371900826</v>
      </c>
      <c r="D20" s="203">
        <f>C20/2</f>
        <v>270354.7685950413</v>
      </c>
      <c r="E20" s="361">
        <f>D20</f>
        <v>270354.7685950413</v>
      </c>
      <c r="F20" s="252" t="s">
        <v>202</v>
      </c>
      <c r="G20" s="377" t="s">
        <v>202</v>
      </c>
      <c r="H20" s="253" t="s">
        <v>202</v>
      </c>
      <c r="I20" s="253" t="s">
        <v>202</v>
      </c>
      <c r="J20" s="253" t="s">
        <v>202</v>
      </c>
      <c r="K20" s="253" t="s">
        <v>202</v>
      </c>
      <c r="L20" s="253" t="s">
        <v>202</v>
      </c>
      <c r="M20" s="253" t="s">
        <v>202</v>
      </c>
      <c r="N20" s="253" t="s">
        <v>202</v>
      </c>
      <c r="O20" s="254" t="s">
        <v>202</v>
      </c>
      <c r="P20" s="126"/>
      <c r="AP20" s="47"/>
      <c r="AQ20" s="47"/>
      <c r="AR20" s="47"/>
      <c r="AS20" s="47"/>
    </row>
    <row r="21" spans="2:45" s="125" customFormat="1">
      <c r="B21" s="258" t="str">
        <f>'Site 4 - Financial'!G19</f>
        <v>Insurance</v>
      </c>
      <c r="C21" s="220">
        <f>'Site 4 - Financial'!I19</f>
        <v>96000</v>
      </c>
      <c r="D21" s="203">
        <f>C21/2</f>
        <v>48000</v>
      </c>
      <c r="E21" s="361">
        <f>D21</f>
        <v>48000</v>
      </c>
      <c r="F21" s="252" t="s">
        <v>202</v>
      </c>
      <c r="G21" s="377" t="s">
        <v>202</v>
      </c>
      <c r="H21" s="253" t="s">
        <v>202</v>
      </c>
      <c r="I21" s="253" t="s">
        <v>202</v>
      </c>
      <c r="J21" s="253" t="s">
        <v>202</v>
      </c>
      <c r="K21" s="253" t="s">
        <v>202</v>
      </c>
      <c r="L21" s="253" t="s">
        <v>202</v>
      </c>
      <c r="M21" s="253" t="s">
        <v>202</v>
      </c>
      <c r="N21" s="253" t="s">
        <v>202</v>
      </c>
      <c r="O21" s="254" t="s">
        <v>202</v>
      </c>
      <c r="P21" s="126"/>
      <c r="AP21" s="47"/>
      <c r="AQ21" s="47"/>
      <c r="AR21" s="47"/>
      <c r="AS21" s="47"/>
    </row>
    <row r="22" spans="2:45" s="125" customFormat="1">
      <c r="B22" s="258" t="str">
        <f>'Site 4 - Financial'!G20</f>
        <v>Marketing, FFE and Preleasing</v>
      </c>
      <c r="C22" s="220">
        <f>'Site 4 - Financial'!I20</f>
        <v>400000</v>
      </c>
      <c r="D22" s="203">
        <f>$C22/2</f>
        <v>200000</v>
      </c>
      <c r="E22" s="361">
        <f>$C22/2</f>
        <v>200000</v>
      </c>
      <c r="F22" s="252" t="s">
        <v>202</v>
      </c>
      <c r="G22" s="377" t="s">
        <v>202</v>
      </c>
      <c r="H22" s="253" t="s">
        <v>202</v>
      </c>
      <c r="I22" s="253" t="s">
        <v>202</v>
      </c>
      <c r="J22" s="253" t="s">
        <v>202</v>
      </c>
      <c r="K22" s="253" t="s">
        <v>202</v>
      </c>
      <c r="L22" s="253" t="s">
        <v>202</v>
      </c>
      <c r="M22" s="253" t="s">
        <v>202</v>
      </c>
      <c r="N22" s="253" t="s">
        <v>202</v>
      </c>
      <c r="O22" s="254" t="s">
        <v>202</v>
      </c>
      <c r="P22" s="126"/>
      <c r="AP22" s="47"/>
      <c r="AQ22" s="47"/>
      <c r="AR22" s="47"/>
      <c r="AS22" s="47"/>
    </row>
    <row r="23" spans="2:45" s="125" customFormat="1">
      <c r="B23" s="258" t="str">
        <f>'Site 4 - Financial'!G21</f>
        <v>Operating Deficit</v>
      </c>
      <c r="C23" s="220">
        <f>-SUM(D47:E47,D56:E56,D38:E38)</f>
        <v>419776.5</v>
      </c>
      <c r="D23" s="203">
        <f>-(D47+D38+D56)</f>
        <v>0</v>
      </c>
      <c r="E23" s="361">
        <f>-(E47+E38+E56)</f>
        <v>419776.5</v>
      </c>
      <c r="F23" s="252" t="s">
        <v>202</v>
      </c>
      <c r="G23" s="377" t="s">
        <v>202</v>
      </c>
      <c r="H23" s="253" t="s">
        <v>202</v>
      </c>
      <c r="I23" s="253" t="s">
        <v>202</v>
      </c>
      <c r="J23" s="253" t="s">
        <v>202</v>
      </c>
      <c r="K23" s="253" t="s">
        <v>202</v>
      </c>
      <c r="L23" s="253" t="s">
        <v>202</v>
      </c>
      <c r="M23" s="253" t="s">
        <v>202</v>
      </c>
      <c r="N23" s="253" t="s">
        <v>202</v>
      </c>
      <c r="O23" s="254" t="s">
        <v>202</v>
      </c>
      <c r="P23" s="126"/>
      <c r="AP23" s="47"/>
      <c r="AQ23" s="47"/>
      <c r="AR23" s="47"/>
      <c r="AS23" s="47"/>
    </row>
    <row r="24" spans="2:45" s="125" customFormat="1">
      <c r="B24" s="258" t="str">
        <f>'Site 4 - Financial'!G22</f>
        <v>Commercial Interior Fitout Cost</v>
      </c>
      <c r="C24" s="220">
        <f>'Site 4 - Financial'!I22</f>
        <v>22896900</v>
      </c>
      <c r="D24" s="203">
        <f>C24*0.5</f>
        <v>11448450</v>
      </c>
      <c r="E24" s="361">
        <f>C24*0.5</f>
        <v>11448450</v>
      </c>
      <c r="F24" s="252" t="s">
        <v>202</v>
      </c>
      <c r="G24" s="377" t="s">
        <v>202</v>
      </c>
      <c r="H24" s="253" t="s">
        <v>202</v>
      </c>
      <c r="I24" s="253" t="s">
        <v>202</v>
      </c>
      <c r="J24" s="253" t="s">
        <v>202</v>
      </c>
      <c r="K24" s="253" t="s">
        <v>202</v>
      </c>
      <c r="L24" s="253" t="s">
        <v>202</v>
      </c>
      <c r="M24" s="253" t="s">
        <v>202</v>
      </c>
      <c r="N24" s="253" t="s">
        <v>202</v>
      </c>
      <c r="O24" s="254" t="s">
        <v>202</v>
      </c>
      <c r="P24" s="126"/>
      <c r="AP24" s="47"/>
      <c r="AQ24" s="47"/>
      <c r="AR24" s="47"/>
      <c r="AS24" s="47"/>
    </row>
    <row r="25" spans="2:45" s="125" customFormat="1">
      <c r="B25" s="258" t="str">
        <f>'Site 4 - Financial'!G23</f>
        <v>Commercial Brokerage Commission</v>
      </c>
      <c r="C25" s="220">
        <f>'Site 4 - Financial'!I23</f>
        <v>1854271.92</v>
      </c>
      <c r="D25" s="203">
        <f>C25*0.5</f>
        <v>927135.96</v>
      </c>
      <c r="E25" s="361">
        <f>C25*0.5</f>
        <v>927135.96</v>
      </c>
      <c r="F25" s="252" t="s">
        <v>202</v>
      </c>
      <c r="G25" s="377" t="s">
        <v>202</v>
      </c>
      <c r="H25" s="253" t="s">
        <v>202</v>
      </c>
      <c r="I25" s="253" t="s">
        <v>202</v>
      </c>
      <c r="J25" s="253" t="s">
        <v>202</v>
      </c>
      <c r="K25" s="253" t="s">
        <v>202</v>
      </c>
      <c r="L25" s="253" t="s">
        <v>202</v>
      </c>
      <c r="M25" s="253" t="s">
        <v>202</v>
      </c>
      <c r="N25" s="253" t="s">
        <v>202</v>
      </c>
      <c r="O25" s="254" t="s">
        <v>202</v>
      </c>
      <c r="P25" s="126"/>
      <c r="AP25" s="47"/>
      <c r="AQ25" s="47"/>
      <c r="AR25" s="47"/>
      <c r="AS25" s="47"/>
    </row>
    <row r="26" spans="2:45" s="125" customFormat="1">
      <c r="B26" s="258" t="str">
        <f>'Site 4 - Financial'!G24</f>
        <v>Construction Loan Origination</v>
      </c>
      <c r="C26" s="220">
        <f>'Site 4 - Financial'!I24</f>
        <v>1000000</v>
      </c>
      <c r="D26" s="203">
        <f>C26</f>
        <v>1000000</v>
      </c>
      <c r="E26" s="361">
        <v>0</v>
      </c>
      <c r="F26" s="252" t="s">
        <v>202</v>
      </c>
      <c r="G26" s="377" t="s">
        <v>202</v>
      </c>
      <c r="H26" s="253" t="s">
        <v>202</v>
      </c>
      <c r="I26" s="253" t="s">
        <v>202</v>
      </c>
      <c r="J26" s="253" t="s">
        <v>202</v>
      </c>
      <c r="K26" s="253" t="s">
        <v>202</v>
      </c>
      <c r="L26" s="253" t="s">
        <v>202</v>
      </c>
      <c r="M26" s="253" t="s">
        <v>202</v>
      </c>
      <c r="N26" s="253" t="s">
        <v>202</v>
      </c>
      <c r="O26" s="254" t="s">
        <v>202</v>
      </c>
      <c r="P26" s="126"/>
      <c r="AP26" s="47"/>
      <c r="AQ26" s="47"/>
      <c r="AR26" s="47"/>
      <c r="AS26" s="47"/>
    </row>
    <row r="27" spans="2:45" s="125" customFormat="1">
      <c r="B27" s="258" t="str">
        <f>'Site 4 - Financial'!G25</f>
        <v>Construction Interest</v>
      </c>
      <c r="C27" s="220">
        <f>'Site 4 - Financial'!I25</f>
        <v>5250000</v>
      </c>
      <c r="D27" s="203">
        <f>C27/2</f>
        <v>2625000</v>
      </c>
      <c r="E27" s="361">
        <f>D27</f>
        <v>2625000</v>
      </c>
      <c r="F27" s="252" t="s">
        <v>202</v>
      </c>
      <c r="G27" s="377" t="s">
        <v>202</v>
      </c>
      <c r="H27" s="253" t="s">
        <v>202</v>
      </c>
      <c r="I27" s="253" t="s">
        <v>202</v>
      </c>
      <c r="J27" s="253" t="s">
        <v>202</v>
      </c>
      <c r="K27" s="253" t="s">
        <v>202</v>
      </c>
      <c r="L27" s="253" t="s">
        <v>202</v>
      </c>
      <c r="M27" s="253" t="s">
        <v>202</v>
      </c>
      <c r="N27" s="253" t="s">
        <v>202</v>
      </c>
      <c r="O27" s="254" t="s">
        <v>202</v>
      </c>
      <c r="P27" s="126"/>
      <c r="AP27" s="47"/>
      <c r="AQ27" s="47"/>
      <c r="AR27" s="47"/>
      <c r="AS27" s="47"/>
    </row>
    <row r="28" spans="2:45" s="125" customFormat="1">
      <c r="B28" s="258" t="str">
        <f>'Site 4 - Financial'!G26</f>
        <v>Additional Contingency</v>
      </c>
      <c r="C28" s="220">
        <f>'Site 4 - Financial'!I26</f>
        <v>1500000</v>
      </c>
      <c r="D28" s="203">
        <f>C28/2</f>
        <v>750000</v>
      </c>
      <c r="E28" s="361">
        <f>D28</f>
        <v>750000</v>
      </c>
      <c r="F28" s="252" t="s">
        <v>202</v>
      </c>
      <c r="G28" s="377" t="s">
        <v>202</v>
      </c>
      <c r="H28" s="253" t="s">
        <v>202</v>
      </c>
      <c r="I28" s="253" t="s">
        <v>202</v>
      </c>
      <c r="J28" s="253" t="s">
        <v>202</v>
      </c>
      <c r="K28" s="253" t="s">
        <v>202</v>
      </c>
      <c r="L28" s="253" t="s">
        <v>202</v>
      </c>
      <c r="M28" s="253" t="s">
        <v>202</v>
      </c>
      <c r="N28" s="253" t="s">
        <v>202</v>
      </c>
      <c r="O28" s="254" t="s">
        <v>202</v>
      </c>
      <c r="P28" s="126"/>
      <c r="AP28" s="47"/>
      <c r="AQ28" s="47"/>
      <c r="AR28" s="47"/>
      <c r="AS28" s="47"/>
    </row>
    <row r="29" spans="2:45" s="125" customFormat="1" ht="15.75" thickBot="1">
      <c r="B29" s="199" t="s">
        <v>590</v>
      </c>
      <c r="C29" s="764">
        <f>-'Site 4 - Financial'!E19</f>
        <v>-2059868.9894430041</v>
      </c>
      <c r="D29" s="203">
        <f>C29</f>
        <v>-2059868.9894430041</v>
      </c>
      <c r="E29" s="361">
        <v>0</v>
      </c>
      <c r="F29" s="252" t="s">
        <v>202</v>
      </c>
      <c r="G29" s="377" t="s">
        <v>202</v>
      </c>
      <c r="H29" s="769" t="s">
        <v>202</v>
      </c>
      <c r="I29" s="234" t="s">
        <v>202</v>
      </c>
      <c r="J29" s="234" t="s">
        <v>202</v>
      </c>
      <c r="K29" s="234" t="s">
        <v>202</v>
      </c>
      <c r="L29" s="234" t="s">
        <v>202</v>
      </c>
      <c r="M29" s="234" t="s">
        <v>202</v>
      </c>
      <c r="N29" s="234" t="s">
        <v>202</v>
      </c>
      <c r="O29" s="235" t="s">
        <v>202</v>
      </c>
      <c r="P29" s="126"/>
      <c r="AP29" s="47"/>
      <c r="AQ29" s="47"/>
      <c r="AR29" s="47"/>
      <c r="AS29" s="47"/>
    </row>
    <row r="30" spans="2:45" s="125" customFormat="1" ht="15.75" thickBot="1">
      <c r="B30" s="92" t="s">
        <v>38</v>
      </c>
      <c r="C30" s="240">
        <f>SUM(C6:C29)</f>
        <v>97369185.661961958</v>
      </c>
      <c r="D30" s="241">
        <f>SUM(D6:D29)</f>
        <v>79527001.491218135</v>
      </c>
      <c r="E30" s="362">
        <f>SUM(E6:E29)</f>
        <v>17842184.170743801</v>
      </c>
      <c r="F30" s="241">
        <f t="shared" ref="F30:O30" si="20">SUM(F6:F28)</f>
        <v>0</v>
      </c>
      <c r="G30" s="379">
        <f t="shared" si="20"/>
        <v>0</v>
      </c>
      <c r="H30" s="242">
        <f t="shared" si="20"/>
        <v>0</v>
      </c>
      <c r="I30" s="242">
        <f t="shared" ref="I30" si="21">SUM(I6:I28)</f>
        <v>0</v>
      </c>
      <c r="J30" s="242">
        <f t="shared" si="20"/>
        <v>0</v>
      </c>
      <c r="K30" s="242">
        <f t="shared" si="20"/>
        <v>0</v>
      </c>
      <c r="L30" s="242">
        <f t="shared" si="20"/>
        <v>0</v>
      </c>
      <c r="M30" s="242">
        <f t="shared" si="20"/>
        <v>0</v>
      </c>
      <c r="N30" s="242">
        <f t="shared" si="20"/>
        <v>0</v>
      </c>
      <c r="O30" s="243">
        <f t="shared" si="20"/>
        <v>0</v>
      </c>
      <c r="AP30" s="47"/>
      <c r="AQ30" s="47"/>
      <c r="AR30" s="47"/>
      <c r="AS30" s="47"/>
    </row>
    <row r="31" spans="2:45" s="125" customFormat="1">
      <c r="B31" s="185" t="s">
        <v>390</v>
      </c>
      <c r="C31" s="216"/>
      <c r="D31" s="236"/>
      <c r="E31" s="363"/>
      <c r="F31" s="236"/>
      <c r="G31" s="380"/>
      <c r="H31" s="227"/>
      <c r="I31" s="227"/>
      <c r="J31" s="227"/>
      <c r="K31" s="227"/>
      <c r="L31" s="227"/>
      <c r="M31" s="227"/>
      <c r="N31" s="227"/>
      <c r="O31" s="228"/>
      <c r="AP31" s="47"/>
      <c r="AQ31" s="47"/>
      <c r="AR31" s="47"/>
      <c r="AS31" s="47"/>
    </row>
    <row r="32" spans="2:45" s="125" customFormat="1">
      <c r="B32" s="186" t="s">
        <v>91</v>
      </c>
      <c r="C32" s="217" t="s">
        <v>202</v>
      </c>
      <c r="D32" s="237">
        <v>0</v>
      </c>
      <c r="E32" s="364">
        <v>0</v>
      </c>
      <c r="F32" s="237">
        <v>0</v>
      </c>
      <c r="G32" s="381">
        <f>'Site 4 - Financial'!F8</f>
        <v>0</v>
      </c>
      <c r="H32" s="229" t="s">
        <v>202</v>
      </c>
      <c r="I32" s="229" t="s">
        <v>202</v>
      </c>
      <c r="J32" s="229" t="s">
        <v>202</v>
      </c>
      <c r="K32" s="229" t="s">
        <v>202</v>
      </c>
      <c r="L32" s="229" t="s">
        <v>202</v>
      </c>
      <c r="M32" s="229" t="s">
        <v>202</v>
      </c>
      <c r="N32" s="229" t="s">
        <v>202</v>
      </c>
      <c r="O32" s="230" t="s">
        <v>202</v>
      </c>
      <c r="AP32" s="47"/>
      <c r="AQ32" s="47"/>
      <c r="AR32" s="47"/>
      <c r="AS32" s="47"/>
    </row>
    <row r="33" spans="2:45" s="125" customFormat="1">
      <c r="B33" s="186" t="s">
        <v>521</v>
      </c>
      <c r="C33" s="217" t="s">
        <v>202</v>
      </c>
      <c r="D33" s="237">
        <v>0</v>
      </c>
      <c r="E33" s="364">
        <v>0</v>
      </c>
      <c r="F33" s="237">
        <v>0</v>
      </c>
      <c r="G33" s="381">
        <v>0</v>
      </c>
      <c r="H33" s="229" t="s">
        <v>202</v>
      </c>
      <c r="I33" s="229" t="s">
        <v>202</v>
      </c>
      <c r="J33" s="229" t="s">
        <v>202</v>
      </c>
      <c r="K33" s="229" t="s">
        <v>202</v>
      </c>
      <c r="L33" s="229" t="s">
        <v>202</v>
      </c>
      <c r="M33" s="229" t="s">
        <v>202</v>
      </c>
      <c r="N33" s="229" t="s">
        <v>202</v>
      </c>
      <c r="O33" s="230" t="s">
        <v>202</v>
      </c>
      <c r="AP33" s="47"/>
      <c r="AQ33" s="47"/>
      <c r="AR33" s="47"/>
      <c r="AS33" s="47"/>
    </row>
    <row r="34" spans="2:45" s="125" customFormat="1">
      <c r="B34" s="197" t="s">
        <v>309</v>
      </c>
      <c r="C34" s="217" t="s">
        <v>202</v>
      </c>
      <c r="D34" s="237">
        <v>0</v>
      </c>
      <c r="E34" s="364">
        <v>0</v>
      </c>
      <c r="F34" s="237">
        <v>0</v>
      </c>
      <c r="G34" s="381">
        <v>0</v>
      </c>
      <c r="H34" s="229" t="s">
        <v>202</v>
      </c>
      <c r="I34" s="229" t="s">
        <v>202</v>
      </c>
      <c r="J34" s="229" t="s">
        <v>202</v>
      </c>
      <c r="K34" s="229" t="s">
        <v>202</v>
      </c>
      <c r="L34" s="229" t="s">
        <v>202</v>
      </c>
      <c r="M34" s="229" t="s">
        <v>202</v>
      </c>
      <c r="N34" s="229" t="s">
        <v>202</v>
      </c>
      <c r="O34" s="230" t="s">
        <v>202</v>
      </c>
      <c r="AP34" s="47"/>
      <c r="AQ34" s="47"/>
      <c r="AR34" s="47"/>
      <c r="AS34" s="47"/>
    </row>
    <row r="35" spans="2:45" s="125" customFormat="1">
      <c r="B35" s="225" t="s">
        <v>93</v>
      </c>
      <c r="C35" s="226" t="s">
        <v>202</v>
      </c>
      <c r="D35" s="109">
        <f>SUM(D32:D34)</f>
        <v>0</v>
      </c>
      <c r="E35" s="365">
        <f t="shared" ref="E35:F35" si="22">SUM(E32:E34)</f>
        <v>0</v>
      </c>
      <c r="F35" s="109">
        <f t="shared" si="22"/>
        <v>0</v>
      </c>
      <c r="G35" s="102">
        <f>SUM(G32:G34)</f>
        <v>0</v>
      </c>
      <c r="H35" s="101" t="s">
        <v>202</v>
      </c>
      <c r="I35" s="101" t="s">
        <v>202</v>
      </c>
      <c r="J35" s="101" t="s">
        <v>202</v>
      </c>
      <c r="K35" s="101" t="s">
        <v>202</v>
      </c>
      <c r="L35" s="101" t="s">
        <v>202</v>
      </c>
      <c r="M35" s="101" t="s">
        <v>202</v>
      </c>
      <c r="N35" s="101" t="s">
        <v>202</v>
      </c>
      <c r="O35" s="110" t="s">
        <v>202</v>
      </c>
      <c r="AP35" s="47"/>
      <c r="AQ35" s="47"/>
      <c r="AR35" s="47"/>
      <c r="AS35" s="47"/>
    </row>
    <row r="36" spans="2:45" s="125" customFormat="1">
      <c r="B36" s="197" t="s">
        <v>525</v>
      </c>
      <c r="C36" s="217" t="s">
        <v>202</v>
      </c>
      <c r="D36" s="237">
        <v>0</v>
      </c>
      <c r="E36" s="364">
        <v>0</v>
      </c>
      <c r="F36" s="237">
        <v>0</v>
      </c>
      <c r="G36" s="381">
        <v>0</v>
      </c>
      <c r="H36" s="229" t="s">
        <v>202</v>
      </c>
      <c r="I36" s="229" t="s">
        <v>202</v>
      </c>
      <c r="J36" s="229" t="s">
        <v>202</v>
      </c>
      <c r="K36" s="229" t="s">
        <v>202</v>
      </c>
      <c r="L36" s="229" t="s">
        <v>202</v>
      </c>
      <c r="M36" s="229" t="s">
        <v>202</v>
      </c>
      <c r="N36" s="229" t="s">
        <v>202</v>
      </c>
      <c r="O36" s="230" t="s">
        <v>202</v>
      </c>
      <c r="AP36" s="47"/>
      <c r="AQ36" s="47"/>
      <c r="AR36" s="47"/>
      <c r="AS36" s="47"/>
    </row>
    <row r="37" spans="2:45" s="125" customFormat="1">
      <c r="B37" s="197" t="s">
        <v>316</v>
      </c>
      <c r="C37" s="217" t="s">
        <v>202</v>
      </c>
      <c r="D37" s="237">
        <f t="shared" ref="D37:F37" si="23">-5%*D35</f>
        <v>0</v>
      </c>
      <c r="E37" s="364">
        <f t="shared" si="23"/>
        <v>0</v>
      </c>
      <c r="F37" s="237">
        <f t="shared" si="23"/>
        <v>0</v>
      </c>
      <c r="G37" s="381">
        <f t="shared" ref="G37" si="24">-5%*G35</f>
        <v>0</v>
      </c>
      <c r="H37" s="229" t="s">
        <v>202</v>
      </c>
      <c r="I37" s="229" t="s">
        <v>202</v>
      </c>
      <c r="J37" s="229" t="s">
        <v>202</v>
      </c>
      <c r="K37" s="229" t="s">
        <v>202</v>
      </c>
      <c r="L37" s="229" t="s">
        <v>202</v>
      </c>
      <c r="M37" s="229" t="s">
        <v>202</v>
      </c>
      <c r="N37" s="229" t="s">
        <v>202</v>
      </c>
      <c r="O37" s="230" t="s">
        <v>202</v>
      </c>
      <c r="AP37" s="47"/>
      <c r="AQ37" s="47"/>
      <c r="AR37" s="47"/>
      <c r="AS37" s="47"/>
    </row>
    <row r="38" spans="2:45" s="125" customFormat="1">
      <c r="B38" s="225" t="s">
        <v>94</v>
      </c>
      <c r="C38" s="226" t="s">
        <v>202</v>
      </c>
      <c r="D38" s="109">
        <f t="shared" ref="D38:E38" si="25">SUM(D35:D37)</f>
        <v>0</v>
      </c>
      <c r="E38" s="365">
        <f t="shared" si="25"/>
        <v>0</v>
      </c>
      <c r="F38" s="109">
        <f t="shared" ref="F38:G38" si="26">SUM(F35:F37)</f>
        <v>0</v>
      </c>
      <c r="G38" s="102">
        <f t="shared" si="26"/>
        <v>0</v>
      </c>
      <c r="H38" s="101" t="s">
        <v>202</v>
      </c>
      <c r="I38" s="101" t="s">
        <v>202</v>
      </c>
      <c r="J38" s="101" t="s">
        <v>202</v>
      </c>
      <c r="K38" s="101" t="s">
        <v>202</v>
      </c>
      <c r="L38" s="101" t="s">
        <v>202</v>
      </c>
      <c r="M38" s="101" t="s">
        <v>202</v>
      </c>
      <c r="N38" s="101" t="s">
        <v>202</v>
      </c>
      <c r="O38" s="110" t="s">
        <v>202</v>
      </c>
      <c r="AP38" s="47"/>
      <c r="AQ38" s="47"/>
      <c r="AR38" s="47"/>
      <c r="AS38" s="47"/>
    </row>
    <row r="39" spans="2:45" s="125" customFormat="1" ht="15.75" thickBot="1">
      <c r="B39" s="209" t="s">
        <v>317</v>
      </c>
      <c r="C39" s="218" t="s">
        <v>202</v>
      </c>
      <c r="D39" s="238">
        <v>0</v>
      </c>
      <c r="E39" s="861">
        <v>0</v>
      </c>
      <c r="F39" s="863">
        <v>0</v>
      </c>
      <c r="G39" s="382">
        <v>0</v>
      </c>
      <c r="H39" s="231" t="s">
        <v>202</v>
      </c>
      <c r="I39" s="231" t="s">
        <v>202</v>
      </c>
      <c r="J39" s="231" t="s">
        <v>202</v>
      </c>
      <c r="K39" s="231" t="s">
        <v>202</v>
      </c>
      <c r="L39" s="231" t="s">
        <v>202</v>
      </c>
      <c r="M39" s="231" t="s">
        <v>202</v>
      </c>
      <c r="N39" s="231" t="s">
        <v>202</v>
      </c>
      <c r="O39" s="232" t="s">
        <v>202</v>
      </c>
      <c r="AP39" s="47"/>
      <c r="AQ39" s="47"/>
      <c r="AR39" s="47"/>
      <c r="AS39" s="47"/>
    </row>
    <row r="40" spans="2:45" s="125" customFormat="1">
      <c r="B40" s="185" t="s">
        <v>325</v>
      </c>
      <c r="C40" s="216"/>
      <c r="D40" s="236"/>
      <c r="E40" s="363"/>
      <c r="F40" s="236"/>
      <c r="G40" s="380"/>
      <c r="H40" s="227"/>
      <c r="I40" s="227"/>
      <c r="J40" s="227"/>
      <c r="K40" s="227"/>
      <c r="L40" s="227"/>
      <c r="M40" s="227"/>
      <c r="N40" s="227"/>
      <c r="O40" s="228"/>
      <c r="AP40" s="47"/>
      <c r="AQ40" s="47"/>
      <c r="AR40" s="47"/>
      <c r="AS40" s="47"/>
    </row>
    <row r="41" spans="2:45" s="125" customFormat="1">
      <c r="B41" s="186" t="s">
        <v>91</v>
      </c>
      <c r="C41" s="217" t="s">
        <v>202</v>
      </c>
      <c r="D41" s="237">
        <v>0</v>
      </c>
      <c r="E41" s="364">
        <v>0</v>
      </c>
      <c r="F41" s="237">
        <f>'Site 4 - Financial'!D11*'Site 4 - Financial'!E11</f>
        <v>3038665</v>
      </c>
      <c r="G41" s="229">
        <f>F41*(1+Assumptions!$F$8)</f>
        <v>3129824.95</v>
      </c>
      <c r="H41" s="229" t="s">
        <v>202</v>
      </c>
      <c r="I41" s="229" t="s">
        <v>202</v>
      </c>
      <c r="J41" s="229" t="s">
        <v>202</v>
      </c>
      <c r="K41" s="229" t="s">
        <v>202</v>
      </c>
      <c r="L41" s="229" t="s">
        <v>202</v>
      </c>
      <c r="M41" s="229" t="s">
        <v>202</v>
      </c>
      <c r="N41" s="229" t="s">
        <v>202</v>
      </c>
      <c r="O41" s="230" t="s">
        <v>202</v>
      </c>
      <c r="AP41" s="47"/>
      <c r="AQ41" s="47"/>
      <c r="AR41" s="47"/>
      <c r="AS41" s="47"/>
    </row>
    <row r="42" spans="2:45" s="125" customFormat="1">
      <c r="B42" s="186" t="s">
        <v>521</v>
      </c>
      <c r="C42" s="217" t="s">
        <v>202</v>
      </c>
      <c r="D42" s="237">
        <v>0</v>
      </c>
      <c r="E42" s="364">
        <v>0</v>
      </c>
      <c r="F42" s="237">
        <v>0</v>
      </c>
      <c r="G42" s="381">
        <v>0</v>
      </c>
      <c r="H42" s="229" t="s">
        <v>202</v>
      </c>
      <c r="I42" s="229" t="s">
        <v>202</v>
      </c>
      <c r="J42" s="229" t="s">
        <v>202</v>
      </c>
      <c r="K42" s="229" t="s">
        <v>202</v>
      </c>
      <c r="L42" s="229" t="s">
        <v>202</v>
      </c>
      <c r="M42" s="229" t="s">
        <v>202</v>
      </c>
      <c r="N42" s="229" t="s">
        <v>202</v>
      </c>
      <c r="O42" s="230" t="s">
        <v>202</v>
      </c>
      <c r="AP42" s="47"/>
      <c r="AQ42" s="47"/>
      <c r="AR42" s="47"/>
      <c r="AS42" s="47"/>
    </row>
    <row r="43" spans="2:45" s="125" customFormat="1">
      <c r="B43" s="197" t="s">
        <v>309</v>
      </c>
      <c r="C43" s="217" t="s">
        <v>202</v>
      </c>
      <c r="D43" s="237">
        <v>0</v>
      </c>
      <c r="E43" s="364">
        <v>0</v>
      </c>
      <c r="F43" s="237">
        <f>(Assumptions!D30*'Site 4 - Financial'!D11)*(1+Assumptions!$F$8)^F2</f>
        <v>451320.75779</v>
      </c>
      <c r="G43" s="229">
        <f>F43*(1+Assumptions!$F$8)</f>
        <v>464860.38052370003</v>
      </c>
      <c r="H43" s="229" t="s">
        <v>202</v>
      </c>
      <c r="I43" s="229" t="s">
        <v>202</v>
      </c>
      <c r="J43" s="229" t="s">
        <v>202</v>
      </c>
      <c r="K43" s="229" t="s">
        <v>202</v>
      </c>
      <c r="L43" s="229" t="s">
        <v>202</v>
      </c>
      <c r="M43" s="229" t="s">
        <v>202</v>
      </c>
      <c r="N43" s="229" t="s">
        <v>202</v>
      </c>
      <c r="O43" s="230" t="s">
        <v>202</v>
      </c>
      <c r="AP43" s="47"/>
      <c r="AQ43" s="47"/>
      <c r="AR43" s="47"/>
      <c r="AS43" s="47"/>
    </row>
    <row r="44" spans="2:45" s="125" customFormat="1">
      <c r="B44" s="225" t="s">
        <v>93</v>
      </c>
      <c r="C44" s="226" t="s">
        <v>202</v>
      </c>
      <c r="D44" s="109">
        <f t="shared" ref="D44:G44" si="27">SUM(D41:D43)</f>
        <v>0</v>
      </c>
      <c r="E44" s="365">
        <f t="shared" si="27"/>
        <v>0</v>
      </c>
      <c r="F44" s="109">
        <f t="shared" si="27"/>
        <v>3489985.7577900002</v>
      </c>
      <c r="G44" s="102">
        <f t="shared" si="27"/>
        <v>3594685.3305237005</v>
      </c>
      <c r="H44" s="101" t="s">
        <v>202</v>
      </c>
      <c r="I44" s="101" t="s">
        <v>202</v>
      </c>
      <c r="J44" s="101" t="s">
        <v>202</v>
      </c>
      <c r="K44" s="101" t="s">
        <v>202</v>
      </c>
      <c r="L44" s="101" t="s">
        <v>202</v>
      </c>
      <c r="M44" s="101" t="s">
        <v>202</v>
      </c>
      <c r="N44" s="101" t="s">
        <v>202</v>
      </c>
      <c r="O44" s="110" t="s">
        <v>202</v>
      </c>
      <c r="AP44" s="47"/>
      <c r="AQ44" s="47"/>
      <c r="AR44" s="47"/>
      <c r="AS44" s="47"/>
    </row>
    <row r="45" spans="2:45" s="125" customFormat="1">
      <c r="B45" s="197" t="s">
        <v>525</v>
      </c>
      <c r="C45" s="217" t="s">
        <v>202</v>
      </c>
      <c r="D45" s="237">
        <v>0</v>
      </c>
      <c r="E45" s="364">
        <f>-(Assumptions!D26+Assumptions!D27)*'Site 4 - Financial'!D11</f>
        <v>-238752.25</v>
      </c>
      <c r="F45" s="237">
        <f>-(Assumptions!D30*'Site 4 - Financial'!D11)*(1+Assumptions!$F$8)^F2</f>
        <v>-451320.75779</v>
      </c>
      <c r="G45" s="229">
        <f>F45*(1+Assumptions!$F$8)</f>
        <v>-464860.38052370003</v>
      </c>
      <c r="H45" s="229" t="s">
        <v>202</v>
      </c>
      <c r="I45" s="229" t="s">
        <v>202</v>
      </c>
      <c r="J45" s="229" t="s">
        <v>202</v>
      </c>
      <c r="K45" s="229" t="s">
        <v>202</v>
      </c>
      <c r="L45" s="229" t="s">
        <v>202</v>
      </c>
      <c r="M45" s="229" t="s">
        <v>202</v>
      </c>
      <c r="N45" s="229" t="s">
        <v>202</v>
      </c>
      <c r="O45" s="230" t="s">
        <v>202</v>
      </c>
      <c r="AP45" s="47"/>
      <c r="AQ45" s="47"/>
      <c r="AR45" s="47"/>
      <c r="AS45" s="47"/>
    </row>
    <row r="46" spans="2:45" s="125" customFormat="1">
      <c r="B46" s="197" t="s">
        <v>316</v>
      </c>
      <c r="C46" s="217" t="s">
        <v>202</v>
      </c>
      <c r="D46" s="237">
        <f t="shared" ref="D46:G46" si="28">-5%*D44</f>
        <v>0</v>
      </c>
      <c r="E46" s="364">
        <f t="shared" si="28"/>
        <v>0</v>
      </c>
      <c r="F46" s="237">
        <f t="shared" si="28"/>
        <v>-174499.28788950003</v>
      </c>
      <c r="G46" s="381">
        <f t="shared" si="28"/>
        <v>-179734.26652618503</v>
      </c>
      <c r="H46" s="229" t="s">
        <v>202</v>
      </c>
      <c r="I46" s="229" t="s">
        <v>202</v>
      </c>
      <c r="J46" s="229" t="s">
        <v>202</v>
      </c>
      <c r="K46" s="229" t="s">
        <v>202</v>
      </c>
      <c r="L46" s="229" t="s">
        <v>202</v>
      </c>
      <c r="M46" s="229" t="s">
        <v>202</v>
      </c>
      <c r="N46" s="229" t="s">
        <v>202</v>
      </c>
      <c r="O46" s="230" t="s">
        <v>202</v>
      </c>
      <c r="AP46" s="47"/>
      <c r="AQ46" s="47"/>
      <c r="AR46" s="47"/>
      <c r="AS46" s="47"/>
    </row>
    <row r="47" spans="2:45" s="125" customFormat="1">
      <c r="B47" s="225" t="s">
        <v>94</v>
      </c>
      <c r="C47" s="226" t="s">
        <v>202</v>
      </c>
      <c r="D47" s="109">
        <f t="shared" ref="D47:F47" si="29">SUM(D44:D46)</f>
        <v>0</v>
      </c>
      <c r="E47" s="365">
        <f t="shared" si="29"/>
        <v>-238752.25</v>
      </c>
      <c r="F47" s="109">
        <f t="shared" si="29"/>
        <v>2864165.7121104999</v>
      </c>
      <c r="G47" s="102">
        <f>SUM(G44:G46)</f>
        <v>2950090.6834738152</v>
      </c>
      <c r="H47" s="101" t="s">
        <v>202</v>
      </c>
      <c r="I47" s="101" t="s">
        <v>202</v>
      </c>
      <c r="J47" s="101" t="s">
        <v>202</v>
      </c>
      <c r="K47" s="101" t="s">
        <v>202</v>
      </c>
      <c r="L47" s="101" t="s">
        <v>202</v>
      </c>
      <c r="M47" s="101" t="s">
        <v>202</v>
      </c>
      <c r="N47" s="101" t="s">
        <v>202</v>
      </c>
      <c r="O47" s="110" t="s">
        <v>202</v>
      </c>
      <c r="AP47" s="47"/>
      <c r="AQ47" s="47"/>
      <c r="AR47" s="47"/>
      <c r="AS47" s="47"/>
    </row>
    <row r="48" spans="2:45" s="125" customFormat="1" ht="15.75" thickBot="1">
      <c r="B48" s="209" t="s">
        <v>317</v>
      </c>
      <c r="C48" s="218" t="s">
        <v>202</v>
      </c>
      <c r="D48" s="238">
        <v>0</v>
      </c>
      <c r="E48" s="861">
        <v>0</v>
      </c>
      <c r="F48" s="863">
        <f>(G47/Assumptions!I9)*0.98</f>
        <v>64246419.328985311</v>
      </c>
      <c r="G48" s="864" t="s">
        <v>202</v>
      </c>
      <c r="H48" s="231" t="s">
        <v>202</v>
      </c>
      <c r="I48" s="231" t="s">
        <v>202</v>
      </c>
      <c r="J48" s="231" t="s">
        <v>202</v>
      </c>
      <c r="K48" s="231" t="s">
        <v>202</v>
      </c>
      <c r="L48" s="231" t="s">
        <v>202</v>
      </c>
      <c r="M48" s="231" t="s">
        <v>202</v>
      </c>
      <c r="N48" s="231" t="s">
        <v>202</v>
      </c>
      <c r="O48" s="232" t="s">
        <v>202</v>
      </c>
      <c r="AP48" s="47"/>
      <c r="AQ48" s="47"/>
      <c r="AR48" s="47"/>
      <c r="AS48" s="47"/>
    </row>
    <row r="49" spans="1:45" s="125" customFormat="1">
      <c r="B49" s="185" t="s">
        <v>391</v>
      </c>
      <c r="C49" s="216"/>
      <c r="D49" s="236"/>
      <c r="E49" s="363"/>
      <c r="F49" s="236"/>
      <c r="G49" s="380"/>
      <c r="H49" s="227"/>
      <c r="I49" s="227"/>
      <c r="J49" s="227"/>
      <c r="K49" s="227"/>
      <c r="L49" s="227"/>
      <c r="M49" s="227"/>
      <c r="N49" s="227"/>
      <c r="O49" s="228"/>
      <c r="AP49" s="47"/>
      <c r="AQ49" s="47"/>
      <c r="AR49" s="47"/>
      <c r="AS49" s="47"/>
    </row>
    <row r="50" spans="1:45" s="125" customFormat="1">
      <c r="B50" s="186" t="s">
        <v>91</v>
      </c>
      <c r="C50" s="217" t="s">
        <v>202</v>
      </c>
      <c r="D50" s="237">
        <v>0</v>
      </c>
      <c r="E50" s="364">
        <v>0</v>
      </c>
      <c r="F50" s="237">
        <f>'Site 4 - Financial'!D12*'Site 4 - Financial'!E12</f>
        <v>2962215</v>
      </c>
      <c r="G50" s="229">
        <f>F50*(1+Assumptions!$F$8)</f>
        <v>3051081.45</v>
      </c>
      <c r="H50" s="229" t="s">
        <v>202</v>
      </c>
      <c r="I50" s="229" t="s">
        <v>202</v>
      </c>
      <c r="J50" s="229" t="s">
        <v>202</v>
      </c>
      <c r="K50" s="229" t="s">
        <v>202</v>
      </c>
      <c r="L50" s="229" t="s">
        <v>202</v>
      </c>
      <c r="M50" s="229" t="s">
        <v>202</v>
      </c>
      <c r="N50" s="229" t="s">
        <v>202</v>
      </c>
      <c r="O50" s="230" t="s">
        <v>202</v>
      </c>
      <c r="AP50" s="47"/>
      <c r="AQ50" s="47"/>
      <c r="AR50" s="47"/>
      <c r="AS50" s="47"/>
    </row>
    <row r="51" spans="1:45" s="125" customFormat="1">
      <c r="B51" s="186" t="s">
        <v>521</v>
      </c>
      <c r="C51" s="217" t="s">
        <v>202</v>
      </c>
      <c r="D51" s="237">
        <v>0</v>
      </c>
      <c r="E51" s="364">
        <v>0</v>
      </c>
      <c r="F51" s="237">
        <v>0</v>
      </c>
      <c r="G51" s="381">
        <v>0</v>
      </c>
      <c r="H51" s="229" t="s">
        <v>202</v>
      </c>
      <c r="I51" s="229" t="s">
        <v>202</v>
      </c>
      <c r="J51" s="229" t="s">
        <v>202</v>
      </c>
      <c r="K51" s="229" t="s">
        <v>202</v>
      </c>
      <c r="L51" s="229" t="s">
        <v>202</v>
      </c>
      <c r="M51" s="229" t="s">
        <v>202</v>
      </c>
      <c r="N51" s="229" t="s">
        <v>202</v>
      </c>
      <c r="O51" s="230" t="s">
        <v>202</v>
      </c>
      <c r="AP51" s="47"/>
      <c r="AQ51" s="47"/>
      <c r="AR51" s="47"/>
      <c r="AS51" s="47"/>
    </row>
    <row r="52" spans="1:45" s="125" customFormat="1">
      <c r="B52" s="186" t="s">
        <v>309</v>
      </c>
      <c r="C52" s="217" t="s">
        <v>202</v>
      </c>
      <c r="D52" s="237">
        <v>0</v>
      </c>
      <c r="E52" s="364">
        <v>0</v>
      </c>
      <c r="F52" s="237">
        <f>(Assumptions!D30*'Site 4 - Financial'!D12)*(1+Assumptions!F8)^G2</f>
        <v>352461.60712210007</v>
      </c>
      <c r="G52" s="229">
        <f>F52*(1+Assumptions!$F$8)</f>
        <v>363035.45533576311</v>
      </c>
      <c r="H52" s="229" t="s">
        <v>202</v>
      </c>
      <c r="I52" s="229" t="s">
        <v>202</v>
      </c>
      <c r="J52" s="229" t="s">
        <v>202</v>
      </c>
      <c r="K52" s="229" t="s">
        <v>202</v>
      </c>
      <c r="L52" s="229" t="s">
        <v>202</v>
      </c>
      <c r="M52" s="229" t="s">
        <v>202</v>
      </c>
      <c r="N52" s="229" t="s">
        <v>202</v>
      </c>
      <c r="O52" s="230" t="s">
        <v>202</v>
      </c>
      <c r="AP52" s="47"/>
      <c r="AQ52" s="47"/>
      <c r="AR52" s="47"/>
      <c r="AS52" s="47"/>
    </row>
    <row r="53" spans="1:45" s="125" customFormat="1">
      <c r="B53" s="225" t="s">
        <v>93</v>
      </c>
      <c r="C53" s="226" t="s">
        <v>202</v>
      </c>
      <c r="D53" s="109">
        <f t="shared" ref="D53:G53" si="30">SUM(D50:D52)</f>
        <v>0</v>
      </c>
      <c r="E53" s="365">
        <f t="shared" si="30"/>
        <v>0</v>
      </c>
      <c r="F53" s="109">
        <f t="shared" si="30"/>
        <v>3314676.6071221</v>
      </c>
      <c r="G53" s="102">
        <f t="shared" si="30"/>
        <v>3414116.9053357635</v>
      </c>
      <c r="H53" s="101" t="s">
        <v>202</v>
      </c>
      <c r="I53" s="101" t="s">
        <v>202</v>
      </c>
      <c r="J53" s="101" t="s">
        <v>202</v>
      </c>
      <c r="K53" s="101" t="s">
        <v>202</v>
      </c>
      <c r="L53" s="101" t="s">
        <v>202</v>
      </c>
      <c r="M53" s="101" t="s">
        <v>202</v>
      </c>
      <c r="N53" s="101" t="s">
        <v>202</v>
      </c>
      <c r="O53" s="110" t="s">
        <v>202</v>
      </c>
      <c r="AP53" s="47"/>
      <c r="AQ53" s="47"/>
      <c r="AR53" s="47"/>
      <c r="AS53" s="47"/>
    </row>
    <row r="54" spans="1:45" s="125" customFormat="1">
      <c r="B54" s="197" t="s">
        <v>525</v>
      </c>
      <c r="C54" s="217" t="s">
        <v>202</v>
      </c>
      <c r="D54" s="237">
        <v>0</v>
      </c>
      <c r="E54" s="364">
        <f>-(Assumptions!D26+Assumptions!D27)*'Site 4 - Financial'!D12</f>
        <v>-181024.25</v>
      </c>
      <c r="F54" s="237">
        <f>-(Assumptions!D30*'Site 4 - Financial'!D12)*(1+Assumptions!$F$8)^F2</f>
        <v>-342195.73507000005</v>
      </c>
      <c r="G54" s="229">
        <f>F54*(1+Assumptions!$F$8)</f>
        <v>-352461.60712210007</v>
      </c>
      <c r="H54" s="229" t="s">
        <v>202</v>
      </c>
      <c r="I54" s="229" t="s">
        <v>202</v>
      </c>
      <c r="J54" s="229" t="s">
        <v>202</v>
      </c>
      <c r="K54" s="229" t="s">
        <v>202</v>
      </c>
      <c r="L54" s="229" t="s">
        <v>202</v>
      </c>
      <c r="M54" s="229" t="s">
        <v>202</v>
      </c>
      <c r="N54" s="229" t="s">
        <v>202</v>
      </c>
      <c r="O54" s="230" t="s">
        <v>202</v>
      </c>
      <c r="AP54" s="47"/>
      <c r="AQ54" s="47"/>
      <c r="AR54" s="47"/>
      <c r="AS54" s="47"/>
    </row>
    <row r="55" spans="1:45" s="125" customFormat="1">
      <c r="B55" s="186" t="s">
        <v>316</v>
      </c>
      <c r="C55" s="217" t="s">
        <v>202</v>
      </c>
      <c r="D55" s="237">
        <f t="shared" ref="D55:G55" si="31">-5%*D53</f>
        <v>0</v>
      </c>
      <c r="E55" s="364">
        <f t="shared" si="31"/>
        <v>0</v>
      </c>
      <c r="F55" s="237">
        <f t="shared" si="31"/>
        <v>-165733.830356105</v>
      </c>
      <c r="G55" s="381">
        <f t="shared" si="31"/>
        <v>-170705.84526678818</v>
      </c>
      <c r="H55" s="229" t="s">
        <v>202</v>
      </c>
      <c r="I55" s="229" t="s">
        <v>202</v>
      </c>
      <c r="J55" s="229" t="s">
        <v>202</v>
      </c>
      <c r="K55" s="229" t="s">
        <v>202</v>
      </c>
      <c r="L55" s="229" t="s">
        <v>202</v>
      </c>
      <c r="M55" s="229" t="s">
        <v>202</v>
      </c>
      <c r="N55" s="229" t="s">
        <v>202</v>
      </c>
      <c r="O55" s="230" t="s">
        <v>202</v>
      </c>
      <c r="AP55" s="47"/>
      <c r="AQ55" s="47"/>
      <c r="AR55" s="47"/>
      <c r="AS55" s="47"/>
    </row>
    <row r="56" spans="1:45" s="125" customFormat="1">
      <c r="B56" s="225" t="s">
        <v>94</v>
      </c>
      <c r="C56" s="226" t="s">
        <v>202</v>
      </c>
      <c r="D56" s="109">
        <f t="shared" ref="D56:G56" si="32">SUM(D53:D55)</f>
        <v>0</v>
      </c>
      <c r="E56" s="365">
        <f t="shared" si="32"/>
        <v>-181024.25</v>
      </c>
      <c r="F56" s="109">
        <f t="shared" si="32"/>
        <v>2806747.0416959953</v>
      </c>
      <c r="G56" s="102">
        <f t="shared" si="32"/>
        <v>2890949.4529468752</v>
      </c>
      <c r="H56" s="101" t="s">
        <v>202</v>
      </c>
      <c r="I56" s="101" t="s">
        <v>202</v>
      </c>
      <c r="J56" s="101" t="s">
        <v>202</v>
      </c>
      <c r="K56" s="101" t="s">
        <v>202</v>
      </c>
      <c r="L56" s="101" t="s">
        <v>202</v>
      </c>
      <c r="M56" s="101" t="s">
        <v>202</v>
      </c>
      <c r="N56" s="101" t="s">
        <v>202</v>
      </c>
      <c r="O56" s="110" t="s">
        <v>202</v>
      </c>
      <c r="AP56" s="47"/>
      <c r="AQ56" s="47"/>
      <c r="AR56" s="47"/>
      <c r="AS56" s="47"/>
    </row>
    <row r="57" spans="1:45" s="125" customFormat="1" ht="15.75" thickBot="1">
      <c r="B57" s="189" t="s">
        <v>317</v>
      </c>
      <c r="C57" s="218" t="s">
        <v>202</v>
      </c>
      <c r="D57" s="238">
        <v>0</v>
      </c>
      <c r="E57" s="861">
        <v>0</v>
      </c>
      <c r="F57" s="863">
        <f>(G56/Assumptions!I8)*0.98</f>
        <v>56662609.277758755</v>
      </c>
      <c r="G57" s="864" t="s">
        <v>202</v>
      </c>
      <c r="H57" s="231" t="s">
        <v>202</v>
      </c>
      <c r="I57" s="231" t="s">
        <v>202</v>
      </c>
      <c r="J57" s="231" t="s">
        <v>202</v>
      </c>
      <c r="K57" s="231" t="s">
        <v>202</v>
      </c>
      <c r="L57" s="231" t="s">
        <v>202</v>
      </c>
      <c r="M57" s="231" t="s">
        <v>202</v>
      </c>
      <c r="N57" s="231" t="s">
        <v>202</v>
      </c>
      <c r="O57" s="232" t="s">
        <v>202</v>
      </c>
      <c r="AP57" s="47"/>
      <c r="AQ57" s="47"/>
      <c r="AR57" s="47"/>
      <c r="AS57" s="47"/>
    </row>
    <row r="58" spans="1:45" s="125" customFormat="1" ht="15.75" thickBot="1">
      <c r="B58" s="240" t="s">
        <v>328</v>
      </c>
      <c r="C58" s="336">
        <f>IRR(D58:N58)</f>
        <v>0.15441048166736948</v>
      </c>
      <c r="D58" s="241">
        <f>-D30</f>
        <v>-79527001.491218135</v>
      </c>
      <c r="E58" s="362">
        <f>-E30</f>
        <v>-17842184.170743801</v>
      </c>
      <c r="F58" s="241">
        <f>F47+F48+F56+F57</f>
        <v>126579941.36055055</v>
      </c>
      <c r="G58" s="379">
        <v>0</v>
      </c>
      <c r="H58" s="242">
        <v>0</v>
      </c>
      <c r="I58" s="242">
        <f t="shared" ref="I58:N58" si="33">SUM(I38:I39,I56:I57,I47:I48,I30)</f>
        <v>0</v>
      </c>
      <c r="J58" s="242">
        <f t="shared" si="33"/>
        <v>0</v>
      </c>
      <c r="K58" s="242">
        <f t="shared" si="33"/>
        <v>0</v>
      </c>
      <c r="L58" s="242">
        <f t="shared" si="33"/>
        <v>0</v>
      </c>
      <c r="M58" s="242">
        <f t="shared" si="33"/>
        <v>0</v>
      </c>
      <c r="N58" s="242">
        <f t="shared" si="33"/>
        <v>0</v>
      </c>
      <c r="O58" s="243" t="s">
        <v>202</v>
      </c>
      <c r="AP58" s="47"/>
      <c r="AQ58" s="47"/>
      <c r="AR58" s="47"/>
      <c r="AS58" s="47"/>
    </row>
    <row r="59" spans="1:45" s="125" customFormat="1">
      <c r="B59" s="186" t="s">
        <v>651</v>
      </c>
      <c r="C59" s="244">
        <f>Assumptions!I13</f>
        <v>5.2499999999999998E-2</v>
      </c>
      <c r="D59" s="239">
        <f>C59*-'Site 4 - Financial'!E17</f>
        <v>-2871013.9530593185</v>
      </c>
      <c r="E59" s="367">
        <f t="shared" ref="E59" si="34">D59</f>
        <v>-2871013.9530593185</v>
      </c>
      <c r="F59" s="239">
        <f>E59</f>
        <v>-2871013.9530593185</v>
      </c>
      <c r="G59" s="384" t="s">
        <v>202</v>
      </c>
      <c r="H59" s="234" t="s">
        <v>202</v>
      </c>
      <c r="I59" s="234" t="s">
        <v>202</v>
      </c>
      <c r="J59" s="234" t="s">
        <v>202</v>
      </c>
      <c r="K59" s="234" t="s">
        <v>202</v>
      </c>
      <c r="L59" s="234" t="s">
        <v>202</v>
      </c>
      <c r="M59" s="234" t="s">
        <v>202</v>
      </c>
      <c r="N59" s="234" t="s">
        <v>202</v>
      </c>
      <c r="O59" s="207" t="s">
        <v>202</v>
      </c>
      <c r="AP59" s="47"/>
      <c r="AQ59" s="47"/>
      <c r="AR59" s="47"/>
      <c r="AS59" s="47"/>
    </row>
    <row r="60" spans="1:45" s="191" customFormat="1" outlineLevel="1">
      <c r="B60" s="337" t="s">
        <v>650</v>
      </c>
      <c r="C60" s="338"/>
      <c r="D60" s="339">
        <f>'Site 4 - Financial'!E17</f>
        <v>54685980.058272734</v>
      </c>
      <c r="E60" s="368">
        <f>D60</f>
        <v>54685980.058272734</v>
      </c>
      <c r="F60" s="339">
        <f>-'Site 4 - Financial'!E17</f>
        <v>-54685980.058272734</v>
      </c>
      <c r="G60" s="385" t="s">
        <v>202</v>
      </c>
      <c r="H60" s="340" t="s">
        <v>202</v>
      </c>
      <c r="I60" s="340" t="s">
        <v>202</v>
      </c>
      <c r="J60" s="340" t="s">
        <v>202</v>
      </c>
      <c r="K60" s="340" t="s">
        <v>202</v>
      </c>
      <c r="L60" s="340" t="s">
        <v>202</v>
      </c>
      <c r="M60" s="340" t="s">
        <v>202</v>
      </c>
      <c r="N60" s="340" t="s">
        <v>202</v>
      </c>
      <c r="O60" s="341" t="s">
        <v>202</v>
      </c>
      <c r="AP60" s="344"/>
      <c r="AQ60" s="344"/>
      <c r="AR60" s="344"/>
      <c r="AS60" s="344"/>
    </row>
    <row r="61" spans="1:45" s="125" customFormat="1" ht="15.75" thickBot="1">
      <c r="B61" s="186" t="s">
        <v>332</v>
      </c>
      <c r="C61" s="219"/>
      <c r="D61" s="239">
        <f>D58*'Site 4 - Financial'!$D$18</f>
        <v>-35787150.671048157</v>
      </c>
      <c r="E61" s="367">
        <f>E58*'Site 4 - Financial'!$D$18</f>
        <v>-8028982.8768347092</v>
      </c>
      <c r="F61" s="239">
        <v>0</v>
      </c>
      <c r="G61" s="384" t="s">
        <v>202</v>
      </c>
      <c r="H61" s="234" t="s">
        <v>202</v>
      </c>
      <c r="I61" s="234" t="s">
        <v>202</v>
      </c>
      <c r="J61" s="234" t="s">
        <v>202</v>
      </c>
      <c r="K61" s="234" t="s">
        <v>202</v>
      </c>
      <c r="L61" s="234" t="s">
        <v>202</v>
      </c>
      <c r="M61" s="234" t="s">
        <v>202</v>
      </c>
      <c r="N61" s="234" t="s">
        <v>202</v>
      </c>
      <c r="O61" s="207" t="s">
        <v>202</v>
      </c>
      <c r="AP61" s="47"/>
      <c r="AQ61" s="47"/>
      <c r="AR61" s="47"/>
      <c r="AS61" s="47"/>
    </row>
    <row r="62" spans="1:45" s="137" customFormat="1" ht="15.75" thickBot="1">
      <c r="B62" s="240" t="s">
        <v>329</v>
      </c>
      <c r="C62" s="336">
        <f>IRR(D62:N62)</f>
        <v>0.20265165278735919</v>
      </c>
      <c r="D62" s="241">
        <f>D61+D59</f>
        <v>-38658164.624107473</v>
      </c>
      <c r="E62" s="362">
        <f>E61+E59</f>
        <v>-10899996.829894029</v>
      </c>
      <c r="F62" s="241">
        <f>SUM(F58:F61)</f>
        <v>69022947.349218503</v>
      </c>
      <c r="G62" s="379">
        <v>0</v>
      </c>
      <c r="H62" s="242">
        <v>0</v>
      </c>
      <c r="I62" s="242">
        <v>0</v>
      </c>
      <c r="J62" s="242">
        <v>0</v>
      </c>
      <c r="K62" s="242">
        <v>0</v>
      </c>
      <c r="L62" s="242">
        <v>0</v>
      </c>
      <c r="M62" s="242">
        <v>0</v>
      </c>
      <c r="N62" s="242">
        <v>0</v>
      </c>
      <c r="O62" s="243" t="s">
        <v>202</v>
      </c>
      <c r="AP62" s="248"/>
      <c r="AQ62" s="248"/>
      <c r="AR62" s="248"/>
      <c r="AS62" s="248"/>
    </row>
    <row r="63" spans="1:45" s="89" customFormat="1">
      <c r="A63" s="125"/>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P63" s="48"/>
      <c r="AQ63" s="48"/>
      <c r="AR63" s="48"/>
      <c r="AS63" s="48"/>
    </row>
    <row r="64" spans="1:45" s="89" customFormat="1">
      <c r="A64" s="125"/>
      <c r="B64" s="48"/>
      <c r="C64" s="171"/>
      <c r="D64" s="48"/>
      <c r="E64" s="48"/>
      <c r="F64" s="48"/>
      <c r="G64" s="48"/>
      <c r="H64" s="48"/>
      <c r="I64" s="292"/>
      <c r="J64" s="292"/>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P64" s="48"/>
      <c r="AQ64" s="48"/>
      <c r="AR64" s="48"/>
      <c r="AS64" s="48"/>
    </row>
    <row r="65" spans="1:45" s="89" customFormat="1">
      <c r="A65" s="125"/>
      <c r="B65" s="48"/>
      <c r="C65" s="171"/>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P65" s="48"/>
      <c r="AQ65" s="48"/>
      <c r="AR65" s="48"/>
      <c r="AS65" s="48"/>
    </row>
    <row r="66" spans="1:45" s="89" customFormat="1">
      <c r="A66" s="125"/>
      <c r="B66" s="136"/>
      <c r="C66" s="176"/>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P66" s="48"/>
      <c r="AQ66" s="48"/>
      <c r="AR66" s="48"/>
      <c r="AS66" s="48"/>
    </row>
    <row r="67" spans="1:45" s="89" customFormat="1">
      <c r="A67" s="125"/>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P67" s="48"/>
      <c r="AQ67" s="48"/>
      <c r="AR67" s="48"/>
      <c r="AS67" s="48"/>
    </row>
  </sheetData>
  <mergeCells count="1">
    <mergeCell ref="B2:B4"/>
  </mergeCells>
  <conditionalFormatting sqref="D4:O4">
    <cfRule type="cellIs" dxfId="23" priority="1" operator="equal">
      <formula>#REF!</formula>
    </cfRule>
    <cfRule type="cellIs" dxfId="22" priority="2" operator="equal">
      <formula>#REF!</formula>
    </cfRule>
    <cfRule type="cellIs" dxfId="21" priority="3" operator="equal">
      <formula>#REF!</formula>
    </cfRule>
    <cfRule type="cellIs" dxfId="20" priority="4"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B7796-49FA-654F-B330-876346CFE5AB}">
  <sheetPr>
    <tabColor rgb="FF92D050"/>
    <pageSetUpPr fitToPage="1"/>
  </sheetPr>
  <dimension ref="B1:K90"/>
  <sheetViews>
    <sheetView showGridLines="0" zoomScale="86" zoomScaleNormal="110" zoomScaleSheetLayoutView="90" workbookViewId="0">
      <selection activeCell="J27" sqref="J27"/>
    </sheetView>
  </sheetViews>
  <sheetFormatPr defaultColWidth="8.85546875" defaultRowHeight="23.25" customHeight="1"/>
  <cols>
    <col min="1" max="1" width="2" style="48" customWidth="1"/>
    <col min="2" max="2" width="36.42578125" style="48" bestFit="1" customWidth="1"/>
    <col min="3" max="3" width="32.140625" style="48" bestFit="1" customWidth="1"/>
    <col min="4" max="4" width="22.42578125" style="48" bestFit="1" customWidth="1"/>
    <col min="5" max="5" width="18.42578125" style="48" customWidth="1"/>
    <col min="6" max="6" width="18.140625" style="48" bestFit="1" customWidth="1"/>
    <col min="7" max="7" width="44.85546875" style="48" customWidth="1"/>
    <col min="8" max="11" width="26.140625" style="48" customWidth="1"/>
    <col min="12" max="12" width="13.140625" style="48" bestFit="1" customWidth="1"/>
    <col min="13" max="13" width="24.42578125" style="48" customWidth="1"/>
    <col min="14" max="14" width="32.42578125" style="48" customWidth="1"/>
    <col min="15" max="15" width="20.140625" style="48" customWidth="1"/>
    <col min="16" max="16384" width="8.85546875" style="48"/>
  </cols>
  <sheetData>
    <row r="1" spans="2:10" ht="12" customHeight="1" thickBot="1">
      <c r="B1" s="115"/>
      <c r="C1" s="115"/>
      <c r="D1" s="113"/>
      <c r="E1" s="116"/>
    </row>
    <row r="2" spans="2:10" ht="21" customHeight="1">
      <c r="B2" s="1249" t="str">
        <f>'Development Program'!B9</f>
        <v>Goat Hill</v>
      </c>
      <c r="C2" s="1250"/>
      <c r="D2" s="1250"/>
      <c r="E2" s="1250"/>
      <c r="F2" s="1251"/>
      <c r="G2" s="1268" t="s">
        <v>100</v>
      </c>
      <c r="H2" s="1244" t="s">
        <v>18</v>
      </c>
      <c r="I2" s="1244" t="s">
        <v>96</v>
      </c>
      <c r="J2" s="1246" t="s">
        <v>90</v>
      </c>
    </row>
    <row r="3" spans="2:10" ht="21" customHeight="1" thickBot="1">
      <c r="B3" s="87" t="s">
        <v>396</v>
      </c>
      <c r="C3" s="310" t="s">
        <v>83</v>
      </c>
      <c r="D3" s="311" t="s">
        <v>387</v>
      </c>
      <c r="E3" s="310" t="s">
        <v>388</v>
      </c>
      <c r="F3" s="114" t="s">
        <v>389</v>
      </c>
      <c r="G3" s="1269"/>
      <c r="H3" s="1245"/>
      <c r="I3" s="1245"/>
      <c r="J3" s="1247"/>
    </row>
    <row r="4" spans="2:10" ht="21" customHeight="1">
      <c r="B4" s="146" t="s">
        <v>85</v>
      </c>
      <c r="C4" s="147">
        <v>75</v>
      </c>
      <c r="D4" s="148">
        <f>Assumptions!C7*C4</f>
        <v>33750</v>
      </c>
      <c r="E4" s="149">
        <f>Assumptions!D7</f>
        <v>2000</v>
      </c>
      <c r="F4" s="150">
        <f>E4*C4*12</f>
        <v>1800000</v>
      </c>
      <c r="G4" s="120" t="str">
        <f>Assumptions!F19</f>
        <v>Residential Condominium Hard Costs for Construction</v>
      </c>
      <c r="H4" s="269">
        <f>'Market Research'!H117</f>
        <v>290</v>
      </c>
      <c r="I4" s="270">
        <f>H4*(D8+D15)</f>
        <v>63002500</v>
      </c>
      <c r="J4" s="289">
        <f>I4/($C$20+$C$8+$C$15)</f>
        <v>201285.94249201278</v>
      </c>
    </row>
    <row r="5" spans="2:10" ht="21" customHeight="1">
      <c r="B5" s="151" t="s">
        <v>187</v>
      </c>
      <c r="C5" s="152">
        <v>120</v>
      </c>
      <c r="D5" s="153">
        <f>Assumptions!C9*C5</f>
        <v>78000</v>
      </c>
      <c r="E5" s="154">
        <f>Assumptions!D9</f>
        <v>2400</v>
      </c>
      <c r="F5" s="155">
        <f>C5*E5*12</f>
        <v>3456000</v>
      </c>
      <c r="G5" s="120" t="s">
        <v>306</v>
      </c>
      <c r="H5" s="271">
        <f>'Market Research'!H122</f>
        <v>275</v>
      </c>
      <c r="I5" s="270">
        <f>H5*D19</f>
        <v>0</v>
      </c>
      <c r="J5" s="290">
        <f t="shared" ref="J5:J28" si="0">I5/($C$20+$C$8+$C$15)</f>
        <v>0</v>
      </c>
    </row>
    <row r="6" spans="2:10" ht="21" customHeight="1">
      <c r="B6" s="151" t="s">
        <v>188</v>
      </c>
      <c r="C6" s="152">
        <v>95</v>
      </c>
      <c r="D6" s="153">
        <f>Assumptions!C11*C6</f>
        <v>95000</v>
      </c>
      <c r="E6" s="154">
        <f>Assumptions!D11</f>
        <v>3400</v>
      </c>
      <c r="F6" s="155">
        <f>C6*E6*12</f>
        <v>3876000</v>
      </c>
      <c r="G6" s="120" t="s">
        <v>307</v>
      </c>
      <c r="H6" s="271">
        <f>'Market Research'!H122</f>
        <v>275</v>
      </c>
      <c r="I6" s="270">
        <f>H5*D18</f>
        <v>7491825</v>
      </c>
      <c r="J6" s="290">
        <f t="shared" si="0"/>
        <v>23935.543130990416</v>
      </c>
    </row>
    <row r="7" spans="2:10" ht="21" customHeight="1" thickBot="1">
      <c r="B7" s="156" t="s">
        <v>189</v>
      </c>
      <c r="C7" s="157">
        <v>0</v>
      </c>
      <c r="D7" s="158">
        <f>Assumptions!C13*C7</f>
        <v>0</v>
      </c>
      <c r="E7" s="159">
        <f>Assumptions!D13</f>
        <v>4600</v>
      </c>
      <c r="F7" s="160">
        <f>E7*C7*12</f>
        <v>0</v>
      </c>
      <c r="G7" s="477" t="s">
        <v>589</v>
      </c>
      <c r="H7" s="272">
        <f>'Market Research'!H135</f>
        <v>160</v>
      </c>
      <c r="I7" s="270">
        <v>0</v>
      </c>
      <c r="J7" s="290">
        <f t="shared" si="0"/>
        <v>0</v>
      </c>
    </row>
    <row r="8" spans="2:10" ht="21" customHeight="1">
      <c r="B8" s="1218" t="s">
        <v>86</v>
      </c>
      <c r="C8" s="1220">
        <f>SUM(C4:C7)</f>
        <v>290</v>
      </c>
      <c r="D8" s="1253">
        <f>SUM(D4:D7)</f>
        <v>206750</v>
      </c>
      <c r="E8" s="1255">
        <f>F8/C8/12</f>
        <v>2624.1379310344828</v>
      </c>
      <c r="F8" s="1206">
        <f>SUM(F4:F7)</f>
        <v>9132000</v>
      </c>
      <c r="G8" s="120" t="s">
        <v>20</v>
      </c>
      <c r="H8" s="273">
        <v>0.1</v>
      </c>
      <c r="I8" s="270">
        <f>H8*SUM(I4:I7)</f>
        <v>7049432.5</v>
      </c>
      <c r="J8" s="290">
        <f t="shared" si="0"/>
        <v>22522.148562300321</v>
      </c>
    </row>
    <row r="9" spans="2:10" ht="21" customHeight="1">
      <c r="B9" s="1252"/>
      <c r="C9" s="1221"/>
      <c r="D9" s="1254"/>
      <c r="E9" s="1256"/>
      <c r="F9" s="1248"/>
      <c r="G9" s="120" t="s">
        <v>6</v>
      </c>
      <c r="H9" s="274" t="s">
        <v>24</v>
      </c>
      <c r="I9" s="270">
        <v>0</v>
      </c>
      <c r="J9" s="290">
        <f t="shared" si="0"/>
        <v>0</v>
      </c>
    </row>
    <row r="10" spans="2:10" ht="21" customHeight="1" thickBot="1">
      <c r="B10" s="87" t="s">
        <v>581</v>
      </c>
      <c r="C10" s="310" t="s">
        <v>83</v>
      </c>
      <c r="D10" s="311" t="s">
        <v>387</v>
      </c>
      <c r="E10" s="310" t="s">
        <v>582</v>
      </c>
      <c r="F10" s="114" t="s">
        <v>389</v>
      </c>
      <c r="G10" s="477" t="s">
        <v>308</v>
      </c>
      <c r="H10" s="275">
        <f>'Market Research'!C53</f>
        <v>45000000</v>
      </c>
      <c r="I10" s="270">
        <f>H10*C24</f>
        <v>84009297.52066116</v>
      </c>
      <c r="J10" s="290">
        <f t="shared" si="0"/>
        <v>268400.31156760757</v>
      </c>
    </row>
    <row r="11" spans="2:10" ht="21" customHeight="1">
      <c r="B11" s="146" t="s">
        <v>85</v>
      </c>
      <c r="C11" s="736">
        <v>5</v>
      </c>
      <c r="D11" s="148">
        <f>Assumptions!C7*C11</f>
        <v>2250</v>
      </c>
      <c r="E11" s="737">
        <f>'Site 2 - Financial'!E11</f>
        <v>1768</v>
      </c>
      <c r="F11" s="356">
        <f>E11*C11*12</f>
        <v>106080</v>
      </c>
      <c r="G11" s="477" t="s">
        <v>21</v>
      </c>
      <c r="H11" s="573" t="s">
        <v>367</v>
      </c>
      <c r="I11" s="270">
        <v>365000</v>
      </c>
      <c r="J11" s="289">
        <f t="shared" si="0"/>
        <v>1166.1341853035144</v>
      </c>
    </row>
    <row r="12" spans="2:10" ht="21" customHeight="1">
      <c r="B12" s="151" t="s">
        <v>187</v>
      </c>
      <c r="C12" s="739">
        <v>5</v>
      </c>
      <c r="D12" s="153">
        <f>Assumptions!C9*C12</f>
        <v>3250</v>
      </c>
      <c r="E12" s="740">
        <f>'Site 2 - Financial'!E12</f>
        <v>1895</v>
      </c>
      <c r="F12" s="356">
        <f>E12*C12*12</f>
        <v>113700</v>
      </c>
      <c r="G12" s="477" t="s">
        <v>42</v>
      </c>
      <c r="H12" s="265" t="s">
        <v>368</v>
      </c>
      <c r="I12" s="270">
        <f>'Development Program'!O22</f>
        <v>0</v>
      </c>
      <c r="J12" s="290">
        <f>I12/($C$20+$C$8+$C$15)</f>
        <v>0</v>
      </c>
    </row>
    <row r="13" spans="2:10" ht="21" customHeight="1">
      <c r="B13" s="151" t="s">
        <v>188</v>
      </c>
      <c r="C13" s="739">
        <v>5</v>
      </c>
      <c r="D13" s="878">
        <f>C13*Assumptions!C11</f>
        <v>5000</v>
      </c>
      <c r="E13" s="880">
        <f>'Site 2 - Financial'!E13</f>
        <v>2274</v>
      </c>
      <c r="F13" s="356">
        <f>E13*C13*12</f>
        <v>136440</v>
      </c>
      <c r="G13" s="118" t="s">
        <v>23</v>
      </c>
      <c r="H13" s="261" t="s">
        <v>24</v>
      </c>
      <c r="I13" s="262">
        <v>400000</v>
      </c>
      <c r="J13" s="290">
        <f t="shared" si="0"/>
        <v>1277.9552715654952</v>
      </c>
    </row>
    <row r="14" spans="2:10" ht="21" customHeight="1" thickBot="1">
      <c r="B14" s="156" t="s">
        <v>189</v>
      </c>
      <c r="C14" s="741">
        <v>0</v>
      </c>
      <c r="D14" s="158">
        <f>Assumptions!C13*C14</f>
        <v>0</v>
      </c>
      <c r="E14" s="742">
        <f>'Site 2 - Financial'!E14</f>
        <v>2628</v>
      </c>
      <c r="F14" s="356">
        <f>E14*C14*12</f>
        <v>0</v>
      </c>
      <c r="G14" s="118" t="s">
        <v>361</v>
      </c>
      <c r="H14" s="285">
        <v>0.02</v>
      </c>
      <c r="I14" s="262">
        <f>H14*I10</f>
        <v>1680185.9504132234</v>
      </c>
      <c r="J14" s="290">
        <f t="shared" si="0"/>
        <v>5368.0062313521512</v>
      </c>
    </row>
    <row r="15" spans="2:10" ht="21" customHeight="1">
      <c r="B15" s="1218" t="s">
        <v>86</v>
      </c>
      <c r="C15" s="1220">
        <f>SUM(C11:C14)</f>
        <v>15</v>
      </c>
      <c r="D15" s="1253">
        <f>SUM(D11:D14)</f>
        <v>10500</v>
      </c>
      <c r="E15" s="1255">
        <f>F15/12/C15</f>
        <v>1979</v>
      </c>
      <c r="F15" s="1206">
        <f>SUM(F11:F14)</f>
        <v>356220</v>
      </c>
      <c r="G15" s="118" t="s">
        <v>26</v>
      </c>
      <c r="H15" s="263">
        <v>0.04</v>
      </c>
      <c r="I15" s="262">
        <f>H15*SUM(I4:I7)</f>
        <v>2819773</v>
      </c>
      <c r="J15" s="290">
        <f t="shared" si="0"/>
        <v>9008.8594249201269</v>
      </c>
    </row>
    <row r="16" spans="2:10" ht="21" customHeight="1">
      <c r="B16" s="1252"/>
      <c r="C16" s="1221"/>
      <c r="D16" s="1254"/>
      <c r="E16" s="1256"/>
      <c r="F16" s="1248"/>
      <c r="G16" s="118" t="s">
        <v>27</v>
      </c>
      <c r="H16" s="264">
        <v>0.03</v>
      </c>
      <c r="I16" s="262">
        <f>H16*SUM(I4:I15)</f>
        <v>5004540.4191322317</v>
      </c>
      <c r="J16" s="290">
        <f t="shared" si="0"/>
        <v>15988.947025981572</v>
      </c>
    </row>
    <row r="17" spans="2:11" ht="21" customHeight="1" thickBot="1">
      <c r="B17" s="177" t="s">
        <v>87</v>
      </c>
      <c r="C17" s="310" t="s">
        <v>83</v>
      </c>
      <c r="D17" s="310" t="s">
        <v>387</v>
      </c>
      <c r="E17" s="310" t="s">
        <v>88</v>
      </c>
      <c r="F17" s="114" t="s">
        <v>84</v>
      </c>
      <c r="G17" s="118" t="s">
        <v>28</v>
      </c>
      <c r="H17" s="263">
        <v>0.02</v>
      </c>
      <c r="I17" s="262">
        <f>H17*SUM(I4:I7)</f>
        <v>1409886.5</v>
      </c>
      <c r="J17" s="290">
        <f t="shared" si="0"/>
        <v>4504.4297124600635</v>
      </c>
    </row>
    <row r="18" spans="2:11" ht="21" customHeight="1">
      <c r="B18" s="161" t="s">
        <v>1</v>
      </c>
      <c r="C18" s="162">
        <v>8</v>
      </c>
      <c r="D18" s="163">
        <v>27243</v>
      </c>
      <c r="E18" s="164">
        <f>Assumptions!F7</f>
        <v>35</v>
      </c>
      <c r="F18" s="165">
        <f>D18*E18</f>
        <v>953505</v>
      </c>
      <c r="G18" s="486" t="s">
        <v>98</v>
      </c>
      <c r="H18" s="746">
        <v>8.8293999999999994E-3</v>
      </c>
      <c r="I18" s="262">
        <f>H18*I10</f>
        <v>741751.69152892556</v>
      </c>
      <c r="J18" s="290">
        <f t="shared" si="0"/>
        <v>2369.8137109550339</v>
      </c>
    </row>
    <row r="19" spans="2:11" ht="21" customHeight="1" thickBot="1">
      <c r="B19" s="166" t="s">
        <v>0</v>
      </c>
      <c r="C19" s="167">
        <v>0</v>
      </c>
      <c r="D19" s="168">
        <v>0</v>
      </c>
      <c r="E19" s="169">
        <f>Assumptions!G7</f>
        <v>45</v>
      </c>
      <c r="F19" s="170">
        <f>D19*E19</f>
        <v>0</v>
      </c>
      <c r="G19" s="118" t="s">
        <v>29</v>
      </c>
      <c r="H19" s="265">
        <v>6000</v>
      </c>
      <c r="I19" s="262">
        <f>H19*(C8+C20)</f>
        <v>1788000</v>
      </c>
      <c r="J19" s="290">
        <f t="shared" si="0"/>
        <v>5712.4600638977636</v>
      </c>
    </row>
    <row r="20" spans="2:11" ht="21" customHeight="1">
      <c r="B20" s="1218" t="s">
        <v>86</v>
      </c>
      <c r="C20" s="1220">
        <f>SUM(C18:C19)</f>
        <v>8</v>
      </c>
      <c r="D20" s="1222">
        <f>SUM(D18:D19)</f>
        <v>27243</v>
      </c>
      <c r="E20" s="1224">
        <f>IF(D20=0,0,F20/D20)</f>
        <v>35</v>
      </c>
      <c r="F20" s="1206">
        <f>SUM(F18:F19)</f>
        <v>953505</v>
      </c>
      <c r="G20" s="118" t="s">
        <v>30</v>
      </c>
      <c r="H20" s="261" t="s">
        <v>24</v>
      </c>
      <c r="I20" s="262">
        <v>400000</v>
      </c>
      <c r="J20" s="290">
        <f t="shared" si="0"/>
        <v>1277.9552715654952</v>
      </c>
    </row>
    <row r="21" spans="2:11" ht="21" customHeight="1" thickBot="1">
      <c r="B21" s="1219"/>
      <c r="C21" s="1221"/>
      <c r="D21" s="1223"/>
      <c r="E21" s="1225"/>
      <c r="F21" s="1207"/>
      <c r="G21" s="118" t="s">
        <v>31</v>
      </c>
      <c r="H21" s="266" t="s">
        <v>363</v>
      </c>
      <c r="I21" s="262">
        <f>-SUM('Site 5 - Draw'!E38:G38,'Site 5 - Draw'!E56:G56,'Site 5 - Draw'!E65:G65)</f>
        <v>1584299.7975000001</v>
      </c>
      <c r="J21" s="290">
        <f t="shared" si="0"/>
        <v>5061.660694888179</v>
      </c>
    </row>
    <row r="22" spans="2:11" ht="21" customHeight="1">
      <c r="B22" s="1059" t="s">
        <v>371</v>
      </c>
      <c r="C22" s="1061"/>
      <c r="D22" s="1215" t="s">
        <v>203</v>
      </c>
      <c r="E22" s="1216"/>
      <c r="F22" s="1217"/>
      <c r="G22" s="118" t="s">
        <v>364</v>
      </c>
      <c r="H22" s="267">
        <f>'Market Research'!H125</f>
        <v>150</v>
      </c>
      <c r="I22" s="262">
        <f>H22*D20</f>
        <v>4086450</v>
      </c>
      <c r="J22" s="290">
        <f t="shared" si="0"/>
        <v>13055.750798722045</v>
      </c>
    </row>
    <row r="23" spans="2:11" ht="21" customHeight="1" thickBot="1">
      <c r="B23" s="134" t="s">
        <v>319</v>
      </c>
      <c r="C23" s="190" t="s">
        <v>375</v>
      </c>
      <c r="D23" s="134" t="s">
        <v>319</v>
      </c>
      <c r="E23" s="135" t="s">
        <v>103</v>
      </c>
      <c r="F23" s="190" t="s">
        <v>90</v>
      </c>
      <c r="G23" s="118" t="s">
        <v>365</v>
      </c>
      <c r="H23" s="268">
        <v>0.06</v>
      </c>
      <c r="I23" s="262">
        <f>('Site 5 - Draw'!H50)*5*H23</f>
        <v>286051.5</v>
      </c>
      <c r="J23" s="290">
        <f t="shared" si="0"/>
        <v>913.90255591054313</v>
      </c>
    </row>
    <row r="24" spans="2:11" ht="21" customHeight="1">
      <c r="B24" s="293" t="s">
        <v>372</v>
      </c>
      <c r="C24" s="294">
        <f>81321/43560</f>
        <v>1.8668732782369146</v>
      </c>
      <c r="D24" s="303">
        <f>Assumptions!I11</f>
        <v>0.55000000000000004</v>
      </c>
      <c r="E24" s="304">
        <f>D24*I27</f>
        <v>108346696.63357957</v>
      </c>
      <c r="F24" s="305">
        <f>E24/($C$8+$C$20+$C$15)</f>
        <v>346155.58029897627</v>
      </c>
      <c r="G24" s="486" t="s">
        <v>33</v>
      </c>
      <c r="H24" s="487">
        <v>0.01</v>
      </c>
      <c r="I24" s="262">
        <v>1900000</v>
      </c>
      <c r="J24" s="290">
        <f t="shared" si="0"/>
        <v>6070.2875399361019</v>
      </c>
    </row>
    <row r="25" spans="2:11" ht="21" customHeight="1">
      <c r="B25" s="295" t="s">
        <v>373</v>
      </c>
      <c r="C25" s="392">
        <v>314869</v>
      </c>
      <c r="D25" s="306">
        <f>1-D24</f>
        <v>0.44999999999999996</v>
      </c>
      <c r="E25" s="301">
        <f>(D25*I27)-E26</f>
        <v>88647297.245655999</v>
      </c>
      <c r="F25" s="302">
        <f t="shared" ref="F25" si="1">E25/($C$8+$C$20+$C$15)</f>
        <v>283218.20206279872</v>
      </c>
      <c r="G25" s="488" t="s">
        <v>34</v>
      </c>
      <c r="H25" s="489">
        <f>Assumptions!$I$13</f>
        <v>5.2499999999999998E-2</v>
      </c>
      <c r="I25" s="262">
        <f>I24*H25*100</f>
        <v>9975000</v>
      </c>
      <c r="J25" s="290">
        <f t="shared" si="0"/>
        <v>31869.009584664538</v>
      </c>
    </row>
    <row r="26" spans="2:11" ht="21" customHeight="1" thickBot="1">
      <c r="B26" s="295" t="s">
        <v>374</v>
      </c>
      <c r="C26" s="296">
        <f>D8+D20+D15</f>
        <v>244493</v>
      </c>
      <c r="D26" s="295" t="s">
        <v>382</v>
      </c>
      <c r="E26" s="312">
        <f>I28</f>
        <v>0</v>
      </c>
      <c r="F26" s="313">
        <f>E26/($C$8+$C$20+$C$15)</f>
        <v>0</v>
      </c>
      <c r="G26" s="121" t="s">
        <v>99</v>
      </c>
      <c r="H26" s="259" t="s">
        <v>24</v>
      </c>
      <c r="I26" s="260">
        <v>3000000</v>
      </c>
      <c r="J26" s="291">
        <f t="shared" si="0"/>
        <v>9584.6645367412148</v>
      </c>
    </row>
    <row r="27" spans="2:11" ht="21" customHeight="1">
      <c r="B27" s="295" t="s">
        <v>376</v>
      </c>
      <c r="C27" s="297">
        <f>720/2</f>
        <v>360</v>
      </c>
      <c r="D27" s="295" t="s">
        <v>383</v>
      </c>
      <c r="E27" s="307">
        <f>SUM(E24:E26)</f>
        <v>196993993.87923557</v>
      </c>
      <c r="F27" s="308">
        <f t="shared" ref="F27" si="2">E27/($C$8+$C$20+$C$15)</f>
        <v>629373.78236177494</v>
      </c>
      <c r="G27" s="122" t="s">
        <v>100</v>
      </c>
      <c r="H27" s="319" t="s">
        <v>202</v>
      </c>
      <c r="I27" s="320">
        <f>SUM(I4:I26)</f>
        <v>196993993.87923557</v>
      </c>
      <c r="J27" s="321">
        <f t="shared" si="0"/>
        <v>629373.78236177494</v>
      </c>
    </row>
    <row r="28" spans="2:11" ht="21" customHeight="1" thickBot="1">
      <c r="B28" s="295" t="s">
        <v>377</v>
      </c>
      <c r="C28" s="297">
        <f>C27</f>
        <v>360</v>
      </c>
      <c r="D28" s="299"/>
      <c r="E28" s="309"/>
      <c r="F28" s="300"/>
      <c r="G28" s="123" t="s">
        <v>382</v>
      </c>
      <c r="H28" s="322" t="s">
        <v>202</v>
      </c>
      <c r="I28" s="323">
        <f>IF(I27-I32&gt;0,I27-I32,0)</f>
        <v>0</v>
      </c>
      <c r="J28" s="324">
        <f t="shared" si="0"/>
        <v>0</v>
      </c>
    </row>
    <row r="29" spans="2:11" ht="21" customHeight="1">
      <c r="B29" s="298" t="s">
        <v>421</v>
      </c>
      <c r="C29" s="392">
        <v>237306</v>
      </c>
      <c r="D29" s="1228" t="s">
        <v>104</v>
      </c>
      <c r="E29" s="1230">
        <f>E24+E25+E26</f>
        <v>196993993.87923557</v>
      </c>
      <c r="F29" s="1210">
        <f t="shared" ref="F29:F30" si="3">E29/($C$8+$C$20+$C$15)</f>
        <v>629373.78236177494</v>
      </c>
      <c r="G29" s="123" t="s">
        <v>324</v>
      </c>
      <c r="H29" s="322" t="s">
        <v>202</v>
      </c>
      <c r="I29" s="323">
        <f>'Site 5 - Draw'!H38+'Site 5 - Draw'!H39+'Site 5 - Draw'!H47+'Site 5 - Draw'!H48+'Site 5 - Draw'!H56+'Site 5 - Draw'!H57</f>
        <v>256680046.14720827</v>
      </c>
      <c r="J29" s="324">
        <f>I29/($C$20+$C$8+$C$15)</f>
        <v>820064.04519874847</v>
      </c>
    </row>
    <row r="30" spans="2:11" ht="21" customHeight="1" thickBot="1">
      <c r="B30" s="413" t="s">
        <v>420</v>
      </c>
      <c r="C30" s="412">
        <f>C25/(C24*43560)</f>
        <v>3.871927300451298</v>
      </c>
      <c r="D30" s="1229"/>
      <c r="E30" s="1231"/>
      <c r="F30" s="1211">
        <f t="shared" si="3"/>
        <v>0</v>
      </c>
      <c r="G30" s="123" t="s">
        <v>101</v>
      </c>
      <c r="H30" s="322" t="s">
        <v>202</v>
      </c>
      <c r="I30" s="355">
        <f>('Site 5 - Draw'!I56+'Site 5 - Draw'!I47+'Site 5 - Draw'!I38)/I27</f>
        <v>5.9766398275202824E-2</v>
      </c>
      <c r="J30" s="325" t="s">
        <v>202</v>
      </c>
    </row>
    <row r="31" spans="2:11" ht="21" customHeight="1" thickBot="1">
      <c r="B31" s="391">
        <v>22</v>
      </c>
      <c r="C31" s="392">
        <f>C25/B31</f>
        <v>14312.227272727272</v>
      </c>
      <c r="D31" s="1208" t="s">
        <v>105</v>
      </c>
      <c r="E31" s="1209"/>
      <c r="F31" s="245" t="s">
        <v>370</v>
      </c>
      <c r="G31" s="123" t="s">
        <v>102</v>
      </c>
      <c r="H31" s="322" t="s">
        <v>202</v>
      </c>
      <c r="I31" s="507">
        <f>I29/(I27-I28)-1</f>
        <v>0.30298412196547675</v>
      </c>
      <c r="J31" s="326" t="s">
        <v>202</v>
      </c>
      <c r="K31" s="251"/>
    </row>
    <row r="32" spans="2:11" ht="21" customHeight="1" thickBot="1">
      <c r="B32" s="299" t="s">
        <v>380</v>
      </c>
      <c r="C32" s="300" t="s">
        <v>381</v>
      </c>
      <c r="D32" s="1238" t="s">
        <v>321</v>
      </c>
      <c r="E32" s="1239"/>
      <c r="F32" s="314">
        <f>'Site 5 - Draw'!H38+'Site 5 - Draw'!H39+'Site 5 - Draw'!H47+'Site 5 - Draw'!H48</f>
        <v>201872484.83692455</v>
      </c>
      <c r="G32" s="757">
        <v>0.3</v>
      </c>
      <c r="H32" s="758" t="s">
        <v>202</v>
      </c>
      <c r="I32" s="759">
        <f>I29/(1+G32)</f>
        <v>197446189.34400636</v>
      </c>
      <c r="J32" s="760">
        <f>I32/($C$20+$C$8+$C$15)</f>
        <v>630818.49630672962</v>
      </c>
      <c r="K32" s="251"/>
    </row>
    <row r="33" spans="2:11" ht="21" customHeight="1" thickBot="1">
      <c r="B33" s="1208" t="s">
        <v>109</v>
      </c>
      <c r="C33" s="1212"/>
      <c r="D33" s="1213" t="s">
        <v>378</v>
      </c>
      <c r="E33" s="1214"/>
      <c r="F33" s="356">
        <f>((F8/C37)+(F15/C36)+'Site 5 - Draw'!H38+'Site 5 - Draw'!H47)/(C15+C8)</f>
        <v>683503.73275964172</v>
      </c>
      <c r="G33" s="1275"/>
      <c r="H33" s="1276"/>
      <c r="I33" s="1276"/>
      <c r="J33" s="1277"/>
    </row>
    <row r="34" spans="2:11" ht="21" customHeight="1">
      <c r="B34" s="286" t="s">
        <v>133</v>
      </c>
      <c r="C34" s="882">
        <f>'Site 5 - Draw'!C67</f>
        <v>0.12298317975535289</v>
      </c>
      <c r="D34" s="1213" t="s">
        <v>379</v>
      </c>
      <c r="E34" s="1214"/>
      <c r="F34" s="315">
        <f>F32/(C15+C8)</f>
        <v>661876.99946532643</v>
      </c>
      <c r="G34" s="1278"/>
      <c r="H34" s="1279"/>
      <c r="I34" s="1279"/>
      <c r="J34" s="1280"/>
      <c r="K34" s="251"/>
    </row>
    <row r="35" spans="2:11" ht="21" customHeight="1">
      <c r="B35" s="287" t="s">
        <v>40</v>
      </c>
      <c r="C35" s="883">
        <f>'Site 5 - Draw'!C71</f>
        <v>0.14253295283069733</v>
      </c>
      <c r="D35" s="1226" t="s">
        <v>322</v>
      </c>
      <c r="E35" s="1227"/>
      <c r="F35" s="316">
        <f>'Site 5 - Draw'!H57</f>
        <v>52468467.741464719</v>
      </c>
      <c r="G35" s="1278"/>
      <c r="H35" s="1279"/>
      <c r="I35" s="1279"/>
      <c r="J35" s="1280"/>
    </row>
    <row r="36" spans="2:11" ht="21" customHeight="1">
      <c r="B36" s="287" t="s">
        <v>653</v>
      </c>
      <c r="C36" s="884">
        <f>Assumptions!$I$6</f>
        <v>0.05</v>
      </c>
      <c r="D36" s="1240" t="s">
        <v>323</v>
      </c>
      <c r="E36" s="1241"/>
      <c r="F36" s="317">
        <f>F32+F35</f>
        <v>254340952.57838929</v>
      </c>
      <c r="G36" s="1278"/>
      <c r="H36" s="1279"/>
      <c r="I36" s="1279"/>
      <c r="J36" s="1280"/>
    </row>
    <row r="37" spans="2:11" ht="21" customHeight="1">
      <c r="B37" s="287" t="s">
        <v>652</v>
      </c>
      <c r="C37" s="884">
        <f>Assumptions!I$7</f>
        <v>4.7500000000000001E-2</v>
      </c>
      <c r="D37" s="1234" t="s">
        <v>106</v>
      </c>
      <c r="E37" s="1235"/>
      <c r="F37" s="316">
        <f>E24</f>
        <v>108346696.63357957</v>
      </c>
      <c r="G37" s="1278"/>
      <c r="H37" s="1279"/>
      <c r="I37" s="1279"/>
      <c r="J37" s="1280"/>
    </row>
    <row r="38" spans="2:11" ht="21" customHeight="1">
      <c r="B38" s="287" t="s">
        <v>384</v>
      </c>
      <c r="C38" s="884">
        <f>Assumptions!$I$9</f>
        <v>4.4999999999999998E-2</v>
      </c>
      <c r="D38" s="1234" t="s">
        <v>107</v>
      </c>
      <c r="E38" s="1235"/>
      <c r="F38" s="316">
        <f>E25</f>
        <v>88647297.245655999</v>
      </c>
      <c r="G38" s="1278"/>
      <c r="H38" s="1279"/>
      <c r="I38" s="1279"/>
      <c r="J38" s="1280"/>
    </row>
    <row r="39" spans="2:11" ht="21" customHeight="1" thickBot="1">
      <c r="B39" s="288" t="s">
        <v>385</v>
      </c>
      <c r="C39" s="885">
        <f>Assumptions!$I$8</f>
        <v>0.05</v>
      </c>
      <c r="D39" s="1236" t="s">
        <v>108</v>
      </c>
      <c r="E39" s="1237"/>
      <c r="F39" s="318">
        <f>F36-F37-F38</f>
        <v>57346958.699153736</v>
      </c>
      <c r="G39" s="1281"/>
      <c r="H39" s="1282"/>
      <c r="I39" s="1282"/>
      <c r="J39" s="1283"/>
    </row>
    <row r="40" spans="2:11" ht="15.95" customHeight="1"/>
    <row r="41" spans="2:11" ht="15" customHeight="1">
      <c r="D41" s="136"/>
      <c r="E41" s="136"/>
      <c r="F41" s="136"/>
    </row>
    <row r="42" spans="2:11" ht="15" customHeight="1">
      <c r="D42" s="124"/>
    </row>
    <row r="43" spans="2:11" ht="15" customHeight="1">
      <c r="D43" s="124"/>
      <c r="G43" s="136"/>
      <c r="H43" s="136"/>
      <c r="I43" s="136"/>
      <c r="J43" s="136"/>
    </row>
    <row r="44" spans="2:11" ht="12.75">
      <c r="D44" s="124"/>
      <c r="G44" s="124"/>
      <c r="H44" s="124"/>
      <c r="I44" s="124"/>
      <c r="J44" s="124"/>
    </row>
    <row r="45" spans="2:11" ht="12.75">
      <c r="D45" s="171"/>
      <c r="G45" s="124"/>
      <c r="H45" s="124"/>
      <c r="I45" s="124"/>
      <c r="J45" s="124"/>
    </row>
    <row r="46" spans="2:11" s="136" customFormat="1" ht="12.75">
      <c r="B46" s="48"/>
      <c r="C46" s="48"/>
      <c r="D46" s="171"/>
      <c r="E46" s="48"/>
      <c r="F46" s="48"/>
      <c r="G46" s="119"/>
      <c r="H46" s="119"/>
      <c r="I46" s="119"/>
      <c r="J46" s="119"/>
    </row>
    <row r="47" spans="2:11" ht="12.75">
      <c r="B47" s="136"/>
      <c r="C47" s="136"/>
      <c r="G47" s="124"/>
      <c r="H47" s="124"/>
      <c r="I47" s="124"/>
      <c r="J47" s="124"/>
    </row>
    <row r="48" spans="2:11" ht="12.95" customHeight="1">
      <c r="B48" s="124"/>
      <c r="C48" s="124"/>
      <c r="G48" s="124"/>
      <c r="H48" s="124"/>
      <c r="I48" s="124"/>
      <c r="J48" s="124"/>
    </row>
    <row r="49" spans="2:10" ht="12.75">
      <c r="B49" s="124"/>
      <c r="C49" s="124"/>
      <c r="G49" s="119"/>
      <c r="H49" s="119"/>
      <c r="I49" s="119"/>
      <c r="J49" s="119"/>
    </row>
    <row r="50" spans="2:10" s="136" customFormat="1" ht="12.75">
      <c r="B50" s="119"/>
      <c r="C50" s="119"/>
      <c r="D50" s="48"/>
      <c r="E50" s="48"/>
      <c r="F50" s="48"/>
      <c r="G50" s="124"/>
      <c r="H50" s="124"/>
      <c r="I50" s="124"/>
      <c r="J50" s="124"/>
    </row>
    <row r="51" spans="2:10" s="124" customFormat="1" ht="12.75">
      <c r="D51" s="48"/>
      <c r="E51" s="48"/>
      <c r="F51" s="48"/>
    </row>
    <row r="52" spans="2:10" s="124" customFormat="1" ht="12.75">
      <c r="D52" s="48"/>
      <c r="E52" s="48"/>
      <c r="F52" s="48"/>
    </row>
    <row r="53" spans="2:10" s="119" customFormat="1" ht="12.75">
      <c r="D53" s="48"/>
      <c r="E53" s="48"/>
      <c r="F53" s="48"/>
      <c r="G53" s="171"/>
      <c r="H53" s="171"/>
      <c r="I53" s="171"/>
      <c r="J53" s="171"/>
    </row>
    <row r="54" spans="2:10" s="124" customFormat="1" ht="12.75">
      <c r="D54" s="48"/>
      <c r="E54" s="48"/>
      <c r="F54" s="48"/>
      <c r="G54" s="171"/>
      <c r="H54" s="171"/>
      <c r="I54" s="171"/>
      <c r="J54" s="171"/>
    </row>
    <row r="55" spans="2:10" s="124" customFormat="1" ht="12.75">
      <c r="D55" s="48"/>
      <c r="E55" s="48"/>
      <c r="F55" s="48"/>
      <c r="G55" s="48"/>
      <c r="H55" s="48"/>
      <c r="I55" s="48"/>
      <c r="J55" s="48"/>
    </row>
    <row r="56" spans="2:10" s="119" customFormat="1" ht="12.75">
      <c r="B56" s="124"/>
      <c r="C56" s="124"/>
      <c r="D56" s="48"/>
      <c r="E56" s="48"/>
      <c r="F56" s="48"/>
      <c r="G56" s="48"/>
      <c r="H56" s="48"/>
      <c r="I56" s="48"/>
      <c r="J56" s="48"/>
    </row>
    <row r="57" spans="2:10" s="124" customFormat="1" ht="12.75">
      <c r="B57" s="48"/>
      <c r="C57" s="171"/>
      <c r="D57" s="48"/>
      <c r="E57" s="48"/>
      <c r="F57" s="48"/>
      <c r="G57" s="48"/>
      <c r="H57" s="48"/>
      <c r="I57" s="48"/>
      <c r="J57" s="48"/>
    </row>
    <row r="58" spans="2:10" s="124" customFormat="1" ht="12.75">
      <c r="B58" s="48"/>
      <c r="C58" s="171"/>
      <c r="D58" s="48"/>
      <c r="E58" s="48"/>
      <c r="F58" s="48"/>
      <c r="G58" s="171"/>
      <c r="H58" s="48"/>
      <c r="I58" s="48"/>
      <c r="J58" s="48"/>
    </row>
    <row r="59" spans="2:10" s="124" customFormat="1" ht="12.75">
      <c r="B59" s="48"/>
      <c r="C59" s="48"/>
      <c r="D59" s="48"/>
      <c r="E59" s="48"/>
      <c r="F59" s="48"/>
      <c r="G59" s="171"/>
      <c r="H59" s="48"/>
      <c r="I59" s="48"/>
      <c r="J59" s="48"/>
    </row>
    <row r="60" spans="2:10" ht="12.75"/>
    <row r="61" spans="2:10" ht="12.75"/>
    <row r="62" spans="2:10" ht="12.75">
      <c r="G62" s="171"/>
    </row>
    <row r="63" spans="2:10" ht="15" customHeight="1"/>
    <row r="64" spans="2:10" ht="12.75"/>
    <row r="65" ht="12.75"/>
    <row r="66" ht="12.75"/>
    <row r="67" ht="12.75"/>
    <row r="68" ht="12.75"/>
    <row r="69" ht="12.75"/>
    <row r="70" ht="15" customHeight="1"/>
    <row r="71" ht="15" customHeight="1"/>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sheetData>
  <mergeCells count="36">
    <mergeCell ref="H2:H3"/>
    <mergeCell ref="I2:I3"/>
    <mergeCell ref="J2:J3"/>
    <mergeCell ref="B8:B9"/>
    <mergeCell ref="C8:C9"/>
    <mergeCell ref="D8:D9"/>
    <mergeCell ref="E8:E9"/>
    <mergeCell ref="F8:F9"/>
    <mergeCell ref="F20:F21"/>
    <mergeCell ref="B22:C22"/>
    <mergeCell ref="D22:F22"/>
    <mergeCell ref="B2:F2"/>
    <mergeCell ref="G2:G3"/>
    <mergeCell ref="B15:B16"/>
    <mergeCell ref="C15:C16"/>
    <mergeCell ref="D15:D16"/>
    <mergeCell ref="E15:E16"/>
    <mergeCell ref="F15:F16"/>
    <mergeCell ref="B33:C33"/>
    <mergeCell ref="D33:E33"/>
    <mergeCell ref="B20:B21"/>
    <mergeCell ref="C20:C21"/>
    <mergeCell ref="D20:D21"/>
    <mergeCell ref="E20:E21"/>
    <mergeCell ref="D29:D30"/>
    <mergeCell ref="E29:E30"/>
    <mergeCell ref="F29:F30"/>
    <mergeCell ref="D31:E31"/>
    <mergeCell ref="D32:E32"/>
    <mergeCell ref="D34:E34"/>
    <mergeCell ref="D35:E35"/>
    <mergeCell ref="D36:E36"/>
    <mergeCell ref="D37:E37"/>
    <mergeCell ref="D38:E38"/>
    <mergeCell ref="D39:E39"/>
    <mergeCell ref="G33:J39"/>
  </mergeCells>
  <printOptions horizontalCentered="1" verticalCentered="1"/>
  <pageMargins left="0.7" right="0.7" top="0.75" bottom="0.75" header="0.3" footer="0.3"/>
  <pageSetup scale="89" fitToHeight="0" orientation="landscape" horizontalDpi="4294967292" verticalDpi="4294967292" r:id="rId1"/>
  <headerFooter>
    <oddHeader>&amp;C&amp;"Times New Roman Bold,Bold"&amp;14&amp;K000000INVESTOR SHEET</oddHeader>
    <oddFooter>&amp;CPage &amp;P of &amp;N</oddFooter>
  </headerFooter>
  <ignoredErrors>
    <ignoredError sqref="E20 E8"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D9136-12BE-7545-A69B-5ECDC0A0F03D}">
  <sheetPr>
    <tabColor rgb="FF92D050"/>
  </sheetPr>
  <dimension ref="A1:AS76"/>
  <sheetViews>
    <sheetView topLeftCell="A16" zoomScale="82" zoomScaleNormal="110" zoomScalePageLayoutView="125" workbookViewId="0">
      <selection activeCell="H34" sqref="H34"/>
    </sheetView>
  </sheetViews>
  <sheetFormatPr defaultColWidth="8.85546875" defaultRowHeight="15" outlineLevelRow="1"/>
  <cols>
    <col min="1" max="1" width="4" style="47" customWidth="1"/>
    <col min="2" max="2" width="52.85546875" style="48" customWidth="1"/>
    <col min="3" max="3" width="20.85546875" style="48" customWidth="1"/>
    <col min="4" max="4" width="15.140625" style="48" customWidth="1"/>
    <col min="5" max="7" width="15.85546875" style="48" bestFit="1" customWidth="1"/>
    <col min="8" max="15" width="15.140625" style="48" customWidth="1"/>
    <col min="16" max="38" width="17" style="48" customWidth="1"/>
    <col min="39" max="39" width="16.42578125" style="48" customWidth="1"/>
    <col min="40" max="40" width="15" style="89" customWidth="1"/>
    <col min="41" max="41" width="17.85546875" style="89" bestFit="1" customWidth="1"/>
    <col min="42" max="42" width="9.42578125" style="48" bestFit="1" customWidth="1"/>
    <col min="43" max="43" width="11.85546875" style="48" bestFit="1" customWidth="1"/>
    <col min="44" max="45" width="9.42578125" style="48" bestFit="1" customWidth="1"/>
    <col min="46" max="16384" width="8.85546875" style="48"/>
  </cols>
  <sheetData>
    <row r="1" spans="2:45" s="47" customFormat="1" ht="15.75" thickBot="1">
      <c r="AN1" s="125"/>
      <c r="AO1" s="125"/>
    </row>
    <row r="2" spans="2:45" s="125" customFormat="1" ht="15.75" thickBot="1">
      <c r="B2" s="1257" t="str">
        <f>'Development Program'!B9</f>
        <v>Goat Hill</v>
      </c>
      <c r="C2" s="495" t="s">
        <v>330</v>
      </c>
      <c r="D2" s="440">
        <v>0</v>
      </c>
      <c r="E2" s="117">
        <f t="shared" ref="E2:O2" si="0">D2+1</f>
        <v>1</v>
      </c>
      <c r="F2" s="358">
        <f>E2+1</f>
        <v>2</v>
      </c>
      <c r="G2" s="215">
        <f t="shared" si="0"/>
        <v>3</v>
      </c>
      <c r="H2" s="374">
        <f t="shared" si="0"/>
        <v>4</v>
      </c>
      <c r="I2" s="129">
        <f t="shared" si="0"/>
        <v>5</v>
      </c>
      <c r="J2" s="129">
        <f>I2+1</f>
        <v>6</v>
      </c>
      <c r="K2" s="129">
        <f>J2+1</f>
        <v>7</v>
      </c>
      <c r="L2" s="129">
        <f t="shared" si="0"/>
        <v>8</v>
      </c>
      <c r="M2" s="129">
        <f t="shared" si="0"/>
        <v>9</v>
      </c>
      <c r="N2" s="129">
        <f t="shared" si="0"/>
        <v>10</v>
      </c>
      <c r="O2" s="246">
        <f t="shared" si="0"/>
        <v>11</v>
      </c>
      <c r="P2" s="47"/>
      <c r="Q2" s="47"/>
      <c r="R2" s="47"/>
      <c r="S2" s="47"/>
      <c r="T2" s="47"/>
      <c r="U2" s="47"/>
      <c r="V2" s="47"/>
      <c r="W2" s="47"/>
      <c r="X2" s="47"/>
      <c r="Y2" s="47"/>
      <c r="Z2" s="47"/>
      <c r="AA2" s="47"/>
      <c r="AB2" s="47"/>
      <c r="AC2" s="47"/>
      <c r="AD2" s="47"/>
      <c r="AE2" s="47"/>
      <c r="AF2" s="47"/>
      <c r="AG2" s="47"/>
      <c r="AH2" s="47"/>
      <c r="AI2" s="47"/>
      <c r="AJ2" s="47"/>
      <c r="AK2" s="47"/>
      <c r="AL2" s="47"/>
      <c r="AM2" s="47"/>
      <c r="AP2" s="47"/>
      <c r="AQ2" s="47"/>
      <c r="AR2" s="47"/>
      <c r="AS2" s="47"/>
    </row>
    <row r="3" spans="2:45" s="125" customFormat="1" ht="41.45" customHeight="1" thickBot="1">
      <c r="B3" s="1203"/>
      <c r="C3" s="496" t="s">
        <v>103</v>
      </c>
      <c r="D3" s="501">
        <v>45413</v>
      </c>
      <c r="E3" s="276">
        <f>EDATE(D3,12)</f>
        <v>45778</v>
      </c>
      <c r="F3" s="359">
        <f>EDATE(E3,12)</f>
        <v>46143</v>
      </c>
      <c r="G3" s="278">
        <f>EDATE(F3,12)</f>
        <v>46508</v>
      </c>
      <c r="H3" s="375">
        <f t="shared" ref="H3:O3" si="1">EDATE(G3,12)</f>
        <v>46874</v>
      </c>
      <c r="I3" s="211">
        <f t="shared" si="1"/>
        <v>47239</v>
      </c>
      <c r="J3" s="211">
        <f>EDATE(H3,12)</f>
        <v>47239</v>
      </c>
      <c r="K3" s="211">
        <f>EDATE(I3,12)</f>
        <v>47604</v>
      </c>
      <c r="L3" s="211">
        <f t="shared" si="1"/>
        <v>47969</v>
      </c>
      <c r="M3" s="211">
        <f t="shared" si="1"/>
        <v>48335</v>
      </c>
      <c r="N3" s="211">
        <f t="shared" si="1"/>
        <v>48700</v>
      </c>
      <c r="O3" s="212">
        <f t="shared" si="1"/>
        <v>49065</v>
      </c>
      <c r="P3" s="47"/>
      <c r="Q3" s="47"/>
      <c r="R3" s="47"/>
      <c r="S3" s="47"/>
      <c r="T3" s="47"/>
      <c r="U3" s="47"/>
      <c r="V3" s="47"/>
      <c r="W3" s="47"/>
      <c r="X3" s="47"/>
      <c r="Y3" s="47"/>
      <c r="Z3" s="47"/>
      <c r="AA3" s="47"/>
      <c r="AB3" s="47"/>
      <c r="AC3" s="47"/>
      <c r="AD3" s="47"/>
      <c r="AE3" s="47"/>
      <c r="AF3" s="47"/>
      <c r="AG3" s="47"/>
      <c r="AH3" s="47"/>
      <c r="AI3" s="47"/>
      <c r="AJ3" s="47"/>
      <c r="AK3" s="47"/>
      <c r="AL3" s="47"/>
      <c r="AM3" s="47"/>
      <c r="AP3" s="47"/>
      <c r="AQ3" s="47"/>
      <c r="AR3" s="47"/>
      <c r="AS3" s="47"/>
    </row>
    <row r="4" spans="2:45" s="125" customFormat="1" ht="63.95" hidden="1" customHeight="1" thickBot="1">
      <c r="B4" s="1258"/>
      <c r="C4" s="497" t="s">
        <v>45</v>
      </c>
      <c r="D4" s="502" t="e">
        <f>EOMONTH(#REF!,3)</f>
        <v>#REF!</v>
      </c>
      <c r="E4" s="200" t="e">
        <f t="shared" ref="E4:H4" si="2">EOMONTH(D4,3)</f>
        <v>#REF!</v>
      </c>
      <c r="F4" s="360" t="e">
        <f>EOMONTH(#REF!,3)</f>
        <v>#REF!</v>
      </c>
      <c r="G4" s="202" t="e">
        <f t="shared" si="2"/>
        <v>#REF!</v>
      </c>
      <c r="H4" s="493" t="e">
        <f t="shared" si="2"/>
        <v>#REF!</v>
      </c>
      <c r="I4" s="91" t="e">
        <f>EOMONTH(#REF!,3)</f>
        <v>#REF!</v>
      </c>
      <c r="J4" s="91" t="e">
        <f t="shared" ref="J4:K4" si="3">EOMONTH(H4,3)</f>
        <v>#REF!</v>
      </c>
      <c r="K4" s="91" t="e">
        <f t="shared" si="3"/>
        <v>#REF!</v>
      </c>
      <c r="L4" s="91" t="e">
        <f>EOMONTH(I4,3)</f>
        <v>#REF!</v>
      </c>
      <c r="M4" s="91" t="e">
        <f>EOMONTH(K4,3)</f>
        <v>#REF!</v>
      </c>
      <c r="N4" s="91" t="e">
        <f t="shared" ref="N4" si="4">EOMONTH(M4,3)</f>
        <v>#REF!</v>
      </c>
      <c r="O4" s="98" t="e">
        <f>EOMONTH(#REF!,3)</f>
        <v>#REF!</v>
      </c>
      <c r="AP4" s="47"/>
      <c r="AQ4" s="47"/>
      <c r="AR4" s="47"/>
      <c r="AS4" s="47"/>
    </row>
    <row r="5" spans="2:45" s="125" customFormat="1" ht="15.75" thickBot="1">
      <c r="B5" s="92" t="s">
        <v>110</v>
      </c>
      <c r="C5" s="498">
        <v>1</v>
      </c>
      <c r="D5" s="503" t="s">
        <v>202</v>
      </c>
      <c r="E5" s="485">
        <f>E30/C30</f>
        <v>0.49532325412475375</v>
      </c>
      <c r="F5" s="860">
        <f>F30/C30</f>
        <v>0.25177131682311799</v>
      </c>
      <c r="G5" s="519">
        <f>G30/C30</f>
        <v>0.25290542905212821</v>
      </c>
      <c r="H5" s="376" t="s">
        <v>202</v>
      </c>
      <c r="I5" s="95" t="s">
        <v>202</v>
      </c>
      <c r="J5" s="95" t="s">
        <v>202</v>
      </c>
      <c r="K5" s="95" t="s">
        <v>202</v>
      </c>
      <c r="L5" s="95" t="s">
        <v>202</v>
      </c>
      <c r="M5" s="95" t="s">
        <v>202</v>
      </c>
      <c r="N5" s="95" t="s">
        <v>202</v>
      </c>
      <c r="O5" s="112" t="s">
        <v>202</v>
      </c>
      <c r="AP5" s="47"/>
      <c r="AQ5" s="47"/>
      <c r="AR5" s="47"/>
      <c r="AS5" s="47"/>
    </row>
    <row r="6" spans="2:45" s="125" customFormat="1">
      <c r="B6" s="258" t="str">
        <f>'Site 5 - Financial'!G4</f>
        <v>Residential Condominium Hard Costs for Construction</v>
      </c>
      <c r="C6" s="499">
        <f>'Site 5 - Financial'!I4</f>
        <v>63002500</v>
      </c>
      <c r="D6" s="504" t="s">
        <v>202</v>
      </c>
      <c r="E6" s="483">
        <v>0</v>
      </c>
      <c r="F6" s="521">
        <f>$C6/2</f>
        <v>31501250</v>
      </c>
      <c r="G6" s="518">
        <f>$C6/2</f>
        <v>31501250</v>
      </c>
      <c r="H6" s="377" t="s">
        <v>202</v>
      </c>
      <c r="I6" s="253" t="s">
        <v>202</v>
      </c>
      <c r="J6" s="253" t="s">
        <v>202</v>
      </c>
      <c r="K6" s="253" t="s">
        <v>202</v>
      </c>
      <c r="L6" s="253" t="s">
        <v>202</v>
      </c>
      <c r="M6" s="253" t="s">
        <v>202</v>
      </c>
      <c r="N6" s="253" t="s">
        <v>202</v>
      </c>
      <c r="O6" s="254" t="s">
        <v>202</v>
      </c>
      <c r="P6" s="126"/>
      <c r="AP6" s="47"/>
      <c r="AQ6" s="47"/>
      <c r="AR6" s="47"/>
      <c r="AS6" s="47"/>
    </row>
    <row r="7" spans="2:45" s="125" customFormat="1">
      <c r="B7" s="258" t="str">
        <f>'Site 5 - Financial'!G5</f>
        <v>Office Shell &amp; Core Hard Costs for Construction</v>
      </c>
      <c r="C7" s="499">
        <f>'Site 5 - Financial'!I5</f>
        <v>0</v>
      </c>
      <c r="D7" s="504" t="s">
        <v>202</v>
      </c>
      <c r="E7" s="203">
        <v>0</v>
      </c>
      <c r="F7" s="361">
        <f t="shared" ref="F7:G10" si="5">$C7/2</f>
        <v>0</v>
      </c>
      <c r="G7" s="205">
        <f t="shared" si="5"/>
        <v>0</v>
      </c>
      <c r="H7" s="377" t="s">
        <v>202</v>
      </c>
      <c r="I7" s="253" t="s">
        <v>202</v>
      </c>
      <c r="J7" s="253" t="s">
        <v>202</v>
      </c>
      <c r="K7" s="253" t="s">
        <v>202</v>
      </c>
      <c r="L7" s="253" t="s">
        <v>202</v>
      </c>
      <c r="M7" s="253" t="s">
        <v>202</v>
      </c>
      <c r="N7" s="253" t="s">
        <v>202</v>
      </c>
      <c r="O7" s="254" t="s">
        <v>202</v>
      </c>
      <c r="P7" s="126"/>
      <c r="AP7" s="47"/>
      <c r="AQ7" s="47"/>
      <c r="AR7" s="47"/>
      <c r="AS7" s="47"/>
    </row>
    <row r="8" spans="2:45" s="125" customFormat="1">
      <c r="B8" s="258" t="str">
        <f>'Site 5 - Financial'!G6</f>
        <v>Retail Hard Costs for Construction</v>
      </c>
      <c r="C8" s="499">
        <f>'Site 5 - Financial'!I6</f>
        <v>7491825</v>
      </c>
      <c r="D8" s="504" t="s">
        <v>202</v>
      </c>
      <c r="E8" s="203">
        <v>0</v>
      </c>
      <c r="F8" s="361">
        <f t="shared" si="5"/>
        <v>3745912.5</v>
      </c>
      <c r="G8" s="205">
        <f t="shared" si="5"/>
        <v>3745912.5</v>
      </c>
      <c r="H8" s="377" t="s">
        <v>202</v>
      </c>
      <c r="I8" s="253" t="s">
        <v>202</v>
      </c>
      <c r="J8" s="253" t="s">
        <v>202</v>
      </c>
      <c r="K8" s="253" t="s">
        <v>202</v>
      </c>
      <c r="L8" s="253" t="s">
        <v>202</v>
      </c>
      <c r="M8" s="253" t="s">
        <v>202</v>
      </c>
      <c r="N8" s="253" t="s">
        <v>202</v>
      </c>
      <c r="O8" s="254" t="s">
        <v>202</v>
      </c>
      <c r="P8" s="126"/>
      <c r="AP8" s="47"/>
      <c r="AQ8" s="47"/>
      <c r="AR8" s="47"/>
      <c r="AS8" s="47"/>
    </row>
    <row r="9" spans="2:45" s="125" customFormat="1">
      <c r="B9" s="258" t="str">
        <f>'Site 5 - Financial'!G7</f>
        <v>Parking Stalls (0%)</v>
      </c>
      <c r="C9" s="499">
        <f>'Site 5 - Financial'!I7</f>
        <v>0</v>
      </c>
      <c r="D9" s="504" t="s">
        <v>202</v>
      </c>
      <c r="E9" s="203">
        <v>0</v>
      </c>
      <c r="F9" s="361">
        <f t="shared" si="5"/>
        <v>0</v>
      </c>
      <c r="G9" s="205">
        <f t="shared" si="5"/>
        <v>0</v>
      </c>
      <c r="H9" s="377" t="s">
        <v>202</v>
      </c>
      <c r="I9" s="253" t="s">
        <v>202</v>
      </c>
      <c r="J9" s="253" t="s">
        <v>202</v>
      </c>
      <c r="K9" s="253" t="s">
        <v>202</v>
      </c>
      <c r="L9" s="253" t="s">
        <v>202</v>
      </c>
      <c r="M9" s="253" t="s">
        <v>202</v>
      </c>
      <c r="N9" s="253" t="s">
        <v>202</v>
      </c>
      <c r="O9" s="254" t="s">
        <v>202</v>
      </c>
      <c r="P9" s="126"/>
      <c r="AP9" s="47"/>
      <c r="AQ9" s="47"/>
      <c r="AR9" s="47"/>
      <c r="AS9" s="47"/>
    </row>
    <row r="10" spans="2:45" s="125" customFormat="1">
      <c r="B10" s="258" t="str">
        <f>'Site 5 - Financial'!G8</f>
        <v>Hard Cost Contingency</v>
      </c>
      <c r="C10" s="499">
        <f>'Site 5 - Financial'!I8</f>
        <v>7049432.5</v>
      </c>
      <c r="D10" s="226" t="s">
        <v>202</v>
      </c>
      <c r="E10" s="203">
        <v>0</v>
      </c>
      <c r="F10" s="361">
        <f t="shared" si="5"/>
        <v>3524716.25</v>
      </c>
      <c r="G10" s="205">
        <f t="shared" si="5"/>
        <v>3524716.25</v>
      </c>
      <c r="H10" s="378" t="s">
        <v>202</v>
      </c>
      <c r="I10" s="256" t="s">
        <v>202</v>
      </c>
      <c r="J10" s="256" t="s">
        <v>202</v>
      </c>
      <c r="K10" s="256" t="s">
        <v>202</v>
      </c>
      <c r="L10" s="256" t="s">
        <v>202</v>
      </c>
      <c r="M10" s="256" t="s">
        <v>202</v>
      </c>
      <c r="N10" s="256" t="s">
        <v>202</v>
      </c>
      <c r="O10" s="257" t="s">
        <v>202</v>
      </c>
      <c r="P10" s="126"/>
      <c r="AP10" s="47"/>
      <c r="AQ10" s="47"/>
      <c r="AR10" s="47"/>
      <c r="AS10" s="47"/>
    </row>
    <row r="11" spans="2:45" s="125" customFormat="1">
      <c r="B11" s="258" t="str">
        <f>'Site 5 - Financial'!G9</f>
        <v>Demolition</v>
      </c>
      <c r="C11" s="499">
        <f>'Site 5 - Financial'!I9</f>
        <v>0</v>
      </c>
      <c r="D11" s="226" t="s">
        <v>202</v>
      </c>
      <c r="E11" s="203">
        <v>0</v>
      </c>
      <c r="F11" s="361">
        <v>0</v>
      </c>
      <c r="G11" s="205">
        <v>0</v>
      </c>
      <c r="H11" s="378" t="s">
        <v>202</v>
      </c>
      <c r="I11" s="256" t="s">
        <v>202</v>
      </c>
      <c r="J11" s="256" t="s">
        <v>202</v>
      </c>
      <c r="K11" s="256" t="s">
        <v>202</v>
      </c>
      <c r="L11" s="256" t="s">
        <v>202</v>
      </c>
      <c r="M11" s="256" t="s">
        <v>202</v>
      </c>
      <c r="N11" s="256" t="s">
        <v>202</v>
      </c>
      <c r="O11" s="257" t="s">
        <v>202</v>
      </c>
      <c r="P11" s="126"/>
      <c r="AP11" s="47"/>
      <c r="AQ11" s="47"/>
      <c r="AR11" s="47"/>
      <c r="AS11" s="47"/>
    </row>
    <row r="12" spans="2:45" s="125" customFormat="1" ht="18.95" customHeight="1">
      <c r="B12" s="258" t="str">
        <f>'Site 5 - Financial'!G10</f>
        <v>Land</v>
      </c>
      <c r="C12" s="499">
        <f>'Site 5 - Financial'!I10</f>
        <v>84009297.52066116</v>
      </c>
      <c r="D12" s="226" t="s">
        <v>202</v>
      </c>
      <c r="E12" s="203">
        <f>C12</f>
        <v>84009297.52066116</v>
      </c>
      <c r="F12" s="361">
        <v>0</v>
      </c>
      <c r="G12" s="205">
        <v>0</v>
      </c>
      <c r="H12" s="378" t="s">
        <v>202</v>
      </c>
      <c r="I12" s="256" t="s">
        <v>202</v>
      </c>
      <c r="J12" s="256" t="s">
        <v>202</v>
      </c>
      <c r="K12" s="256" t="s">
        <v>202</v>
      </c>
      <c r="L12" s="256" t="s">
        <v>202</v>
      </c>
      <c r="M12" s="256" t="s">
        <v>202</v>
      </c>
      <c r="N12" s="253" t="s">
        <v>202</v>
      </c>
      <c r="O12" s="257" t="s">
        <v>202</v>
      </c>
      <c r="P12" s="126"/>
      <c r="AP12" s="47"/>
      <c r="AQ12" s="47"/>
      <c r="AR12" s="47"/>
      <c r="AS12" s="47"/>
    </row>
    <row r="13" spans="2:45" s="125" customFormat="1">
      <c r="B13" s="258" t="str">
        <f>'Site 5 - Financial'!G11</f>
        <v>Municipal Fees and Allowances</v>
      </c>
      <c r="C13" s="499">
        <f>'Site 5 - Financial'!I11</f>
        <v>365000</v>
      </c>
      <c r="D13" s="226" t="s">
        <v>202</v>
      </c>
      <c r="E13" s="203">
        <f>C13</f>
        <v>365000</v>
      </c>
      <c r="F13" s="361">
        <v>0</v>
      </c>
      <c r="G13" s="205">
        <v>0</v>
      </c>
      <c r="H13" s="378" t="s">
        <v>202</v>
      </c>
      <c r="I13" s="256" t="s">
        <v>202</v>
      </c>
      <c r="J13" s="256" t="s">
        <v>202</v>
      </c>
      <c r="K13" s="256" t="s">
        <v>202</v>
      </c>
      <c r="L13" s="256" t="s">
        <v>202</v>
      </c>
      <c r="M13" s="256" t="s">
        <v>202</v>
      </c>
      <c r="N13" s="256" t="s">
        <v>202</v>
      </c>
      <c r="O13" s="257" t="s">
        <v>202</v>
      </c>
      <c r="P13" s="126"/>
      <c r="AP13" s="47"/>
      <c r="AQ13" s="47"/>
      <c r="AR13" s="47"/>
      <c r="AS13" s="47"/>
    </row>
    <row r="14" spans="2:45" s="125" customFormat="1">
      <c r="B14" s="258" t="str">
        <f>'Site 5 - Financial'!G12</f>
        <v>Infrastructure Allocation</v>
      </c>
      <c r="C14" s="499">
        <f>'Site 5 - Financial'!I12</f>
        <v>0</v>
      </c>
      <c r="D14" s="504" t="s">
        <v>202</v>
      </c>
      <c r="E14" s="203">
        <f>$C14/3</f>
        <v>0</v>
      </c>
      <c r="F14" s="361">
        <f t="shared" ref="F14:G14" si="6">$C14/3</f>
        <v>0</v>
      </c>
      <c r="G14" s="205">
        <f t="shared" si="6"/>
        <v>0</v>
      </c>
      <c r="H14" s="377" t="s">
        <v>202</v>
      </c>
      <c r="I14" s="253" t="s">
        <v>202</v>
      </c>
      <c r="J14" s="253" t="s">
        <v>202</v>
      </c>
      <c r="K14" s="253" t="s">
        <v>202</v>
      </c>
      <c r="L14" s="253" t="s">
        <v>202</v>
      </c>
      <c r="M14" s="253" t="s">
        <v>202</v>
      </c>
      <c r="N14" s="253" t="s">
        <v>202</v>
      </c>
      <c r="O14" s="254" t="s">
        <v>202</v>
      </c>
      <c r="P14" s="126"/>
      <c r="AP14" s="47"/>
      <c r="AQ14" s="47"/>
      <c r="AR14" s="47"/>
      <c r="AS14" s="47"/>
    </row>
    <row r="15" spans="2:45" s="125" customFormat="1">
      <c r="B15" s="258" t="str">
        <f>'Site 5 - Financial'!G13</f>
        <v>Legal</v>
      </c>
      <c r="C15" s="499">
        <f>'Site 5 - Financial'!I13</f>
        <v>400000</v>
      </c>
      <c r="D15" s="504" t="s">
        <v>202</v>
      </c>
      <c r="E15" s="203">
        <f>C15/2</f>
        <v>200000</v>
      </c>
      <c r="F15" s="361">
        <v>0</v>
      </c>
      <c r="G15" s="205">
        <f>C15/2</f>
        <v>200000</v>
      </c>
      <c r="H15" s="377" t="s">
        <v>202</v>
      </c>
      <c r="I15" s="253" t="s">
        <v>202</v>
      </c>
      <c r="J15" s="253" t="s">
        <v>202</v>
      </c>
      <c r="K15" s="253" t="s">
        <v>202</v>
      </c>
      <c r="L15" s="253" t="s">
        <v>202</v>
      </c>
      <c r="M15" s="253" t="s">
        <v>202</v>
      </c>
      <c r="N15" s="253" t="s">
        <v>202</v>
      </c>
      <c r="O15" s="254" t="s">
        <v>202</v>
      </c>
      <c r="P15" s="126"/>
      <c r="AP15" s="47"/>
      <c r="AQ15" s="47"/>
      <c r="AR15" s="47"/>
      <c r="AS15" s="47"/>
    </row>
    <row r="16" spans="2:45" s="125" customFormat="1">
      <c r="B16" s="258" t="str">
        <f>'Site 5 - Financial'!G14</f>
        <v>Land Closing Costs/Commissions</v>
      </c>
      <c r="C16" s="499">
        <f>'Site 5 - Financial'!I14</f>
        <v>1680185.9504132234</v>
      </c>
      <c r="D16" s="226" t="s">
        <v>202</v>
      </c>
      <c r="E16" s="203">
        <f>C16</f>
        <v>1680185.9504132234</v>
      </c>
      <c r="F16" s="361">
        <v>0</v>
      </c>
      <c r="G16" s="205">
        <v>0</v>
      </c>
      <c r="H16" s="378" t="s">
        <v>202</v>
      </c>
      <c r="I16" s="256" t="s">
        <v>202</v>
      </c>
      <c r="J16" s="256" t="s">
        <v>202</v>
      </c>
      <c r="K16" s="256" t="s">
        <v>202</v>
      </c>
      <c r="L16" s="256" t="s">
        <v>202</v>
      </c>
      <c r="M16" s="256" t="s">
        <v>202</v>
      </c>
      <c r="N16" s="256" t="s">
        <v>202</v>
      </c>
      <c r="O16" s="257" t="s">
        <v>202</v>
      </c>
      <c r="P16" s="126"/>
      <c r="AP16" s="47"/>
      <c r="AQ16" s="47"/>
      <c r="AR16" s="47"/>
      <c r="AS16" s="47"/>
    </row>
    <row r="17" spans="2:45" s="125" customFormat="1">
      <c r="B17" s="258" t="str">
        <f>'Site 5 - Financial'!G15</f>
        <v xml:space="preserve">Design </v>
      </c>
      <c r="C17" s="499">
        <f>'Site 5 - Financial'!I15</f>
        <v>2819773</v>
      </c>
      <c r="D17" s="226" t="s">
        <v>202</v>
      </c>
      <c r="E17" s="203">
        <f>C17*0.75</f>
        <v>2114829.75</v>
      </c>
      <c r="F17" s="361">
        <f>C17*0.125</f>
        <v>352471.625</v>
      </c>
      <c r="G17" s="205">
        <f>F17</f>
        <v>352471.625</v>
      </c>
      <c r="H17" s="378" t="s">
        <v>202</v>
      </c>
      <c r="I17" s="256" t="s">
        <v>202</v>
      </c>
      <c r="J17" s="256" t="s">
        <v>202</v>
      </c>
      <c r="K17" s="256" t="s">
        <v>202</v>
      </c>
      <c r="L17" s="256" t="s">
        <v>202</v>
      </c>
      <c r="M17" s="256" t="s">
        <v>202</v>
      </c>
      <c r="N17" s="256" t="s">
        <v>202</v>
      </c>
      <c r="O17" s="257" t="s">
        <v>202</v>
      </c>
      <c r="P17" s="126"/>
      <c r="AP17" s="47"/>
      <c r="AQ17" s="47"/>
      <c r="AR17" s="47"/>
      <c r="AS17" s="47"/>
    </row>
    <row r="18" spans="2:45" s="125" customFormat="1" ht="18.95" customHeight="1">
      <c r="B18" s="258" t="str">
        <f>'Site 5 - Financial'!G16</f>
        <v>Developer Fee</v>
      </c>
      <c r="C18" s="499">
        <f>'Site 5 - Financial'!I16</f>
        <v>5004540.4191322317</v>
      </c>
      <c r="D18" s="506" t="s">
        <v>202</v>
      </c>
      <c r="E18" s="203">
        <f>$C18/3</f>
        <v>1668180.1397107439</v>
      </c>
      <c r="F18" s="361">
        <f t="shared" ref="F18:G21" si="7">$C18/3</f>
        <v>1668180.1397107439</v>
      </c>
      <c r="G18" s="205">
        <f t="shared" si="7"/>
        <v>1668180.1397107439</v>
      </c>
      <c r="H18" s="378" t="s">
        <v>202</v>
      </c>
      <c r="I18" s="256" t="s">
        <v>202</v>
      </c>
      <c r="J18" s="256" t="s">
        <v>202</v>
      </c>
      <c r="K18" s="256" t="s">
        <v>202</v>
      </c>
      <c r="L18" s="256" t="s">
        <v>202</v>
      </c>
      <c r="M18" s="256" t="s">
        <v>202</v>
      </c>
      <c r="N18" s="253" t="s">
        <v>202</v>
      </c>
      <c r="O18" s="257" t="s">
        <v>202</v>
      </c>
      <c r="P18" s="126"/>
      <c r="AP18" s="47"/>
      <c r="AQ18" s="47"/>
      <c r="AR18" s="47"/>
      <c r="AS18" s="47"/>
    </row>
    <row r="19" spans="2:45" s="125" customFormat="1">
      <c r="B19" s="258" t="str">
        <f>'Site 5 - Financial'!G17</f>
        <v>Construction Management Fee</v>
      </c>
      <c r="C19" s="499">
        <f>'Site 5 - Financial'!I17</f>
        <v>1409886.5</v>
      </c>
      <c r="D19" s="226" t="s">
        <v>202</v>
      </c>
      <c r="E19" s="203">
        <f>$C19/3</f>
        <v>469962.16666666669</v>
      </c>
      <c r="F19" s="361">
        <f t="shared" si="7"/>
        <v>469962.16666666669</v>
      </c>
      <c r="G19" s="205">
        <f t="shared" si="7"/>
        <v>469962.16666666669</v>
      </c>
      <c r="H19" s="378" t="s">
        <v>202</v>
      </c>
      <c r="I19" s="256" t="s">
        <v>202</v>
      </c>
      <c r="J19" s="256" t="s">
        <v>202</v>
      </c>
      <c r="K19" s="256" t="s">
        <v>202</v>
      </c>
      <c r="L19" s="256" t="s">
        <v>202</v>
      </c>
      <c r="M19" s="256" t="s">
        <v>202</v>
      </c>
      <c r="N19" s="256" t="s">
        <v>202</v>
      </c>
      <c r="O19" s="257" t="s">
        <v>202</v>
      </c>
      <c r="P19" s="126"/>
      <c r="AP19" s="47"/>
      <c r="AQ19" s="47"/>
      <c r="AR19" s="47"/>
      <c r="AS19" s="47"/>
    </row>
    <row r="20" spans="2:45" s="125" customFormat="1">
      <c r="B20" s="258" t="str">
        <f>'Site 5 - Financial'!G18</f>
        <v>Taxes</v>
      </c>
      <c r="C20" s="499">
        <f>'Site 5 - Financial'!I18</f>
        <v>741751.69152892556</v>
      </c>
      <c r="D20" s="504" t="s">
        <v>202</v>
      </c>
      <c r="E20" s="203">
        <f>C20/3</f>
        <v>247250.56384297519</v>
      </c>
      <c r="F20" s="361">
        <f>E20</f>
        <v>247250.56384297519</v>
      </c>
      <c r="G20" s="205">
        <f>F20</f>
        <v>247250.56384297519</v>
      </c>
      <c r="H20" s="377" t="s">
        <v>202</v>
      </c>
      <c r="I20" s="253" t="s">
        <v>202</v>
      </c>
      <c r="J20" s="253" t="s">
        <v>202</v>
      </c>
      <c r="K20" s="253" t="s">
        <v>202</v>
      </c>
      <c r="L20" s="253" t="s">
        <v>202</v>
      </c>
      <c r="M20" s="253" t="s">
        <v>202</v>
      </c>
      <c r="N20" s="253" t="s">
        <v>202</v>
      </c>
      <c r="O20" s="254" t="s">
        <v>202</v>
      </c>
      <c r="P20" s="126"/>
      <c r="AP20" s="47"/>
      <c r="AQ20" s="47"/>
      <c r="AR20" s="47"/>
      <c r="AS20" s="47"/>
    </row>
    <row r="21" spans="2:45" s="125" customFormat="1">
      <c r="B21" s="258" t="str">
        <f>'Site 5 - Financial'!G19</f>
        <v>Insurance</v>
      </c>
      <c r="C21" s="499">
        <f>'Site 5 - Financial'!I19</f>
        <v>1788000</v>
      </c>
      <c r="D21" s="504" t="s">
        <v>202</v>
      </c>
      <c r="E21" s="203">
        <f>$C21/3</f>
        <v>596000</v>
      </c>
      <c r="F21" s="361">
        <f t="shared" si="7"/>
        <v>596000</v>
      </c>
      <c r="G21" s="205">
        <f t="shared" si="7"/>
        <v>596000</v>
      </c>
      <c r="H21" s="377" t="s">
        <v>202</v>
      </c>
      <c r="I21" s="253" t="s">
        <v>202</v>
      </c>
      <c r="J21" s="253" t="s">
        <v>202</v>
      </c>
      <c r="K21" s="253" t="s">
        <v>202</v>
      </c>
      <c r="L21" s="253" t="s">
        <v>202</v>
      </c>
      <c r="M21" s="253" t="s">
        <v>202</v>
      </c>
      <c r="N21" s="253" t="s">
        <v>202</v>
      </c>
      <c r="O21" s="254" t="s">
        <v>202</v>
      </c>
      <c r="P21" s="126"/>
      <c r="AP21" s="47"/>
      <c r="AQ21" s="47"/>
      <c r="AR21" s="47"/>
      <c r="AS21" s="47"/>
    </row>
    <row r="22" spans="2:45" s="125" customFormat="1">
      <c r="B22" s="258" t="str">
        <f>'Site 5 - Financial'!G20</f>
        <v>Marketing, FFE and Preleasing</v>
      </c>
      <c r="C22" s="499">
        <f>'Site 5 - Financial'!I20</f>
        <v>400000</v>
      </c>
      <c r="D22" s="504" t="s">
        <v>202</v>
      </c>
      <c r="E22" s="203">
        <v>0</v>
      </c>
      <c r="F22" s="361">
        <f>C22/2</f>
        <v>200000</v>
      </c>
      <c r="G22" s="205">
        <f>F22</f>
        <v>200000</v>
      </c>
      <c r="H22" s="377" t="s">
        <v>202</v>
      </c>
      <c r="I22" s="253" t="s">
        <v>202</v>
      </c>
      <c r="J22" s="253" t="s">
        <v>202</v>
      </c>
      <c r="K22" s="253" t="s">
        <v>202</v>
      </c>
      <c r="L22" s="253" t="s">
        <v>202</v>
      </c>
      <c r="M22" s="253" t="s">
        <v>202</v>
      </c>
      <c r="N22" s="253" t="s">
        <v>202</v>
      </c>
      <c r="O22" s="254" t="s">
        <v>202</v>
      </c>
      <c r="P22" s="126"/>
      <c r="AP22" s="47"/>
      <c r="AQ22" s="47"/>
      <c r="AR22" s="47"/>
      <c r="AS22" s="47"/>
    </row>
    <row r="23" spans="2:45" s="125" customFormat="1">
      <c r="B23" s="258" t="str">
        <f>'Site 5 - Financial'!G21</f>
        <v>Operating Deficit</v>
      </c>
      <c r="C23" s="499">
        <f>'Site 5 - Financial'!I21</f>
        <v>1584299.7975000001</v>
      </c>
      <c r="D23" s="504" t="s">
        <v>202</v>
      </c>
      <c r="E23" s="203">
        <f>-(E38+E56+E65)</f>
        <v>0</v>
      </c>
      <c r="F23" s="361">
        <f t="shared" ref="F23:G23" si="8">-(F38+F56+F65)</f>
        <v>780443.25</v>
      </c>
      <c r="G23" s="205">
        <f t="shared" si="8"/>
        <v>803856.54749999999</v>
      </c>
      <c r="H23" s="377" t="s">
        <v>202</v>
      </c>
      <c r="I23" s="253" t="s">
        <v>202</v>
      </c>
      <c r="J23" s="253" t="s">
        <v>202</v>
      </c>
      <c r="K23" s="253" t="s">
        <v>202</v>
      </c>
      <c r="L23" s="253" t="s">
        <v>202</v>
      </c>
      <c r="M23" s="253" t="s">
        <v>202</v>
      </c>
      <c r="N23" s="253" t="s">
        <v>202</v>
      </c>
      <c r="O23" s="254" t="s">
        <v>202</v>
      </c>
      <c r="P23" s="126"/>
      <c r="AP23" s="47"/>
      <c r="AQ23" s="47"/>
      <c r="AR23" s="47"/>
      <c r="AS23" s="47"/>
    </row>
    <row r="24" spans="2:45" s="125" customFormat="1">
      <c r="B24" s="258" t="str">
        <f>'Site 5 - Financial'!G22</f>
        <v>Commercial Interior Fitout Cost</v>
      </c>
      <c r="C24" s="499">
        <f>'Site 5 - Financial'!I22</f>
        <v>4086450</v>
      </c>
      <c r="D24" s="504" t="s">
        <v>202</v>
      </c>
      <c r="E24" s="203">
        <v>0</v>
      </c>
      <c r="F24" s="361">
        <f>C24/2</f>
        <v>2043225</v>
      </c>
      <c r="G24" s="205">
        <f>F24</f>
        <v>2043225</v>
      </c>
      <c r="H24" s="377" t="s">
        <v>202</v>
      </c>
      <c r="I24" s="253" t="s">
        <v>202</v>
      </c>
      <c r="J24" s="253" t="s">
        <v>202</v>
      </c>
      <c r="K24" s="253" t="s">
        <v>202</v>
      </c>
      <c r="L24" s="253" t="s">
        <v>202</v>
      </c>
      <c r="M24" s="253" t="s">
        <v>202</v>
      </c>
      <c r="N24" s="253" t="s">
        <v>202</v>
      </c>
      <c r="O24" s="254" t="s">
        <v>202</v>
      </c>
      <c r="P24" s="126"/>
      <c r="AP24" s="47"/>
      <c r="AQ24" s="47"/>
      <c r="AR24" s="47"/>
      <c r="AS24" s="47"/>
    </row>
    <row r="25" spans="2:45" s="125" customFormat="1">
      <c r="B25" s="258" t="str">
        <f>'Site 5 - Financial'!G23</f>
        <v>Commercial Brokerage Commission</v>
      </c>
      <c r="C25" s="499">
        <f>'Site 5 - Financial'!I23</f>
        <v>286051.5</v>
      </c>
      <c r="D25" s="504" t="s">
        <v>202</v>
      </c>
      <c r="E25" s="203">
        <v>0</v>
      </c>
      <c r="F25" s="361">
        <f>C25/2</f>
        <v>143025.75</v>
      </c>
      <c r="G25" s="205">
        <f>F25</f>
        <v>143025.75</v>
      </c>
      <c r="H25" s="377" t="s">
        <v>202</v>
      </c>
      <c r="I25" s="253" t="s">
        <v>202</v>
      </c>
      <c r="J25" s="253" t="s">
        <v>202</v>
      </c>
      <c r="K25" s="253" t="s">
        <v>202</v>
      </c>
      <c r="L25" s="253" t="s">
        <v>202</v>
      </c>
      <c r="M25" s="253" t="s">
        <v>202</v>
      </c>
      <c r="N25" s="253" t="s">
        <v>202</v>
      </c>
      <c r="O25" s="254" t="s">
        <v>202</v>
      </c>
      <c r="P25" s="126"/>
      <c r="AP25" s="47"/>
      <c r="AQ25" s="47"/>
      <c r="AR25" s="47"/>
      <c r="AS25" s="47"/>
    </row>
    <row r="26" spans="2:45" s="125" customFormat="1">
      <c r="B26" s="258" t="str">
        <f>'Site 5 - Financial'!G24</f>
        <v>Construction Loan Origination</v>
      </c>
      <c r="C26" s="499">
        <f>'Site 5 - Financial'!I24</f>
        <v>1900000</v>
      </c>
      <c r="D26" s="504" t="s">
        <v>202</v>
      </c>
      <c r="E26" s="203">
        <f>C26</f>
        <v>1900000</v>
      </c>
      <c r="F26" s="361">
        <v>0</v>
      </c>
      <c r="G26" s="205">
        <v>0</v>
      </c>
      <c r="H26" s="377" t="s">
        <v>202</v>
      </c>
      <c r="I26" s="253" t="s">
        <v>202</v>
      </c>
      <c r="J26" s="253" t="s">
        <v>202</v>
      </c>
      <c r="K26" s="253" t="s">
        <v>202</v>
      </c>
      <c r="L26" s="253" t="s">
        <v>202</v>
      </c>
      <c r="M26" s="253" t="s">
        <v>202</v>
      </c>
      <c r="N26" s="253" t="s">
        <v>202</v>
      </c>
      <c r="O26" s="254" t="s">
        <v>202</v>
      </c>
      <c r="P26" s="126"/>
      <c r="AP26" s="47"/>
      <c r="AQ26" s="47"/>
      <c r="AR26" s="47"/>
      <c r="AS26" s="47"/>
    </row>
    <row r="27" spans="2:45" s="125" customFormat="1">
      <c r="B27" s="258" t="str">
        <f>'Site 5 - Financial'!G25</f>
        <v>Construction Interest</v>
      </c>
      <c r="C27" s="499">
        <f>'Site 5 - Financial'!I25</f>
        <v>9975000</v>
      </c>
      <c r="D27" s="504" t="s">
        <v>202</v>
      </c>
      <c r="E27" s="203">
        <f>C27/3</f>
        <v>3325000</v>
      </c>
      <c r="F27" s="361">
        <f>E27</f>
        <v>3325000</v>
      </c>
      <c r="G27" s="205">
        <f>F27</f>
        <v>3325000</v>
      </c>
      <c r="H27" s="377" t="s">
        <v>202</v>
      </c>
      <c r="I27" s="253" t="s">
        <v>202</v>
      </c>
      <c r="J27" s="253" t="s">
        <v>202</v>
      </c>
      <c r="K27" s="253" t="s">
        <v>202</v>
      </c>
      <c r="L27" s="253" t="s">
        <v>202</v>
      </c>
      <c r="M27" s="253" t="s">
        <v>202</v>
      </c>
      <c r="N27" s="253" t="s">
        <v>202</v>
      </c>
      <c r="O27" s="254" t="s">
        <v>202</v>
      </c>
      <c r="P27" s="126"/>
      <c r="AP27" s="47"/>
      <c r="AQ27" s="47"/>
      <c r="AR27" s="47"/>
      <c r="AS27" s="47"/>
    </row>
    <row r="28" spans="2:45" s="125" customFormat="1">
      <c r="B28" s="770" t="str">
        <f>'Site 5 - Financial'!G26</f>
        <v>Additional Contingency</v>
      </c>
      <c r="C28" s="499">
        <f>'Site 5 - Financial'!I26</f>
        <v>3000000</v>
      </c>
      <c r="D28" s="504" t="s">
        <v>202</v>
      </c>
      <c r="E28" s="203">
        <f>C28/3</f>
        <v>1000000</v>
      </c>
      <c r="F28" s="361">
        <f>E28</f>
        <v>1000000</v>
      </c>
      <c r="G28" s="205">
        <f>F28</f>
        <v>1000000</v>
      </c>
      <c r="H28" s="377" t="s">
        <v>202</v>
      </c>
      <c r="I28" s="253" t="s">
        <v>202</v>
      </c>
      <c r="J28" s="253" t="s">
        <v>202</v>
      </c>
      <c r="K28" s="253" t="s">
        <v>202</v>
      </c>
      <c r="L28" s="253" t="s">
        <v>202</v>
      </c>
      <c r="M28" s="253" t="s">
        <v>202</v>
      </c>
      <c r="N28" s="253" t="s">
        <v>202</v>
      </c>
      <c r="O28" s="254" t="s">
        <v>202</v>
      </c>
      <c r="P28" s="126"/>
      <c r="AP28" s="47"/>
      <c r="AQ28" s="47"/>
      <c r="AR28" s="47"/>
      <c r="AS28" s="47"/>
    </row>
    <row r="29" spans="2:45" s="125" customFormat="1" ht="15.75" thickBot="1">
      <c r="B29" s="199" t="s">
        <v>590</v>
      </c>
      <c r="C29" s="764">
        <f>-'Site 5 - Financial'!I28</f>
        <v>0</v>
      </c>
      <c r="D29" s="765" t="s">
        <v>202</v>
      </c>
      <c r="E29" s="766">
        <f>C29</f>
        <v>0</v>
      </c>
      <c r="F29" s="872">
        <v>0</v>
      </c>
      <c r="G29" s="768">
        <v>0</v>
      </c>
      <c r="H29" s="769" t="s">
        <v>202</v>
      </c>
      <c r="I29" s="234" t="s">
        <v>202</v>
      </c>
      <c r="J29" s="234" t="s">
        <v>202</v>
      </c>
      <c r="K29" s="234" t="s">
        <v>202</v>
      </c>
      <c r="L29" s="234" t="s">
        <v>202</v>
      </c>
      <c r="M29" s="234" t="s">
        <v>202</v>
      </c>
      <c r="N29" s="234" t="s">
        <v>202</v>
      </c>
      <c r="O29" s="235" t="s">
        <v>202</v>
      </c>
      <c r="P29" s="126"/>
      <c r="AP29" s="47"/>
      <c r="AQ29" s="47"/>
      <c r="AR29" s="47"/>
      <c r="AS29" s="47"/>
    </row>
    <row r="30" spans="2:45" s="125" customFormat="1" ht="15.75" thickBot="1">
      <c r="B30" s="92" t="s">
        <v>38</v>
      </c>
      <c r="C30" s="500">
        <f>SUM(C6:C29)</f>
        <v>196993993.87923557</v>
      </c>
      <c r="D30" s="494">
        <f t="shared" ref="D30:H30" si="9">SUM(D6:D29)</f>
        <v>0</v>
      </c>
      <c r="E30" s="241">
        <f>SUM(E6:E29)</f>
        <v>97575706.09129478</v>
      </c>
      <c r="F30" s="362">
        <f>SUM(F6:F29)</f>
        <v>49597437.245220385</v>
      </c>
      <c r="G30" s="243">
        <f t="shared" si="9"/>
        <v>49820850.542720385</v>
      </c>
      <c r="H30" s="379">
        <f t="shared" si="9"/>
        <v>0</v>
      </c>
      <c r="I30" s="242">
        <f t="shared" ref="I30:O30" si="10">SUM(I6:I29)</f>
        <v>0</v>
      </c>
      <c r="J30" s="242">
        <f t="shared" si="10"/>
        <v>0</v>
      </c>
      <c r="K30" s="242">
        <f t="shared" si="10"/>
        <v>0</v>
      </c>
      <c r="L30" s="242">
        <f t="shared" si="10"/>
        <v>0</v>
      </c>
      <c r="M30" s="242">
        <f t="shared" si="10"/>
        <v>0</v>
      </c>
      <c r="N30" s="242">
        <f t="shared" si="10"/>
        <v>0</v>
      </c>
      <c r="O30" s="243">
        <f t="shared" si="10"/>
        <v>0</v>
      </c>
      <c r="AP30" s="47"/>
      <c r="AQ30" s="47"/>
      <c r="AR30" s="47"/>
      <c r="AS30" s="47"/>
    </row>
    <row r="31" spans="2:45" s="125" customFormat="1">
      <c r="B31" s="185" t="s">
        <v>584</v>
      </c>
      <c r="C31" s="216"/>
      <c r="D31" s="236"/>
      <c r="E31" s="227"/>
      <c r="F31" s="363"/>
      <c r="G31" s="228"/>
      <c r="H31" s="380"/>
      <c r="I31" s="227"/>
      <c r="J31" s="227"/>
      <c r="K31" s="227"/>
      <c r="L31" s="227"/>
      <c r="M31" s="227"/>
      <c r="N31" s="227"/>
      <c r="O31" s="228"/>
      <c r="AP31" s="47"/>
      <c r="AQ31" s="47"/>
      <c r="AR31" s="47"/>
      <c r="AS31" s="47"/>
    </row>
    <row r="32" spans="2:45" s="125" customFormat="1">
      <c r="B32" s="186" t="s">
        <v>91</v>
      </c>
      <c r="C32" s="217" t="s">
        <v>202</v>
      </c>
      <c r="D32" s="237">
        <v>0</v>
      </c>
      <c r="E32" s="229">
        <v>0</v>
      </c>
      <c r="F32" s="364">
        <v>0</v>
      </c>
      <c r="G32" s="230">
        <v>0</v>
      </c>
      <c r="H32" s="869">
        <f>'Site 5 - Financial'!F8</f>
        <v>9132000</v>
      </c>
      <c r="I32" s="229">
        <f>H32*(1+Assumptions!$F$8)</f>
        <v>9405960</v>
      </c>
      <c r="J32" s="229" t="s">
        <v>202</v>
      </c>
      <c r="K32" s="229" t="s">
        <v>202</v>
      </c>
      <c r="L32" s="229" t="s">
        <v>202</v>
      </c>
      <c r="M32" s="229" t="s">
        <v>202</v>
      </c>
      <c r="N32" s="229" t="s">
        <v>202</v>
      </c>
      <c r="O32" s="230" t="s">
        <v>202</v>
      </c>
      <c r="AP32" s="47"/>
      <c r="AQ32" s="47"/>
      <c r="AR32" s="47"/>
      <c r="AS32" s="47"/>
    </row>
    <row r="33" spans="2:45" s="125" customFormat="1">
      <c r="B33" s="186" t="s">
        <v>521</v>
      </c>
      <c r="C33" s="217" t="s">
        <v>202</v>
      </c>
      <c r="D33" s="237">
        <v>0</v>
      </c>
      <c r="E33" s="229">
        <v>0</v>
      </c>
      <c r="F33" s="364">
        <v>0</v>
      </c>
      <c r="G33" s="230">
        <v>0</v>
      </c>
      <c r="H33" s="869">
        <f>'Site 5 - Financial'!C28*12*Assumptions!D20*0.9</f>
        <v>972000</v>
      </c>
      <c r="I33" s="229">
        <f>H33*(1+Assumptions!$F$8)</f>
        <v>1001160</v>
      </c>
      <c r="J33" s="229" t="s">
        <v>202</v>
      </c>
      <c r="K33" s="229" t="s">
        <v>202</v>
      </c>
      <c r="L33" s="229" t="s">
        <v>202</v>
      </c>
      <c r="M33" s="229" t="s">
        <v>202</v>
      </c>
      <c r="N33" s="229" t="s">
        <v>202</v>
      </c>
      <c r="O33" s="230" t="s">
        <v>202</v>
      </c>
      <c r="AP33" s="47"/>
      <c r="AQ33" s="47"/>
      <c r="AR33" s="47"/>
      <c r="AS33" s="47"/>
    </row>
    <row r="34" spans="2:45" s="125" customFormat="1">
      <c r="B34" s="197" t="s">
        <v>309</v>
      </c>
      <c r="C34" s="217" t="s">
        <v>202</v>
      </c>
      <c r="D34" s="237">
        <v>0</v>
      </c>
      <c r="E34" s="229">
        <v>0</v>
      </c>
      <c r="F34" s="364">
        <v>0</v>
      </c>
      <c r="G34" s="230">
        <v>0</v>
      </c>
      <c r="H34" s="869">
        <f>(Assumptions!D33+Assumptions!D35+Assumptions!D37)*'Site 5 - Financial'!D8</f>
        <v>1498937.5</v>
      </c>
      <c r="I34" s="229">
        <f>H34*(1+Assumptions!$F$8)</f>
        <v>1543905.625</v>
      </c>
      <c r="J34" s="229" t="s">
        <v>202</v>
      </c>
      <c r="K34" s="229" t="s">
        <v>202</v>
      </c>
      <c r="L34" s="229" t="s">
        <v>202</v>
      </c>
      <c r="M34" s="229" t="s">
        <v>202</v>
      </c>
      <c r="N34" s="229" t="s">
        <v>202</v>
      </c>
      <c r="O34" s="230" t="s">
        <v>202</v>
      </c>
      <c r="AP34" s="47"/>
      <c r="AQ34" s="47"/>
      <c r="AR34" s="47"/>
      <c r="AS34" s="47"/>
    </row>
    <row r="35" spans="2:45" s="125" customFormat="1">
      <c r="B35" s="225" t="s">
        <v>93</v>
      </c>
      <c r="C35" s="226" t="s">
        <v>202</v>
      </c>
      <c r="D35" s="109">
        <f>SUM(D32:D34)</f>
        <v>0</v>
      </c>
      <c r="E35" s="101">
        <f t="shared" ref="E35:G35" si="11">SUM(E32:E34)</f>
        <v>0</v>
      </c>
      <c r="F35" s="365">
        <f t="shared" si="11"/>
        <v>0</v>
      </c>
      <c r="G35" s="110">
        <f t="shared" si="11"/>
        <v>0</v>
      </c>
      <c r="H35" s="102">
        <f>SUM(H32:H34)</f>
        <v>11602937.5</v>
      </c>
      <c r="I35" s="102">
        <f t="shared" ref="I35" si="12">SUM(I32:I34)</f>
        <v>11951025.625</v>
      </c>
      <c r="J35" s="101" t="s">
        <v>202</v>
      </c>
      <c r="K35" s="101" t="s">
        <v>202</v>
      </c>
      <c r="L35" s="101" t="s">
        <v>202</v>
      </c>
      <c r="M35" s="101" t="s">
        <v>202</v>
      </c>
      <c r="N35" s="101" t="s">
        <v>202</v>
      </c>
      <c r="O35" s="110" t="s">
        <v>202</v>
      </c>
      <c r="AP35" s="47"/>
      <c r="AQ35" s="47"/>
      <c r="AR35" s="47"/>
      <c r="AS35" s="47"/>
    </row>
    <row r="36" spans="2:45" s="125" customFormat="1">
      <c r="B36" s="197" t="s">
        <v>525</v>
      </c>
      <c r="C36" s="217" t="s">
        <v>202</v>
      </c>
      <c r="D36" s="237">
        <v>0</v>
      </c>
      <c r="E36" s="229">
        <v>0</v>
      </c>
      <c r="F36" s="364">
        <f>-(Assumptions!D35+Assumptions!D34)*'Site 3 - Financial'!D8</f>
        <v>-705525</v>
      </c>
      <c r="G36" s="230">
        <f>F36*(1+Assumptions!$F$8)</f>
        <v>-726690.75</v>
      </c>
      <c r="H36" s="869">
        <f>-(Assumptions!D38*'Site 5 - Financial'!D8)*((1+Assumptions!$F$8)^'Site 5 - Draw'!H2)</f>
        <v>-2326989.4646749999</v>
      </c>
      <c r="I36" s="229">
        <f>H36*(1+Assumptions!$F$8)</f>
        <v>-2396799.1486152499</v>
      </c>
      <c r="J36" s="229" t="s">
        <v>202</v>
      </c>
      <c r="K36" s="229" t="s">
        <v>202</v>
      </c>
      <c r="L36" s="229" t="s">
        <v>202</v>
      </c>
      <c r="M36" s="229" t="s">
        <v>202</v>
      </c>
      <c r="N36" s="229" t="s">
        <v>202</v>
      </c>
      <c r="O36" s="230" t="s">
        <v>202</v>
      </c>
      <c r="AP36" s="47"/>
      <c r="AQ36" s="47"/>
      <c r="AR36" s="47"/>
      <c r="AS36" s="47"/>
    </row>
    <row r="37" spans="2:45" s="125" customFormat="1">
      <c r="B37" s="197" t="s">
        <v>316</v>
      </c>
      <c r="C37" s="217" t="s">
        <v>202</v>
      </c>
      <c r="D37" s="237">
        <f t="shared" ref="D37:H37" si="13">-5%*D35</f>
        <v>0</v>
      </c>
      <c r="E37" s="229">
        <f t="shared" si="13"/>
        <v>0</v>
      </c>
      <c r="F37" s="364">
        <f t="shared" si="13"/>
        <v>0</v>
      </c>
      <c r="G37" s="230">
        <f t="shared" si="13"/>
        <v>0</v>
      </c>
      <c r="H37" s="869">
        <f t="shared" si="13"/>
        <v>-580146.875</v>
      </c>
      <c r="I37" s="381">
        <f t="shared" ref="I37" si="14">-5%*I35</f>
        <v>-597551.28125</v>
      </c>
      <c r="J37" s="229" t="s">
        <v>202</v>
      </c>
      <c r="K37" s="229" t="s">
        <v>202</v>
      </c>
      <c r="L37" s="229" t="s">
        <v>202</v>
      </c>
      <c r="M37" s="229" t="s">
        <v>202</v>
      </c>
      <c r="N37" s="229" t="s">
        <v>202</v>
      </c>
      <c r="O37" s="230" t="s">
        <v>202</v>
      </c>
      <c r="AP37" s="47"/>
      <c r="AQ37" s="47"/>
      <c r="AR37" s="47"/>
      <c r="AS37" s="47"/>
    </row>
    <row r="38" spans="2:45" s="125" customFormat="1">
      <c r="B38" s="225" t="s">
        <v>94</v>
      </c>
      <c r="C38" s="226" t="s">
        <v>202</v>
      </c>
      <c r="D38" s="109">
        <f t="shared" ref="D38:E38" si="15">SUM(D35:D37)</f>
        <v>0</v>
      </c>
      <c r="E38" s="101">
        <f t="shared" si="15"/>
        <v>0</v>
      </c>
      <c r="F38" s="365">
        <f t="shared" ref="F38:G38" si="16">SUM(F35:F37)</f>
        <v>-705525</v>
      </c>
      <c r="G38" s="110">
        <f t="shared" si="16"/>
        <v>-726690.75</v>
      </c>
      <c r="H38" s="102">
        <f>SUM(H35:H37)</f>
        <v>8695801.1603250001</v>
      </c>
      <c r="I38" s="102">
        <f t="shared" ref="I38" si="17">SUM(I35:I37)</f>
        <v>8956675.1951347496</v>
      </c>
      <c r="J38" s="101" t="s">
        <v>202</v>
      </c>
      <c r="K38" s="101" t="s">
        <v>202</v>
      </c>
      <c r="L38" s="101" t="s">
        <v>202</v>
      </c>
      <c r="M38" s="101" t="s">
        <v>202</v>
      </c>
      <c r="N38" s="101" t="s">
        <v>202</v>
      </c>
      <c r="O38" s="110" t="s">
        <v>202</v>
      </c>
      <c r="AP38" s="47"/>
      <c r="AQ38" s="47"/>
      <c r="AR38" s="47"/>
      <c r="AS38" s="47"/>
    </row>
    <row r="39" spans="2:45" s="125" customFormat="1" ht="15.75" thickBot="1">
      <c r="B39" s="209" t="s">
        <v>317</v>
      </c>
      <c r="C39" s="218" t="s">
        <v>202</v>
      </c>
      <c r="D39" s="238">
        <v>0</v>
      </c>
      <c r="E39" s="231">
        <v>0</v>
      </c>
      <c r="F39" s="861">
        <v>0</v>
      </c>
      <c r="G39" s="232">
        <v>0</v>
      </c>
      <c r="H39" s="382">
        <f>(I38/Assumptions!$I$7)*0.98</f>
        <v>184790351.39435905</v>
      </c>
      <c r="I39" s="382">
        <v>0</v>
      </c>
      <c r="J39" s="231" t="s">
        <v>202</v>
      </c>
      <c r="K39" s="231" t="s">
        <v>202</v>
      </c>
      <c r="L39" s="231" t="s">
        <v>202</v>
      </c>
      <c r="M39" s="231" t="s">
        <v>202</v>
      </c>
      <c r="N39" s="231" t="s">
        <v>202</v>
      </c>
      <c r="O39" s="232" t="s">
        <v>202</v>
      </c>
      <c r="AP39" s="47"/>
      <c r="AQ39" s="47"/>
      <c r="AR39" s="47"/>
      <c r="AS39" s="47"/>
    </row>
    <row r="40" spans="2:45" s="125" customFormat="1">
      <c r="B40" s="185" t="s">
        <v>583</v>
      </c>
      <c r="C40" s="216"/>
      <c r="D40" s="236"/>
      <c r="E40" s="227"/>
      <c r="F40" s="363"/>
      <c r="G40" s="228"/>
      <c r="H40" s="380"/>
      <c r="I40" s="227"/>
      <c r="J40" s="227"/>
      <c r="K40" s="227"/>
      <c r="L40" s="227"/>
      <c r="M40" s="363"/>
      <c r="N40" s="236"/>
      <c r="O40" s="466"/>
      <c r="AO40" s="47"/>
      <c r="AP40" s="47"/>
      <c r="AQ40" s="47"/>
      <c r="AR40" s="47"/>
    </row>
    <row r="41" spans="2:45" s="125" customFormat="1">
      <c r="B41" s="186" t="s">
        <v>91</v>
      </c>
      <c r="C41" s="217" t="s">
        <v>202</v>
      </c>
      <c r="D41" s="237">
        <v>0</v>
      </c>
      <c r="E41" s="229">
        <v>0</v>
      </c>
      <c r="F41" s="364">
        <v>0</v>
      </c>
      <c r="G41" s="230">
        <v>0</v>
      </c>
      <c r="H41" s="869">
        <f>'Site 5 - Financial'!F15</f>
        <v>356220</v>
      </c>
      <c r="I41" s="229">
        <f>H41*(1+Assumptions!$F$8)</f>
        <v>366906.60000000003</v>
      </c>
      <c r="J41" s="229" t="s">
        <v>202</v>
      </c>
      <c r="K41" s="744" t="s">
        <v>202</v>
      </c>
      <c r="L41" s="229" t="s">
        <v>202</v>
      </c>
      <c r="M41" s="364" t="s">
        <v>202</v>
      </c>
      <c r="N41" s="237" t="s">
        <v>202</v>
      </c>
      <c r="O41" s="230" t="s">
        <v>202</v>
      </c>
      <c r="AO41" s="47"/>
      <c r="AP41" s="47"/>
      <c r="AQ41" s="47"/>
      <c r="AR41" s="47"/>
    </row>
    <row r="42" spans="2:45" s="125" customFormat="1">
      <c r="B42" s="186" t="s">
        <v>521</v>
      </c>
      <c r="C42" s="217" t="s">
        <v>202</v>
      </c>
      <c r="D42" s="237">
        <v>0</v>
      </c>
      <c r="E42" s="229">
        <v>0</v>
      </c>
      <c r="F42" s="364">
        <v>0</v>
      </c>
      <c r="G42" s="230">
        <v>0</v>
      </c>
      <c r="H42" s="869">
        <f>'Site 5 - Financial'!C28*12*Assumptions!D20*0.1</f>
        <v>108000</v>
      </c>
      <c r="I42" s="229">
        <f>H42*(1+Assumptions!$F$8)</f>
        <v>111240</v>
      </c>
      <c r="J42" s="229" t="s">
        <v>202</v>
      </c>
      <c r="K42" s="229" t="s">
        <v>202</v>
      </c>
      <c r="L42" s="229" t="s">
        <v>202</v>
      </c>
      <c r="M42" s="364" t="s">
        <v>202</v>
      </c>
      <c r="N42" s="237" t="s">
        <v>202</v>
      </c>
      <c r="O42" s="230" t="s">
        <v>202</v>
      </c>
      <c r="AO42" s="47"/>
      <c r="AP42" s="47"/>
      <c r="AQ42" s="47"/>
      <c r="AR42" s="47"/>
    </row>
    <row r="43" spans="2:45" s="125" customFormat="1">
      <c r="B43" s="197" t="s">
        <v>309</v>
      </c>
      <c r="C43" s="217" t="s">
        <v>202</v>
      </c>
      <c r="D43" s="237">
        <v>0</v>
      </c>
      <c r="E43" s="229">
        <v>0</v>
      </c>
      <c r="F43" s="364">
        <v>0</v>
      </c>
      <c r="G43" s="230">
        <v>0</v>
      </c>
      <c r="H43" s="869">
        <f>(Assumptions!$D$35+Assumptions!$D$37)*'Site 5 - Financial'!D15*(1+Assumptions!$F$8)^$H$2</f>
        <v>76815.976282499993</v>
      </c>
      <c r="I43" s="229">
        <f>H43*(1+Assumptions!$F$8)</f>
        <v>79120.455570974998</v>
      </c>
      <c r="J43" s="229" t="s">
        <v>202</v>
      </c>
      <c r="K43" s="229" t="s">
        <v>202</v>
      </c>
      <c r="L43" s="229" t="s">
        <v>202</v>
      </c>
      <c r="M43" s="364" t="s">
        <v>202</v>
      </c>
      <c r="N43" s="237" t="s">
        <v>202</v>
      </c>
      <c r="O43" s="230" t="s">
        <v>202</v>
      </c>
      <c r="AO43" s="47"/>
      <c r="AP43" s="47"/>
      <c r="AQ43" s="47"/>
      <c r="AR43" s="47"/>
    </row>
    <row r="44" spans="2:45" s="125" customFormat="1">
      <c r="B44" s="225" t="s">
        <v>93</v>
      </c>
      <c r="C44" s="226" t="s">
        <v>202</v>
      </c>
      <c r="D44" s="109">
        <f>SUM(D41:D43)</f>
        <v>0</v>
      </c>
      <c r="E44" s="101">
        <f t="shared" ref="E44:G44" si="18">SUM(E41:E43)</f>
        <v>0</v>
      </c>
      <c r="F44" s="365">
        <f t="shared" si="18"/>
        <v>0</v>
      </c>
      <c r="G44" s="110">
        <f t="shared" si="18"/>
        <v>0</v>
      </c>
      <c r="H44" s="102">
        <f>SUM(H41:H43)</f>
        <v>541035.97628249996</v>
      </c>
      <c r="I44" s="101">
        <f t="shared" ref="I44" si="19">SUM(I41:I43)</f>
        <v>557267.05557097506</v>
      </c>
      <c r="J44" s="101" t="s">
        <v>202</v>
      </c>
      <c r="K44" s="101" t="s">
        <v>202</v>
      </c>
      <c r="L44" s="101" t="s">
        <v>202</v>
      </c>
      <c r="M44" s="365" t="s">
        <v>202</v>
      </c>
      <c r="N44" s="109" t="s">
        <v>202</v>
      </c>
      <c r="O44" s="467" t="s">
        <v>202</v>
      </c>
      <c r="AO44" s="47"/>
      <c r="AP44" s="47"/>
      <c r="AQ44" s="47"/>
      <c r="AR44" s="47"/>
    </row>
    <row r="45" spans="2:45" s="125" customFormat="1">
      <c r="B45" s="197" t="s">
        <v>525</v>
      </c>
      <c r="C45" s="217" t="s">
        <v>202</v>
      </c>
      <c r="D45" s="237">
        <v>0</v>
      </c>
      <c r="E45" s="229">
        <v>0</v>
      </c>
      <c r="F45" s="364">
        <f>-(Assumptions!$D$34+Assumptions!$D$35)*'Site 5 - Financial'!$D$15</f>
        <v>-60375</v>
      </c>
      <c r="G45" s="230">
        <f>F45*(1+Assumptions!$F$8)</f>
        <v>-62186.25</v>
      </c>
      <c r="H45" s="869">
        <f>-(Assumptions!$D$38)*('Site 5 - Financial'!$D$15)*(1+Assumptions!$F$8)^$H$2</f>
        <v>-118178.42504999999</v>
      </c>
      <c r="I45" s="229">
        <f>H45*(1+Assumptions!$F$8)</f>
        <v>-121723.77780149999</v>
      </c>
      <c r="J45" s="229" t="s">
        <v>202</v>
      </c>
      <c r="K45" s="229" t="s">
        <v>202</v>
      </c>
      <c r="L45" s="229" t="s">
        <v>202</v>
      </c>
      <c r="M45" s="364" t="s">
        <v>202</v>
      </c>
      <c r="N45" s="237" t="s">
        <v>202</v>
      </c>
      <c r="O45" s="315" t="s">
        <v>202</v>
      </c>
      <c r="AO45" s="47"/>
      <c r="AP45" s="47"/>
      <c r="AQ45" s="47"/>
      <c r="AR45" s="47"/>
    </row>
    <row r="46" spans="2:45" s="125" customFormat="1">
      <c r="B46" s="197" t="s">
        <v>316</v>
      </c>
      <c r="C46" s="217" t="s">
        <v>202</v>
      </c>
      <c r="D46" s="237">
        <f t="shared" ref="D46:H46" si="20">-5%*D44</f>
        <v>0</v>
      </c>
      <c r="E46" s="229">
        <f t="shared" si="20"/>
        <v>0</v>
      </c>
      <c r="F46" s="364">
        <f t="shared" si="20"/>
        <v>0</v>
      </c>
      <c r="G46" s="230">
        <f t="shared" si="20"/>
        <v>0</v>
      </c>
      <c r="H46" s="869">
        <f t="shared" si="20"/>
        <v>-27051.798814124999</v>
      </c>
      <c r="I46" s="229">
        <f t="shared" ref="I46" si="21">-5%*I44</f>
        <v>-27863.352778548753</v>
      </c>
      <c r="J46" s="229" t="s">
        <v>202</v>
      </c>
      <c r="K46" s="229" t="s">
        <v>202</v>
      </c>
      <c r="L46" s="229" t="s">
        <v>202</v>
      </c>
      <c r="M46" s="364" t="s">
        <v>202</v>
      </c>
      <c r="N46" s="237" t="s">
        <v>202</v>
      </c>
      <c r="O46" s="315" t="s">
        <v>202</v>
      </c>
      <c r="AO46" s="47"/>
      <c r="AP46" s="47"/>
      <c r="AQ46" s="47"/>
      <c r="AR46" s="47"/>
    </row>
    <row r="47" spans="2:45" s="125" customFormat="1">
      <c r="B47" s="225" t="s">
        <v>94</v>
      </c>
      <c r="C47" s="226" t="s">
        <v>202</v>
      </c>
      <c r="D47" s="109">
        <f t="shared" ref="D47:E47" si="22">SUM(D44:D46)</f>
        <v>0</v>
      </c>
      <c r="E47" s="101">
        <f t="shared" si="22"/>
        <v>0</v>
      </c>
      <c r="F47" s="365">
        <f t="shared" ref="F47:H47" si="23">SUM(F44:F46)</f>
        <v>-60375</v>
      </c>
      <c r="G47" s="110">
        <f t="shared" si="23"/>
        <v>-62186.25</v>
      </c>
      <c r="H47" s="102">
        <f t="shared" si="23"/>
        <v>395805.75241837499</v>
      </c>
      <c r="I47" s="101">
        <f t="shared" ref="I47" si="24">SUM(I44:I46)</f>
        <v>407679.92499092629</v>
      </c>
      <c r="J47" s="101" t="s">
        <v>202</v>
      </c>
      <c r="K47" s="101" t="s">
        <v>202</v>
      </c>
      <c r="L47" s="101" t="s">
        <v>202</v>
      </c>
      <c r="M47" s="365" t="s">
        <v>202</v>
      </c>
      <c r="N47" s="109" t="s">
        <v>202</v>
      </c>
      <c r="O47" s="467" t="s">
        <v>202</v>
      </c>
      <c r="AO47" s="47"/>
      <c r="AP47" s="47"/>
      <c r="AQ47" s="47"/>
      <c r="AR47" s="47"/>
    </row>
    <row r="48" spans="2:45" s="125" customFormat="1" ht="15.75" thickBot="1">
      <c r="B48" s="209" t="s">
        <v>317</v>
      </c>
      <c r="C48" s="218" t="s">
        <v>202</v>
      </c>
      <c r="D48" s="238">
        <v>0</v>
      </c>
      <c r="E48" s="231">
        <v>0</v>
      </c>
      <c r="F48" s="861">
        <v>0</v>
      </c>
      <c r="G48" s="232">
        <v>0</v>
      </c>
      <c r="H48" s="382">
        <f>(I47/Assumptions!$I$6)*0.98</f>
        <v>7990526.5298221549</v>
      </c>
      <c r="I48" s="231">
        <v>0</v>
      </c>
      <c r="J48" s="231" t="s">
        <v>202</v>
      </c>
      <c r="K48" s="231" t="s">
        <v>202</v>
      </c>
      <c r="L48" s="231" t="s">
        <v>202</v>
      </c>
      <c r="M48" s="366" t="s">
        <v>202</v>
      </c>
      <c r="N48" s="238" t="s">
        <v>202</v>
      </c>
      <c r="O48" s="468" t="s">
        <v>202</v>
      </c>
      <c r="AO48" s="47"/>
      <c r="AP48" s="47"/>
      <c r="AQ48" s="47"/>
      <c r="AR48" s="47"/>
    </row>
    <row r="49" spans="2:45" s="125" customFormat="1">
      <c r="B49" s="185" t="s">
        <v>325</v>
      </c>
      <c r="C49" s="216"/>
      <c r="D49" s="380"/>
      <c r="E49" s="227"/>
      <c r="F49" s="363"/>
      <c r="G49" s="228"/>
      <c r="H49" s="380"/>
      <c r="I49" s="227"/>
      <c r="J49" s="227"/>
      <c r="K49" s="227"/>
      <c r="L49" s="227"/>
      <c r="M49" s="227"/>
      <c r="N49" s="227"/>
      <c r="O49" s="228"/>
      <c r="AP49" s="47"/>
      <c r="AQ49" s="47"/>
      <c r="AR49" s="47"/>
      <c r="AS49" s="47"/>
    </row>
    <row r="50" spans="2:45" s="125" customFormat="1">
      <c r="B50" s="186" t="s">
        <v>91</v>
      </c>
      <c r="C50" s="217" t="s">
        <v>202</v>
      </c>
      <c r="D50" s="381">
        <v>0</v>
      </c>
      <c r="E50" s="229">
        <v>0</v>
      </c>
      <c r="F50" s="364">
        <v>0</v>
      </c>
      <c r="G50" s="230">
        <v>0</v>
      </c>
      <c r="H50" s="869">
        <f>'Site 5 - Financial'!D18*'Site 5 - Financial'!E18</f>
        <v>953505</v>
      </c>
      <c r="I50" s="229">
        <f>H50*(1+Assumptions!$F$8)</f>
        <v>982110.15</v>
      </c>
      <c r="J50" s="229" t="s">
        <v>202</v>
      </c>
      <c r="K50" s="229" t="s">
        <v>202</v>
      </c>
      <c r="L50" s="229" t="s">
        <v>202</v>
      </c>
      <c r="M50" s="229" t="s">
        <v>202</v>
      </c>
      <c r="N50" s="229" t="s">
        <v>202</v>
      </c>
      <c r="O50" s="230" t="s">
        <v>202</v>
      </c>
      <c r="AP50" s="47"/>
      <c r="AQ50" s="47"/>
      <c r="AR50" s="47"/>
      <c r="AS50" s="47"/>
    </row>
    <row r="51" spans="2:45" s="125" customFormat="1">
      <c r="B51" s="186" t="s">
        <v>521</v>
      </c>
      <c r="C51" s="217" t="s">
        <v>202</v>
      </c>
      <c r="D51" s="381">
        <v>0</v>
      </c>
      <c r="E51" s="229">
        <v>0</v>
      </c>
      <c r="F51" s="364">
        <v>0</v>
      </c>
      <c r="G51" s="230">
        <v>0</v>
      </c>
      <c r="H51" s="869">
        <f>'Site 5 - Financial'!C28*12*Assumptions!D21</f>
        <v>1512000</v>
      </c>
      <c r="I51" s="229">
        <f>H51*(1+Assumptions!$F$8)</f>
        <v>1557360</v>
      </c>
      <c r="J51" s="229" t="s">
        <v>202</v>
      </c>
      <c r="K51" s="229" t="s">
        <v>202</v>
      </c>
      <c r="L51" s="229" t="s">
        <v>202</v>
      </c>
      <c r="M51" s="229" t="s">
        <v>202</v>
      </c>
      <c r="N51" s="229" t="s">
        <v>202</v>
      </c>
      <c r="O51" s="230" t="s">
        <v>202</v>
      </c>
      <c r="AP51" s="47"/>
      <c r="AQ51" s="47"/>
      <c r="AR51" s="47"/>
      <c r="AS51" s="47"/>
    </row>
    <row r="52" spans="2:45" s="125" customFormat="1">
      <c r="B52" s="197" t="s">
        <v>309</v>
      </c>
      <c r="C52" s="217" t="s">
        <v>202</v>
      </c>
      <c r="D52" s="381">
        <v>0</v>
      </c>
      <c r="E52" s="229">
        <v>0</v>
      </c>
      <c r="F52" s="364">
        <v>0</v>
      </c>
      <c r="G52" s="230">
        <v>0</v>
      </c>
      <c r="H52" s="869">
        <f>(Assumptions!D30*'Site 5 - Financial'!D18)*(1+Assumptions!$F$8)^H2</f>
        <v>150244.95890306699</v>
      </c>
      <c r="I52" s="229">
        <f>H52*(1+Assumptions!$F$8)</f>
        <v>154752.307670159</v>
      </c>
      <c r="J52" s="229" t="s">
        <v>202</v>
      </c>
      <c r="K52" s="229" t="s">
        <v>202</v>
      </c>
      <c r="L52" s="229" t="s">
        <v>202</v>
      </c>
      <c r="M52" s="229" t="s">
        <v>202</v>
      </c>
      <c r="N52" s="229" t="s">
        <v>202</v>
      </c>
      <c r="O52" s="230" t="s">
        <v>202</v>
      </c>
      <c r="AP52" s="47"/>
      <c r="AQ52" s="47"/>
      <c r="AR52" s="47"/>
      <c r="AS52" s="47"/>
    </row>
    <row r="53" spans="2:45" s="125" customFormat="1">
      <c r="B53" s="225" t="s">
        <v>93</v>
      </c>
      <c r="C53" s="226" t="s">
        <v>202</v>
      </c>
      <c r="D53" s="102">
        <f t="shared" ref="D53:I53" si="25">SUM(D50:D52)</f>
        <v>0</v>
      </c>
      <c r="E53" s="101">
        <f t="shared" si="25"/>
        <v>0</v>
      </c>
      <c r="F53" s="365">
        <f t="shared" si="25"/>
        <v>0</v>
      </c>
      <c r="G53" s="110">
        <f t="shared" si="25"/>
        <v>0</v>
      </c>
      <c r="H53" s="102">
        <f t="shared" si="25"/>
        <v>2615749.9589030668</v>
      </c>
      <c r="I53" s="101">
        <f t="shared" si="25"/>
        <v>2694222.4576701587</v>
      </c>
      <c r="J53" s="101" t="s">
        <v>202</v>
      </c>
      <c r="K53" s="101" t="s">
        <v>202</v>
      </c>
      <c r="L53" s="101" t="s">
        <v>202</v>
      </c>
      <c r="M53" s="101" t="s">
        <v>202</v>
      </c>
      <c r="N53" s="101" t="s">
        <v>202</v>
      </c>
      <c r="O53" s="110" t="s">
        <v>202</v>
      </c>
      <c r="AP53" s="47"/>
      <c r="AQ53" s="47"/>
      <c r="AR53" s="47"/>
      <c r="AS53" s="47"/>
    </row>
    <row r="54" spans="2:45" s="125" customFormat="1">
      <c r="B54" s="197" t="s">
        <v>525</v>
      </c>
      <c r="C54" s="217" t="s">
        <v>202</v>
      </c>
      <c r="D54" s="381">
        <v>0</v>
      </c>
      <c r="E54" s="229">
        <v>0</v>
      </c>
      <c r="F54" s="565">
        <f>-(Assumptions!D26+Assumptions!D27)*'Site 5 - Financial'!D18</f>
        <v>-74918.25</v>
      </c>
      <c r="G54" s="315">
        <f>F54*(1+Assumptions!$F$8)</f>
        <v>-77165.797500000001</v>
      </c>
      <c r="H54" s="869">
        <f>-(Assumptions!D30*'Site 5 - Financial'!D18)*(1+Assumptions!$F$8)^G2</f>
        <v>-145868.8921389</v>
      </c>
      <c r="I54" s="229">
        <f>H54*(1+Assumptions!$F$8)</f>
        <v>-150244.95890306702</v>
      </c>
      <c r="J54" s="229" t="s">
        <v>202</v>
      </c>
      <c r="K54" s="229" t="s">
        <v>202</v>
      </c>
      <c r="L54" s="229" t="s">
        <v>202</v>
      </c>
      <c r="M54" s="229" t="s">
        <v>202</v>
      </c>
      <c r="N54" s="229" t="s">
        <v>202</v>
      </c>
      <c r="O54" s="230" t="s">
        <v>202</v>
      </c>
      <c r="AP54" s="47"/>
      <c r="AQ54" s="47"/>
      <c r="AR54" s="47"/>
      <c r="AS54" s="47"/>
    </row>
    <row r="55" spans="2:45" s="125" customFormat="1">
      <c r="B55" s="197" t="s">
        <v>316</v>
      </c>
      <c r="C55" s="217" t="s">
        <v>202</v>
      </c>
      <c r="D55" s="381">
        <f t="shared" ref="D55:I55" si="26">-5%*D53</f>
        <v>0</v>
      </c>
      <c r="E55" s="229">
        <f t="shared" si="26"/>
        <v>0</v>
      </c>
      <c r="F55" s="364">
        <f t="shared" si="26"/>
        <v>0</v>
      </c>
      <c r="G55" s="505">
        <f t="shared" si="26"/>
        <v>0</v>
      </c>
      <c r="H55" s="869">
        <f t="shared" si="26"/>
        <v>-130787.49794515334</v>
      </c>
      <c r="I55" s="229">
        <f t="shared" si="26"/>
        <v>-134711.12288350795</v>
      </c>
      <c r="J55" s="229" t="s">
        <v>202</v>
      </c>
      <c r="K55" s="229" t="s">
        <v>202</v>
      </c>
      <c r="L55" s="229" t="s">
        <v>202</v>
      </c>
      <c r="M55" s="229" t="s">
        <v>202</v>
      </c>
      <c r="N55" s="229" t="s">
        <v>202</v>
      </c>
      <c r="O55" s="230" t="s">
        <v>202</v>
      </c>
      <c r="AP55" s="47"/>
      <c r="AQ55" s="47"/>
      <c r="AR55" s="47"/>
      <c r="AS55" s="47"/>
    </row>
    <row r="56" spans="2:45" s="125" customFormat="1">
      <c r="B56" s="225" t="s">
        <v>94</v>
      </c>
      <c r="C56" s="226" t="s">
        <v>202</v>
      </c>
      <c r="D56" s="102">
        <f t="shared" ref="D56:F56" si="27">SUM(D53:D55)</f>
        <v>0</v>
      </c>
      <c r="E56" s="101">
        <f t="shared" si="27"/>
        <v>0</v>
      </c>
      <c r="F56" s="365">
        <f t="shared" si="27"/>
        <v>-74918.25</v>
      </c>
      <c r="G56" s="110">
        <f>SUM(G53:G55)</f>
        <v>-77165.797500000001</v>
      </c>
      <c r="H56" s="102">
        <f>SUM(H53:H55)</f>
        <v>2339093.5688190134</v>
      </c>
      <c r="I56" s="101">
        <f>SUM(I53:I55)</f>
        <v>2409266.3758835839</v>
      </c>
      <c r="J56" s="101" t="s">
        <v>202</v>
      </c>
      <c r="K56" s="101" t="s">
        <v>202</v>
      </c>
      <c r="L56" s="101" t="s">
        <v>202</v>
      </c>
      <c r="M56" s="101" t="s">
        <v>202</v>
      </c>
      <c r="N56" s="101" t="s">
        <v>202</v>
      </c>
      <c r="O56" s="110" t="s">
        <v>202</v>
      </c>
      <c r="AP56" s="47"/>
      <c r="AQ56" s="47"/>
      <c r="AR56" s="47"/>
      <c r="AS56" s="47"/>
    </row>
    <row r="57" spans="2:45" s="125" customFormat="1" ht="15.75" thickBot="1">
      <c r="B57" s="209" t="s">
        <v>317</v>
      </c>
      <c r="C57" s="218" t="s">
        <v>202</v>
      </c>
      <c r="D57" s="382">
        <v>0</v>
      </c>
      <c r="E57" s="231">
        <v>0</v>
      </c>
      <c r="F57" s="861">
        <v>0</v>
      </c>
      <c r="G57" s="232">
        <v>0</v>
      </c>
      <c r="H57" s="382">
        <f>(I56/Assumptions!$I$9)*0.98</f>
        <v>52468467.741464719</v>
      </c>
      <c r="I57" s="231">
        <v>0</v>
      </c>
      <c r="J57" s="231" t="s">
        <v>202</v>
      </c>
      <c r="K57" s="231" t="s">
        <v>202</v>
      </c>
      <c r="L57" s="231" t="s">
        <v>202</v>
      </c>
      <c r="M57" s="231" t="s">
        <v>202</v>
      </c>
      <c r="N57" s="231" t="s">
        <v>202</v>
      </c>
      <c r="O57" s="232" t="s">
        <v>202</v>
      </c>
      <c r="AP57" s="47"/>
      <c r="AQ57" s="47"/>
      <c r="AR57" s="47"/>
      <c r="AS57" s="47"/>
    </row>
    <row r="58" spans="2:45" s="125" customFormat="1">
      <c r="B58" s="185" t="s">
        <v>391</v>
      </c>
      <c r="C58" s="216"/>
      <c r="D58" s="380"/>
      <c r="E58" s="227"/>
      <c r="F58" s="363"/>
      <c r="G58" s="228"/>
      <c r="H58" s="380"/>
      <c r="I58" s="227"/>
      <c r="J58" s="227"/>
      <c r="K58" s="227"/>
      <c r="L58" s="227"/>
      <c r="M58" s="227"/>
      <c r="N58" s="227"/>
      <c r="O58" s="228"/>
      <c r="AP58" s="47"/>
      <c r="AQ58" s="47"/>
      <c r="AR58" s="47"/>
      <c r="AS58" s="47"/>
    </row>
    <row r="59" spans="2:45" s="125" customFormat="1">
      <c r="B59" s="186" t="s">
        <v>91</v>
      </c>
      <c r="C59" s="217" t="s">
        <v>202</v>
      </c>
      <c r="D59" s="381">
        <v>0</v>
      </c>
      <c r="E59" s="229">
        <v>0</v>
      </c>
      <c r="F59" s="364">
        <v>0</v>
      </c>
      <c r="G59" s="230">
        <v>0</v>
      </c>
      <c r="H59" s="869">
        <v>0</v>
      </c>
      <c r="I59" s="229">
        <v>0</v>
      </c>
      <c r="J59" s="229" t="s">
        <v>202</v>
      </c>
      <c r="K59" s="229" t="s">
        <v>202</v>
      </c>
      <c r="L59" s="229" t="s">
        <v>202</v>
      </c>
      <c r="M59" s="229" t="s">
        <v>202</v>
      </c>
      <c r="N59" s="229" t="s">
        <v>202</v>
      </c>
      <c r="O59" s="230" t="s">
        <v>202</v>
      </c>
      <c r="AP59" s="47"/>
      <c r="AQ59" s="47"/>
      <c r="AR59" s="47"/>
      <c r="AS59" s="47"/>
    </row>
    <row r="60" spans="2:45" s="125" customFormat="1">
      <c r="B60" s="186" t="s">
        <v>521</v>
      </c>
      <c r="C60" s="217" t="s">
        <v>202</v>
      </c>
      <c r="D60" s="381">
        <v>0</v>
      </c>
      <c r="E60" s="229">
        <v>0</v>
      </c>
      <c r="F60" s="364">
        <v>0</v>
      </c>
      <c r="G60" s="230">
        <v>0</v>
      </c>
      <c r="H60" s="869">
        <v>0</v>
      </c>
      <c r="I60" s="229">
        <v>0</v>
      </c>
      <c r="J60" s="229" t="s">
        <v>202</v>
      </c>
      <c r="K60" s="229" t="s">
        <v>202</v>
      </c>
      <c r="L60" s="229" t="s">
        <v>202</v>
      </c>
      <c r="M60" s="229" t="s">
        <v>202</v>
      </c>
      <c r="N60" s="229" t="s">
        <v>202</v>
      </c>
      <c r="O60" s="230" t="s">
        <v>202</v>
      </c>
      <c r="AP60" s="47"/>
      <c r="AQ60" s="47"/>
      <c r="AR60" s="47"/>
      <c r="AS60" s="47"/>
    </row>
    <row r="61" spans="2:45" s="125" customFormat="1">
      <c r="B61" s="186" t="s">
        <v>309</v>
      </c>
      <c r="C61" s="217" t="s">
        <v>202</v>
      </c>
      <c r="D61" s="381">
        <v>0</v>
      </c>
      <c r="E61" s="229">
        <v>0</v>
      </c>
      <c r="F61" s="364">
        <v>0</v>
      </c>
      <c r="G61" s="230">
        <v>0</v>
      </c>
      <c r="H61" s="869">
        <v>0</v>
      </c>
      <c r="I61" s="229">
        <v>0</v>
      </c>
      <c r="J61" s="229" t="s">
        <v>202</v>
      </c>
      <c r="K61" s="229" t="s">
        <v>202</v>
      </c>
      <c r="L61" s="229" t="s">
        <v>202</v>
      </c>
      <c r="M61" s="229" t="s">
        <v>202</v>
      </c>
      <c r="N61" s="229" t="s">
        <v>202</v>
      </c>
      <c r="O61" s="230" t="s">
        <v>202</v>
      </c>
      <c r="AP61" s="47"/>
      <c r="AQ61" s="47"/>
      <c r="AR61" s="47"/>
      <c r="AS61" s="47"/>
    </row>
    <row r="62" spans="2:45" s="125" customFormat="1">
      <c r="B62" s="225" t="s">
        <v>93</v>
      </c>
      <c r="C62" s="226" t="s">
        <v>202</v>
      </c>
      <c r="D62" s="102">
        <f t="shared" ref="D62:G62" si="28">SUM(D59:D61)</f>
        <v>0</v>
      </c>
      <c r="E62" s="101">
        <f t="shared" si="28"/>
        <v>0</v>
      </c>
      <c r="F62" s="365">
        <f t="shared" si="28"/>
        <v>0</v>
      </c>
      <c r="G62" s="110">
        <f t="shared" si="28"/>
        <v>0</v>
      </c>
      <c r="H62" s="102">
        <f t="shared" ref="H62:I62" si="29">SUM(H59:H61)</f>
        <v>0</v>
      </c>
      <c r="I62" s="101">
        <f t="shared" si="29"/>
        <v>0</v>
      </c>
      <c r="J62" s="101" t="s">
        <v>202</v>
      </c>
      <c r="K62" s="101" t="s">
        <v>202</v>
      </c>
      <c r="L62" s="101" t="s">
        <v>202</v>
      </c>
      <c r="M62" s="101" t="s">
        <v>202</v>
      </c>
      <c r="N62" s="101" t="s">
        <v>202</v>
      </c>
      <c r="O62" s="110" t="s">
        <v>202</v>
      </c>
      <c r="AP62" s="47"/>
      <c r="AQ62" s="47"/>
      <c r="AR62" s="47"/>
      <c r="AS62" s="47"/>
    </row>
    <row r="63" spans="2:45" s="125" customFormat="1">
      <c r="B63" s="197" t="s">
        <v>525</v>
      </c>
      <c r="C63" s="217" t="s">
        <v>202</v>
      </c>
      <c r="D63" s="381">
        <v>0</v>
      </c>
      <c r="E63" s="229">
        <f>-(Assumptions!D26+Assumptions!D27)*'Site 5 - Financial'!D19</f>
        <v>0</v>
      </c>
      <c r="F63" s="364">
        <v>0</v>
      </c>
      <c r="G63" s="230">
        <v>0</v>
      </c>
      <c r="H63" s="869">
        <v>0</v>
      </c>
      <c r="I63" s="229">
        <v>0</v>
      </c>
      <c r="J63" s="229" t="s">
        <v>202</v>
      </c>
      <c r="K63" s="229" t="s">
        <v>202</v>
      </c>
      <c r="L63" s="229" t="s">
        <v>202</v>
      </c>
      <c r="M63" s="229" t="s">
        <v>202</v>
      </c>
      <c r="N63" s="229" t="s">
        <v>202</v>
      </c>
      <c r="O63" s="230" t="s">
        <v>202</v>
      </c>
      <c r="AP63" s="47"/>
      <c r="AQ63" s="47"/>
      <c r="AR63" s="47"/>
      <c r="AS63" s="47"/>
    </row>
    <row r="64" spans="2:45" s="125" customFormat="1">
      <c r="B64" s="186" t="s">
        <v>316</v>
      </c>
      <c r="C64" s="217" t="s">
        <v>202</v>
      </c>
      <c r="D64" s="381">
        <f t="shared" ref="D64:I64" si="30">-5%*D62</f>
        <v>0</v>
      </c>
      <c r="E64" s="229">
        <f t="shared" si="30"/>
        <v>0</v>
      </c>
      <c r="F64" s="364">
        <f t="shared" si="30"/>
        <v>0</v>
      </c>
      <c r="G64" s="230">
        <f t="shared" si="30"/>
        <v>0</v>
      </c>
      <c r="H64" s="869">
        <f t="shared" si="30"/>
        <v>0</v>
      </c>
      <c r="I64" s="229">
        <f t="shared" si="30"/>
        <v>0</v>
      </c>
      <c r="J64" s="229" t="s">
        <v>202</v>
      </c>
      <c r="K64" s="229" t="s">
        <v>202</v>
      </c>
      <c r="L64" s="229" t="s">
        <v>202</v>
      </c>
      <c r="M64" s="229" t="s">
        <v>202</v>
      </c>
      <c r="N64" s="229" t="s">
        <v>202</v>
      </c>
      <c r="O64" s="230" t="s">
        <v>202</v>
      </c>
      <c r="AP64" s="47"/>
      <c r="AQ64" s="47"/>
      <c r="AR64" s="47"/>
      <c r="AS64" s="47"/>
    </row>
    <row r="65" spans="1:45" s="125" customFormat="1">
      <c r="B65" s="225" t="s">
        <v>94</v>
      </c>
      <c r="C65" s="226" t="s">
        <v>202</v>
      </c>
      <c r="D65" s="102">
        <f t="shared" ref="D65:I65" si="31">SUM(D62:D64)</f>
        <v>0</v>
      </c>
      <c r="E65" s="101">
        <f t="shared" si="31"/>
        <v>0</v>
      </c>
      <c r="F65" s="365">
        <f t="shared" si="31"/>
        <v>0</v>
      </c>
      <c r="G65" s="110">
        <f t="shared" si="31"/>
        <v>0</v>
      </c>
      <c r="H65" s="102">
        <f t="shared" si="31"/>
        <v>0</v>
      </c>
      <c r="I65" s="101">
        <f t="shared" si="31"/>
        <v>0</v>
      </c>
      <c r="J65" s="101" t="s">
        <v>202</v>
      </c>
      <c r="K65" s="101" t="s">
        <v>202</v>
      </c>
      <c r="L65" s="101" t="s">
        <v>202</v>
      </c>
      <c r="M65" s="101" t="s">
        <v>202</v>
      </c>
      <c r="N65" s="101" t="s">
        <v>202</v>
      </c>
      <c r="O65" s="110" t="s">
        <v>202</v>
      </c>
      <c r="AP65" s="47"/>
      <c r="AQ65" s="47"/>
      <c r="AR65" s="47"/>
      <c r="AS65" s="47"/>
    </row>
    <row r="66" spans="1:45" s="125" customFormat="1" ht="15.75" thickBot="1">
      <c r="B66" s="189" t="s">
        <v>317</v>
      </c>
      <c r="C66" s="218" t="s">
        <v>202</v>
      </c>
      <c r="D66" s="382">
        <v>0</v>
      </c>
      <c r="E66" s="231">
        <v>0</v>
      </c>
      <c r="F66" s="861">
        <v>0</v>
      </c>
      <c r="G66" s="232">
        <v>0</v>
      </c>
      <c r="H66" s="382">
        <v>0</v>
      </c>
      <c r="I66" s="231">
        <v>0</v>
      </c>
      <c r="J66" s="231" t="s">
        <v>202</v>
      </c>
      <c r="K66" s="231" t="s">
        <v>202</v>
      </c>
      <c r="L66" s="231" t="s">
        <v>202</v>
      </c>
      <c r="M66" s="231" t="s">
        <v>202</v>
      </c>
      <c r="N66" s="231" t="s">
        <v>202</v>
      </c>
      <c r="O66" s="232" t="s">
        <v>202</v>
      </c>
      <c r="AP66" s="47"/>
      <c r="AQ66" s="47"/>
      <c r="AR66" s="47"/>
      <c r="AS66" s="47"/>
    </row>
    <row r="67" spans="1:45" s="125" customFormat="1" ht="15.75" thickBot="1">
      <c r="B67" s="240" t="s">
        <v>328</v>
      </c>
      <c r="C67" s="336">
        <f>IRR(E67:N67)</f>
        <v>0.12298317975535289</v>
      </c>
      <c r="D67" s="379">
        <f>D30</f>
        <v>0</v>
      </c>
      <c r="E67" s="242">
        <f>-E30</f>
        <v>-97575706.09129478</v>
      </c>
      <c r="F67" s="362">
        <f>-F30</f>
        <v>-49597437.245220385</v>
      </c>
      <c r="G67" s="243">
        <f>-G30</f>
        <v>-49820850.542720385</v>
      </c>
      <c r="H67" s="379">
        <f>SUM(H38:H39,H65:H66,H56:H57,H30,H47:H48)</f>
        <v>256680046.14720827</v>
      </c>
      <c r="I67" s="242">
        <v>0</v>
      </c>
      <c r="J67" s="242">
        <f>SUM(J38:J39,J65:J66,J56:J57,J30)</f>
        <v>0</v>
      </c>
      <c r="K67" s="242">
        <f>SUM(K38:K39,K65:K66,K56:K57,K30)</f>
        <v>0</v>
      </c>
      <c r="L67" s="242">
        <f>SUM(L38:L39,L65:L66,L56:L57,L30)</f>
        <v>0</v>
      </c>
      <c r="M67" s="242">
        <f>SUM(M38:M39,M65:M66,M56:M57,M30)</f>
        <v>0</v>
      </c>
      <c r="N67" s="242">
        <f>SUM(N38:N39,N65:N66,N56:N57,N30)</f>
        <v>0</v>
      </c>
      <c r="O67" s="243" t="s">
        <v>202</v>
      </c>
      <c r="AP67" s="47"/>
      <c r="AQ67" s="47"/>
      <c r="AR67" s="47"/>
      <c r="AS67" s="47"/>
    </row>
    <row r="68" spans="1:45" s="125" customFormat="1">
      <c r="B68" s="186" t="s">
        <v>651</v>
      </c>
      <c r="C68" s="244">
        <f>Assumptions!I13</f>
        <v>5.2499999999999998E-2</v>
      </c>
      <c r="D68" s="384" t="s">
        <v>202</v>
      </c>
      <c r="E68" s="234">
        <f>-C68*'Site 5 - Financial'!E24</f>
        <v>-5688201.5732629271</v>
      </c>
      <c r="F68" s="367">
        <f>E68</f>
        <v>-5688201.5732629271</v>
      </c>
      <c r="G68" s="235">
        <f t="shared" ref="G68" si="32">F68</f>
        <v>-5688201.5732629271</v>
      </c>
      <c r="H68" s="769">
        <f>G68</f>
        <v>-5688201.5732629271</v>
      </c>
      <c r="I68" s="234" t="s">
        <v>202</v>
      </c>
      <c r="J68" s="234" t="s">
        <v>202</v>
      </c>
      <c r="K68" s="234" t="s">
        <v>202</v>
      </c>
      <c r="L68" s="234" t="s">
        <v>202</v>
      </c>
      <c r="M68" s="234" t="s">
        <v>202</v>
      </c>
      <c r="N68" s="234" t="s">
        <v>202</v>
      </c>
      <c r="O68" s="207" t="s">
        <v>202</v>
      </c>
      <c r="AP68" s="47"/>
      <c r="AQ68" s="47"/>
      <c r="AR68" s="47"/>
      <c r="AS68" s="47"/>
    </row>
    <row r="69" spans="1:45" s="191" customFormat="1" outlineLevel="1">
      <c r="B69" s="337" t="s">
        <v>650</v>
      </c>
      <c r="C69" s="338"/>
      <c r="D69" s="385" t="s">
        <v>202</v>
      </c>
      <c r="E69" s="340">
        <f>'Site 5 - Financial'!E24</f>
        <v>108346696.63357957</v>
      </c>
      <c r="F69" s="368">
        <f>E69</f>
        <v>108346696.63357957</v>
      </c>
      <c r="G69" s="386">
        <f>F69</f>
        <v>108346696.63357957</v>
      </c>
      <c r="H69" s="875">
        <f>-'Site 5 - Financial'!E24</f>
        <v>-108346696.63357957</v>
      </c>
      <c r="I69" s="340" t="s">
        <v>202</v>
      </c>
      <c r="J69" s="340" t="s">
        <v>202</v>
      </c>
      <c r="K69" s="340" t="s">
        <v>202</v>
      </c>
      <c r="L69" s="340" t="s">
        <v>202</v>
      </c>
      <c r="M69" s="340" t="s">
        <v>202</v>
      </c>
      <c r="N69" s="340" t="s">
        <v>202</v>
      </c>
      <c r="O69" s="341" t="s">
        <v>202</v>
      </c>
      <c r="AP69" s="344"/>
      <c r="AQ69" s="344"/>
      <c r="AR69" s="344"/>
      <c r="AS69" s="344"/>
    </row>
    <row r="70" spans="1:45" s="125" customFormat="1" ht="15.75" thickBot="1">
      <c r="B70" s="186" t="s">
        <v>332</v>
      </c>
      <c r="C70" s="219"/>
      <c r="D70" s="384" t="s">
        <v>202</v>
      </c>
      <c r="E70" s="234">
        <f>E67*'Site 5 - Financial'!$D$25</f>
        <v>-43909067.741082646</v>
      </c>
      <c r="F70" s="234">
        <f>F67*'Site 5 - Financial'!$D$25</f>
        <v>-22318846.760349173</v>
      </c>
      <c r="G70" s="877">
        <f>G67*'Site 5 - Financial'!$D$25</f>
        <v>-22419382.744224172</v>
      </c>
      <c r="H70" s="769">
        <v>0</v>
      </c>
      <c r="I70" s="234" t="s">
        <v>202</v>
      </c>
      <c r="J70" s="234" t="s">
        <v>202</v>
      </c>
      <c r="K70" s="234" t="s">
        <v>202</v>
      </c>
      <c r="L70" s="234" t="s">
        <v>202</v>
      </c>
      <c r="M70" s="234" t="s">
        <v>202</v>
      </c>
      <c r="N70" s="234" t="s">
        <v>202</v>
      </c>
      <c r="O70" s="207" t="s">
        <v>202</v>
      </c>
      <c r="AP70" s="47"/>
      <c r="AQ70" s="47"/>
      <c r="AR70" s="47"/>
      <c r="AS70" s="47"/>
    </row>
    <row r="71" spans="1:45" s="137" customFormat="1" ht="15.75" thickBot="1">
      <c r="B71" s="240" t="s">
        <v>329</v>
      </c>
      <c r="C71" s="336">
        <f>IRR(E71:N71)</f>
        <v>0.14253295283069733</v>
      </c>
      <c r="D71" s="379">
        <v>0</v>
      </c>
      <c r="E71" s="242">
        <f>E70+E68</f>
        <v>-49597269.314345576</v>
      </c>
      <c r="F71" s="362">
        <f>F70+F68</f>
        <v>-28007048.333612099</v>
      </c>
      <c r="G71" s="243">
        <f>G70+G68</f>
        <v>-28107584.317487098</v>
      </c>
      <c r="H71" s="379">
        <f>SUM(H67:H70)</f>
        <v>142645147.94036579</v>
      </c>
      <c r="I71" s="242">
        <v>0</v>
      </c>
      <c r="J71" s="242">
        <v>0</v>
      </c>
      <c r="K71" s="242">
        <v>0</v>
      </c>
      <c r="L71" s="242">
        <v>0</v>
      </c>
      <c r="M71" s="242">
        <v>0</v>
      </c>
      <c r="N71" s="242">
        <v>0</v>
      </c>
      <c r="O71" s="243" t="s">
        <v>202</v>
      </c>
      <c r="AP71" s="248"/>
      <c r="AQ71" s="248"/>
      <c r="AR71" s="248"/>
      <c r="AS71" s="248"/>
    </row>
    <row r="72" spans="1:45" s="89" customFormat="1">
      <c r="A72" s="125"/>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P72" s="48"/>
      <c r="AQ72" s="48"/>
      <c r="AR72" s="48"/>
      <c r="AS72" s="48"/>
    </row>
    <row r="73" spans="1:45" s="89" customFormat="1">
      <c r="A73" s="125"/>
      <c r="B73" s="48"/>
      <c r="C73" s="171"/>
      <c r="D73" s="48"/>
      <c r="E73" s="48"/>
      <c r="F73" s="48"/>
      <c r="G73" s="48"/>
      <c r="H73" s="48"/>
      <c r="I73" s="292"/>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P73" s="48"/>
      <c r="AQ73" s="48"/>
      <c r="AR73" s="48"/>
      <c r="AS73" s="48"/>
    </row>
    <row r="74" spans="1:45" s="89" customFormat="1">
      <c r="A74" s="125"/>
      <c r="B74" s="48"/>
      <c r="C74" s="171"/>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P74" s="48"/>
      <c r="AQ74" s="48"/>
      <c r="AR74" s="48"/>
      <c r="AS74" s="48"/>
    </row>
    <row r="75" spans="1:45" s="89" customFormat="1">
      <c r="A75" s="125"/>
      <c r="B75" s="136"/>
      <c r="C75" s="176"/>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P75" s="48"/>
      <c r="AQ75" s="48"/>
      <c r="AR75" s="48"/>
      <c r="AS75" s="48"/>
    </row>
    <row r="76" spans="1:45" s="89" customFormat="1">
      <c r="A76" s="125"/>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P76" s="48"/>
      <c r="AQ76" s="48"/>
      <c r="AR76" s="48"/>
      <c r="AS76" s="48"/>
    </row>
  </sheetData>
  <mergeCells count="1">
    <mergeCell ref="B2:B4"/>
  </mergeCells>
  <conditionalFormatting sqref="D4:O4">
    <cfRule type="cellIs" dxfId="19" priority="1" operator="equal">
      <formula>#REF!</formula>
    </cfRule>
    <cfRule type="cellIs" dxfId="18" priority="2" operator="equal">
      <formula>#REF!</formula>
    </cfRule>
    <cfRule type="cellIs" dxfId="17" priority="3" operator="equal">
      <formula>#REF!</formula>
    </cfRule>
    <cfRule type="cellIs" dxfId="16" priority="4"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A96D9-72E7-EA47-9565-62FA7FAA85E3}">
  <sheetPr>
    <tabColor rgb="FF92D050"/>
    <pageSetUpPr fitToPage="1"/>
  </sheetPr>
  <dimension ref="B1:K83"/>
  <sheetViews>
    <sheetView showGridLines="0" zoomScale="85" zoomScaleNormal="70" zoomScaleSheetLayoutView="90" workbookViewId="0">
      <selection activeCell="I30" sqref="I30"/>
    </sheetView>
  </sheetViews>
  <sheetFormatPr defaultColWidth="8.85546875" defaultRowHeight="23.25" customHeight="1"/>
  <cols>
    <col min="1" max="1" width="2" style="48" customWidth="1"/>
    <col min="2" max="2" width="44.140625" style="48" customWidth="1"/>
    <col min="3" max="3" width="32.140625" style="48" bestFit="1" customWidth="1"/>
    <col min="4" max="4" width="22.42578125" style="48" bestFit="1" customWidth="1"/>
    <col min="5" max="5" width="18.42578125" style="48" customWidth="1"/>
    <col min="6" max="6" width="18.140625" style="48" bestFit="1" customWidth="1"/>
    <col min="7" max="7" width="51.85546875" style="48" customWidth="1"/>
    <col min="8" max="11" width="26.140625" style="48" customWidth="1"/>
    <col min="12" max="12" width="13.140625" style="48" bestFit="1" customWidth="1"/>
    <col min="13" max="13" width="24.42578125" style="48" customWidth="1"/>
    <col min="14" max="14" width="32.42578125" style="48" customWidth="1"/>
    <col min="15" max="15" width="20.140625" style="48" customWidth="1"/>
    <col min="16" max="16384" width="8.85546875" style="48"/>
  </cols>
  <sheetData>
    <row r="1" spans="2:10" ht="12" customHeight="1" thickBot="1">
      <c r="B1" s="115"/>
      <c r="C1" s="115"/>
      <c r="D1" s="113"/>
      <c r="E1" s="116"/>
    </row>
    <row r="2" spans="2:10" ht="21" customHeight="1">
      <c r="B2" s="1249" t="str">
        <f>'Development Program'!B10</f>
        <v>The Argyle</v>
      </c>
      <c r="C2" s="1250"/>
      <c r="D2" s="1250"/>
      <c r="E2" s="1250"/>
      <c r="F2" s="1251"/>
      <c r="G2" s="1268" t="s">
        <v>100</v>
      </c>
      <c r="H2" s="1244" t="s">
        <v>18</v>
      </c>
      <c r="I2" s="1244" t="s">
        <v>96</v>
      </c>
      <c r="J2" s="1246" t="s">
        <v>90</v>
      </c>
    </row>
    <row r="3" spans="2:10" ht="21" customHeight="1" thickBot="1">
      <c r="B3" s="87" t="s">
        <v>581</v>
      </c>
      <c r="C3" s="310" t="s">
        <v>83</v>
      </c>
      <c r="D3" s="311" t="s">
        <v>387</v>
      </c>
      <c r="E3" s="310" t="s">
        <v>582</v>
      </c>
      <c r="F3" s="114" t="s">
        <v>389</v>
      </c>
      <c r="G3" s="1269"/>
      <c r="H3" s="1245"/>
      <c r="I3" s="1245"/>
      <c r="J3" s="1247"/>
    </row>
    <row r="4" spans="2:10" ht="21" customHeight="1">
      <c r="B4" s="146" t="s">
        <v>85</v>
      </c>
      <c r="C4" s="147">
        <v>40</v>
      </c>
      <c r="D4" s="148">
        <f>Assumptions!C7*C4</f>
        <v>18000</v>
      </c>
      <c r="E4" s="149">
        <f>'Site 5 - Financial'!E4</f>
        <v>2000</v>
      </c>
      <c r="F4" s="150">
        <f>E4*C4*12</f>
        <v>960000</v>
      </c>
      <c r="G4" s="120" t="str">
        <f>Assumptions!F19</f>
        <v>Residential Condominium Hard Costs for Construction</v>
      </c>
      <c r="H4" s="269">
        <f>'Market Research'!H116</f>
        <v>275</v>
      </c>
      <c r="I4" s="270">
        <f>H4*D8</f>
        <v>21175000</v>
      </c>
      <c r="J4" s="289">
        <f>I4/($C$13+$C$8)</f>
        <v>170766.12903225806</v>
      </c>
    </row>
    <row r="5" spans="2:10" ht="21" customHeight="1">
      <c r="B5" s="151" t="s">
        <v>187</v>
      </c>
      <c r="C5" s="152">
        <v>60</v>
      </c>
      <c r="D5" s="153">
        <f>Assumptions!C9*C5</f>
        <v>39000</v>
      </c>
      <c r="E5" s="154">
        <f>'Site 5 - Financial'!E5</f>
        <v>2400</v>
      </c>
      <c r="F5" s="155">
        <f>E5*C5*12</f>
        <v>1728000</v>
      </c>
      <c r="G5" s="120" t="s">
        <v>306</v>
      </c>
      <c r="H5" s="271">
        <f>'Market Research'!H122</f>
        <v>275</v>
      </c>
      <c r="I5" s="270">
        <f>H5*D12</f>
        <v>0</v>
      </c>
      <c r="J5" s="290">
        <f t="shared" ref="J5:J26" si="0">I5/($C$13+$C$8)</f>
        <v>0</v>
      </c>
    </row>
    <row r="6" spans="2:10" ht="21" customHeight="1">
      <c r="B6" s="151" t="s">
        <v>188</v>
      </c>
      <c r="C6" s="152">
        <v>20</v>
      </c>
      <c r="D6" s="153">
        <f>Assumptions!C11*C6</f>
        <v>20000</v>
      </c>
      <c r="E6" s="154">
        <f>'Site 5 - Financial'!E6</f>
        <v>3400</v>
      </c>
      <c r="F6" s="155">
        <f>E6*C6*12</f>
        <v>816000</v>
      </c>
      <c r="G6" s="120" t="s">
        <v>307</v>
      </c>
      <c r="H6" s="271">
        <f>'Market Research'!H122</f>
        <v>275</v>
      </c>
      <c r="I6" s="270">
        <f>H6*D11</f>
        <v>4008675</v>
      </c>
      <c r="J6" s="290">
        <f t="shared" si="0"/>
        <v>32328.024193548386</v>
      </c>
    </row>
    <row r="7" spans="2:10" ht="21" customHeight="1" thickBot="1">
      <c r="B7" s="156" t="s">
        <v>189</v>
      </c>
      <c r="C7" s="157">
        <v>0</v>
      </c>
      <c r="D7" s="158">
        <f>Assumptions!C13*C7</f>
        <v>0</v>
      </c>
      <c r="E7" s="159">
        <f>'Site 5 - Financial'!E7</f>
        <v>4600</v>
      </c>
      <c r="F7" s="160">
        <f>E7*C7*12</f>
        <v>0</v>
      </c>
      <c r="G7" s="120" t="s">
        <v>527</v>
      </c>
      <c r="H7" s="272" t="s">
        <v>154</v>
      </c>
      <c r="I7" s="270">
        <v>0</v>
      </c>
      <c r="J7" s="290">
        <f t="shared" si="0"/>
        <v>0</v>
      </c>
    </row>
    <row r="8" spans="2:10" ht="21" customHeight="1">
      <c r="B8" s="1218" t="s">
        <v>86</v>
      </c>
      <c r="C8" s="1220">
        <f>SUM(C4:C7)</f>
        <v>120</v>
      </c>
      <c r="D8" s="1273">
        <f>SUM(D4:D7)</f>
        <v>77000</v>
      </c>
      <c r="E8" s="1255" t="s">
        <v>154</v>
      </c>
      <c r="F8" s="1206">
        <f>SUM(F4:F7)</f>
        <v>3504000</v>
      </c>
      <c r="G8" s="120" t="s">
        <v>20</v>
      </c>
      <c r="H8" s="273">
        <v>0.1</v>
      </c>
      <c r="I8" s="270">
        <f>H8*SUM(I4:I7)</f>
        <v>2518367.5</v>
      </c>
      <c r="J8" s="290">
        <f t="shared" si="0"/>
        <v>20309.415322580644</v>
      </c>
    </row>
    <row r="9" spans="2:10" ht="21" customHeight="1">
      <c r="B9" s="1252"/>
      <c r="C9" s="1221"/>
      <c r="D9" s="1274"/>
      <c r="E9" s="1256"/>
      <c r="F9" s="1248"/>
      <c r="G9" s="477" t="s">
        <v>6</v>
      </c>
      <c r="H9" s="274" t="s">
        <v>24</v>
      </c>
      <c r="I9" s="270">
        <v>500000</v>
      </c>
      <c r="J9" s="290">
        <f t="shared" si="0"/>
        <v>4032.2580645161293</v>
      </c>
    </row>
    <row r="10" spans="2:10" ht="21" customHeight="1" thickBot="1">
      <c r="B10" s="177" t="s">
        <v>87</v>
      </c>
      <c r="C10" s="310" t="s">
        <v>83</v>
      </c>
      <c r="D10" s="310" t="s">
        <v>387</v>
      </c>
      <c r="E10" s="310" t="s">
        <v>88</v>
      </c>
      <c r="F10" s="114" t="s">
        <v>84</v>
      </c>
      <c r="G10" s="477" t="s">
        <v>308</v>
      </c>
      <c r="H10" s="275">
        <f>'Market Research'!C53</f>
        <v>45000000</v>
      </c>
      <c r="I10" s="270">
        <f>H10*C17</f>
        <v>13685950.41322314</v>
      </c>
      <c r="J10" s="290">
        <f t="shared" si="0"/>
        <v>110370.56784857372</v>
      </c>
    </row>
    <row r="11" spans="2:10" ht="21" customHeight="1">
      <c r="B11" s="161" t="s">
        <v>1</v>
      </c>
      <c r="C11" s="162">
        <v>4</v>
      </c>
      <c r="D11" s="163">
        <v>14577</v>
      </c>
      <c r="E11" s="164">
        <f>Assumptions!F7</f>
        <v>35</v>
      </c>
      <c r="F11" s="165">
        <f>D11*E11</f>
        <v>510195</v>
      </c>
      <c r="G11" s="477" t="s">
        <v>21</v>
      </c>
      <c r="H11" s="573" t="s">
        <v>367</v>
      </c>
      <c r="I11" s="270">
        <v>115000</v>
      </c>
      <c r="J11" s="289">
        <f t="shared" si="0"/>
        <v>927.41935483870964</v>
      </c>
    </row>
    <row r="12" spans="2:10" ht="21" customHeight="1" thickBot="1">
      <c r="B12" s="166" t="s">
        <v>0</v>
      </c>
      <c r="C12" s="167">
        <v>0</v>
      </c>
      <c r="D12" s="168">
        <v>0</v>
      </c>
      <c r="E12" s="169">
        <f>Assumptions!G7</f>
        <v>45</v>
      </c>
      <c r="F12" s="170">
        <f>D12*E12</f>
        <v>0</v>
      </c>
      <c r="G12" s="477" t="s">
        <v>42</v>
      </c>
      <c r="H12" s="265" t="s">
        <v>368</v>
      </c>
      <c r="I12" s="270">
        <f>'Development Program'!P22</f>
        <v>3749999.9999999991</v>
      </c>
      <c r="J12" s="290">
        <f t="shared" si="0"/>
        <v>30241.935483870959</v>
      </c>
    </row>
    <row r="13" spans="2:10" ht="21" customHeight="1">
      <c r="B13" s="1218" t="s">
        <v>86</v>
      </c>
      <c r="C13" s="1220">
        <f>SUM(C11:C12)</f>
        <v>4</v>
      </c>
      <c r="D13" s="1273">
        <f>SUM(D11:D12)</f>
        <v>14577</v>
      </c>
      <c r="E13" s="1224">
        <f>IF(D13=0,0,F13/D13)</f>
        <v>35</v>
      </c>
      <c r="F13" s="1206">
        <f>SUM(F11:F12)</f>
        <v>510195</v>
      </c>
      <c r="G13" s="118" t="s">
        <v>23</v>
      </c>
      <c r="H13" s="261" t="s">
        <v>24</v>
      </c>
      <c r="I13" s="262">
        <v>400000</v>
      </c>
      <c r="J13" s="290">
        <f t="shared" si="0"/>
        <v>3225.8064516129034</v>
      </c>
    </row>
    <row r="14" spans="2:10" ht="21" customHeight="1" thickBot="1">
      <c r="B14" s="1219"/>
      <c r="C14" s="1221"/>
      <c r="D14" s="1274"/>
      <c r="E14" s="1225"/>
      <c r="F14" s="1207"/>
      <c r="G14" s="118" t="s">
        <v>361</v>
      </c>
      <c r="H14" s="285">
        <v>0.02</v>
      </c>
      <c r="I14" s="262">
        <f>H14*I10</f>
        <v>273719.00826446281</v>
      </c>
      <c r="J14" s="290">
        <f t="shared" si="0"/>
        <v>2207.4113569714741</v>
      </c>
    </row>
    <row r="15" spans="2:10" ht="21" customHeight="1">
      <c r="B15" s="1059" t="s">
        <v>371</v>
      </c>
      <c r="C15" s="1061"/>
      <c r="D15" s="1215" t="s">
        <v>203</v>
      </c>
      <c r="E15" s="1216"/>
      <c r="F15" s="1217"/>
      <c r="G15" s="118" t="s">
        <v>26</v>
      </c>
      <c r="H15" s="263">
        <v>0.04</v>
      </c>
      <c r="I15" s="262">
        <f>H15*SUM(I4:I7)</f>
        <v>1007347</v>
      </c>
      <c r="J15" s="290">
        <f t="shared" si="0"/>
        <v>8123.7661290322585</v>
      </c>
    </row>
    <row r="16" spans="2:10" ht="21" customHeight="1" thickBot="1">
      <c r="B16" s="134" t="s">
        <v>319</v>
      </c>
      <c r="C16" s="190" t="s">
        <v>375</v>
      </c>
      <c r="D16" s="134" t="s">
        <v>319</v>
      </c>
      <c r="E16" s="135" t="s">
        <v>103</v>
      </c>
      <c r="F16" s="190" t="s">
        <v>90</v>
      </c>
      <c r="G16" s="118" t="s">
        <v>27</v>
      </c>
      <c r="H16" s="264">
        <v>0.03</v>
      </c>
      <c r="I16" s="262">
        <f>H16*SUM(I4:I15)</f>
        <v>1423021.767644628</v>
      </c>
      <c r="J16" s="290">
        <f t="shared" si="0"/>
        <v>11475.981997134097</v>
      </c>
    </row>
    <row r="17" spans="2:11" ht="21" customHeight="1">
      <c r="B17" s="293" t="s">
        <v>372</v>
      </c>
      <c r="C17" s="294">
        <f>13248/43560</f>
        <v>0.30413223140495865</v>
      </c>
      <c r="D17" s="303">
        <f>Assumptions!I11</f>
        <v>0.55000000000000004</v>
      </c>
      <c r="E17" s="304">
        <f>D17*I27</f>
        <v>32641867.860407159</v>
      </c>
      <c r="F17" s="305">
        <f>E17/($C$8+$C$13)</f>
        <v>263240.8698419932</v>
      </c>
      <c r="G17" s="118" t="s">
        <v>28</v>
      </c>
      <c r="H17" s="263">
        <v>0.02</v>
      </c>
      <c r="I17" s="262">
        <f>H17*SUM(I4:I7)</f>
        <v>503673.5</v>
      </c>
      <c r="J17" s="290">
        <f t="shared" si="0"/>
        <v>4061.8830645161293</v>
      </c>
    </row>
    <row r="18" spans="2:11" ht="21" customHeight="1">
      <c r="B18" s="295" t="s">
        <v>373</v>
      </c>
      <c r="C18" s="392">
        <f>16870+77000</f>
        <v>93870</v>
      </c>
      <c r="D18" s="306">
        <f>1-D17</f>
        <v>0.44999999999999996</v>
      </c>
      <c r="E18" s="301">
        <f>(D18*I27)-E19</f>
        <v>26706982.79487858</v>
      </c>
      <c r="F18" s="302">
        <f>E18/($C$8+$C$13)</f>
        <v>215378.89350708533</v>
      </c>
      <c r="G18" s="486" t="s">
        <v>98</v>
      </c>
      <c r="H18" s="746">
        <v>8.8293999999999994E-3</v>
      </c>
      <c r="I18" s="262">
        <f>H18*I10</f>
        <v>120838.73057851239</v>
      </c>
      <c r="J18" s="290">
        <f>I18/($C$13+$C$8)</f>
        <v>974.50589176219671</v>
      </c>
    </row>
    <row r="19" spans="2:11" ht="21" customHeight="1">
      <c r="B19" s="295" t="s">
        <v>374</v>
      </c>
      <c r="C19" s="296">
        <f>D8+D13</f>
        <v>91577</v>
      </c>
      <c r="D19" s="295" t="s">
        <v>382</v>
      </c>
      <c r="E19" s="312">
        <f>I28</f>
        <v>0</v>
      </c>
      <c r="F19" s="313">
        <f>E19/($C$8+$C$13)</f>
        <v>0</v>
      </c>
      <c r="G19" s="118" t="s">
        <v>29</v>
      </c>
      <c r="H19" s="265">
        <v>6000</v>
      </c>
      <c r="I19" s="262">
        <f>H19*(C8+C13)</f>
        <v>744000</v>
      </c>
      <c r="J19" s="290">
        <f>I19/($C$13+$C$8)</f>
        <v>6000</v>
      </c>
    </row>
    <row r="20" spans="2:11" ht="21" customHeight="1">
      <c r="B20" s="295" t="s">
        <v>376</v>
      </c>
      <c r="C20" s="297">
        <v>40</v>
      </c>
      <c r="D20" s="295" t="s">
        <v>383</v>
      </c>
      <c r="E20" s="307">
        <f>SUM(E17:E19)</f>
        <v>59348850.655285738</v>
      </c>
      <c r="F20" s="313">
        <f>E20/($C$8+$C$13)</f>
        <v>478619.76334907854</v>
      </c>
      <c r="G20" s="118" t="s">
        <v>30</v>
      </c>
      <c r="H20" s="261" t="s">
        <v>24</v>
      </c>
      <c r="I20" s="262">
        <v>400000</v>
      </c>
      <c r="J20" s="290">
        <f t="shared" si="0"/>
        <v>3225.8064516129034</v>
      </c>
    </row>
    <row r="21" spans="2:11" ht="21" customHeight="1" thickBot="1">
      <c r="B21" s="295" t="s">
        <v>377</v>
      </c>
      <c r="C21" s="297">
        <v>10</v>
      </c>
      <c r="D21" s="299"/>
      <c r="E21" s="309"/>
      <c r="F21" s="300"/>
      <c r="G21" s="118" t="s">
        <v>31</v>
      </c>
      <c r="H21" s="266" t="s">
        <v>363</v>
      </c>
      <c r="I21" s="262">
        <f>-SUM('Site 6 - Draw'!F38:I38,'Site 6 - Draw'!F47:I47,'Site 6 - Draw'!F56:I56)</f>
        <v>1789899.2355750001</v>
      </c>
      <c r="J21" s="290">
        <f t="shared" si="0"/>
        <v>14434.671254637096</v>
      </c>
    </row>
    <row r="22" spans="2:11" ht="21" customHeight="1">
      <c r="B22" s="298" t="s">
        <v>421</v>
      </c>
      <c r="C22" s="392">
        <v>14233</v>
      </c>
      <c r="D22" s="1228" t="s">
        <v>104</v>
      </c>
      <c r="E22" s="1230">
        <f>E20</f>
        <v>59348850.655285738</v>
      </c>
      <c r="F22" s="1210">
        <f>F20</f>
        <v>478619.76334907854</v>
      </c>
      <c r="G22" s="118" t="s">
        <v>364</v>
      </c>
      <c r="H22" s="267">
        <f>'Market Research'!H125</f>
        <v>150</v>
      </c>
      <c r="I22" s="262">
        <f>H22*D13</f>
        <v>2186550</v>
      </c>
      <c r="J22" s="290">
        <f t="shared" si="0"/>
        <v>17633.467741935485</v>
      </c>
    </row>
    <row r="23" spans="2:11" ht="21" customHeight="1" thickBot="1">
      <c r="B23" s="413" t="s">
        <v>420</v>
      </c>
      <c r="C23" s="412">
        <f>C18/(C17*43560)</f>
        <v>7.0855978260869579</v>
      </c>
      <c r="D23" s="1229"/>
      <c r="E23" s="1231"/>
      <c r="F23" s="1211"/>
      <c r="G23" s="118" t="s">
        <v>365</v>
      </c>
      <c r="H23" s="268">
        <v>0.06</v>
      </c>
      <c r="I23" s="262">
        <f>'Site 6 - Draw'!J41*5*H23</f>
        <v>153058.5</v>
      </c>
      <c r="J23" s="290">
        <f t="shared" si="0"/>
        <v>1234.3427419354839</v>
      </c>
    </row>
    <row r="24" spans="2:11" ht="21" customHeight="1" thickBot="1">
      <c r="B24" s="391">
        <v>8</v>
      </c>
      <c r="C24" s="392">
        <f>C18/B24</f>
        <v>11733.75</v>
      </c>
      <c r="D24" s="1208" t="s">
        <v>105</v>
      </c>
      <c r="E24" s="1209"/>
      <c r="F24" s="245" t="s">
        <v>370</v>
      </c>
      <c r="G24" s="486" t="s">
        <v>33</v>
      </c>
      <c r="H24" s="487">
        <v>0.01</v>
      </c>
      <c r="I24" s="262">
        <v>575000</v>
      </c>
      <c r="J24" s="290">
        <f t="shared" si="0"/>
        <v>4637.0967741935483</v>
      </c>
      <c r="K24" s="251"/>
    </row>
    <row r="25" spans="2:11" ht="21" customHeight="1" thickBot="1">
      <c r="B25" s="299" t="s">
        <v>380</v>
      </c>
      <c r="C25" s="300" t="s">
        <v>6</v>
      </c>
      <c r="D25" s="1238" t="s">
        <v>321</v>
      </c>
      <c r="E25" s="1239"/>
      <c r="F25" s="314">
        <f>'Site 6 - Draw'!J39+'Site 6 - Draw'!J38</f>
        <v>67694431.428484768</v>
      </c>
      <c r="G25" s="488" t="s">
        <v>34</v>
      </c>
      <c r="H25" s="489">
        <f>Assumptions!$I$13</f>
        <v>5.2499999999999998E-2</v>
      </c>
      <c r="I25" s="262">
        <f>I24*H25*100</f>
        <v>3018750</v>
      </c>
      <c r="J25" s="290">
        <f t="shared" si="0"/>
        <v>24344.758064516129</v>
      </c>
      <c r="K25" s="251"/>
    </row>
    <row r="26" spans="2:11" ht="21" customHeight="1" thickBot="1">
      <c r="B26" s="1208" t="s">
        <v>109</v>
      </c>
      <c r="C26" s="1212"/>
      <c r="D26" s="1213" t="s">
        <v>378</v>
      </c>
      <c r="E26" s="1214"/>
      <c r="F26" s="356">
        <f>(F8/C29)/C8</f>
        <v>584000</v>
      </c>
      <c r="G26" s="121" t="s">
        <v>99</v>
      </c>
      <c r="H26" s="259" t="s">
        <v>24</v>
      </c>
      <c r="I26" s="260">
        <v>1000000</v>
      </c>
      <c r="J26" s="291">
        <f t="shared" si="0"/>
        <v>8064.5161290322585</v>
      </c>
    </row>
    <row r="27" spans="2:11" ht="21" customHeight="1">
      <c r="B27" s="286" t="s">
        <v>133</v>
      </c>
      <c r="C27" s="888">
        <f>'Site 6 - Draw'!C58</f>
        <v>0.11766117856110925</v>
      </c>
      <c r="D27" s="1213" t="s">
        <v>379</v>
      </c>
      <c r="E27" s="1214"/>
      <c r="F27" s="315">
        <f>F25/C8</f>
        <v>564120.26190403977</v>
      </c>
      <c r="G27" s="122" t="s">
        <v>100</v>
      </c>
      <c r="H27" s="319" t="s">
        <v>202</v>
      </c>
      <c r="I27" s="320">
        <f>SUM(I4:I26)</f>
        <v>59348850.655285738</v>
      </c>
      <c r="J27" s="321">
        <f>I27/($C$8+$C$13)</f>
        <v>478619.76334907854</v>
      </c>
      <c r="K27" s="251"/>
    </row>
    <row r="28" spans="2:11" ht="21" customHeight="1">
      <c r="B28" s="287" t="s">
        <v>40</v>
      </c>
      <c r="C28" s="884">
        <f>'Site 6 - Draw'!C62</f>
        <v>0.16036831122026718</v>
      </c>
      <c r="D28" s="1226" t="s">
        <v>322</v>
      </c>
      <c r="E28" s="1227"/>
      <c r="F28" s="316">
        <f>'Site 6 - Draw'!J47+'Site 6 - Draw'!J48</f>
        <v>12191695.729912333</v>
      </c>
      <c r="G28" s="123" t="s">
        <v>382</v>
      </c>
      <c r="H28" s="322" t="s">
        <v>202</v>
      </c>
      <c r="I28" s="323">
        <f>IF(I27-I32&gt;0,I27-I32,0)</f>
        <v>0</v>
      </c>
      <c r="J28" s="324">
        <f t="shared" ref="J28" si="1">I28/($C$8+$C$13)</f>
        <v>0</v>
      </c>
    </row>
    <row r="29" spans="2:11" ht="21" customHeight="1">
      <c r="B29" s="287" t="s">
        <v>653</v>
      </c>
      <c r="C29" s="884">
        <f>Assumptions!$I$6</f>
        <v>0.05</v>
      </c>
      <c r="D29" s="1240" t="s">
        <v>323</v>
      </c>
      <c r="E29" s="1241"/>
      <c r="F29" s="317">
        <f>F25+F28</f>
        <v>79886127.158397108</v>
      </c>
      <c r="G29" s="123" t="s">
        <v>324</v>
      </c>
      <c r="H29" s="322" t="s">
        <v>202</v>
      </c>
      <c r="I29" s="323">
        <f>'Site 6 - Draw'!J38+'Site 6 - Draw'!J39+'Site 6 - Draw'!J47+'Site 6 - Draw'!J48</f>
        <v>79886127.158397093</v>
      </c>
      <c r="J29" s="324">
        <f>I29/($C$8+$C$13)</f>
        <v>644242.96095481527</v>
      </c>
    </row>
    <row r="30" spans="2:11" ht="21" customHeight="1">
      <c r="B30" s="287" t="s">
        <v>652</v>
      </c>
      <c r="C30" s="884">
        <f>Assumptions!I$7</f>
        <v>4.7500000000000001E-2</v>
      </c>
      <c r="D30" s="1234" t="s">
        <v>106</v>
      </c>
      <c r="E30" s="1235"/>
      <c r="F30" s="316">
        <f>E17</f>
        <v>32641867.860407159</v>
      </c>
      <c r="G30" s="123" t="s">
        <v>101</v>
      </c>
      <c r="H30" s="322" t="s">
        <v>202</v>
      </c>
      <c r="I30" s="355">
        <f>('Site 6 - Draw'!K47+'Site 6 - Draw'!K38)/I27</f>
        <v>6.4478430718264992E-2</v>
      </c>
      <c r="J30" s="325" t="s">
        <v>202</v>
      </c>
    </row>
    <row r="31" spans="2:11" ht="21" customHeight="1">
      <c r="B31" s="287" t="s">
        <v>384</v>
      </c>
      <c r="C31" s="884">
        <f>Assumptions!$I$9</f>
        <v>4.4999999999999998E-2</v>
      </c>
      <c r="D31" s="1234" t="s">
        <v>107</v>
      </c>
      <c r="E31" s="1235"/>
      <c r="F31" s="316">
        <f>E18</f>
        <v>26706982.79487858</v>
      </c>
      <c r="G31" s="123" t="s">
        <v>102</v>
      </c>
      <c r="H31" s="322" t="s">
        <v>202</v>
      </c>
      <c r="I31" s="507">
        <f>I29/(I27-I28)-1</f>
        <v>0.3460433736517905</v>
      </c>
      <c r="J31" s="326" t="s">
        <v>202</v>
      </c>
    </row>
    <row r="32" spans="2:11" ht="21" customHeight="1" thickBot="1">
      <c r="B32" s="288" t="s">
        <v>385</v>
      </c>
      <c r="C32" s="885">
        <f>Assumptions!$I$8</f>
        <v>0.05</v>
      </c>
      <c r="D32" s="1236" t="s">
        <v>108</v>
      </c>
      <c r="E32" s="1237"/>
      <c r="F32" s="318">
        <f>F29-F30-F31</f>
        <v>20537276.50311137</v>
      </c>
      <c r="G32" s="757">
        <v>0.3</v>
      </c>
      <c r="H32" s="758" t="s">
        <v>202</v>
      </c>
      <c r="I32" s="759">
        <f>I29/(1+G32)</f>
        <v>61450867.044920839</v>
      </c>
      <c r="J32" s="760">
        <f>I32/($C$8+$C$13)</f>
        <v>495571.50842678099</v>
      </c>
    </row>
    <row r="33" spans="2:10" ht="15.95" customHeight="1">
      <c r="G33" s="761"/>
      <c r="H33" s="762"/>
      <c r="I33" s="763"/>
      <c r="J33" s="763"/>
    </row>
    <row r="34" spans="2:10" ht="15" customHeight="1">
      <c r="D34" s="136"/>
      <c r="E34" s="136"/>
      <c r="F34" s="136"/>
      <c r="G34" s="179"/>
      <c r="H34" s="180"/>
      <c r="I34" s="181"/>
      <c r="J34" s="180"/>
    </row>
    <row r="35" spans="2:10" ht="15" customHeight="1">
      <c r="D35" s="124"/>
      <c r="G35" s="182"/>
      <c r="H35" s="1232"/>
      <c r="I35" s="1232"/>
      <c r="J35" s="180"/>
    </row>
    <row r="36" spans="2:10" ht="15" customHeight="1">
      <c r="D36" s="124"/>
      <c r="G36" s="183"/>
      <c r="H36" s="1233"/>
      <c r="I36" s="1233"/>
      <c r="J36" s="184"/>
    </row>
    <row r="37" spans="2:10" ht="12.75">
      <c r="D37" s="124"/>
    </row>
    <row r="38" spans="2:10" ht="12.75">
      <c r="D38" s="171"/>
    </row>
    <row r="39" spans="2:10" s="136" customFormat="1" ht="12.75">
      <c r="B39" s="48"/>
      <c r="C39" s="48"/>
      <c r="D39" s="171"/>
      <c r="E39" s="48"/>
      <c r="F39" s="48"/>
    </row>
    <row r="40" spans="2:10" ht="12.75">
      <c r="B40" s="136"/>
      <c r="C40" s="136"/>
    </row>
    <row r="41" spans="2:10" ht="12.95" customHeight="1">
      <c r="B41" s="124"/>
      <c r="C41" s="124"/>
    </row>
    <row r="42" spans="2:10" ht="12.75">
      <c r="B42" s="124"/>
      <c r="C42" s="124"/>
    </row>
    <row r="43" spans="2:10" s="136" customFormat="1" ht="12.75">
      <c r="B43" s="119"/>
      <c r="C43" s="119"/>
      <c r="D43" s="48"/>
      <c r="E43" s="48"/>
      <c r="F43" s="48"/>
    </row>
    <row r="44" spans="2:10" s="124" customFormat="1" ht="12.75">
      <c r="D44" s="48"/>
      <c r="E44" s="48"/>
      <c r="F44" s="48"/>
    </row>
    <row r="45" spans="2:10" s="124" customFormat="1" ht="12.75">
      <c r="D45" s="48"/>
      <c r="E45" s="48"/>
      <c r="F45" s="48"/>
    </row>
    <row r="46" spans="2:10" s="119" customFormat="1" ht="12.75">
      <c r="D46" s="48"/>
      <c r="E46" s="48"/>
      <c r="F46" s="48"/>
    </row>
    <row r="47" spans="2:10" s="124" customFormat="1" ht="12.75">
      <c r="D47" s="48"/>
      <c r="E47" s="48"/>
      <c r="F47" s="48"/>
    </row>
    <row r="48" spans="2:10" s="124" customFormat="1" ht="12.75">
      <c r="D48" s="48"/>
      <c r="E48" s="48"/>
      <c r="F48" s="48"/>
    </row>
    <row r="49" spans="2:10" s="119" customFormat="1" ht="12.75">
      <c r="B49" s="124"/>
      <c r="C49" s="124"/>
      <c r="D49" s="48"/>
      <c r="E49" s="48"/>
      <c r="F49" s="48"/>
    </row>
    <row r="50" spans="2:10" s="124" customFormat="1" ht="12.75">
      <c r="B50" s="48"/>
      <c r="C50" s="171"/>
      <c r="D50" s="48"/>
      <c r="E50" s="48"/>
      <c r="F50" s="48"/>
    </row>
    <row r="51" spans="2:10" s="124" customFormat="1" ht="12.75">
      <c r="B51" s="48"/>
      <c r="C51" s="171"/>
      <c r="D51" s="48"/>
      <c r="E51" s="48"/>
      <c r="F51" s="48"/>
    </row>
    <row r="52" spans="2:10" s="124" customFormat="1" ht="12.75">
      <c r="B52" s="48"/>
      <c r="C52" s="48"/>
      <c r="D52" s="48"/>
      <c r="E52" s="48"/>
      <c r="F52" s="48"/>
    </row>
    <row r="53" spans="2:10" ht="12.75">
      <c r="G53" s="171"/>
      <c r="H53" s="171"/>
      <c r="I53" s="171"/>
      <c r="J53" s="171"/>
    </row>
    <row r="54" spans="2:10" ht="12.75">
      <c r="G54" s="171"/>
      <c r="H54" s="171"/>
      <c r="I54" s="171"/>
      <c r="J54" s="171"/>
    </row>
    <row r="55" spans="2:10" ht="12.75"/>
    <row r="56" spans="2:10" ht="15" customHeight="1"/>
    <row r="57" spans="2:10" ht="12.75"/>
    <row r="58" spans="2:10" ht="12.75">
      <c r="G58" s="171"/>
    </row>
    <row r="59" spans="2:10" ht="12.75">
      <c r="G59" s="171"/>
    </row>
    <row r="60" spans="2:10" ht="12.75"/>
    <row r="61" spans="2:10" ht="12.75"/>
    <row r="62" spans="2:10" ht="12.75">
      <c r="G62" s="171"/>
    </row>
    <row r="63" spans="2:10" ht="15" customHeight="1"/>
    <row r="64" spans="2:10" ht="15" customHeight="1"/>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sheetData>
  <mergeCells count="32">
    <mergeCell ref="H2:H3"/>
    <mergeCell ref="I2:I3"/>
    <mergeCell ref="J2:J3"/>
    <mergeCell ref="B8:B9"/>
    <mergeCell ref="C8:C9"/>
    <mergeCell ref="D8:D9"/>
    <mergeCell ref="E8:E9"/>
    <mergeCell ref="F8:F9"/>
    <mergeCell ref="F13:F14"/>
    <mergeCell ref="B15:C15"/>
    <mergeCell ref="D15:F15"/>
    <mergeCell ref="B2:F2"/>
    <mergeCell ref="G2:G3"/>
    <mergeCell ref="B26:C26"/>
    <mergeCell ref="D26:E26"/>
    <mergeCell ref="B13:B14"/>
    <mergeCell ref="C13:C14"/>
    <mergeCell ref="D13:D14"/>
    <mergeCell ref="E13:E14"/>
    <mergeCell ref="D22:D23"/>
    <mergeCell ref="E22:E23"/>
    <mergeCell ref="F22:F23"/>
    <mergeCell ref="D24:E24"/>
    <mergeCell ref="D25:E25"/>
    <mergeCell ref="H35:I35"/>
    <mergeCell ref="H36:I36"/>
    <mergeCell ref="D27:E27"/>
    <mergeCell ref="D28:E28"/>
    <mergeCell ref="D29:E29"/>
    <mergeCell ref="D30:E30"/>
    <mergeCell ref="D31:E31"/>
    <mergeCell ref="D32:E32"/>
  </mergeCells>
  <printOptions horizontalCentered="1" verticalCentered="1"/>
  <pageMargins left="0.7" right="0.7" top="0.75" bottom="0.75" header="0.3" footer="0.3"/>
  <pageSetup scale="89" fitToHeight="0" orientation="landscape" horizontalDpi="4294967292" verticalDpi="4294967292" r:id="rId1"/>
  <headerFooter>
    <oddHeader>&amp;C&amp;"Times New Roman Bold,Bold"&amp;14&amp;K000000INVESTOR SHEET</oddHeader>
    <oddFooter>&amp;CPage &amp;P of &amp;N</oddFooter>
  </headerFooter>
  <ignoredErrors>
    <ignoredError sqref="I21" formulaRange="1"/>
    <ignoredError sqref="E13"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F8C14-82DC-4B42-8156-BDB922EC3C92}">
  <sheetPr>
    <tabColor rgb="FF92D050"/>
  </sheetPr>
  <dimension ref="A1:AS67"/>
  <sheetViews>
    <sheetView zoomScale="64" zoomScaleNormal="110" zoomScalePageLayoutView="125" workbookViewId="0">
      <selection activeCell="J41" sqref="J41"/>
    </sheetView>
  </sheetViews>
  <sheetFormatPr defaultColWidth="8.85546875" defaultRowHeight="15" outlineLevelRow="1"/>
  <cols>
    <col min="1" max="1" width="4" style="47" customWidth="1"/>
    <col min="2" max="2" width="51.140625" style="48" customWidth="1"/>
    <col min="3" max="3" width="20.85546875" style="48" customWidth="1"/>
    <col min="4" max="15" width="15.140625" style="48" customWidth="1"/>
    <col min="16" max="38" width="17" style="48" customWidth="1"/>
    <col min="39" max="39" width="16.42578125" style="48" customWidth="1"/>
    <col min="40" max="40" width="15" style="89" customWidth="1"/>
    <col min="41" max="41" width="17.85546875" style="89" bestFit="1" customWidth="1"/>
    <col min="42" max="42" width="9.42578125" style="48" bestFit="1" customWidth="1"/>
    <col min="43" max="43" width="11.85546875" style="48" bestFit="1" customWidth="1"/>
    <col min="44" max="45" width="9.42578125" style="48" bestFit="1" customWidth="1"/>
    <col min="46" max="16384" width="8.85546875" style="48"/>
  </cols>
  <sheetData>
    <row r="1" spans="1:45" s="47" customFormat="1" ht="15.75" thickBot="1">
      <c r="AN1" s="125"/>
      <c r="AO1" s="125"/>
    </row>
    <row r="2" spans="1:45" s="89" customFormat="1" ht="15.75" thickBot="1">
      <c r="A2" s="125"/>
      <c r="B2" s="1257" t="str">
        <f>'Development Program'!B10</f>
        <v>The Argyle</v>
      </c>
      <c r="C2" s="517" t="s">
        <v>330</v>
      </c>
      <c r="D2" s="128">
        <v>0</v>
      </c>
      <c r="E2" s="439">
        <f t="shared" ref="E2:O2" si="0">D2+1</f>
        <v>1</v>
      </c>
      <c r="F2" s="117">
        <f>E2+1</f>
        <v>2</v>
      </c>
      <c r="G2" s="214">
        <f>F2+1</f>
        <v>3</v>
      </c>
      <c r="H2" s="214">
        <f t="shared" si="0"/>
        <v>4</v>
      </c>
      <c r="I2" s="215">
        <f t="shared" si="0"/>
        <v>5</v>
      </c>
      <c r="J2" s="374">
        <f t="shared" si="0"/>
        <v>6</v>
      </c>
      <c r="K2" s="129">
        <f>J2+1</f>
        <v>7</v>
      </c>
      <c r="L2" s="129">
        <f t="shared" si="0"/>
        <v>8</v>
      </c>
      <c r="M2" s="129">
        <f t="shared" si="0"/>
        <v>9</v>
      </c>
      <c r="N2" s="129">
        <f t="shared" si="0"/>
        <v>10</v>
      </c>
      <c r="O2" s="246">
        <f t="shared" si="0"/>
        <v>11</v>
      </c>
      <c r="P2" s="48"/>
      <c r="Q2" s="48"/>
      <c r="R2" s="48"/>
      <c r="S2" s="48"/>
      <c r="T2" s="48"/>
      <c r="U2" s="48"/>
      <c r="V2" s="48"/>
      <c r="W2" s="48"/>
      <c r="X2" s="48"/>
      <c r="Y2" s="48"/>
      <c r="Z2" s="48"/>
      <c r="AA2" s="48"/>
      <c r="AB2" s="48"/>
      <c r="AC2" s="48"/>
      <c r="AD2" s="48"/>
      <c r="AE2" s="48"/>
      <c r="AF2" s="48"/>
      <c r="AG2" s="48"/>
      <c r="AH2" s="48"/>
      <c r="AI2" s="48"/>
      <c r="AJ2" s="48"/>
      <c r="AK2" s="48"/>
      <c r="AL2" s="48"/>
      <c r="AM2" s="48"/>
      <c r="AP2" s="48"/>
      <c r="AQ2" s="48"/>
      <c r="AR2" s="48"/>
      <c r="AS2" s="48"/>
    </row>
    <row r="3" spans="1:45" s="89" customFormat="1" ht="41.45" customHeight="1" thickBot="1">
      <c r="A3" s="125"/>
      <c r="B3" s="1203"/>
      <c r="C3" s="222" t="s">
        <v>103</v>
      </c>
      <c r="D3" s="210">
        <v>45413</v>
      </c>
      <c r="E3" s="508">
        <f t="shared" ref="E3:K3" si="1">EDATE(D3,12)</f>
        <v>45778</v>
      </c>
      <c r="F3" s="276">
        <f t="shared" si="1"/>
        <v>46143</v>
      </c>
      <c r="G3" s="277">
        <f t="shared" si="1"/>
        <v>46508</v>
      </c>
      <c r="H3" s="277">
        <f t="shared" si="1"/>
        <v>46874</v>
      </c>
      <c r="I3" s="278">
        <f t="shared" si="1"/>
        <v>47239</v>
      </c>
      <c r="J3" s="375">
        <f t="shared" si="1"/>
        <v>47604</v>
      </c>
      <c r="K3" s="211">
        <f t="shared" si="1"/>
        <v>47969</v>
      </c>
      <c r="L3" s="211">
        <f t="shared" ref="L3:O3" si="2">EDATE(K3,12)</f>
        <v>48335</v>
      </c>
      <c r="M3" s="211">
        <f t="shared" si="2"/>
        <v>48700</v>
      </c>
      <c r="N3" s="211">
        <f t="shared" si="2"/>
        <v>49065</v>
      </c>
      <c r="O3" s="212">
        <f t="shared" si="2"/>
        <v>49430</v>
      </c>
      <c r="P3" s="48"/>
      <c r="Q3" s="48"/>
      <c r="R3" s="48"/>
      <c r="S3" s="48"/>
      <c r="T3" s="48"/>
      <c r="U3" s="48"/>
      <c r="V3" s="48"/>
      <c r="W3" s="48"/>
      <c r="X3" s="48"/>
      <c r="Y3" s="48"/>
      <c r="Z3" s="48"/>
      <c r="AA3" s="48"/>
      <c r="AB3" s="48"/>
      <c r="AC3" s="48"/>
      <c r="AD3" s="48"/>
      <c r="AE3" s="48"/>
      <c r="AF3" s="48"/>
      <c r="AG3" s="48"/>
      <c r="AH3" s="48"/>
      <c r="AI3" s="48"/>
      <c r="AJ3" s="48"/>
      <c r="AK3" s="48"/>
      <c r="AL3" s="48"/>
      <c r="AM3" s="48"/>
      <c r="AP3" s="48"/>
      <c r="AQ3" s="48"/>
      <c r="AR3" s="48"/>
      <c r="AS3" s="48"/>
    </row>
    <row r="4" spans="1:45" s="89" customFormat="1" ht="63.95" hidden="1" customHeight="1" thickBot="1">
      <c r="A4" s="125"/>
      <c r="B4" s="1258"/>
      <c r="C4" s="223" t="s">
        <v>45</v>
      </c>
      <c r="D4" s="108" t="e">
        <f>EOMONTH(#REF!,3)</f>
        <v>#REF!</v>
      </c>
      <c r="E4" s="509" t="e">
        <f t="shared" ref="E4:I4" si="3">EOMONTH(D4,3)</f>
        <v>#REF!</v>
      </c>
      <c r="F4" s="200" t="e">
        <f>EOMONTH(#REF!,3)</f>
        <v>#REF!</v>
      </c>
      <c r="G4" s="201" t="e">
        <f>EOMONTH(#REF!,3)</f>
        <v>#REF!</v>
      </c>
      <c r="H4" s="201" t="e">
        <f t="shared" si="3"/>
        <v>#REF!</v>
      </c>
      <c r="I4" s="202" t="e">
        <f t="shared" si="3"/>
        <v>#REF!</v>
      </c>
      <c r="J4" s="493" t="e">
        <f>EOMONTH(#REF!,3)</f>
        <v>#REF!</v>
      </c>
      <c r="K4" s="91" t="e">
        <f>EOMONTH(J4,3)</f>
        <v>#REF!</v>
      </c>
      <c r="L4" s="91" t="e">
        <f>EOMONTH(J4,3)</f>
        <v>#REF!</v>
      </c>
      <c r="M4" s="91" t="e">
        <f>EOMONTH(K4,3)</f>
        <v>#REF!</v>
      </c>
      <c r="N4" s="91" t="e">
        <f t="shared" ref="N4" si="4">EOMONTH(M4,3)</f>
        <v>#REF!</v>
      </c>
      <c r="O4" s="98" t="e">
        <f>EOMONTH(#REF!,3)</f>
        <v>#REF!</v>
      </c>
      <c r="AP4" s="48"/>
      <c r="AQ4" s="48"/>
      <c r="AR4" s="48"/>
      <c r="AS4" s="48"/>
    </row>
    <row r="5" spans="1:45" s="89" customFormat="1" ht="15.75" thickBot="1">
      <c r="A5" s="125"/>
      <c r="B5" s="92" t="s">
        <v>110</v>
      </c>
      <c r="C5" s="224">
        <v>1</v>
      </c>
      <c r="D5" s="213" t="s">
        <v>202</v>
      </c>
      <c r="E5" s="510" t="s">
        <v>202</v>
      </c>
      <c r="F5" s="485">
        <f>F30/$C$30</f>
        <v>0.30742382488612569</v>
      </c>
      <c r="G5" s="492">
        <f t="shared" ref="G5:I5" si="5">G30/$C$30</f>
        <v>0.22080080442223959</v>
      </c>
      <c r="H5" s="492">
        <f t="shared" si="5"/>
        <v>0.2340519818893125</v>
      </c>
      <c r="I5" s="519">
        <f t="shared" si="5"/>
        <v>0.2377233888023223</v>
      </c>
      <c r="J5" s="376" t="s">
        <v>202</v>
      </c>
      <c r="K5" s="95" t="s">
        <v>202</v>
      </c>
      <c r="L5" s="95" t="s">
        <v>202</v>
      </c>
      <c r="M5" s="95" t="s">
        <v>202</v>
      </c>
      <c r="N5" s="95" t="s">
        <v>202</v>
      </c>
      <c r="O5" s="112" t="s">
        <v>202</v>
      </c>
      <c r="AP5" s="48"/>
      <c r="AQ5" s="48"/>
      <c r="AR5" s="48"/>
      <c r="AS5" s="48"/>
    </row>
    <row r="6" spans="1:45" s="89" customFormat="1">
      <c r="A6" s="125"/>
      <c r="B6" s="258" t="str">
        <f>'Site 6 - Financial'!G4</f>
        <v>Residential Condominium Hard Costs for Construction</v>
      </c>
      <c r="C6" s="220">
        <f>'Site 6 - Financial'!I4</f>
        <v>21175000</v>
      </c>
      <c r="D6" s="252" t="s">
        <v>202</v>
      </c>
      <c r="E6" s="511" t="s">
        <v>202</v>
      </c>
      <c r="F6" s="483">
        <v>0</v>
      </c>
      <c r="G6" s="484">
        <f>$C6/3</f>
        <v>7058333.333333333</v>
      </c>
      <c r="H6" s="484">
        <f t="shared" ref="H6:I10" si="6">$C6/3</f>
        <v>7058333.333333333</v>
      </c>
      <c r="I6" s="518">
        <f t="shared" si="6"/>
        <v>7058333.333333333</v>
      </c>
      <c r="J6" s="377" t="s">
        <v>202</v>
      </c>
      <c r="K6" s="253" t="s">
        <v>202</v>
      </c>
      <c r="L6" s="253" t="s">
        <v>202</v>
      </c>
      <c r="M6" s="253" t="s">
        <v>202</v>
      </c>
      <c r="N6" s="253" t="s">
        <v>202</v>
      </c>
      <c r="O6" s="254" t="s">
        <v>202</v>
      </c>
      <c r="P6" s="867"/>
      <c r="AP6" s="48"/>
      <c r="AQ6" s="48"/>
      <c r="AR6" s="48"/>
      <c r="AS6" s="48"/>
    </row>
    <row r="7" spans="1:45" s="89" customFormat="1">
      <c r="A7" s="125"/>
      <c r="B7" s="258" t="str">
        <f>'Site 6 - Financial'!G5</f>
        <v>Office Shell &amp; Core Hard Costs for Construction</v>
      </c>
      <c r="C7" s="220">
        <f>'Site 6 - Financial'!I5</f>
        <v>0</v>
      </c>
      <c r="D7" s="252" t="s">
        <v>202</v>
      </c>
      <c r="E7" s="511" t="s">
        <v>202</v>
      </c>
      <c r="F7" s="203">
        <v>0</v>
      </c>
      <c r="G7" s="204">
        <f t="shared" ref="G7:G10" si="7">$C7/3</f>
        <v>0</v>
      </c>
      <c r="H7" s="204">
        <f t="shared" si="6"/>
        <v>0</v>
      </c>
      <c r="I7" s="205">
        <f t="shared" si="6"/>
        <v>0</v>
      </c>
      <c r="J7" s="377" t="s">
        <v>202</v>
      </c>
      <c r="K7" s="253" t="s">
        <v>202</v>
      </c>
      <c r="L7" s="253" t="s">
        <v>202</v>
      </c>
      <c r="M7" s="253" t="s">
        <v>202</v>
      </c>
      <c r="N7" s="253" t="s">
        <v>202</v>
      </c>
      <c r="O7" s="254" t="s">
        <v>202</v>
      </c>
      <c r="P7" s="867"/>
      <c r="AP7" s="48"/>
      <c r="AQ7" s="48"/>
      <c r="AR7" s="48"/>
      <c r="AS7" s="48"/>
    </row>
    <row r="8" spans="1:45" s="89" customFormat="1">
      <c r="A8" s="125"/>
      <c r="B8" s="258" t="str">
        <f>'Site 6 - Financial'!G6</f>
        <v>Retail Hard Costs for Construction</v>
      </c>
      <c r="C8" s="220">
        <f>'Site 6 - Financial'!I6</f>
        <v>4008675</v>
      </c>
      <c r="D8" s="252" t="s">
        <v>202</v>
      </c>
      <c r="E8" s="511" t="s">
        <v>202</v>
      </c>
      <c r="F8" s="516">
        <v>0</v>
      </c>
      <c r="G8" s="204">
        <f t="shared" si="7"/>
        <v>1336225</v>
      </c>
      <c r="H8" s="204">
        <f t="shared" si="6"/>
        <v>1336225</v>
      </c>
      <c r="I8" s="205">
        <f t="shared" si="6"/>
        <v>1336225</v>
      </c>
      <c r="J8" s="377" t="s">
        <v>202</v>
      </c>
      <c r="K8" s="253" t="s">
        <v>202</v>
      </c>
      <c r="L8" s="253" t="s">
        <v>202</v>
      </c>
      <c r="M8" s="253" t="s">
        <v>202</v>
      </c>
      <c r="N8" s="253" t="s">
        <v>202</v>
      </c>
      <c r="O8" s="254" t="s">
        <v>202</v>
      </c>
      <c r="P8" s="867"/>
      <c r="AP8" s="48"/>
      <c r="AQ8" s="48"/>
      <c r="AR8" s="48"/>
      <c r="AS8" s="48"/>
    </row>
    <row r="9" spans="1:45" s="89" customFormat="1">
      <c r="A9" s="125"/>
      <c r="B9" s="258" t="str">
        <f>'Site 6 - Financial'!G7</f>
        <v>Parking Stalls (Parking Preserved)</v>
      </c>
      <c r="C9" s="220">
        <f>'Site 6 - Financial'!I7</f>
        <v>0</v>
      </c>
      <c r="D9" s="252" t="s">
        <v>202</v>
      </c>
      <c r="E9" s="511" t="s">
        <v>202</v>
      </c>
      <c r="F9" s="203">
        <v>0</v>
      </c>
      <c r="G9" s="204">
        <f t="shared" si="7"/>
        <v>0</v>
      </c>
      <c r="H9" s="204">
        <f t="shared" si="6"/>
        <v>0</v>
      </c>
      <c r="I9" s="205">
        <f t="shared" si="6"/>
        <v>0</v>
      </c>
      <c r="J9" s="377" t="s">
        <v>202</v>
      </c>
      <c r="K9" s="253" t="s">
        <v>202</v>
      </c>
      <c r="L9" s="253" t="s">
        <v>202</v>
      </c>
      <c r="M9" s="253" t="s">
        <v>202</v>
      </c>
      <c r="N9" s="253" t="s">
        <v>202</v>
      </c>
      <c r="O9" s="254" t="s">
        <v>202</v>
      </c>
      <c r="P9" s="867"/>
      <c r="AP9" s="48"/>
      <c r="AQ9" s="48"/>
      <c r="AR9" s="48"/>
      <c r="AS9" s="48"/>
    </row>
    <row r="10" spans="1:45" s="89" customFormat="1">
      <c r="A10" s="125"/>
      <c r="B10" s="258" t="str">
        <f>'Site 6 - Financial'!G8</f>
        <v>Hard Cost Contingency</v>
      </c>
      <c r="C10" s="220">
        <f>'Site 6 - Financial'!I8</f>
        <v>2518367.5</v>
      </c>
      <c r="D10" s="252" t="s">
        <v>202</v>
      </c>
      <c r="E10" s="511" t="s">
        <v>202</v>
      </c>
      <c r="F10" s="203">
        <v>0</v>
      </c>
      <c r="G10" s="204">
        <f t="shared" si="7"/>
        <v>839455.83333333337</v>
      </c>
      <c r="H10" s="204">
        <f t="shared" si="6"/>
        <v>839455.83333333337</v>
      </c>
      <c r="I10" s="205">
        <f t="shared" si="6"/>
        <v>839455.83333333337</v>
      </c>
      <c r="J10" s="378" t="s">
        <v>202</v>
      </c>
      <c r="K10" s="256" t="s">
        <v>202</v>
      </c>
      <c r="L10" s="256" t="s">
        <v>202</v>
      </c>
      <c r="M10" s="256" t="s">
        <v>202</v>
      </c>
      <c r="N10" s="256" t="s">
        <v>202</v>
      </c>
      <c r="O10" s="257" t="s">
        <v>202</v>
      </c>
      <c r="P10" s="867"/>
      <c r="AP10" s="48"/>
      <c r="AQ10" s="48"/>
      <c r="AR10" s="48"/>
      <c r="AS10" s="48"/>
    </row>
    <row r="11" spans="1:45" s="89" customFormat="1">
      <c r="A11" s="125"/>
      <c r="B11" s="258" t="str">
        <f>'Site 6 - Financial'!G9</f>
        <v>Demolition</v>
      </c>
      <c r="C11" s="220">
        <f>'Site 6 - Financial'!I9</f>
        <v>500000</v>
      </c>
      <c r="D11" s="252" t="s">
        <v>202</v>
      </c>
      <c r="E11" s="511" t="s">
        <v>202</v>
      </c>
      <c r="F11" s="203">
        <v>0</v>
      </c>
      <c r="G11" s="204">
        <f>C11</f>
        <v>500000</v>
      </c>
      <c r="H11" s="204">
        <v>0</v>
      </c>
      <c r="I11" s="205">
        <v>0</v>
      </c>
      <c r="J11" s="378" t="s">
        <v>202</v>
      </c>
      <c r="K11" s="256" t="s">
        <v>202</v>
      </c>
      <c r="L11" s="256" t="s">
        <v>202</v>
      </c>
      <c r="M11" s="256" t="s">
        <v>202</v>
      </c>
      <c r="N11" s="256" t="s">
        <v>202</v>
      </c>
      <c r="O11" s="257" t="s">
        <v>202</v>
      </c>
      <c r="P11" s="867"/>
      <c r="AP11" s="48"/>
      <c r="AQ11" s="48"/>
      <c r="AR11" s="48"/>
      <c r="AS11" s="48"/>
    </row>
    <row r="12" spans="1:45" s="89" customFormat="1" ht="18.95" customHeight="1">
      <c r="A12" s="125"/>
      <c r="B12" s="258" t="str">
        <f>'Site 6 - Financial'!G10</f>
        <v>Land</v>
      </c>
      <c r="C12" s="220">
        <f>'Site 6 - Financial'!I10</f>
        <v>13685950.41322314</v>
      </c>
      <c r="D12" s="252" t="s">
        <v>202</v>
      </c>
      <c r="E12" s="511" t="s">
        <v>202</v>
      </c>
      <c r="F12" s="203">
        <f>C12</f>
        <v>13685950.41322314</v>
      </c>
      <c r="G12" s="204">
        <v>0</v>
      </c>
      <c r="H12" s="204">
        <v>0</v>
      </c>
      <c r="I12" s="205">
        <v>0</v>
      </c>
      <c r="J12" s="378" t="s">
        <v>202</v>
      </c>
      <c r="K12" s="256" t="s">
        <v>202</v>
      </c>
      <c r="L12" s="256" t="s">
        <v>202</v>
      </c>
      <c r="M12" s="256" t="s">
        <v>202</v>
      </c>
      <c r="N12" s="253" t="s">
        <v>202</v>
      </c>
      <c r="O12" s="257" t="s">
        <v>202</v>
      </c>
      <c r="P12" s="867"/>
      <c r="AP12" s="48"/>
      <c r="AQ12" s="48"/>
      <c r="AR12" s="48"/>
      <c r="AS12" s="48"/>
    </row>
    <row r="13" spans="1:45" s="89" customFormat="1">
      <c r="A13" s="125"/>
      <c r="B13" s="258" t="str">
        <f>'Site 6 - Financial'!G11</f>
        <v>Municipal Fees and Allowances</v>
      </c>
      <c r="C13" s="220">
        <f>'Site 6 - Financial'!I11</f>
        <v>115000</v>
      </c>
      <c r="D13" s="252" t="s">
        <v>202</v>
      </c>
      <c r="E13" s="511" t="s">
        <v>202</v>
      </c>
      <c r="F13" s="203">
        <f>C13</f>
        <v>115000</v>
      </c>
      <c r="G13" s="204">
        <v>0</v>
      </c>
      <c r="H13" s="204">
        <v>0</v>
      </c>
      <c r="I13" s="205">
        <v>0</v>
      </c>
      <c r="J13" s="378" t="s">
        <v>202</v>
      </c>
      <c r="K13" s="256" t="s">
        <v>202</v>
      </c>
      <c r="L13" s="256" t="s">
        <v>202</v>
      </c>
      <c r="M13" s="256" t="s">
        <v>202</v>
      </c>
      <c r="N13" s="256" t="s">
        <v>202</v>
      </c>
      <c r="O13" s="257" t="s">
        <v>202</v>
      </c>
      <c r="P13" s="867"/>
      <c r="AP13" s="48"/>
      <c r="AQ13" s="48"/>
      <c r="AR13" s="48"/>
      <c r="AS13" s="48"/>
    </row>
    <row r="14" spans="1:45" s="89" customFormat="1">
      <c r="A14" s="125"/>
      <c r="B14" s="258" t="str">
        <f>'Site 6 - Financial'!G12</f>
        <v>Infrastructure Allocation</v>
      </c>
      <c r="C14" s="220">
        <f>'Site 6 - Financial'!I12</f>
        <v>3749999.9999999991</v>
      </c>
      <c r="D14" s="252" t="s">
        <v>202</v>
      </c>
      <c r="E14" s="511" t="s">
        <v>202</v>
      </c>
      <c r="F14" s="203">
        <f>$C14/4</f>
        <v>937499.99999999977</v>
      </c>
      <c r="G14" s="204">
        <f t="shared" ref="G14:I14" si="8">$C14/4</f>
        <v>937499.99999999977</v>
      </c>
      <c r="H14" s="204">
        <f t="shared" si="8"/>
        <v>937499.99999999977</v>
      </c>
      <c r="I14" s="205">
        <f t="shared" si="8"/>
        <v>937499.99999999977</v>
      </c>
      <c r="J14" s="377" t="s">
        <v>202</v>
      </c>
      <c r="K14" s="253" t="s">
        <v>202</v>
      </c>
      <c r="L14" s="253" t="s">
        <v>202</v>
      </c>
      <c r="M14" s="253" t="s">
        <v>202</v>
      </c>
      <c r="N14" s="253" t="s">
        <v>202</v>
      </c>
      <c r="O14" s="254" t="s">
        <v>202</v>
      </c>
      <c r="P14" s="867"/>
      <c r="AP14" s="48"/>
      <c r="AQ14" s="48"/>
      <c r="AR14" s="48"/>
      <c r="AS14" s="48"/>
    </row>
    <row r="15" spans="1:45" s="89" customFormat="1">
      <c r="A15" s="125"/>
      <c r="B15" s="258" t="str">
        <f>'Site 6 - Financial'!G13</f>
        <v>Legal</v>
      </c>
      <c r="C15" s="220">
        <f>'Site 6 - Financial'!I13</f>
        <v>400000</v>
      </c>
      <c r="D15" s="252" t="s">
        <v>202</v>
      </c>
      <c r="E15" s="511" t="s">
        <v>202</v>
      </c>
      <c r="F15" s="203">
        <f>C15/2</f>
        <v>200000</v>
      </c>
      <c r="G15" s="204">
        <v>0</v>
      </c>
      <c r="H15" s="204">
        <v>0</v>
      </c>
      <c r="I15" s="205">
        <f>C15/2</f>
        <v>200000</v>
      </c>
      <c r="J15" s="377" t="s">
        <v>202</v>
      </c>
      <c r="K15" s="253" t="s">
        <v>202</v>
      </c>
      <c r="L15" s="253" t="s">
        <v>202</v>
      </c>
      <c r="M15" s="253" t="s">
        <v>202</v>
      </c>
      <c r="N15" s="253" t="s">
        <v>202</v>
      </c>
      <c r="O15" s="254" t="s">
        <v>202</v>
      </c>
      <c r="P15" s="867"/>
      <c r="AP15" s="48"/>
      <c r="AQ15" s="48"/>
      <c r="AR15" s="48"/>
      <c r="AS15" s="48"/>
    </row>
    <row r="16" spans="1:45" s="89" customFormat="1">
      <c r="A16" s="125"/>
      <c r="B16" s="258" t="str">
        <f>'Site 6 - Financial'!G14</f>
        <v>Land Closing Costs/Commissions</v>
      </c>
      <c r="C16" s="220">
        <f>'Site 6 - Financial'!I14</f>
        <v>273719.00826446281</v>
      </c>
      <c r="D16" s="252" t="s">
        <v>202</v>
      </c>
      <c r="E16" s="511" t="s">
        <v>202</v>
      </c>
      <c r="F16" s="203">
        <f>C16</f>
        <v>273719.00826446281</v>
      </c>
      <c r="G16" s="204">
        <v>0</v>
      </c>
      <c r="H16" s="204">
        <v>0</v>
      </c>
      <c r="I16" s="205">
        <v>0</v>
      </c>
      <c r="J16" s="378" t="s">
        <v>202</v>
      </c>
      <c r="K16" s="256" t="s">
        <v>202</v>
      </c>
      <c r="L16" s="256" t="s">
        <v>202</v>
      </c>
      <c r="M16" s="256" t="s">
        <v>202</v>
      </c>
      <c r="N16" s="256" t="s">
        <v>202</v>
      </c>
      <c r="O16" s="257" t="s">
        <v>202</v>
      </c>
      <c r="P16" s="867"/>
      <c r="AP16" s="48"/>
      <c r="AQ16" s="48"/>
      <c r="AR16" s="48"/>
      <c r="AS16" s="48"/>
    </row>
    <row r="17" spans="1:45" s="89" customFormat="1">
      <c r="A17" s="125"/>
      <c r="B17" s="258" t="str">
        <f>'Site 6 - Financial'!G15</f>
        <v xml:space="preserve">Design </v>
      </c>
      <c r="C17" s="220">
        <f>'Site 6 - Financial'!I15</f>
        <v>1007347</v>
      </c>
      <c r="D17" s="252" t="s">
        <v>202</v>
      </c>
      <c r="E17" s="511" t="s">
        <v>202</v>
      </c>
      <c r="F17" s="203">
        <f>C17*0.75</f>
        <v>755510.25</v>
      </c>
      <c r="G17" s="204">
        <f>C17*0.15</f>
        <v>151102.04999999999</v>
      </c>
      <c r="H17" s="204">
        <f>C17*0.05</f>
        <v>50367.350000000006</v>
      </c>
      <c r="I17" s="205">
        <f>H17</f>
        <v>50367.350000000006</v>
      </c>
      <c r="J17" s="378" t="s">
        <v>202</v>
      </c>
      <c r="K17" s="256" t="s">
        <v>202</v>
      </c>
      <c r="L17" s="256" t="s">
        <v>202</v>
      </c>
      <c r="M17" s="256" t="s">
        <v>202</v>
      </c>
      <c r="N17" s="256" t="s">
        <v>202</v>
      </c>
      <c r="O17" s="257" t="s">
        <v>202</v>
      </c>
      <c r="P17" s="867"/>
      <c r="AP17" s="48"/>
      <c r="AQ17" s="48"/>
      <c r="AR17" s="48"/>
      <c r="AS17" s="48"/>
    </row>
    <row r="18" spans="1:45" s="89" customFormat="1" ht="18.95" customHeight="1">
      <c r="A18" s="125"/>
      <c r="B18" s="258" t="str">
        <f>'Site 6 - Financial'!G16</f>
        <v>Developer Fee</v>
      </c>
      <c r="C18" s="220">
        <f>'Site 6 - Financial'!I16</f>
        <v>1423021.767644628</v>
      </c>
      <c r="D18" s="252" t="s">
        <v>202</v>
      </c>
      <c r="E18" s="511" t="s">
        <v>202</v>
      </c>
      <c r="F18" s="203">
        <f>$C18/4</f>
        <v>355755.44191115699</v>
      </c>
      <c r="G18" s="204">
        <f t="shared" ref="G18:I21" si="9">$C18/4</f>
        <v>355755.44191115699</v>
      </c>
      <c r="H18" s="204">
        <f t="shared" si="9"/>
        <v>355755.44191115699</v>
      </c>
      <c r="I18" s="205">
        <f t="shared" si="9"/>
        <v>355755.44191115699</v>
      </c>
      <c r="J18" s="378" t="s">
        <v>202</v>
      </c>
      <c r="K18" s="256" t="s">
        <v>202</v>
      </c>
      <c r="L18" s="256" t="s">
        <v>202</v>
      </c>
      <c r="M18" s="256" t="s">
        <v>202</v>
      </c>
      <c r="N18" s="253" t="s">
        <v>202</v>
      </c>
      <c r="O18" s="257" t="s">
        <v>202</v>
      </c>
      <c r="P18" s="867"/>
      <c r="AP18" s="48"/>
      <c r="AQ18" s="48"/>
      <c r="AR18" s="48"/>
      <c r="AS18" s="48"/>
    </row>
    <row r="19" spans="1:45" s="89" customFormat="1">
      <c r="A19" s="125"/>
      <c r="B19" s="258" t="str">
        <f>'Site 6 - Financial'!G17</f>
        <v>Construction Management Fee</v>
      </c>
      <c r="C19" s="220">
        <f>'Site 6 - Financial'!I17</f>
        <v>503673.5</v>
      </c>
      <c r="D19" s="252" t="s">
        <v>202</v>
      </c>
      <c r="E19" s="511" t="s">
        <v>202</v>
      </c>
      <c r="F19" s="203">
        <f>$C19/4</f>
        <v>125918.375</v>
      </c>
      <c r="G19" s="204">
        <f t="shared" si="9"/>
        <v>125918.375</v>
      </c>
      <c r="H19" s="204">
        <f t="shared" si="9"/>
        <v>125918.375</v>
      </c>
      <c r="I19" s="205">
        <f t="shared" si="9"/>
        <v>125918.375</v>
      </c>
      <c r="J19" s="378" t="s">
        <v>202</v>
      </c>
      <c r="K19" s="256" t="s">
        <v>202</v>
      </c>
      <c r="L19" s="256" t="s">
        <v>202</v>
      </c>
      <c r="M19" s="256" t="s">
        <v>202</v>
      </c>
      <c r="N19" s="256" t="s">
        <v>202</v>
      </c>
      <c r="O19" s="257" t="s">
        <v>202</v>
      </c>
      <c r="P19" s="867"/>
      <c r="AP19" s="48"/>
      <c r="AQ19" s="48"/>
      <c r="AR19" s="48"/>
      <c r="AS19" s="48"/>
    </row>
    <row r="20" spans="1:45" s="89" customFormat="1">
      <c r="A20" s="125"/>
      <c r="B20" s="258" t="str">
        <f>'Site 6 - Financial'!G18</f>
        <v>Taxes</v>
      </c>
      <c r="C20" s="220">
        <f>'Site 6 - Financial'!I18</f>
        <v>120838.73057851239</v>
      </c>
      <c r="D20" s="252" t="s">
        <v>202</v>
      </c>
      <c r="E20" s="511" t="s">
        <v>202</v>
      </c>
      <c r="F20" s="203">
        <f>C20/4</f>
        <v>30209.682644628097</v>
      </c>
      <c r="G20" s="204">
        <f>F20</f>
        <v>30209.682644628097</v>
      </c>
      <c r="H20" s="204">
        <f>G20</f>
        <v>30209.682644628097</v>
      </c>
      <c r="I20" s="205">
        <f>H20</f>
        <v>30209.682644628097</v>
      </c>
      <c r="J20" s="377" t="s">
        <v>202</v>
      </c>
      <c r="K20" s="253" t="s">
        <v>202</v>
      </c>
      <c r="L20" s="253" t="s">
        <v>202</v>
      </c>
      <c r="M20" s="253" t="s">
        <v>202</v>
      </c>
      <c r="N20" s="253" t="s">
        <v>202</v>
      </c>
      <c r="O20" s="254" t="s">
        <v>202</v>
      </c>
      <c r="P20" s="867"/>
      <c r="AP20" s="48"/>
      <c r="AQ20" s="48"/>
      <c r="AR20" s="48"/>
      <c r="AS20" s="48"/>
    </row>
    <row r="21" spans="1:45" s="89" customFormat="1">
      <c r="A21" s="125"/>
      <c r="B21" s="258" t="str">
        <f>'Site 6 - Financial'!G19</f>
        <v>Insurance</v>
      </c>
      <c r="C21" s="220">
        <f>'Site 6 - Financial'!I19</f>
        <v>744000</v>
      </c>
      <c r="D21" s="252" t="s">
        <v>202</v>
      </c>
      <c r="E21" s="511" t="s">
        <v>202</v>
      </c>
      <c r="F21" s="203">
        <f>$C21/4</f>
        <v>186000</v>
      </c>
      <c r="G21" s="204">
        <f t="shared" si="9"/>
        <v>186000</v>
      </c>
      <c r="H21" s="204">
        <f t="shared" si="9"/>
        <v>186000</v>
      </c>
      <c r="I21" s="205">
        <f t="shared" si="9"/>
        <v>186000</v>
      </c>
      <c r="J21" s="377" t="s">
        <v>202</v>
      </c>
      <c r="K21" s="253" t="s">
        <v>202</v>
      </c>
      <c r="L21" s="253" t="s">
        <v>202</v>
      </c>
      <c r="M21" s="253" t="s">
        <v>202</v>
      </c>
      <c r="N21" s="253" t="s">
        <v>202</v>
      </c>
      <c r="O21" s="254" t="s">
        <v>202</v>
      </c>
      <c r="P21" s="867"/>
      <c r="AP21" s="48"/>
      <c r="AQ21" s="48"/>
      <c r="AR21" s="48"/>
      <c r="AS21" s="48"/>
    </row>
    <row r="22" spans="1:45" s="89" customFormat="1">
      <c r="A22" s="125"/>
      <c r="B22" s="258" t="str">
        <f>'Site 6 - Financial'!G20</f>
        <v>Marketing, FFE and Preleasing</v>
      </c>
      <c r="C22" s="220">
        <f>'Site 6 - Financial'!I20</f>
        <v>400000</v>
      </c>
      <c r="D22" s="252" t="s">
        <v>202</v>
      </c>
      <c r="E22" s="511" t="s">
        <v>202</v>
      </c>
      <c r="F22" s="203">
        <v>0</v>
      </c>
      <c r="G22" s="204">
        <v>0</v>
      </c>
      <c r="H22" s="204">
        <f>C22/2</f>
        <v>200000</v>
      </c>
      <c r="I22" s="205">
        <f>H22</f>
        <v>200000</v>
      </c>
      <c r="J22" s="377" t="s">
        <v>202</v>
      </c>
      <c r="K22" s="253" t="s">
        <v>202</v>
      </c>
      <c r="L22" s="253" t="s">
        <v>202</v>
      </c>
      <c r="M22" s="253" t="s">
        <v>202</v>
      </c>
      <c r="N22" s="253" t="s">
        <v>202</v>
      </c>
      <c r="O22" s="254" t="s">
        <v>202</v>
      </c>
      <c r="P22" s="867"/>
      <c r="AP22" s="48"/>
      <c r="AQ22" s="48"/>
      <c r="AR22" s="48"/>
      <c r="AS22" s="48"/>
    </row>
    <row r="23" spans="1:45" s="89" customFormat="1">
      <c r="A23" s="125"/>
      <c r="B23" s="258" t="str">
        <f>'Site 6 - Financial'!G21</f>
        <v>Operating Deficit</v>
      </c>
      <c r="C23" s="220">
        <f>'Site 6 - Financial'!I21</f>
        <v>1789899.2355750001</v>
      </c>
      <c r="D23" s="252" t="s">
        <v>202</v>
      </c>
      <c r="E23" s="511" t="s">
        <v>202</v>
      </c>
      <c r="F23" s="203">
        <f>-(F38+F47+F56)</f>
        <v>0</v>
      </c>
      <c r="G23" s="204">
        <f t="shared" ref="G23:I23" si="10">-(G38+G47+G56)</f>
        <v>579086.75</v>
      </c>
      <c r="H23" s="204">
        <f t="shared" si="10"/>
        <v>596459.35250000004</v>
      </c>
      <c r="I23" s="205">
        <f t="shared" si="10"/>
        <v>614353.13307500002</v>
      </c>
      <c r="J23" s="377" t="s">
        <v>202</v>
      </c>
      <c r="K23" s="253" t="s">
        <v>202</v>
      </c>
      <c r="L23" s="253" t="s">
        <v>202</v>
      </c>
      <c r="M23" s="253" t="s">
        <v>202</v>
      </c>
      <c r="N23" s="253" t="s">
        <v>202</v>
      </c>
      <c r="O23" s="254" t="s">
        <v>202</v>
      </c>
      <c r="P23" s="867"/>
      <c r="AP23" s="48"/>
      <c r="AQ23" s="48"/>
      <c r="AR23" s="48"/>
      <c r="AS23" s="48"/>
    </row>
    <row r="24" spans="1:45" s="89" customFormat="1">
      <c r="A24" s="125"/>
      <c r="B24" s="258" t="str">
        <f>'Site 6 - Financial'!G22</f>
        <v>Commercial Interior Fitout Cost</v>
      </c>
      <c r="C24" s="220">
        <f>'Site 6 - Financial'!I22</f>
        <v>2186550</v>
      </c>
      <c r="D24" s="252" t="s">
        <v>202</v>
      </c>
      <c r="E24" s="511" t="s">
        <v>202</v>
      </c>
      <c r="F24" s="203">
        <v>0</v>
      </c>
      <c r="G24" s="204">
        <v>0</v>
      </c>
      <c r="H24" s="204">
        <f>C24/2</f>
        <v>1093275</v>
      </c>
      <c r="I24" s="205">
        <f>H24</f>
        <v>1093275</v>
      </c>
      <c r="J24" s="377" t="s">
        <v>202</v>
      </c>
      <c r="K24" s="253" t="s">
        <v>202</v>
      </c>
      <c r="L24" s="253" t="s">
        <v>202</v>
      </c>
      <c r="M24" s="253" t="s">
        <v>202</v>
      </c>
      <c r="N24" s="253" t="s">
        <v>202</v>
      </c>
      <c r="O24" s="254" t="s">
        <v>202</v>
      </c>
      <c r="P24" s="867"/>
      <c r="AP24" s="48"/>
      <c r="AQ24" s="48"/>
      <c r="AR24" s="48"/>
      <c r="AS24" s="48"/>
    </row>
    <row r="25" spans="1:45" s="89" customFormat="1">
      <c r="A25" s="125"/>
      <c r="B25" s="258" t="str">
        <f>'Site 6 - Financial'!G23</f>
        <v>Commercial Brokerage Commission</v>
      </c>
      <c r="C25" s="220">
        <f>'Site 6 - Financial'!I23</f>
        <v>153058.5</v>
      </c>
      <c r="D25" s="252" t="s">
        <v>202</v>
      </c>
      <c r="E25" s="511" t="s">
        <v>202</v>
      </c>
      <c r="F25" s="203">
        <v>0</v>
      </c>
      <c r="G25" s="204">
        <v>0</v>
      </c>
      <c r="H25" s="204">
        <f t="shared" ref="H25" si="11">C25/2</f>
        <v>76529.25</v>
      </c>
      <c r="I25" s="205">
        <f t="shared" ref="I25" si="12">H25</f>
        <v>76529.25</v>
      </c>
      <c r="J25" s="377" t="s">
        <v>202</v>
      </c>
      <c r="K25" s="253" t="s">
        <v>202</v>
      </c>
      <c r="L25" s="253" t="s">
        <v>202</v>
      </c>
      <c r="M25" s="253" t="s">
        <v>202</v>
      </c>
      <c r="N25" s="253" t="s">
        <v>202</v>
      </c>
      <c r="O25" s="254" t="s">
        <v>202</v>
      </c>
      <c r="P25" s="867"/>
      <c r="AP25" s="48"/>
      <c r="AQ25" s="48"/>
      <c r="AR25" s="48"/>
      <c r="AS25" s="48"/>
    </row>
    <row r="26" spans="1:45" s="89" customFormat="1">
      <c r="A26" s="125"/>
      <c r="B26" s="258" t="str">
        <f>'Site 6 - Financial'!G24</f>
        <v>Construction Loan Origination</v>
      </c>
      <c r="C26" s="220">
        <f>'Site 6 - Financial'!I24</f>
        <v>575000</v>
      </c>
      <c r="D26" s="252" t="s">
        <v>202</v>
      </c>
      <c r="E26" s="511" t="s">
        <v>202</v>
      </c>
      <c r="F26" s="203">
        <f>C26</f>
        <v>575000</v>
      </c>
      <c r="G26" s="204">
        <v>0</v>
      </c>
      <c r="H26" s="204">
        <v>0</v>
      </c>
      <c r="I26" s="205">
        <v>0</v>
      </c>
      <c r="J26" s="377" t="s">
        <v>202</v>
      </c>
      <c r="K26" s="253" t="s">
        <v>202</v>
      </c>
      <c r="L26" s="253" t="s">
        <v>202</v>
      </c>
      <c r="M26" s="253" t="s">
        <v>202</v>
      </c>
      <c r="N26" s="253" t="s">
        <v>202</v>
      </c>
      <c r="O26" s="254" t="s">
        <v>202</v>
      </c>
      <c r="P26" s="867"/>
      <c r="AP26" s="48"/>
      <c r="AQ26" s="48"/>
      <c r="AR26" s="48"/>
      <c r="AS26" s="48"/>
    </row>
    <row r="27" spans="1:45" s="89" customFormat="1">
      <c r="A27" s="125"/>
      <c r="B27" s="258" t="str">
        <f>'Site 6 - Financial'!G25</f>
        <v>Construction Interest</v>
      </c>
      <c r="C27" s="220">
        <f>'Site 6 - Financial'!I25</f>
        <v>3018750</v>
      </c>
      <c r="D27" s="252" t="s">
        <v>202</v>
      </c>
      <c r="E27" s="511" t="s">
        <v>202</v>
      </c>
      <c r="F27" s="203">
        <f>$C27/4</f>
        <v>754687.5</v>
      </c>
      <c r="G27" s="204">
        <f t="shared" ref="G27:I28" si="13">$C27/4</f>
        <v>754687.5</v>
      </c>
      <c r="H27" s="204">
        <f t="shared" si="13"/>
        <v>754687.5</v>
      </c>
      <c r="I27" s="205">
        <f t="shared" si="13"/>
        <v>754687.5</v>
      </c>
      <c r="J27" s="377" t="s">
        <v>202</v>
      </c>
      <c r="K27" s="253" t="s">
        <v>202</v>
      </c>
      <c r="L27" s="253" t="s">
        <v>202</v>
      </c>
      <c r="M27" s="253" t="s">
        <v>202</v>
      </c>
      <c r="N27" s="253" t="s">
        <v>202</v>
      </c>
      <c r="O27" s="254" t="s">
        <v>202</v>
      </c>
      <c r="P27" s="867"/>
      <c r="AP27" s="48"/>
      <c r="AQ27" s="48"/>
      <c r="AR27" s="48"/>
      <c r="AS27" s="48"/>
    </row>
    <row r="28" spans="1:45" s="89" customFormat="1">
      <c r="A28" s="125"/>
      <c r="B28" s="873" t="str">
        <f>'Site 6 - Financial'!G26</f>
        <v>Additional Contingency</v>
      </c>
      <c r="C28" s="220">
        <f>'Site 6 - Financial'!I26</f>
        <v>1000000</v>
      </c>
      <c r="D28" s="252" t="s">
        <v>202</v>
      </c>
      <c r="E28" s="511" t="s">
        <v>202</v>
      </c>
      <c r="F28" s="203">
        <f>$C28/4</f>
        <v>250000</v>
      </c>
      <c r="G28" s="204">
        <f t="shared" si="13"/>
        <v>250000</v>
      </c>
      <c r="H28" s="204">
        <f t="shared" si="13"/>
        <v>250000</v>
      </c>
      <c r="I28" s="205">
        <f t="shared" si="13"/>
        <v>250000</v>
      </c>
      <c r="J28" s="377" t="s">
        <v>202</v>
      </c>
      <c r="K28" s="253" t="s">
        <v>202</v>
      </c>
      <c r="L28" s="253" t="s">
        <v>202</v>
      </c>
      <c r="M28" s="253" t="s">
        <v>202</v>
      </c>
      <c r="N28" s="253" t="s">
        <v>202</v>
      </c>
      <c r="O28" s="254" t="s">
        <v>202</v>
      </c>
      <c r="P28" s="867"/>
      <c r="AP28" s="48"/>
      <c r="AQ28" s="48"/>
      <c r="AR28" s="48"/>
      <c r="AS28" s="48"/>
    </row>
    <row r="29" spans="1:45" s="89" customFormat="1" ht="15.75" thickBot="1">
      <c r="A29" s="125"/>
      <c r="B29" s="199" t="s">
        <v>590</v>
      </c>
      <c r="C29" s="771">
        <f>-'Site 6 - Financial'!I28</f>
        <v>0</v>
      </c>
      <c r="D29" s="239" t="s">
        <v>202</v>
      </c>
      <c r="E29" s="772" t="s">
        <v>202</v>
      </c>
      <c r="F29" s="766">
        <f>C29</f>
        <v>0</v>
      </c>
      <c r="G29" s="767">
        <v>0</v>
      </c>
      <c r="H29" s="767">
        <v>0</v>
      </c>
      <c r="I29" s="768">
        <v>0</v>
      </c>
      <c r="J29" s="769" t="s">
        <v>202</v>
      </c>
      <c r="K29" s="234" t="s">
        <v>202</v>
      </c>
      <c r="L29" s="234" t="s">
        <v>202</v>
      </c>
      <c r="M29" s="234" t="s">
        <v>202</v>
      </c>
      <c r="N29" s="234" t="s">
        <v>202</v>
      </c>
      <c r="O29" s="235" t="s">
        <v>202</v>
      </c>
      <c r="P29" s="867"/>
      <c r="AP29" s="48"/>
      <c r="AQ29" s="48"/>
      <c r="AR29" s="48"/>
      <c r="AS29" s="48"/>
    </row>
    <row r="30" spans="1:45" s="89" customFormat="1" ht="15.75" thickBot="1">
      <c r="A30" s="125"/>
      <c r="B30" s="92" t="s">
        <v>38</v>
      </c>
      <c r="C30" s="240">
        <f>SUM(C6:C29)</f>
        <v>59348850.655285738</v>
      </c>
      <c r="D30" s="241">
        <f t="shared" ref="D30:O30" si="14">SUM(D6:D29)</f>
        <v>0</v>
      </c>
      <c r="E30" s="240">
        <f t="shared" si="14"/>
        <v>0</v>
      </c>
      <c r="F30" s="241">
        <f>SUM(F6:F29)</f>
        <v>18245250.671043389</v>
      </c>
      <c r="G30" s="242">
        <f t="shared" si="14"/>
        <v>13104273.966222452</v>
      </c>
      <c r="H30" s="242">
        <f t="shared" si="14"/>
        <v>13890716.11872245</v>
      </c>
      <c r="I30" s="243">
        <f t="shared" si="14"/>
        <v>14108609.899297452</v>
      </c>
      <c r="J30" s="379">
        <f t="shared" si="14"/>
        <v>0</v>
      </c>
      <c r="K30" s="242">
        <f t="shared" si="14"/>
        <v>0</v>
      </c>
      <c r="L30" s="242">
        <f t="shared" si="14"/>
        <v>0</v>
      </c>
      <c r="M30" s="242">
        <f t="shared" si="14"/>
        <v>0</v>
      </c>
      <c r="N30" s="242">
        <f t="shared" si="14"/>
        <v>0</v>
      </c>
      <c r="O30" s="243">
        <f t="shared" si="14"/>
        <v>0</v>
      </c>
      <c r="AP30" s="48"/>
      <c r="AQ30" s="48"/>
      <c r="AR30" s="48"/>
      <c r="AS30" s="48"/>
    </row>
    <row r="31" spans="1:45" s="125" customFormat="1">
      <c r="B31" s="185" t="s">
        <v>583</v>
      </c>
      <c r="C31" s="216"/>
      <c r="D31" s="236"/>
      <c r="E31" s="363"/>
      <c r="F31" s="236"/>
      <c r="G31" s="227"/>
      <c r="H31" s="227"/>
      <c r="I31" s="228"/>
      <c r="J31" s="380"/>
      <c r="K31" s="227"/>
      <c r="L31" s="227"/>
      <c r="M31" s="227"/>
      <c r="N31" s="227"/>
      <c r="O31" s="228"/>
      <c r="AP31" s="47"/>
      <c r="AQ31" s="47"/>
      <c r="AR31" s="47"/>
      <c r="AS31" s="47"/>
    </row>
    <row r="32" spans="1:45" s="125" customFormat="1">
      <c r="B32" s="186" t="s">
        <v>91</v>
      </c>
      <c r="C32" s="217" t="s">
        <v>202</v>
      </c>
      <c r="D32" s="237">
        <v>0</v>
      </c>
      <c r="E32" s="364">
        <v>0</v>
      </c>
      <c r="F32" s="237">
        <v>0</v>
      </c>
      <c r="G32" s="229">
        <v>0</v>
      </c>
      <c r="H32" s="229">
        <v>0</v>
      </c>
      <c r="I32" s="230">
        <v>0</v>
      </c>
      <c r="J32" s="381">
        <f>'Site 6 - Financial'!F8</f>
        <v>3504000</v>
      </c>
      <c r="K32" s="229">
        <f>J32*(1+Assumptions!$F$8)</f>
        <v>3609120</v>
      </c>
      <c r="L32" s="234" t="s">
        <v>202</v>
      </c>
      <c r="M32" s="234" t="s">
        <v>202</v>
      </c>
      <c r="N32" s="234" t="s">
        <v>202</v>
      </c>
      <c r="O32" s="235" t="s">
        <v>202</v>
      </c>
      <c r="AP32" s="47"/>
      <c r="AQ32" s="47"/>
      <c r="AR32" s="47"/>
      <c r="AS32" s="47"/>
    </row>
    <row r="33" spans="2:45" s="125" customFormat="1">
      <c r="B33" s="186" t="s">
        <v>521</v>
      </c>
      <c r="C33" s="217" t="s">
        <v>202</v>
      </c>
      <c r="D33" s="237">
        <v>0</v>
      </c>
      <c r="E33" s="364">
        <v>0</v>
      </c>
      <c r="F33" s="237">
        <v>0</v>
      </c>
      <c r="G33" s="229">
        <v>0</v>
      </c>
      <c r="H33" s="229">
        <v>0</v>
      </c>
      <c r="I33" s="230">
        <v>0</v>
      </c>
      <c r="J33" s="381">
        <f>'Site 6 - Financial'!C20*12*Assumptions!D22</f>
        <v>72000</v>
      </c>
      <c r="K33" s="229">
        <f>J33*(1+Assumptions!$F$8)</f>
        <v>74160</v>
      </c>
      <c r="L33" s="234" t="s">
        <v>202</v>
      </c>
      <c r="M33" s="234" t="s">
        <v>202</v>
      </c>
      <c r="N33" s="234" t="s">
        <v>202</v>
      </c>
      <c r="O33" s="235" t="s">
        <v>202</v>
      </c>
      <c r="AP33" s="47"/>
      <c r="AQ33" s="47"/>
      <c r="AR33" s="47"/>
      <c r="AS33" s="47"/>
    </row>
    <row r="34" spans="2:45" s="125" customFormat="1">
      <c r="B34" s="197" t="s">
        <v>309</v>
      </c>
      <c r="C34" s="217" t="s">
        <v>202</v>
      </c>
      <c r="D34" s="237">
        <v>0</v>
      </c>
      <c r="E34" s="364">
        <v>0</v>
      </c>
      <c r="F34" s="237">
        <v>0</v>
      </c>
      <c r="G34" s="229">
        <v>0</v>
      </c>
      <c r="H34" s="229">
        <v>0</v>
      </c>
      <c r="I34" s="230">
        <v>0</v>
      </c>
      <c r="J34" s="381">
        <f>(SUM(Assumptions!D35,Assumptions!D37)*'Site 6 - Financial'!D8)*((1+Assumptions!$F$8)^'Site 6 - Draw'!J2)</f>
        <v>597623.17441276449</v>
      </c>
      <c r="K34" s="229">
        <f>J34*(1+Assumptions!$F$8)</f>
        <v>615551.86964514747</v>
      </c>
      <c r="L34" s="512" t="s">
        <v>202</v>
      </c>
      <c r="M34" s="512" t="s">
        <v>202</v>
      </c>
      <c r="N34" s="512" t="s">
        <v>202</v>
      </c>
      <c r="O34" s="514" t="s">
        <v>202</v>
      </c>
      <c r="AP34" s="47"/>
      <c r="AQ34" s="47"/>
      <c r="AR34" s="47"/>
      <c r="AS34" s="47"/>
    </row>
    <row r="35" spans="2:45" s="125" customFormat="1">
      <c r="B35" s="225" t="s">
        <v>93</v>
      </c>
      <c r="C35" s="226" t="s">
        <v>202</v>
      </c>
      <c r="D35" s="109">
        <f>SUM(D32:D34)</f>
        <v>0</v>
      </c>
      <c r="E35" s="365">
        <f t="shared" ref="E35:K35" si="15">SUM(E32:E34)</f>
        <v>0</v>
      </c>
      <c r="F35" s="109">
        <f t="shared" si="15"/>
        <v>0</v>
      </c>
      <c r="G35" s="101">
        <f t="shared" si="15"/>
        <v>0</v>
      </c>
      <c r="H35" s="101">
        <f t="shared" si="15"/>
        <v>0</v>
      </c>
      <c r="I35" s="110">
        <f t="shared" si="15"/>
        <v>0</v>
      </c>
      <c r="J35" s="102">
        <f t="shared" si="15"/>
        <v>4173623.1744127646</v>
      </c>
      <c r="K35" s="101">
        <f t="shared" si="15"/>
        <v>4298831.8696451476</v>
      </c>
      <c r="L35" s="253" t="s">
        <v>202</v>
      </c>
      <c r="M35" s="253" t="s">
        <v>202</v>
      </c>
      <c r="N35" s="253" t="s">
        <v>202</v>
      </c>
      <c r="O35" s="254" t="s">
        <v>202</v>
      </c>
      <c r="AP35" s="47"/>
      <c r="AQ35" s="47"/>
      <c r="AR35" s="47"/>
      <c r="AS35" s="47"/>
    </row>
    <row r="36" spans="2:45" s="125" customFormat="1">
      <c r="B36" s="197" t="s">
        <v>525</v>
      </c>
      <c r="C36" s="217" t="s">
        <v>202</v>
      </c>
      <c r="D36" s="237">
        <v>0</v>
      </c>
      <c r="E36" s="364">
        <v>0</v>
      </c>
      <c r="F36" s="237">
        <v>0</v>
      </c>
      <c r="G36" s="229">
        <f>-(Assumptions!D35+Assumptions!D36)*'Site 6 - Financial'!D8</f>
        <v>-539000</v>
      </c>
      <c r="H36" s="229">
        <f>G36*(1+Assumptions!$F$8)</f>
        <v>-555170</v>
      </c>
      <c r="I36" s="230">
        <f>H36*(1+Assumptions!$F$8)</f>
        <v>-571825.1</v>
      </c>
      <c r="J36" s="381">
        <f>-'Site 6 - Financial'!D8*Assumptions!D38</f>
        <v>-770000</v>
      </c>
      <c r="K36" s="229">
        <f>J36*(1+Assumptions!$F$8)</f>
        <v>-793100</v>
      </c>
      <c r="L36" s="513" t="s">
        <v>202</v>
      </c>
      <c r="M36" s="513" t="s">
        <v>202</v>
      </c>
      <c r="N36" s="513" t="s">
        <v>202</v>
      </c>
      <c r="O36" s="515" t="s">
        <v>202</v>
      </c>
      <c r="AP36" s="47"/>
      <c r="AQ36" s="47"/>
      <c r="AR36" s="47"/>
      <c r="AS36" s="47"/>
    </row>
    <row r="37" spans="2:45" s="125" customFormat="1">
      <c r="B37" s="197" t="s">
        <v>316</v>
      </c>
      <c r="C37" s="217" t="s">
        <v>202</v>
      </c>
      <c r="D37" s="237">
        <f t="shared" ref="D37:F37" si="16">-5%*D35</f>
        <v>0</v>
      </c>
      <c r="E37" s="364">
        <f t="shared" si="16"/>
        <v>0</v>
      </c>
      <c r="F37" s="237">
        <f t="shared" si="16"/>
        <v>0</v>
      </c>
      <c r="G37" s="229">
        <f>-5%*G35</f>
        <v>0</v>
      </c>
      <c r="H37" s="229">
        <f>-5%*H35</f>
        <v>0</v>
      </c>
      <c r="I37" s="230">
        <f t="shared" ref="I37:K37" si="17">-5%*I35</f>
        <v>0</v>
      </c>
      <c r="J37" s="381">
        <f t="shared" si="17"/>
        <v>-208681.15872063825</v>
      </c>
      <c r="K37" s="229">
        <f t="shared" si="17"/>
        <v>-214941.59348225739</v>
      </c>
      <c r="L37" s="512" t="s">
        <v>202</v>
      </c>
      <c r="M37" s="512" t="s">
        <v>202</v>
      </c>
      <c r="N37" s="512" t="s">
        <v>202</v>
      </c>
      <c r="O37" s="514" t="s">
        <v>202</v>
      </c>
      <c r="AP37" s="47"/>
      <c r="AQ37" s="47"/>
      <c r="AR37" s="47"/>
      <c r="AS37" s="47"/>
    </row>
    <row r="38" spans="2:45" s="125" customFormat="1">
      <c r="B38" s="225" t="s">
        <v>94</v>
      </c>
      <c r="C38" s="226" t="s">
        <v>202</v>
      </c>
      <c r="D38" s="109">
        <f t="shared" ref="D38:E38" si="18">SUM(D35:D37)</f>
        <v>0</v>
      </c>
      <c r="E38" s="365">
        <f t="shared" si="18"/>
        <v>0</v>
      </c>
      <c r="F38" s="109">
        <f>SUM(F35:F37)</f>
        <v>0</v>
      </c>
      <c r="G38" s="101">
        <f>SUM(G35:G37)</f>
        <v>-539000</v>
      </c>
      <c r="H38" s="101">
        <f>SUM(H35:H37)</f>
        <v>-555170</v>
      </c>
      <c r="I38" s="110">
        <f t="shared" ref="I38:K38" si="19">SUM(I35:I37)</f>
        <v>-571825.1</v>
      </c>
      <c r="J38" s="102">
        <f t="shared" si="19"/>
        <v>3194942.0156921265</v>
      </c>
      <c r="K38" s="101">
        <f t="shared" si="19"/>
        <v>3290790.2761628903</v>
      </c>
      <c r="L38" s="253" t="s">
        <v>202</v>
      </c>
      <c r="M38" s="253" t="s">
        <v>202</v>
      </c>
      <c r="N38" s="253" t="s">
        <v>202</v>
      </c>
      <c r="O38" s="254" t="s">
        <v>202</v>
      </c>
      <c r="AP38" s="47"/>
      <c r="AQ38" s="47"/>
      <c r="AR38" s="47"/>
      <c r="AS38" s="47"/>
    </row>
    <row r="39" spans="2:45" s="125" customFormat="1" ht="15.75" thickBot="1">
      <c r="B39" s="209" t="s">
        <v>317</v>
      </c>
      <c r="C39" s="218" t="s">
        <v>202</v>
      </c>
      <c r="D39" s="238">
        <v>0</v>
      </c>
      <c r="E39" s="366">
        <v>0</v>
      </c>
      <c r="F39" s="238">
        <v>0</v>
      </c>
      <c r="G39" s="231">
        <v>0</v>
      </c>
      <c r="H39" s="231">
        <v>0</v>
      </c>
      <c r="I39" s="232">
        <v>0</v>
      </c>
      <c r="J39" s="382">
        <f>(K38/Assumptions!$I$6)*0.98</f>
        <v>64499489.412792645</v>
      </c>
      <c r="K39" s="231">
        <v>0</v>
      </c>
      <c r="L39" s="253" t="s">
        <v>202</v>
      </c>
      <c r="M39" s="253" t="s">
        <v>202</v>
      </c>
      <c r="N39" s="253" t="s">
        <v>202</v>
      </c>
      <c r="O39" s="254" t="s">
        <v>202</v>
      </c>
      <c r="AP39" s="47"/>
      <c r="AQ39" s="47"/>
      <c r="AR39" s="47"/>
      <c r="AS39" s="47"/>
    </row>
    <row r="40" spans="2:45" s="125" customFormat="1">
      <c r="B40" s="185" t="s">
        <v>325</v>
      </c>
      <c r="C40" s="216"/>
      <c r="D40" s="236"/>
      <c r="E40" s="363"/>
      <c r="F40" s="236"/>
      <c r="G40" s="227"/>
      <c r="H40" s="227"/>
      <c r="I40" s="228"/>
      <c r="J40" s="380"/>
      <c r="K40" s="227"/>
      <c r="L40" s="227"/>
      <c r="M40" s="227"/>
      <c r="N40" s="227"/>
      <c r="O40" s="228"/>
      <c r="AP40" s="47"/>
      <c r="AQ40" s="47"/>
      <c r="AR40" s="47"/>
      <c r="AS40" s="47"/>
    </row>
    <row r="41" spans="2:45" s="125" customFormat="1">
      <c r="B41" s="186" t="s">
        <v>91</v>
      </c>
      <c r="C41" s="217" t="s">
        <v>202</v>
      </c>
      <c r="D41" s="237">
        <v>0</v>
      </c>
      <c r="E41" s="364">
        <v>0</v>
      </c>
      <c r="F41" s="237">
        <v>0</v>
      </c>
      <c r="G41" s="229">
        <v>0</v>
      </c>
      <c r="H41" s="229">
        <v>0</v>
      </c>
      <c r="I41" s="230">
        <v>0</v>
      </c>
      <c r="J41" s="381">
        <f>'Site 6 - Financial'!D11*'Site 6 - Financial'!E11</f>
        <v>510195</v>
      </c>
      <c r="K41" s="229">
        <f>J41*(1+Assumptions!$F$8)</f>
        <v>525500.85</v>
      </c>
      <c r="L41" s="234" t="s">
        <v>202</v>
      </c>
      <c r="M41" s="234" t="s">
        <v>202</v>
      </c>
      <c r="N41" s="234" t="s">
        <v>202</v>
      </c>
      <c r="O41" s="235" t="s">
        <v>202</v>
      </c>
      <c r="AP41" s="47"/>
      <c r="AQ41" s="47"/>
      <c r="AR41" s="47"/>
      <c r="AS41" s="47"/>
    </row>
    <row r="42" spans="2:45" s="125" customFormat="1">
      <c r="B42" s="186" t="s">
        <v>521</v>
      </c>
      <c r="C42" s="217" t="s">
        <v>202</v>
      </c>
      <c r="D42" s="237">
        <v>0</v>
      </c>
      <c r="E42" s="364">
        <v>0</v>
      </c>
      <c r="F42" s="237">
        <v>0</v>
      </c>
      <c r="G42" s="229">
        <v>0</v>
      </c>
      <c r="H42" s="229">
        <v>0</v>
      </c>
      <c r="I42" s="230">
        <v>0</v>
      </c>
      <c r="J42" s="381">
        <f>'Site 6 - Financial'!C21*12*Assumptions!D21</f>
        <v>42000</v>
      </c>
      <c r="K42" s="229">
        <f>J42*(1+Assumptions!$F$8)</f>
        <v>43260</v>
      </c>
      <c r="L42" s="234" t="s">
        <v>202</v>
      </c>
      <c r="M42" s="234" t="s">
        <v>202</v>
      </c>
      <c r="N42" s="234" t="s">
        <v>202</v>
      </c>
      <c r="O42" s="235" t="s">
        <v>202</v>
      </c>
      <c r="AP42" s="47"/>
      <c r="AQ42" s="47"/>
      <c r="AR42" s="47"/>
      <c r="AS42" s="47"/>
    </row>
    <row r="43" spans="2:45" s="125" customFormat="1">
      <c r="B43" s="197" t="s">
        <v>309</v>
      </c>
      <c r="C43" s="217" t="s">
        <v>202</v>
      </c>
      <c r="D43" s="237">
        <v>0</v>
      </c>
      <c r="E43" s="364">
        <v>0</v>
      </c>
      <c r="F43" s="237">
        <v>0</v>
      </c>
      <c r="G43" s="229">
        <v>0</v>
      </c>
      <c r="H43" s="229">
        <v>0</v>
      </c>
      <c r="I43" s="230">
        <v>0</v>
      </c>
      <c r="J43" s="381">
        <f>(Assumptions!D30*'Site 6 - Financial'!D11)*(1+Assumptions!$F$8)^J2</f>
        <v>85287.931599865842</v>
      </c>
      <c r="K43" s="229">
        <f>J43*(1+Assumptions!$F$8)</f>
        <v>87846.569547861814</v>
      </c>
      <c r="L43" s="512" t="s">
        <v>202</v>
      </c>
      <c r="M43" s="512" t="s">
        <v>202</v>
      </c>
      <c r="N43" s="512" t="s">
        <v>202</v>
      </c>
      <c r="O43" s="514" t="s">
        <v>202</v>
      </c>
      <c r="AP43" s="47"/>
      <c r="AQ43" s="47"/>
      <c r="AR43" s="47"/>
      <c r="AS43" s="47"/>
    </row>
    <row r="44" spans="2:45" s="125" customFormat="1">
      <c r="B44" s="225" t="s">
        <v>93</v>
      </c>
      <c r="C44" s="226" t="s">
        <v>202</v>
      </c>
      <c r="D44" s="109">
        <f t="shared" ref="D44:K44" si="20">SUM(D41:D43)</f>
        <v>0</v>
      </c>
      <c r="E44" s="365">
        <f t="shared" si="20"/>
        <v>0</v>
      </c>
      <c r="F44" s="109">
        <f t="shared" si="20"/>
        <v>0</v>
      </c>
      <c r="G44" s="101">
        <f t="shared" si="20"/>
        <v>0</v>
      </c>
      <c r="H44" s="101">
        <f t="shared" si="20"/>
        <v>0</v>
      </c>
      <c r="I44" s="110">
        <f t="shared" si="20"/>
        <v>0</v>
      </c>
      <c r="J44" s="102">
        <f t="shared" si="20"/>
        <v>637482.9315998659</v>
      </c>
      <c r="K44" s="101">
        <f t="shared" si="20"/>
        <v>656607.41954786179</v>
      </c>
      <c r="L44" s="253" t="s">
        <v>202</v>
      </c>
      <c r="M44" s="253" t="s">
        <v>202</v>
      </c>
      <c r="N44" s="253" t="s">
        <v>202</v>
      </c>
      <c r="O44" s="254" t="s">
        <v>202</v>
      </c>
      <c r="AP44" s="47"/>
      <c r="AQ44" s="47"/>
      <c r="AR44" s="47"/>
      <c r="AS44" s="47"/>
    </row>
    <row r="45" spans="2:45" s="125" customFormat="1">
      <c r="B45" s="197" t="s">
        <v>525</v>
      </c>
      <c r="C45" s="217" t="s">
        <v>202</v>
      </c>
      <c r="D45" s="237">
        <v>0</v>
      </c>
      <c r="E45" s="364">
        <v>0</v>
      </c>
      <c r="F45" s="237">
        <v>0</v>
      </c>
      <c r="G45" s="229">
        <f>-(Assumptions!D26+Assumptions!D27)*'Site 6 - Financial'!D11</f>
        <v>-40086.75</v>
      </c>
      <c r="H45" s="229">
        <f>G45*(1+Assumptions!$F$8)</f>
        <v>-41289.352500000001</v>
      </c>
      <c r="I45" s="230">
        <f>H45*(1+Assumptions!$F$8)</f>
        <v>-42528.033074999999</v>
      </c>
      <c r="J45" s="381">
        <f>-(Assumptions!D30*'Site 6 - Financial'!D11)*(1+Assumptions!$F$8)^J2</f>
        <v>-85287.931599865842</v>
      </c>
      <c r="K45" s="229">
        <f>J45*(1+Assumptions!$F$8)</f>
        <v>-87846.569547861814</v>
      </c>
      <c r="L45" s="513" t="s">
        <v>202</v>
      </c>
      <c r="M45" s="513" t="s">
        <v>202</v>
      </c>
      <c r="N45" s="513" t="s">
        <v>202</v>
      </c>
      <c r="O45" s="515" t="s">
        <v>202</v>
      </c>
      <c r="AP45" s="47"/>
      <c r="AQ45" s="47"/>
      <c r="AR45" s="47"/>
      <c r="AS45" s="47"/>
    </row>
    <row r="46" spans="2:45" s="125" customFormat="1">
      <c r="B46" s="197" t="s">
        <v>316</v>
      </c>
      <c r="C46" s="217" t="s">
        <v>202</v>
      </c>
      <c r="D46" s="237">
        <f t="shared" ref="D46:K46" si="21">-5%*D44</f>
        <v>0</v>
      </c>
      <c r="E46" s="364">
        <f t="shared" si="21"/>
        <v>0</v>
      </c>
      <c r="F46" s="237">
        <f t="shared" ref="F46" si="22">-5%*F44</f>
        <v>0</v>
      </c>
      <c r="G46" s="229">
        <f t="shared" si="21"/>
        <v>0</v>
      </c>
      <c r="H46" s="229">
        <f t="shared" si="21"/>
        <v>0</v>
      </c>
      <c r="I46" s="230">
        <f t="shared" si="21"/>
        <v>0</v>
      </c>
      <c r="J46" s="381">
        <f t="shared" si="21"/>
        <v>-31874.146579993296</v>
      </c>
      <c r="K46" s="229">
        <f t="shared" si="21"/>
        <v>-32830.37097739309</v>
      </c>
      <c r="L46" s="512" t="s">
        <v>202</v>
      </c>
      <c r="M46" s="512" t="s">
        <v>202</v>
      </c>
      <c r="N46" s="512" t="s">
        <v>202</v>
      </c>
      <c r="O46" s="514" t="s">
        <v>202</v>
      </c>
      <c r="AP46" s="47"/>
      <c r="AQ46" s="47"/>
      <c r="AR46" s="47"/>
      <c r="AS46" s="47"/>
    </row>
    <row r="47" spans="2:45" s="125" customFormat="1">
      <c r="B47" s="225" t="s">
        <v>94</v>
      </c>
      <c r="C47" s="226" t="s">
        <v>202</v>
      </c>
      <c r="D47" s="109">
        <f t="shared" ref="D47:G47" si="23">SUM(D44:D46)</f>
        <v>0</v>
      </c>
      <c r="E47" s="365">
        <f t="shared" si="23"/>
        <v>0</v>
      </c>
      <c r="F47" s="109">
        <f>SUM(F44:F46)</f>
        <v>0</v>
      </c>
      <c r="G47" s="101">
        <f t="shared" si="23"/>
        <v>-40086.75</v>
      </c>
      <c r="H47" s="101">
        <f>SUM(H44:H46)</f>
        <v>-41289.352500000001</v>
      </c>
      <c r="I47" s="110">
        <f>SUM(I44:I46)</f>
        <v>-42528.033074999999</v>
      </c>
      <c r="J47" s="102">
        <f>SUM(J44:J46)</f>
        <v>520320.85342000669</v>
      </c>
      <c r="K47" s="101">
        <f>SUM(K44:K46)</f>
        <v>535930.47902260686</v>
      </c>
      <c r="L47" s="253" t="s">
        <v>202</v>
      </c>
      <c r="M47" s="253" t="s">
        <v>202</v>
      </c>
      <c r="N47" s="253" t="s">
        <v>202</v>
      </c>
      <c r="O47" s="254" t="s">
        <v>202</v>
      </c>
      <c r="AP47" s="47"/>
      <c r="AQ47" s="47"/>
      <c r="AR47" s="47"/>
      <c r="AS47" s="47"/>
    </row>
    <row r="48" spans="2:45" s="125" customFormat="1" ht="15.75" thickBot="1">
      <c r="B48" s="209" t="s">
        <v>317</v>
      </c>
      <c r="C48" s="218" t="s">
        <v>202</v>
      </c>
      <c r="D48" s="238">
        <v>0</v>
      </c>
      <c r="E48" s="366">
        <v>0</v>
      </c>
      <c r="F48" s="238">
        <v>0</v>
      </c>
      <c r="G48" s="231">
        <v>0</v>
      </c>
      <c r="H48" s="231">
        <v>0</v>
      </c>
      <c r="I48" s="232">
        <v>0</v>
      </c>
      <c r="J48" s="382">
        <f>(K47/Assumptions!I9)*0.98</f>
        <v>11671374.876492327</v>
      </c>
      <c r="K48" s="231" t="s">
        <v>202</v>
      </c>
      <c r="L48" s="253" t="s">
        <v>202</v>
      </c>
      <c r="M48" s="253" t="s">
        <v>202</v>
      </c>
      <c r="N48" s="253" t="s">
        <v>202</v>
      </c>
      <c r="O48" s="254" t="s">
        <v>202</v>
      </c>
      <c r="AP48" s="47"/>
      <c r="AQ48" s="47"/>
      <c r="AR48" s="47"/>
      <c r="AS48" s="47"/>
    </row>
    <row r="49" spans="1:45" s="125" customFormat="1">
      <c r="B49" s="185" t="s">
        <v>391</v>
      </c>
      <c r="C49" s="216"/>
      <c r="D49" s="236"/>
      <c r="E49" s="363"/>
      <c r="F49" s="236"/>
      <c r="G49" s="227"/>
      <c r="H49" s="227"/>
      <c r="I49" s="228"/>
      <c r="J49" s="380"/>
      <c r="K49" s="227"/>
      <c r="L49" s="227"/>
      <c r="M49" s="227"/>
      <c r="N49" s="227"/>
      <c r="O49" s="228"/>
      <c r="AP49" s="47"/>
      <c r="AQ49" s="47"/>
      <c r="AR49" s="47"/>
      <c r="AS49" s="47"/>
    </row>
    <row r="50" spans="1:45" s="125" customFormat="1">
      <c r="B50" s="186" t="s">
        <v>91</v>
      </c>
      <c r="C50" s="217" t="s">
        <v>202</v>
      </c>
      <c r="D50" s="237">
        <v>0</v>
      </c>
      <c r="E50" s="364">
        <v>0</v>
      </c>
      <c r="F50" s="237">
        <v>0</v>
      </c>
      <c r="G50" s="229">
        <v>0</v>
      </c>
      <c r="H50" s="229">
        <v>0</v>
      </c>
      <c r="I50" s="230">
        <v>0</v>
      </c>
      <c r="J50" s="381">
        <v>0</v>
      </c>
      <c r="K50" s="229" t="s">
        <v>202</v>
      </c>
      <c r="L50" s="234" t="s">
        <v>202</v>
      </c>
      <c r="M50" s="234" t="s">
        <v>202</v>
      </c>
      <c r="N50" s="234" t="s">
        <v>202</v>
      </c>
      <c r="O50" s="235" t="s">
        <v>202</v>
      </c>
      <c r="AP50" s="47"/>
      <c r="AQ50" s="47"/>
      <c r="AR50" s="47"/>
      <c r="AS50" s="47"/>
    </row>
    <row r="51" spans="1:45" s="125" customFormat="1">
      <c r="B51" s="186" t="s">
        <v>521</v>
      </c>
      <c r="C51" s="217" t="s">
        <v>202</v>
      </c>
      <c r="D51" s="237">
        <v>0</v>
      </c>
      <c r="E51" s="364">
        <v>0</v>
      </c>
      <c r="F51" s="237">
        <v>0</v>
      </c>
      <c r="G51" s="229">
        <v>0</v>
      </c>
      <c r="H51" s="229">
        <v>0</v>
      </c>
      <c r="I51" s="230">
        <v>0</v>
      </c>
      <c r="J51" s="381">
        <v>0</v>
      </c>
      <c r="K51" s="229" t="s">
        <v>202</v>
      </c>
      <c r="L51" s="234" t="s">
        <v>202</v>
      </c>
      <c r="M51" s="234" t="s">
        <v>202</v>
      </c>
      <c r="N51" s="234" t="s">
        <v>202</v>
      </c>
      <c r="O51" s="235" t="s">
        <v>202</v>
      </c>
      <c r="AP51" s="47"/>
      <c r="AQ51" s="47"/>
      <c r="AR51" s="47"/>
      <c r="AS51" s="47"/>
    </row>
    <row r="52" spans="1:45" s="125" customFormat="1">
      <c r="B52" s="186" t="s">
        <v>309</v>
      </c>
      <c r="C52" s="217" t="s">
        <v>202</v>
      </c>
      <c r="D52" s="237">
        <v>0</v>
      </c>
      <c r="E52" s="364">
        <v>0</v>
      </c>
      <c r="F52" s="237">
        <v>0</v>
      </c>
      <c r="G52" s="229">
        <v>0</v>
      </c>
      <c r="H52" s="229">
        <v>0</v>
      </c>
      <c r="I52" s="230">
        <v>0</v>
      </c>
      <c r="J52" s="381">
        <v>0</v>
      </c>
      <c r="K52" s="229" t="s">
        <v>202</v>
      </c>
      <c r="L52" s="512" t="s">
        <v>202</v>
      </c>
      <c r="M52" s="512" t="s">
        <v>202</v>
      </c>
      <c r="N52" s="512" t="s">
        <v>202</v>
      </c>
      <c r="O52" s="514" t="s">
        <v>202</v>
      </c>
      <c r="AP52" s="47"/>
      <c r="AQ52" s="47"/>
      <c r="AR52" s="47"/>
      <c r="AS52" s="47"/>
    </row>
    <row r="53" spans="1:45" s="125" customFormat="1">
      <c r="B53" s="225" t="s">
        <v>93</v>
      </c>
      <c r="C53" s="226" t="s">
        <v>202</v>
      </c>
      <c r="D53" s="109">
        <v>0</v>
      </c>
      <c r="E53" s="365">
        <v>0</v>
      </c>
      <c r="F53" s="109">
        <v>0</v>
      </c>
      <c r="G53" s="101">
        <v>0</v>
      </c>
      <c r="H53" s="101">
        <v>0</v>
      </c>
      <c r="I53" s="110">
        <v>0</v>
      </c>
      <c r="J53" s="102">
        <v>0</v>
      </c>
      <c r="K53" s="101" t="s">
        <v>202</v>
      </c>
      <c r="L53" s="253" t="s">
        <v>202</v>
      </c>
      <c r="M53" s="253" t="s">
        <v>202</v>
      </c>
      <c r="N53" s="253" t="s">
        <v>202</v>
      </c>
      <c r="O53" s="254" t="s">
        <v>202</v>
      </c>
      <c r="AP53" s="47"/>
      <c r="AQ53" s="47"/>
      <c r="AR53" s="47"/>
      <c r="AS53" s="47"/>
    </row>
    <row r="54" spans="1:45" s="125" customFormat="1">
      <c r="B54" s="197" t="s">
        <v>525</v>
      </c>
      <c r="C54" s="217" t="s">
        <v>202</v>
      </c>
      <c r="D54" s="237">
        <v>0</v>
      </c>
      <c r="E54" s="364">
        <v>0</v>
      </c>
      <c r="F54" s="237">
        <v>0</v>
      </c>
      <c r="G54" s="229">
        <v>0</v>
      </c>
      <c r="H54" s="229">
        <v>0</v>
      </c>
      <c r="I54" s="230">
        <v>0</v>
      </c>
      <c r="J54" s="381">
        <v>0</v>
      </c>
      <c r="K54" s="229" t="s">
        <v>202</v>
      </c>
      <c r="L54" s="513" t="s">
        <v>202</v>
      </c>
      <c r="M54" s="513" t="s">
        <v>202</v>
      </c>
      <c r="N54" s="513" t="s">
        <v>202</v>
      </c>
      <c r="O54" s="515" t="s">
        <v>202</v>
      </c>
      <c r="AP54" s="47"/>
      <c r="AQ54" s="47"/>
      <c r="AR54" s="47"/>
      <c r="AS54" s="47"/>
    </row>
    <row r="55" spans="1:45" s="125" customFormat="1">
      <c r="B55" s="186" t="s">
        <v>316</v>
      </c>
      <c r="C55" s="217" t="s">
        <v>202</v>
      </c>
      <c r="D55" s="237">
        <v>0</v>
      </c>
      <c r="E55" s="364">
        <v>0</v>
      </c>
      <c r="F55" s="237">
        <v>0</v>
      </c>
      <c r="G55" s="229">
        <v>0</v>
      </c>
      <c r="H55" s="229">
        <v>0</v>
      </c>
      <c r="I55" s="230">
        <v>0</v>
      </c>
      <c r="J55" s="381">
        <v>0</v>
      </c>
      <c r="K55" s="229" t="s">
        <v>202</v>
      </c>
      <c r="L55" s="512" t="s">
        <v>202</v>
      </c>
      <c r="M55" s="512" t="s">
        <v>202</v>
      </c>
      <c r="N55" s="512" t="s">
        <v>202</v>
      </c>
      <c r="O55" s="514" t="s">
        <v>202</v>
      </c>
      <c r="AP55" s="47"/>
      <c r="AQ55" s="47"/>
      <c r="AR55" s="47"/>
      <c r="AS55" s="47"/>
    </row>
    <row r="56" spans="1:45" s="125" customFormat="1">
      <c r="B56" s="225" t="s">
        <v>94</v>
      </c>
      <c r="C56" s="226" t="s">
        <v>202</v>
      </c>
      <c r="D56" s="109">
        <v>0</v>
      </c>
      <c r="E56" s="365">
        <v>0</v>
      </c>
      <c r="F56" s="109">
        <v>0</v>
      </c>
      <c r="G56" s="101">
        <v>0</v>
      </c>
      <c r="H56" s="101">
        <v>0</v>
      </c>
      <c r="I56" s="110">
        <v>0</v>
      </c>
      <c r="J56" s="102">
        <v>0</v>
      </c>
      <c r="K56" s="101" t="s">
        <v>202</v>
      </c>
      <c r="L56" s="253" t="s">
        <v>202</v>
      </c>
      <c r="M56" s="253" t="s">
        <v>202</v>
      </c>
      <c r="N56" s="253" t="s">
        <v>202</v>
      </c>
      <c r="O56" s="254" t="s">
        <v>202</v>
      </c>
      <c r="AP56" s="47"/>
      <c r="AQ56" s="47"/>
      <c r="AR56" s="47"/>
      <c r="AS56" s="47"/>
    </row>
    <row r="57" spans="1:45" s="125" customFormat="1" ht="15.75" thickBot="1">
      <c r="B57" s="189" t="s">
        <v>317</v>
      </c>
      <c r="C57" s="218" t="s">
        <v>202</v>
      </c>
      <c r="D57" s="238">
        <v>0</v>
      </c>
      <c r="E57" s="366">
        <v>0</v>
      </c>
      <c r="F57" s="238">
        <v>0</v>
      </c>
      <c r="G57" s="231">
        <v>0</v>
      </c>
      <c r="H57" s="231">
        <v>0</v>
      </c>
      <c r="I57" s="232">
        <v>0</v>
      </c>
      <c r="J57" s="382">
        <v>0</v>
      </c>
      <c r="K57" s="231" t="s">
        <v>202</v>
      </c>
      <c r="L57" s="253" t="s">
        <v>202</v>
      </c>
      <c r="M57" s="253" t="s">
        <v>202</v>
      </c>
      <c r="N57" s="253" t="s">
        <v>202</v>
      </c>
      <c r="O57" s="254" t="s">
        <v>202</v>
      </c>
      <c r="AP57" s="47"/>
      <c r="AQ57" s="47"/>
      <c r="AR57" s="47"/>
      <c r="AS57" s="47"/>
    </row>
    <row r="58" spans="1:45" s="125" customFormat="1" ht="15.75" thickBot="1">
      <c r="B58" s="240" t="s">
        <v>328</v>
      </c>
      <c r="C58" s="336">
        <f>IRR(F58:J58)</f>
        <v>0.11766117856110925</v>
      </c>
      <c r="D58" s="241">
        <f>D30</f>
        <v>0</v>
      </c>
      <c r="E58" s="362">
        <f>E30</f>
        <v>0</v>
      </c>
      <c r="F58" s="241">
        <f>-F30</f>
        <v>-18245250.671043389</v>
      </c>
      <c r="G58" s="242">
        <f>-G30</f>
        <v>-13104273.966222452</v>
      </c>
      <c r="H58" s="242">
        <f>-H30</f>
        <v>-13890716.11872245</v>
      </c>
      <c r="I58" s="243">
        <f>-I30</f>
        <v>-14108609.899297452</v>
      </c>
      <c r="J58" s="379">
        <f>SUM(J38:J39,J56:J57,J47:J48,J30)</f>
        <v>79886127.158397093</v>
      </c>
      <c r="K58" s="242">
        <v>0</v>
      </c>
      <c r="L58" s="242">
        <f>SUM(L38:L39,L56:L57,L47:L48,L30)</f>
        <v>0</v>
      </c>
      <c r="M58" s="242">
        <f>SUM(M38:M39,M56:M57,M47:M48,M30)</f>
        <v>0</v>
      </c>
      <c r="N58" s="242">
        <f>SUM(N38:N39,N56:N57,N47:N48,N30)</f>
        <v>0</v>
      </c>
      <c r="O58" s="243" t="s">
        <v>202</v>
      </c>
      <c r="AP58" s="47"/>
      <c r="AQ58" s="47"/>
      <c r="AR58" s="47"/>
      <c r="AS58" s="47"/>
    </row>
    <row r="59" spans="1:45" s="125" customFormat="1">
      <c r="B59" s="186" t="s">
        <v>331</v>
      </c>
      <c r="C59" s="244">
        <f>Assumptions!I13</f>
        <v>5.2499999999999998E-2</v>
      </c>
      <c r="D59" s="239" t="s">
        <v>202</v>
      </c>
      <c r="E59" s="367" t="s">
        <v>202</v>
      </c>
      <c r="F59" s="239">
        <f>C59*-'Site 6 - Financial'!E17</f>
        <v>-1713698.0626713757</v>
      </c>
      <c r="G59" s="234">
        <f t="shared" ref="G59:I60" si="24">F59</f>
        <v>-1713698.0626713757</v>
      </c>
      <c r="H59" s="234">
        <f t="shared" si="24"/>
        <v>-1713698.0626713757</v>
      </c>
      <c r="I59" s="235">
        <f t="shared" si="24"/>
        <v>-1713698.0626713757</v>
      </c>
      <c r="J59" s="384">
        <f t="shared" ref="J59" si="25">I59</f>
        <v>-1713698.0626713757</v>
      </c>
      <c r="K59" s="234" t="s">
        <v>202</v>
      </c>
      <c r="L59" s="234" t="s">
        <v>202</v>
      </c>
      <c r="M59" s="234" t="s">
        <v>202</v>
      </c>
      <c r="N59" s="234" t="s">
        <v>202</v>
      </c>
      <c r="O59" s="207" t="s">
        <v>202</v>
      </c>
      <c r="AP59" s="47"/>
      <c r="AQ59" s="47"/>
      <c r="AR59" s="47"/>
      <c r="AS59" s="47"/>
    </row>
    <row r="60" spans="1:45" s="191" customFormat="1" outlineLevel="1">
      <c r="B60" s="337" t="s">
        <v>393</v>
      </c>
      <c r="C60" s="338"/>
      <c r="D60" s="339" t="s">
        <v>202</v>
      </c>
      <c r="E60" s="368" t="s">
        <v>202</v>
      </c>
      <c r="F60" s="339">
        <f>'Site 6 - Financial'!E17</f>
        <v>32641867.860407159</v>
      </c>
      <c r="G60" s="340">
        <f t="shared" si="24"/>
        <v>32641867.860407159</v>
      </c>
      <c r="H60" s="340">
        <f t="shared" si="24"/>
        <v>32641867.860407159</v>
      </c>
      <c r="I60" s="386">
        <f t="shared" si="24"/>
        <v>32641867.860407159</v>
      </c>
      <c r="J60" s="385">
        <f>-I60</f>
        <v>-32641867.860407159</v>
      </c>
      <c r="K60" s="340" t="s">
        <v>202</v>
      </c>
      <c r="L60" s="340" t="s">
        <v>202</v>
      </c>
      <c r="M60" s="340" t="s">
        <v>202</v>
      </c>
      <c r="N60" s="340" t="s">
        <v>202</v>
      </c>
      <c r="O60" s="341" t="s">
        <v>202</v>
      </c>
      <c r="AP60" s="344"/>
      <c r="AQ60" s="344"/>
      <c r="AR60" s="344"/>
      <c r="AS60" s="344"/>
    </row>
    <row r="61" spans="1:45" s="125" customFormat="1" ht="15.75" thickBot="1">
      <c r="B61" s="186" t="s">
        <v>332</v>
      </c>
      <c r="C61" s="219"/>
      <c r="D61" s="239" t="s">
        <v>202</v>
      </c>
      <c r="E61" s="367" t="s">
        <v>202</v>
      </c>
      <c r="F61" s="239">
        <f>F58*0.4</f>
        <v>-7298100.2684173556</v>
      </c>
      <c r="G61" s="234">
        <f>G58*0.4</f>
        <v>-5241709.5864889808</v>
      </c>
      <c r="H61" s="234">
        <f t="shared" ref="H61:I61" si="26">H58*0.4</f>
        <v>-5556286.4474889804</v>
      </c>
      <c r="I61" s="235">
        <f t="shared" si="26"/>
        <v>-5643443.9597189808</v>
      </c>
      <c r="J61" s="384">
        <v>0</v>
      </c>
      <c r="K61" s="234" t="s">
        <v>202</v>
      </c>
      <c r="L61" s="234" t="s">
        <v>202</v>
      </c>
      <c r="M61" s="234" t="s">
        <v>202</v>
      </c>
      <c r="N61" s="234" t="s">
        <v>202</v>
      </c>
      <c r="O61" s="207" t="s">
        <v>202</v>
      </c>
      <c r="AP61" s="47"/>
      <c r="AQ61" s="47"/>
      <c r="AR61" s="47"/>
      <c r="AS61" s="47"/>
    </row>
    <row r="62" spans="1:45" s="137" customFormat="1" ht="15.75" thickBot="1">
      <c r="B62" s="240" t="s">
        <v>329</v>
      </c>
      <c r="C62" s="336">
        <f>IRR(F62:J62)</f>
        <v>0.16036831122026718</v>
      </c>
      <c r="D62" s="241">
        <v>0</v>
      </c>
      <c r="E62" s="362">
        <v>0</v>
      </c>
      <c r="F62" s="241">
        <f>F59+F61</f>
        <v>-9011798.3310887311</v>
      </c>
      <c r="G62" s="242">
        <f>G61+G59</f>
        <v>-6955407.6491603563</v>
      </c>
      <c r="H62" s="242">
        <f>H61+H59</f>
        <v>-7269984.5101603558</v>
      </c>
      <c r="I62" s="242">
        <f>I61+I59</f>
        <v>-7357142.0223903563</v>
      </c>
      <c r="J62" s="379">
        <f>SUM(J58:J61)</f>
        <v>45530561.235318556</v>
      </c>
      <c r="K62" s="242">
        <v>0</v>
      </c>
      <c r="L62" s="242">
        <v>0</v>
      </c>
      <c r="M62" s="242">
        <v>0</v>
      </c>
      <c r="N62" s="242">
        <v>0</v>
      </c>
      <c r="O62" s="243" t="s">
        <v>202</v>
      </c>
      <c r="AP62" s="248"/>
      <c r="AQ62" s="248"/>
      <c r="AR62" s="248"/>
      <c r="AS62" s="248"/>
    </row>
    <row r="63" spans="1:45" s="89" customFormat="1">
      <c r="A63" s="125"/>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P63" s="48"/>
      <c r="AQ63" s="48"/>
      <c r="AR63" s="48"/>
      <c r="AS63" s="48"/>
    </row>
    <row r="64" spans="1:45" s="89" customFormat="1">
      <c r="A64" s="125"/>
      <c r="B64" s="48"/>
      <c r="C64" s="171"/>
      <c r="D64" s="48"/>
      <c r="E64" s="48"/>
      <c r="F64" s="48"/>
      <c r="G64" s="48"/>
      <c r="H64" s="48"/>
      <c r="I64" s="48"/>
      <c r="J64" s="292"/>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P64" s="48"/>
      <c r="AQ64" s="48"/>
      <c r="AR64" s="48"/>
      <c r="AS64" s="48"/>
    </row>
    <row r="65" spans="1:45" s="89" customFormat="1">
      <c r="A65" s="125"/>
      <c r="B65" s="48"/>
      <c r="C65" s="171"/>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P65" s="48"/>
      <c r="AQ65" s="48"/>
      <c r="AR65" s="48"/>
      <c r="AS65" s="48"/>
    </row>
    <row r="66" spans="1:45" s="89" customFormat="1">
      <c r="A66" s="125"/>
      <c r="B66" s="136"/>
      <c r="C66" s="176"/>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P66" s="48"/>
      <c r="AQ66" s="48"/>
      <c r="AR66" s="48"/>
      <c r="AS66" s="48"/>
    </row>
    <row r="67" spans="1:45" s="89" customFormat="1">
      <c r="A67" s="125"/>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P67" s="48"/>
      <c r="AQ67" s="48"/>
      <c r="AR67" s="48"/>
      <c r="AS67" s="48"/>
    </row>
  </sheetData>
  <mergeCells count="1">
    <mergeCell ref="B2:B4"/>
  </mergeCells>
  <conditionalFormatting sqref="D4:O4">
    <cfRule type="cellIs" dxfId="15" priority="1" operator="equal">
      <formula>#REF!</formula>
    </cfRule>
    <cfRule type="cellIs" dxfId="14" priority="2" operator="equal">
      <formula>#REF!</formula>
    </cfRule>
    <cfRule type="cellIs" dxfId="13" priority="3" operator="equal">
      <formula>#REF!</formula>
    </cfRule>
    <cfRule type="cellIs" dxfId="12" priority="4"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46945-5A93-2B46-B9D3-CCEC486B3A41}">
  <sheetPr>
    <tabColor rgb="FF92D050"/>
    <pageSetUpPr fitToPage="1"/>
  </sheetPr>
  <dimension ref="B1:K83"/>
  <sheetViews>
    <sheetView showGridLines="0" zoomScale="85" zoomScaleNormal="85" zoomScaleSheetLayoutView="90" workbookViewId="0">
      <selection activeCell="K30" sqref="K30"/>
    </sheetView>
  </sheetViews>
  <sheetFormatPr defaultColWidth="8.85546875" defaultRowHeight="23.25" customHeight="1"/>
  <cols>
    <col min="1" max="1" width="2" style="48" customWidth="1"/>
    <col min="2" max="2" width="36.42578125" style="48" bestFit="1" customWidth="1"/>
    <col min="3" max="3" width="32.140625" style="48" bestFit="1" customWidth="1"/>
    <col min="4" max="4" width="22.42578125" style="48" bestFit="1" customWidth="1"/>
    <col min="5" max="5" width="18.42578125" style="48" customWidth="1"/>
    <col min="6" max="6" width="18.140625" style="48" bestFit="1" customWidth="1"/>
    <col min="7" max="7" width="44.85546875" style="48" customWidth="1"/>
    <col min="8" max="11" width="26.140625" style="48" customWidth="1"/>
    <col min="12" max="12" width="13.140625" style="48" bestFit="1" customWidth="1"/>
    <col min="13" max="13" width="24.42578125" style="48" customWidth="1"/>
    <col min="14" max="14" width="32.42578125" style="48" customWidth="1"/>
    <col min="15" max="15" width="20.140625" style="48" customWidth="1"/>
    <col min="16" max="16384" width="8.85546875" style="48"/>
  </cols>
  <sheetData>
    <row r="1" spans="2:10" ht="12" customHeight="1" thickBot="1">
      <c r="B1" s="115"/>
      <c r="C1" s="115"/>
      <c r="D1" s="113"/>
      <c r="E1" s="116"/>
    </row>
    <row r="2" spans="2:10" ht="21" customHeight="1">
      <c r="B2" s="1249" t="str">
        <f>'Development Program'!B11</f>
        <v>The Yesler</v>
      </c>
      <c r="C2" s="1250"/>
      <c r="D2" s="1250"/>
      <c r="E2" s="1250"/>
      <c r="F2" s="1251"/>
      <c r="G2" s="1268" t="s">
        <v>100</v>
      </c>
      <c r="H2" s="1244" t="s">
        <v>95</v>
      </c>
      <c r="I2" s="1244" t="s">
        <v>96</v>
      </c>
      <c r="J2" s="1246" t="s">
        <v>90</v>
      </c>
    </row>
    <row r="3" spans="2:10" ht="21" customHeight="1" thickBot="1">
      <c r="B3" s="87" t="s">
        <v>186</v>
      </c>
      <c r="C3" s="310" t="s">
        <v>83</v>
      </c>
      <c r="D3" s="311" t="s">
        <v>190</v>
      </c>
      <c r="E3" s="310" t="s">
        <v>92</v>
      </c>
      <c r="F3" s="114" t="s">
        <v>655</v>
      </c>
      <c r="G3" s="1269"/>
      <c r="H3" s="1245"/>
      <c r="I3" s="1245"/>
      <c r="J3" s="1247"/>
    </row>
    <row r="4" spans="2:10" ht="21" customHeight="1">
      <c r="B4" s="146" t="s">
        <v>85</v>
      </c>
      <c r="C4" s="147">
        <v>35</v>
      </c>
      <c r="D4" s="148">
        <f>Assumptions!C7*C4</f>
        <v>15750</v>
      </c>
      <c r="E4" s="149">
        <f>Assumptions!$D$8</f>
        <v>1350</v>
      </c>
      <c r="F4" s="150">
        <f>E4*D4</f>
        <v>21262500</v>
      </c>
      <c r="G4" s="120" t="str">
        <f>Assumptions!F19</f>
        <v>Residential Condominium Hard Costs for Construction</v>
      </c>
      <c r="H4" s="269">
        <f>'Market Research'!H117</f>
        <v>290</v>
      </c>
      <c r="I4" s="270">
        <f>H4*D8</f>
        <v>19792500</v>
      </c>
      <c r="J4" s="289">
        <f t="shared" ref="J4:J26" si="0">I4/($C$13+$C$8)</f>
        <v>178310.8108108108</v>
      </c>
    </row>
    <row r="5" spans="2:10" ht="21" customHeight="1">
      <c r="B5" s="151" t="s">
        <v>187</v>
      </c>
      <c r="C5" s="152">
        <v>50</v>
      </c>
      <c r="D5" s="153">
        <f>Assumptions!C9*C5</f>
        <v>32500</v>
      </c>
      <c r="E5" s="154">
        <f>Assumptions!$D$10</f>
        <v>1300</v>
      </c>
      <c r="F5" s="155">
        <f t="shared" ref="F5:F7" si="1">E5*D5</f>
        <v>42250000</v>
      </c>
      <c r="G5" s="120" t="s">
        <v>306</v>
      </c>
      <c r="H5" s="271">
        <f>'Market Research'!H122</f>
        <v>275</v>
      </c>
      <c r="I5" s="270">
        <f>H5*D12</f>
        <v>0</v>
      </c>
      <c r="J5" s="290">
        <f t="shared" si="0"/>
        <v>0</v>
      </c>
    </row>
    <row r="6" spans="2:10" ht="21" customHeight="1">
      <c r="B6" s="151" t="s">
        <v>188</v>
      </c>
      <c r="C6" s="152">
        <v>20</v>
      </c>
      <c r="D6" s="153">
        <f>Assumptions!C11*C6</f>
        <v>20000</v>
      </c>
      <c r="E6" s="154">
        <f>Assumptions!$D$12</f>
        <v>1250</v>
      </c>
      <c r="F6" s="155">
        <f t="shared" si="1"/>
        <v>25000000</v>
      </c>
      <c r="G6" s="477" t="s">
        <v>400</v>
      </c>
      <c r="H6" s="271">
        <f>'Market Research'!H122</f>
        <v>275</v>
      </c>
      <c r="I6" s="270">
        <f>H5*D11</f>
        <v>7435175</v>
      </c>
      <c r="J6" s="290">
        <f t="shared" si="0"/>
        <v>66983.558558558565</v>
      </c>
    </row>
    <row r="7" spans="2:10" ht="21" customHeight="1" thickBot="1">
      <c r="B7" s="156" t="s">
        <v>189</v>
      </c>
      <c r="C7" s="157">
        <v>0</v>
      </c>
      <c r="D7" s="158">
        <f>Assumptions!C13*C7</f>
        <v>0</v>
      </c>
      <c r="E7" s="159">
        <f>Assumptions!$D$14</f>
        <v>1200</v>
      </c>
      <c r="F7" s="160">
        <f t="shared" si="1"/>
        <v>0</v>
      </c>
      <c r="G7" s="477" t="s">
        <v>522</v>
      </c>
      <c r="H7" s="272">
        <f>'Market Research'!H135</f>
        <v>160</v>
      </c>
      <c r="I7" s="270">
        <f>H7*C22</f>
        <v>0</v>
      </c>
      <c r="J7" s="290">
        <f t="shared" si="0"/>
        <v>0</v>
      </c>
    </row>
    <row r="8" spans="2:10" ht="21" customHeight="1">
      <c r="B8" s="1218" t="s">
        <v>86</v>
      </c>
      <c r="C8" s="1220">
        <f>SUM(C4:C7)</f>
        <v>105</v>
      </c>
      <c r="D8" s="1253">
        <f>SUM(D4:D7)</f>
        <v>68250</v>
      </c>
      <c r="E8" s="1255">
        <f>F8/D8</f>
        <v>1296.8864468864469</v>
      </c>
      <c r="F8" s="1206">
        <f>SUM(F4:F7)</f>
        <v>88512500</v>
      </c>
      <c r="G8" s="120" t="s">
        <v>20</v>
      </c>
      <c r="H8" s="273">
        <v>0.1</v>
      </c>
      <c r="I8" s="270">
        <f>H8*SUM(I4:I7)</f>
        <v>2722767.5</v>
      </c>
      <c r="J8" s="290">
        <f t="shared" si="0"/>
        <v>24529.436936936938</v>
      </c>
    </row>
    <row r="9" spans="2:10" ht="21" customHeight="1">
      <c r="B9" s="1252"/>
      <c r="C9" s="1221"/>
      <c r="D9" s="1254"/>
      <c r="E9" s="1256"/>
      <c r="F9" s="1248"/>
      <c r="G9" s="120" t="s">
        <v>6</v>
      </c>
      <c r="H9" s="274" t="s">
        <v>24</v>
      </c>
      <c r="I9" s="270">
        <v>0</v>
      </c>
      <c r="J9" s="290">
        <f t="shared" si="0"/>
        <v>0</v>
      </c>
    </row>
    <row r="10" spans="2:10" ht="21" customHeight="1" thickBot="1">
      <c r="B10" s="177" t="s">
        <v>397</v>
      </c>
      <c r="C10" s="310" t="s">
        <v>83</v>
      </c>
      <c r="D10" s="310" t="s">
        <v>387</v>
      </c>
      <c r="E10" s="310" t="s">
        <v>88</v>
      </c>
      <c r="F10" s="114" t="s">
        <v>84</v>
      </c>
      <c r="G10" s="477" t="s">
        <v>308</v>
      </c>
      <c r="H10" s="275">
        <f>'Market Research'!C53</f>
        <v>45000000</v>
      </c>
      <c r="I10" s="270">
        <f>H10*C17</f>
        <v>16803719.008264463</v>
      </c>
      <c r="J10" s="290">
        <f t="shared" si="0"/>
        <v>151384.85593031047</v>
      </c>
    </row>
    <row r="11" spans="2:10" ht="21" customHeight="1">
      <c r="B11" s="161" t="s">
        <v>1</v>
      </c>
      <c r="C11" s="162">
        <v>6</v>
      </c>
      <c r="D11" s="163">
        <v>27037</v>
      </c>
      <c r="E11" s="164">
        <f>Assumptions!F7</f>
        <v>35</v>
      </c>
      <c r="F11" s="165">
        <f>D11*E11</f>
        <v>946295</v>
      </c>
      <c r="G11" s="477" t="s">
        <v>21</v>
      </c>
      <c r="H11" s="573" t="s">
        <v>367</v>
      </c>
      <c r="I11" s="270">
        <v>120000</v>
      </c>
      <c r="J11" s="289">
        <f t="shared" si="0"/>
        <v>1081.081081081081</v>
      </c>
    </row>
    <row r="12" spans="2:10" ht="21" customHeight="1" thickBot="1">
      <c r="B12" s="166" t="s">
        <v>0</v>
      </c>
      <c r="C12" s="167">
        <v>0</v>
      </c>
      <c r="D12" s="168">
        <v>0</v>
      </c>
      <c r="E12" s="169">
        <f>Assumptions!G7</f>
        <v>45</v>
      </c>
      <c r="F12" s="170">
        <f>D12*E12</f>
        <v>0</v>
      </c>
      <c r="G12" s="477" t="s">
        <v>42</v>
      </c>
      <c r="H12" s="265" t="s">
        <v>368</v>
      </c>
      <c r="I12" s="270">
        <f>'Development Program'!Q22</f>
        <v>11249999.999999998</v>
      </c>
      <c r="J12" s="290">
        <f t="shared" si="0"/>
        <v>101351.35135135133</v>
      </c>
    </row>
    <row r="13" spans="2:10" ht="21" customHeight="1">
      <c r="B13" s="1218" t="s">
        <v>86</v>
      </c>
      <c r="C13" s="1220">
        <f>SUM(C11:C12)</f>
        <v>6</v>
      </c>
      <c r="D13" s="1253">
        <f>SUM(D11:D12)</f>
        <v>27037</v>
      </c>
      <c r="E13" s="1224">
        <f>IF(D13=0,0,F13/D13)</f>
        <v>35</v>
      </c>
      <c r="F13" s="1206">
        <f>SUM(F11:F12)</f>
        <v>946295</v>
      </c>
      <c r="G13" s="118" t="s">
        <v>23</v>
      </c>
      <c r="H13" s="261" t="s">
        <v>24</v>
      </c>
      <c r="I13" s="262">
        <v>400000</v>
      </c>
      <c r="J13" s="290">
        <f t="shared" si="0"/>
        <v>3603.6036036036035</v>
      </c>
    </row>
    <row r="14" spans="2:10" ht="21" customHeight="1" thickBot="1">
      <c r="B14" s="1219"/>
      <c r="C14" s="1221"/>
      <c r="D14" s="1254"/>
      <c r="E14" s="1225"/>
      <c r="F14" s="1207"/>
      <c r="G14" s="118" t="s">
        <v>361</v>
      </c>
      <c r="H14" s="285">
        <v>0.02</v>
      </c>
      <c r="I14" s="262">
        <f>H14*I10</f>
        <v>336074.38016528927</v>
      </c>
      <c r="J14" s="290">
        <f t="shared" si="0"/>
        <v>3027.6971186062096</v>
      </c>
    </row>
    <row r="15" spans="2:10" ht="21" customHeight="1">
      <c r="B15" s="1059" t="s">
        <v>371</v>
      </c>
      <c r="C15" s="1061"/>
      <c r="D15" s="1215" t="s">
        <v>203</v>
      </c>
      <c r="E15" s="1216"/>
      <c r="F15" s="1217"/>
      <c r="G15" s="118" t="s">
        <v>26</v>
      </c>
      <c r="H15" s="263">
        <v>0.04</v>
      </c>
      <c r="I15" s="262">
        <f>H15*SUM(I4:I7)</f>
        <v>1089107</v>
      </c>
      <c r="J15" s="290">
        <f t="shared" si="0"/>
        <v>9811.7747747747744</v>
      </c>
    </row>
    <row r="16" spans="2:10" ht="21" customHeight="1" thickBot="1">
      <c r="B16" s="134" t="s">
        <v>319</v>
      </c>
      <c r="C16" s="190" t="s">
        <v>375</v>
      </c>
      <c r="D16" s="134" t="s">
        <v>319</v>
      </c>
      <c r="E16" s="135" t="s">
        <v>103</v>
      </c>
      <c r="F16" s="190" t="s">
        <v>90</v>
      </c>
      <c r="G16" s="118" t="s">
        <v>27</v>
      </c>
      <c r="H16" s="264">
        <v>0.03</v>
      </c>
      <c r="I16" s="262">
        <f>H16*SUM(I4:I15)</f>
        <v>1798480.2866528926</v>
      </c>
      <c r="J16" s="290">
        <f t="shared" si="0"/>
        <v>16202.525104981014</v>
      </c>
    </row>
    <row r="17" spans="2:11" ht="21" customHeight="1">
      <c r="B17" s="293" t="s">
        <v>372</v>
      </c>
      <c r="C17" s="294">
        <f>16266/43560</f>
        <v>0.3734159779614325</v>
      </c>
      <c r="D17" s="303">
        <f>Assumptions!I11</f>
        <v>0.55000000000000004</v>
      </c>
      <c r="E17" s="304">
        <f>D17*I27</f>
        <v>40415668.524931818</v>
      </c>
      <c r="F17" s="305">
        <f>E17/($C$8+$C$13)</f>
        <v>364105.12184623262</v>
      </c>
      <c r="G17" s="118" t="s">
        <v>28</v>
      </c>
      <c r="H17" s="263">
        <v>0.02</v>
      </c>
      <c r="I17" s="262">
        <f>H17*SUM(I4:I7)</f>
        <v>544553.5</v>
      </c>
      <c r="J17" s="290">
        <f t="shared" si="0"/>
        <v>4905.8873873873872</v>
      </c>
    </row>
    <row r="18" spans="2:11" ht="21" customHeight="1">
      <c r="B18" s="295" t="s">
        <v>373</v>
      </c>
      <c r="C18" s="392">
        <f>30042+68250</f>
        <v>98292</v>
      </c>
      <c r="D18" s="306">
        <f>1-D17</f>
        <v>0.44999999999999996</v>
      </c>
      <c r="E18" s="301">
        <f>(D18*I27)-E19</f>
        <v>33067365.156762391</v>
      </c>
      <c r="F18" s="302">
        <f>E18/($C$8+$C$13)</f>
        <v>297904.19060146296</v>
      </c>
      <c r="G18" s="486" t="s">
        <v>98</v>
      </c>
      <c r="H18" s="746">
        <v>8.8293999999999994E-3</v>
      </c>
      <c r="I18" s="262">
        <f>H18*I10</f>
        <v>148366.75661157025</v>
      </c>
      <c r="J18" s="290">
        <f t="shared" si="0"/>
        <v>1336.6374469510833</v>
      </c>
    </row>
    <row r="19" spans="2:11" ht="21" customHeight="1">
      <c r="B19" s="295" t="s">
        <v>374</v>
      </c>
      <c r="C19" s="296">
        <f>D8+D13</f>
        <v>95287</v>
      </c>
      <c r="D19" s="295" t="s">
        <v>382</v>
      </c>
      <c r="E19" s="312">
        <f>I28</f>
        <v>0</v>
      </c>
      <c r="F19" s="313">
        <f>E19/($C$8+$C$13)</f>
        <v>0</v>
      </c>
      <c r="G19" s="118" t="s">
        <v>29</v>
      </c>
      <c r="H19" s="265">
        <v>6000</v>
      </c>
      <c r="I19" s="262">
        <f>H19*(C8+C13)</f>
        <v>666000</v>
      </c>
      <c r="J19" s="290">
        <f t="shared" si="0"/>
        <v>6000</v>
      </c>
    </row>
    <row r="20" spans="2:11" ht="21" customHeight="1">
      <c r="B20" s="295" t="s">
        <v>376</v>
      </c>
      <c r="C20" s="297">
        <v>0</v>
      </c>
      <c r="D20" s="295" t="s">
        <v>383</v>
      </c>
      <c r="E20" s="307">
        <f>SUM(E17:E19)</f>
        <v>73483033.68169421</v>
      </c>
      <c r="F20" s="308">
        <f>SUM(F17:F19)</f>
        <v>662009.31244769553</v>
      </c>
      <c r="G20" s="118" t="s">
        <v>30</v>
      </c>
      <c r="H20" s="261" t="s">
        <v>24</v>
      </c>
      <c r="I20" s="262">
        <v>400000</v>
      </c>
      <c r="J20" s="290">
        <f t="shared" si="0"/>
        <v>3603.6036036036035</v>
      </c>
    </row>
    <row r="21" spans="2:11" ht="21" customHeight="1" thickBot="1">
      <c r="B21" s="295" t="s">
        <v>377</v>
      </c>
      <c r="C21" s="297">
        <v>0</v>
      </c>
      <c r="D21" s="299"/>
      <c r="E21" s="309"/>
      <c r="F21" s="300"/>
      <c r="G21" s="118" t="s">
        <v>31</v>
      </c>
      <c r="H21" s="266" t="s">
        <v>363</v>
      </c>
      <c r="I21" s="262">
        <f>-SUM('Site 7 - Draw'!G38:H38,'Site 7 - Draw'!G47:H47,'Site 7 - Draw'!G56:H56)</f>
        <v>74351.75</v>
      </c>
      <c r="J21" s="290">
        <f t="shared" si="0"/>
        <v>669.83558558558559</v>
      </c>
    </row>
    <row r="22" spans="2:11" ht="21" customHeight="1">
      <c r="B22" s="298" t="s">
        <v>421</v>
      </c>
      <c r="C22" s="392">
        <v>0</v>
      </c>
      <c r="D22" s="1228" t="s">
        <v>104</v>
      </c>
      <c r="E22" s="1230">
        <f>E20</f>
        <v>73483033.68169421</v>
      </c>
      <c r="F22" s="1210">
        <f>F20</f>
        <v>662009.31244769553</v>
      </c>
      <c r="G22" s="118" t="s">
        <v>364</v>
      </c>
      <c r="H22" s="267">
        <f>'Market Research'!H125</f>
        <v>150</v>
      </c>
      <c r="I22" s="262">
        <f>H22*D13</f>
        <v>4055550</v>
      </c>
      <c r="J22" s="290">
        <f t="shared" si="0"/>
        <v>36536.486486486487</v>
      </c>
    </row>
    <row r="23" spans="2:11" ht="21" customHeight="1" thickBot="1">
      <c r="B23" s="413" t="s">
        <v>420</v>
      </c>
      <c r="C23" s="412">
        <f>C18/(C17*43560)</f>
        <v>6.0427886388786423</v>
      </c>
      <c r="D23" s="1229"/>
      <c r="E23" s="1231"/>
      <c r="F23" s="1211"/>
      <c r="G23" s="118" t="s">
        <v>365</v>
      </c>
      <c r="H23" s="268">
        <v>0.06</v>
      </c>
      <c r="I23" s="262">
        <f>'Site 7 - Draw'!I41*5*H23</f>
        <v>283888.5</v>
      </c>
      <c r="J23" s="290">
        <f t="shared" si="0"/>
        <v>2557.5540540540542</v>
      </c>
    </row>
    <row r="24" spans="2:11" ht="21" customHeight="1" thickBot="1">
      <c r="B24" s="391">
        <v>7</v>
      </c>
      <c r="C24" s="392">
        <f>C18/B24</f>
        <v>14041.714285714286</v>
      </c>
      <c r="D24" s="1208" t="s">
        <v>105</v>
      </c>
      <c r="E24" s="1209"/>
      <c r="F24" s="245" t="s">
        <v>370</v>
      </c>
      <c r="G24" s="486" t="s">
        <v>33</v>
      </c>
      <c r="H24" s="487">
        <v>0.01</v>
      </c>
      <c r="I24" s="262">
        <v>650000</v>
      </c>
      <c r="J24" s="290">
        <f t="shared" si="0"/>
        <v>5855.8558558558561</v>
      </c>
      <c r="K24" s="251"/>
    </row>
    <row r="25" spans="2:11" ht="21" customHeight="1" thickBot="1">
      <c r="B25" s="299" t="s">
        <v>380</v>
      </c>
      <c r="C25" s="300" t="s">
        <v>381</v>
      </c>
      <c r="D25" s="1238" t="s">
        <v>321</v>
      </c>
      <c r="E25" s="1239"/>
      <c r="F25" s="314">
        <f>'Site 7 - Draw'!I59</f>
        <v>86742250</v>
      </c>
      <c r="G25" s="488" t="s">
        <v>34</v>
      </c>
      <c r="H25" s="489">
        <f>Assumptions!$I$13</f>
        <v>5.2499999999999998E-2</v>
      </c>
      <c r="I25" s="262">
        <f>I24*H25*100</f>
        <v>3412500</v>
      </c>
      <c r="J25" s="290">
        <f t="shared" si="0"/>
        <v>30743.243243243243</v>
      </c>
      <c r="K25" s="251"/>
    </row>
    <row r="26" spans="2:11" ht="21" customHeight="1" thickBot="1">
      <c r="B26" s="1208" t="s">
        <v>109</v>
      </c>
      <c r="C26" s="1212"/>
      <c r="D26" s="1213" t="s">
        <v>378</v>
      </c>
      <c r="E26" s="1214"/>
      <c r="F26" s="356">
        <f>F8/C8</f>
        <v>842976.19047619053</v>
      </c>
      <c r="G26" s="121" t="s">
        <v>99</v>
      </c>
      <c r="H26" s="259" t="s">
        <v>24</v>
      </c>
      <c r="I26" s="260">
        <v>1500000</v>
      </c>
      <c r="J26" s="291">
        <f t="shared" si="0"/>
        <v>13513.513513513513</v>
      </c>
    </row>
    <row r="27" spans="2:11" ht="21" customHeight="1">
      <c r="B27" s="286" t="s">
        <v>133</v>
      </c>
      <c r="C27" s="882">
        <f>'Site 7 - Draw'!C60</f>
        <v>0.30680495737591462</v>
      </c>
      <c r="D27" s="1213" t="s">
        <v>379</v>
      </c>
      <c r="E27" s="1214"/>
      <c r="F27" s="315">
        <f>F25/C8</f>
        <v>826116.66666666663</v>
      </c>
      <c r="G27" s="122" t="s">
        <v>100</v>
      </c>
      <c r="H27" s="319" t="s">
        <v>202</v>
      </c>
      <c r="I27" s="320">
        <f>SUM(I4:I26)</f>
        <v>73483033.68169421</v>
      </c>
      <c r="J27" s="321">
        <f>I27/($C$8+$C$13)</f>
        <v>662009.31244769553</v>
      </c>
      <c r="K27" s="251"/>
    </row>
    <row r="28" spans="2:11" ht="21" customHeight="1">
      <c r="B28" s="287" t="s">
        <v>40</v>
      </c>
      <c r="C28" s="883">
        <f>'Site 7 - Draw'!C64</f>
        <v>0.46672473848926432</v>
      </c>
      <c r="D28" s="1226" t="s">
        <v>322</v>
      </c>
      <c r="E28" s="1227"/>
      <c r="F28" s="316">
        <f>'Site 7 - Draw'!I48+'Site 7 - Draw'!I57+'Site 7 - Draw'!I47</f>
        <v>20884176.11928802</v>
      </c>
      <c r="G28" s="123" t="s">
        <v>382</v>
      </c>
      <c r="H28" s="322" t="s">
        <v>202</v>
      </c>
      <c r="I28" s="323">
        <f>IF(I27-I32&gt;0,I27-I32,0)</f>
        <v>0</v>
      </c>
      <c r="J28" s="324">
        <f>I28/($C$8+$C$13)</f>
        <v>0</v>
      </c>
    </row>
    <row r="29" spans="2:11" ht="21" customHeight="1">
      <c r="B29" s="287" t="s">
        <v>653</v>
      </c>
      <c r="C29" s="884">
        <f>Assumptions!I6</f>
        <v>0.05</v>
      </c>
      <c r="D29" s="1240" t="s">
        <v>323</v>
      </c>
      <c r="E29" s="1241"/>
      <c r="F29" s="317">
        <f>F25+F28</f>
        <v>107626426.11928803</v>
      </c>
      <c r="G29" s="123" t="s">
        <v>324</v>
      </c>
      <c r="H29" s="322" t="s">
        <v>202</v>
      </c>
      <c r="I29" s="323">
        <f>'Site 7 - Draw'!I47+'Site 7 - Draw'!I48+'Site 7 - Draw'!I59</f>
        <v>107626426.11928803</v>
      </c>
      <c r="J29" s="324">
        <f>I29/($C$8+$C$13)</f>
        <v>969607.44251610839</v>
      </c>
    </row>
    <row r="30" spans="2:11" ht="21" customHeight="1">
      <c r="B30" s="287" t="s">
        <v>652</v>
      </c>
      <c r="C30" s="884">
        <f>Assumptions!I$7</f>
        <v>4.7500000000000001E-2</v>
      </c>
      <c r="D30" s="1234" t="s">
        <v>106</v>
      </c>
      <c r="E30" s="1235"/>
      <c r="F30" s="316">
        <f>E17</f>
        <v>40415668.524931818</v>
      </c>
      <c r="G30" s="123" t="s">
        <v>101</v>
      </c>
      <c r="H30" s="322" t="s">
        <v>202</v>
      </c>
      <c r="I30" s="355" t="s">
        <v>696</v>
      </c>
      <c r="J30" s="325" t="s">
        <v>202</v>
      </c>
    </row>
    <row r="31" spans="2:11" ht="21" customHeight="1">
      <c r="B31" s="287" t="s">
        <v>384</v>
      </c>
      <c r="C31" s="884">
        <f>Assumptions!$I$9</f>
        <v>4.4999999999999998E-2</v>
      </c>
      <c r="D31" s="1234" t="s">
        <v>107</v>
      </c>
      <c r="E31" s="1235"/>
      <c r="F31" s="316">
        <f>E18</f>
        <v>33067365.156762391</v>
      </c>
      <c r="G31" s="123" t="s">
        <v>102</v>
      </c>
      <c r="H31" s="322" t="s">
        <v>202</v>
      </c>
      <c r="I31" s="507">
        <f>I29/(I27-I28)-1</f>
        <v>0.46464320710400231</v>
      </c>
      <c r="J31" s="326" t="s">
        <v>202</v>
      </c>
    </row>
    <row r="32" spans="2:11" ht="21" customHeight="1" thickBot="1">
      <c r="B32" s="288" t="s">
        <v>385</v>
      </c>
      <c r="C32" s="885">
        <f>Assumptions!$I$8</f>
        <v>0.05</v>
      </c>
      <c r="D32" s="1236" t="s">
        <v>108</v>
      </c>
      <c r="E32" s="1237"/>
      <c r="F32" s="318">
        <f>F29-F30-F31</f>
        <v>34143392.437593818</v>
      </c>
      <c r="G32" s="757">
        <v>0.3</v>
      </c>
      <c r="H32" s="758" t="s">
        <v>202</v>
      </c>
      <c r="I32" s="759">
        <f>I29/(1+G32)</f>
        <v>82789558.553298473</v>
      </c>
      <c r="J32" s="760">
        <f>I32/($C$8+$C$13)</f>
        <v>745851.87885854475</v>
      </c>
    </row>
    <row r="33" spans="2:10" ht="15.95" customHeight="1">
      <c r="G33" s="761"/>
      <c r="H33" s="762"/>
      <c r="I33" s="763"/>
      <c r="J33" s="763"/>
    </row>
    <row r="34" spans="2:10" ht="15" customHeight="1">
      <c r="D34" s="136"/>
      <c r="E34" s="136"/>
      <c r="F34" s="136"/>
      <c r="G34" s="179"/>
      <c r="H34" s="180"/>
      <c r="I34" s="181"/>
      <c r="J34" s="180"/>
    </row>
    <row r="35" spans="2:10" ht="15" customHeight="1">
      <c r="D35" s="124"/>
      <c r="G35" s="182"/>
      <c r="H35" s="1232"/>
      <c r="I35" s="1232"/>
      <c r="J35" s="180"/>
    </row>
    <row r="36" spans="2:10" ht="15" customHeight="1">
      <c r="D36" s="124"/>
      <c r="G36" s="183"/>
      <c r="H36" s="1233"/>
      <c r="I36" s="1233"/>
      <c r="J36" s="184"/>
    </row>
    <row r="37" spans="2:10" ht="12.75">
      <c r="D37" s="124"/>
    </row>
    <row r="38" spans="2:10" ht="12.75">
      <c r="D38" s="171"/>
    </row>
    <row r="39" spans="2:10" s="136" customFormat="1" ht="12.75">
      <c r="B39" s="48"/>
      <c r="C39" s="48"/>
      <c r="D39" s="171"/>
      <c r="E39" s="48"/>
      <c r="F39" s="48"/>
    </row>
    <row r="40" spans="2:10" ht="12.75">
      <c r="B40" s="136"/>
      <c r="C40" s="136"/>
    </row>
    <row r="41" spans="2:10" ht="12.95" customHeight="1">
      <c r="B41" s="124"/>
      <c r="C41" s="124"/>
    </row>
    <row r="42" spans="2:10" ht="12.75">
      <c r="B42" s="124"/>
      <c r="C42" s="124"/>
    </row>
    <row r="43" spans="2:10" s="136" customFormat="1" ht="12.75">
      <c r="B43" s="119"/>
      <c r="C43" s="119"/>
      <c r="D43" s="48"/>
      <c r="E43" s="48"/>
      <c r="F43" s="48"/>
    </row>
    <row r="44" spans="2:10" s="124" customFormat="1" ht="12.75">
      <c r="D44" s="48"/>
      <c r="E44" s="48"/>
      <c r="F44" s="48"/>
    </row>
    <row r="45" spans="2:10" s="124" customFormat="1" ht="12.75">
      <c r="D45" s="48"/>
      <c r="E45" s="48"/>
      <c r="F45" s="48"/>
    </row>
    <row r="46" spans="2:10" s="119" customFormat="1" ht="12.75">
      <c r="D46" s="48"/>
      <c r="E46" s="48"/>
      <c r="F46" s="48"/>
    </row>
    <row r="47" spans="2:10" s="124" customFormat="1" ht="12.75">
      <c r="D47" s="48"/>
      <c r="E47" s="48"/>
      <c r="F47" s="48"/>
    </row>
    <row r="48" spans="2:10" s="124" customFormat="1" ht="12.75">
      <c r="D48" s="48"/>
      <c r="E48" s="48"/>
      <c r="F48" s="48"/>
    </row>
    <row r="49" spans="2:10" s="119" customFormat="1" ht="12.75">
      <c r="B49" s="124"/>
      <c r="C49" s="124"/>
      <c r="D49" s="48"/>
      <c r="E49" s="48"/>
      <c r="F49" s="48"/>
    </row>
    <row r="50" spans="2:10" s="124" customFormat="1" ht="12.75">
      <c r="B50" s="48"/>
      <c r="C50" s="171"/>
      <c r="D50" s="48"/>
      <c r="E50" s="48"/>
      <c r="F50" s="48"/>
    </row>
    <row r="51" spans="2:10" s="124" customFormat="1" ht="12.75">
      <c r="B51" s="48"/>
      <c r="C51" s="171"/>
      <c r="D51" s="48"/>
      <c r="E51" s="48"/>
      <c r="F51" s="48"/>
    </row>
    <row r="52" spans="2:10" s="124" customFormat="1" ht="12.75">
      <c r="B52" s="48"/>
      <c r="C52" s="48"/>
      <c r="D52" s="48"/>
      <c r="E52" s="48"/>
      <c r="F52" s="48"/>
    </row>
    <row r="53" spans="2:10" ht="12.75">
      <c r="G53" s="171"/>
      <c r="H53" s="171"/>
      <c r="I53" s="171"/>
      <c r="J53" s="171"/>
    </row>
    <row r="54" spans="2:10" ht="12.75">
      <c r="G54" s="171"/>
      <c r="H54" s="171"/>
      <c r="I54" s="171"/>
      <c r="J54" s="171"/>
    </row>
    <row r="55" spans="2:10" ht="12.75"/>
    <row r="56" spans="2:10" ht="15" customHeight="1"/>
    <row r="57" spans="2:10" ht="12.75"/>
    <row r="58" spans="2:10" ht="12.75">
      <c r="C58" s="899" t="e">
        <f>IRR(G58:I58)</f>
        <v>#NUM!</v>
      </c>
      <c r="G58" s="171"/>
    </row>
    <row r="59" spans="2:10" ht="12.75">
      <c r="G59" s="171"/>
    </row>
    <row r="60" spans="2:10" ht="12.75"/>
    <row r="61" spans="2:10" ht="12.75"/>
    <row r="62" spans="2:10" ht="12.75">
      <c r="C62" s="899" t="e">
        <f>IRR(G62:I62)</f>
        <v>#NUM!</v>
      </c>
      <c r="G62" s="171"/>
    </row>
    <row r="63" spans="2:10" ht="15" customHeight="1"/>
    <row r="64" spans="2:10" ht="15" customHeight="1"/>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sheetData>
  <mergeCells count="32">
    <mergeCell ref="H2:H3"/>
    <mergeCell ref="I2:I3"/>
    <mergeCell ref="J2:J3"/>
    <mergeCell ref="B8:B9"/>
    <mergeCell ref="C8:C9"/>
    <mergeCell ref="D8:D9"/>
    <mergeCell ref="E8:E9"/>
    <mergeCell ref="F8:F9"/>
    <mergeCell ref="F13:F14"/>
    <mergeCell ref="B15:C15"/>
    <mergeCell ref="D15:F15"/>
    <mergeCell ref="B2:F2"/>
    <mergeCell ref="G2:G3"/>
    <mergeCell ref="B26:C26"/>
    <mergeCell ref="D26:E26"/>
    <mergeCell ref="B13:B14"/>
    <mergeCell ref="C13:C14"/>
    <mergeCell ref="D13:D14"/>
    <mergeCell ref="E13:E14"/>
    <mergeCell ref="D22:D23"/>
    <mergeCell ref="E22:E23"/>
    <mergeCell ref="F22:F23"/>
    <mergeCell ref="D24:E24"/>
    <mergeCell ref="D25:E25"/>
    <mergeCell ref="H35:I35"/>
    <mergeCell ref="H36:I36"/>
    <mergeCell ref="D27:E27"/>
    <mergeCell ref="D28:E28"/>
    <mergeCell ref="D29:E29"/>
    <mergeCell ref="D30:E30"/>
    <mergeCell ref="D31:E31"/>
    <mergeCell ref="D32:E32"/>
  </mergeCells>
  <printOptions horizontalCentered="1" verticalCentered="1"/>
  <pageMargins left="0.7" right="0.7" top="0.75" bottom="0.75" header="0.3" footer="0.3"/>
  <pageSetup scale="91" fitToHeight="0" orientation="landscape" horizontalDpi="4294967292" verticalDpi="4294967292" r:id="rId1"/>
  <headerFooter>
    <oddHeader>&amp;C&amp;"Times New Roman Bold,Bold"&amp;14&amp;K000000INVESTOR SHEET</oddHeader>
    <oddFooter>&amp;CPage &amp;P of &amp;N</oddFooter>
  </headerFooter>
  <ignoredErrors>
    <ignoredError sqref="E13 E8"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A89B0-6730-E544-B6C0-FFB1ADD9E977}">
  <sheetPr>
    <tabColor rgb="FF92D050"/>
  </sheetPr>
  <dimension ref="A1:BR69"/>
  <sheetViews>
    <sheetView topLeftCell="A23" zoomScale="66" zoomScaleNormal="110" zoomScalePageLayoutView="125" workbookViewId="0">
      <selection activeCell="C28" sqref="C28"/>
    </sheetView>
  </sheetViews>
  <sheetFormatPr defaultColWidth="8.85546875" defaultRowHeight="15" outlineLevelRow="1"/>
  <cols>
    <col min="1" max="1" width="4" style="47" customWidth="1"/>
    <col min="2" max="2" width="48.42578125" style="48" bestFit="1" customWidth="1"/>
    <col min="3" max="3" width="20.85546875" style="48" customWidth="1"/>
    <col min="4" max="15" width="15.140625" style="48" customWidth="1"/>
    <col min="16" max="35" width="14.42578125" style="48" hidden="1" customWidth="1"/>
    <col min="36" max="36" width="12.42578125" style="48" hidden="1" customWidth="1"/>
    <col min="37" max="37" width="17" style="48" hidden="1" customWidth="1"/>
    <col min="38" max="38" width="16.42578125" style="48" hidden="1" customWidth="1"/>
    <col min="39" max="39" width="13.42578125" style="48" hidden="1" customWidth="1"/>
    <col min="40" max="40" width="15" style="48" hidden="1" customWidth="1"/>
    <col min="41" max="63" width="17" style="48" customWidth="1"/>
    <col min="64" max="64" width="16.42578125" style="48" customWidth="1"/>
    <col min="65" max="65" width="15" style="89" customWidth="1"/>
    <col min="66" max="66" width="17.85546875" style="89" bestFit="1" customWidth="1"/>
    <col min="67" max="67" width="9.42578125" style="48" bestFit="1" customWidth="1"/>
    <col min="68" max="68" width="11.85546875" style="48" bestFit="1" customWidth="1"/>
    <col min="69" max="70" width="9.42578125" style="48" bestFit="1" customWidth="1"/>
    <col min="71" max="16384" width="8.85546875" style="48"/>
  </cols>
  <sheetData>
    <row r="1" spans="1:70" s="47" customFormat="1" ht="15.75" thickBot="1">
      <c r="BM1" s="125"/>
      <c r="BN1" s="125"/>
    </row>
    <row r="2" spans="1:70" s="89" customFormat="1" ht="15.75" thickBot="1">
      <c r="A2" s="125"/>
      <c r="B2" s="1257" t="s">
        <v>523</v>
      </c>
      <c r="C2" s="495" t="s">
        <v>330</v>
      </c>
      <c r="D2" s="478">
        <v>0</v>
      </c>
      <c r="E2" s="479">
        <f t="shared" ref="E2:O2" si="0">D2+1</f>
        <v>1</v>
      </c>
      <c r="F2" s="901">
        <f>E2+1</f>
        <v>2</v>
      </c>
      <c r="G2" s="117">
        <f t="shared" si="0"/>
        <v>3</v>
      </c>
      <c r="H2" s="215">
        <f t="shared" si="0"/>
        <v>4</v>
      </c>
      <c r="I2" s="128">
        <f t="shared" si="0"/>
        <v>5</v>
      </c>
      <c r="J2" s="129">
        <f>I2+1</f>
        <v>6</v>
      </c>
      <c r="K2" s="129">
        <f>J2+1</f>
        <v>7</v>
      </c>
      <c r="L2" s="129">
        <f t="shared" si="0"/>
        <v>8</v>
      </c>
      <c r="M2" s="129">
        <f t="shared" si="0"/>
        <v>9</v>
      </c>
      <c r="N2" s="129">
        <f t="shared" si="0"/>
        <v>10</v>
      </c>
      <c r="O2" s="246">
        <f t="shared" si="0"/>
        <v>11</v>
      </c>
      <c r="P2" s="88"/>
      <c r="Q2" s="88"/>
      <c r="R2" s="88"/>
      <c r="S2" s="88"/>
      <c r="T2" s="88"/>
      <c r="U2" s="88"/>
      <c r="V2" s="88"/>
      <c r="W2" s="88"/>
      <c r="X2" s="88"/>
      <c r="Y2" s="88"/>
      <c r="Z2" s="88"/>
      <c r="AA2" s="88"/>
      <c r="AB2" s="88"/>
      <c r="AC2" s="88"/>
      <c r="AD2" s="88"/>
      <c r="AE2" s="88"/>
      <c r="AF2" s="88"/>
      <c r="AG2" s="88"/>
      <c r="AH2" s="88"/>
      <c r="AI2" s="88"/>
      <c r="AJ2" s="88"/>
      <c r="AK2" s="88"/>
      <c r="AL2" s="88"/>
      <c r="AM2" s="88"/>
      <c r="AN2" s="88"/>
      <c r="AO2" s="48"/>
      <c r="AP2" s="48"/>
      <c r="AQ2" s="48"/>
      <c r="AR2" s="48"/>
      <c r="AS2" s="48"/>
      <c r="AT2" s="48"/>
      <c r="AU2" s="48"/>
      <c r="AV2" s="48"/>
      <c r="AW2" s="48"/>
      <c r="AX2" s="48"/>
      <c r="AY2" s="48"/>
      <c r="AZ2" s="48"/>
      <c r="BA2" s="48"/>
      <c r="BB2" s="48"/>
      <c r="BC2" s="48"/>
      <c r="BD2" s="48"/>
      <c r="BE2" s="48"/>
      <c r="BF2" s="48"/>
      <c r="BG2" s="48"/>
      <c r="BH2" s="48"/>
      <c r="BI2" s="48"/>
      <c r="BJ2" s="48"/>
      <c r="BK2" s="48"/>
      <c r="BL2" s="48"/>
      <c r="BO2" s="48"/>
      <c r="BP2" s="48"/>
      <c r="BQ2" s="48"/>
      <c r="BR2" s="48"/>
    </row>
    <row r="3" spans="1:70" s="89" customFormat="1" ht="41.45" customHeight="1" thickBot="1">
      <c r="A3" s="125"/>
      <c r="B3" s="1203"/>
      <c r="C3" s="496" t="s">
        <v>103</v>
      </c>
      <c r="D3" s="480">
        <v>45413</v>
      </c>
      <c r="E3" s="481">
        <f>EDATE(D3,12)</f>
        <v>45778</v>
      </c>
      <c r="F3" s="902">
        <f>EDATE(E3,12)</f>
        <v>46143</v>
      </c>
      <c r="G3" s="276">
        <f>EDATE(F3,12)</f>
        <v>46508</v>
      </c>
      <c r="H3" s="278">
        <f t="shared" ref="H3:O3" si="1">EDATE(G3,12)</f>
        <v>46874</v>
      </c>
      <c r="I3" s="210">
        <f t="shared" si="1"/>
        <v>47239</v>
      </c>
      <c r="J3" s="211">
        <f>EDATE(H3,12)</f>
        <v>47239</v>
      </c>
      <c r="K3" s="211">
        <f>EDATE(I3,12)</f>
        <v>47604</v>
      </c>
      <c r="L3" s="211">
        <f t="shared" si="1"/>
        <v>47969</v>
      </c>
      <c r="M3" s="211">
        <f t="shared" si="1"/>
        <v>48335</v>
      </c>
      <c r="N3" s="211">
        <f t="shared" si="1"/>
        <v>48700</v>
      </c>
      <c r="O3" s="212">
        <f t="shared" si="1"/>
        <v>49065</v>
      </c>
      <c r="P3" s="111"/>
      <c r="Q3" s="100"/>
      <c r="R3" s="100"/>
      <c r="S3" s="100"/>
      <c r="T3" s="100"/>
      <c r="U3" s="100"/>
      <c r="V3" s="100"/>
      <c r="W3" s="100"/>
      <c r="X3" s="100"/>
      <c r="Y3" s="100"/>
      <c r="Z3" s="100"/>
      <c r="AA3" s="100"/>
      <c r="AB3" s="100"/>
      <c r="AC3" s="100"/>
      <c r="AD3" s="100"/>
      <c r="AE3" s="100"/>
      <c r="AF3" s="100"/>
      <c r="AG3" s="100"/>
      <c r="AH3" s="100"/>
      <c r="AI3" s="100"/>
      <c r="AJ3" s="99"/>
      <c r="AK3" s="99"/>
      <c r="AL3" s="99"/>
      <c r="AM3" s="99"/>
      <c r="AN3" s="99"/>
      <c r="AO3" s="48"/>
      <c r="AP3" s="48"/>
      <c r="AQ3" s="48"/>
      <c r="AR3" s="48"/>
      <c r="AS3" s="48"/>
      <c r="AT3" s="48"/>
      <c r="AU3" s="48"/>
      <c r="AV3" s="48"/>
      <c r="AW3" s="48"/>
      <c r="AX3" s="48"/>
      <c r="AY3" s="48"/>
      <c r="AZ3" s="48"/>
      <c r="BA3" s="48"/>
      <c r="BB3" s="48"/>
      <c r="BC3" s="48"/>
      <c r="BD3" s="48"/>
      <c r="BE3" s="48"/>
      <c r="BF3" s="48"/>
      <c r="BG3" s="48"/>
      <c r="BH3" s="48"/>
      <c r="BI3" s="48"/>
      <c r="BJ3" s="48"/>
      <c r="BK3" s="48"/>
      <c r="BL3" s="48"/>
      <c r="BO3" s="48"/>
      <c r="BP3" s="48"/>
      <c r="BQ3" s="48"/>
      <c r="BR3" s="48"/>
    </row>
    <row r="4" spans="1:70" s="89" customFormat="1" ht="63.95" hidden="1" customHeight="1" thickBot="1">
      <c r="A4" s="125"/>
      <c r="B4" s="1203"/>
      <c r="C4" s="547" t="s">
        <v>45</v>
      </c>
      <c r="D4" s="537" t="e">
        <f>EOMONTH(#REF!,3)</f>
        <v>#REF!</v>
      </c>
      <c r="E4" s="538" t="e">
        <f t="shared" ref="E4:AD4" si="2">EOMONTH(D4,3)</f>
        <v>#REF!</v>
      </c>
      <c r="F4" s="903" t="e">
        <f>EOMONTH(#REF!,3)</f>
        <v>#REF!</v>
      </c>
      <c r="G4" s="539" t="e">
        <f t="shared" si="2"/>
        <v>#REF!</v>
      </c>
      <c r="H4" s="540" t="e">
        <f t="shared" si="2"/>
        <v>#REF!</v>
      </c>
      <c r="I4" s="537" t="e">
        <f>EOMONTH(#REF!,3)</f>
        <v>#REF!</v>
      </c>
      <c r="J4" s="538" t="e">
        <f t="shared" ref="J4:K4" si="3">EOMONTH(H4,3)</f>
        <v>#REF!</v>
      </c>
      <c r="K4" s="538" t="e">
        <f t="shared" si="3"/>
        <v>#REF!</v>
      </c>
      <c r="L4" s="538" t="e">
        <f>EOMONTH(I4,3)</f>
        <v>#REF!</v>
      </c>
      <c r="M4" s="538" t="e">
        <f>EOMONTH(K4,3)</f>
        <v>#REF!</v>
      </c>
      <c r="N4" s="538" t="e">
        <f t="shared" ref="N4" si="4">EOMONTH(M4,3)</f>
        <v>#REF!</v>
      </c>
      <c r="O4" s="541" t="e">
        <f>EOMONTH(#REF!,3)</f>
        <v>#REF!</v>
      </c>
      <c r="P4" s="90" t="e">
        <f>EOMONTH(#REF!,3)</f>
        <v>#REF!</v>
      </c>
      <c r="Q4" s="91" t="e">
        <f t="shared" si="2"/>
        <v>#REF!</v>
      </c>
      <c r="R4" s="91" t="e">
        <f t="shared" si="2"/>
        <v>#REF!</v>
      </c>
      <c r="S4" s="91" t="e">
        <f t="shared" si="2"/>
        <v>#REF!</v>
      </c>
      <c r="T4" s="91" t="e">
        <f t="shared" si="2"/>
        <v>#REF!</v>
      </c>
      <c r="U4" s="91" t="e">
        <f t="shared" si="2"/>
        <v>#REF!</v>
      </c>
      <c r="V4" s="91" t="e">
        <f t="shared" si="2"/>
        <v>#REF!</v>
      </c>
      <c r="W4" s="91" t="e">
        <f t="shared" si="2"/>
        <v>#REF!</v>
      </c>
      <c r="X4" s="91" t="e">
        <f t="shared" si="2"/>
        <v>#REF!</v>
      </c>
      <c r="Y4" s="91" t="e">
        <f t="shared" si="2"/>
        <v>#REF!</v>
      </c>
      <c r="Z4" s="91" t="e">
        <f t="shared" si="2"/>
        <v>#REF!</v>
      </c>
      <c r="AA4" s="91" t="e">
        <f t="shared" si="2"/>
        <v>#REF!</v>
      </c>
      <c r="AB4" s="91" t="e">
        <f t="shared" si="2"/>
        <v>#REF!</v>
      </c>
      <c r="AC4" s="91" t="e">
        <f t="shared" si="2"/>
        <v>#REF!</v>
      </c>
      <c r="AD4" s="91" t="e">
        <f t="shared" si="2"/>
        <v>#REF!</v>
      </c>
      <c r="AE4" s="91" t="e">
        <f>EOMONTH(AD4,3)</f>
        <v>#REF!</v>
      </c>
      <c r="AF4" s="91" t="e">
        <f t="shared" ref="AF4:AN4" si="5">EOMONTH(AE4,3)</f>
        <v>#REF!</v>
      </c>
      <c r="AG4" s="91" t="e">
        <f t="shared" si="5"/>
        <v>#REF!</v>
      </c>
      <c r="AH4" s="91" t="e">
        <f t="shared" si="5"/>
        <v>#REF!</v>
      </c>
      <c r="AI4" s="91" t="e">
        <f t="shared" si="5"/>
        <v>#REF!</v>
      </c>
      <c r="AJ4" s="91" t="e">
        <f t="shared" si="5"/>
        <v>#REF!</v>
      </c>
      <c r="AK4" s="91" t="e">
        <f t="shared" si="5"/>
        <v>#REF!</v>
      </c>
      <c r="AL4" s="91" t="e">
        <f>EOMONTH(AK4,3)</f>
        <v>#REF!</v>
      </c>
      <c r="AM4" s="91" t="e">
        <f t="shared" si="5"/>
        <v>#REF!</v>
      </c>
      <c r="AN4" s="91" t="e">
        <f t="shared" si="5"/>
        <v>#REF!</v>
      </c>
      <c r="BO4" s="48"/>
      <c r="BP4" s="48"/>
      <c r="BQ4" s="48"/>
      <c r="BR4" s="48"/>
    </row>
    <row r="5" spans="1:70" s="89" customFormat="1" ht="15.75" thickBot="1">
      <c r="A5" s="125"/>
      <c r="B5" s="441" t="s">
        <v>110</v>
      </c>
      <c r="C5" s="522">
        <v>1</v>
      </c>
      <c r="D5" s="542" t="s">
        <v>202</v>
      </c>
      <c r="E5" s="543" t="s">
        <v>202</v>
      </c>
      <c r="F5" s="904" t="s">
        <v>202</v>
      </c>
      <c r="G5" s="544">
        <f>G30/C30</f>
        <v>0.39367615503425435</v>
      </c>
      <c r="H5" s="545">
        <f>H30/C30</f>
        <v>0.60632384496574576</v>
      </c>
      <c r="I5" s="542" t="s">
        <v>202</v>
      </c>
      <c r="J5" s="543" t="s">
        <v>202</v>
      </c>
      <c r="K5" s="543" t="s">
        <v>202</v>
      </c>
      <c r="L5" s="543" t="s">
        <v>202</v>
      </c>
      <c r="M5" s="543" t="s">
        <v>202</v>
      </c>
      <c r="N5" s="543" t="s">
        <v>202</v>
      </c>
      <c r="O5" s="546" t="s">
        <v>202</v>
      </c>
      <c r="P5" s="93"/>
      <c r="Q5" s="94"/>
      <c r="R5" s="94"/>
      <c r="S5" s="94"/>
      <c r="T5" s="94"/>
      <c r="U5" s="94"/>
      <c r="V5" s="94"/>
      <c r="W5" s="94"/>
      <c r="X5" s="94"/>
      <c r="Y5" s="94"/>
      <c r="Z5" s="94"/>
      <c r="AA5" s="94"/>
      <c r="AB5" s="94"/>
      <c r="AC5" s="94"/>
      <c r="AD5" s="94"/>
      <c r="AE5" s="94"/>
      <c r="AF5" s="94"/>
      <c r="AG5" s="94"/>
      <c r="AH5" s="94"/>
      <c r="AI5" s="94"/>
      <c r="AJ5" s="94"/>
      <c r="AK5" s="94"/>
      <c r="AL5" s="94"/>
      <c r="AM5" s="94"/>
      <c r="AN5" s="94"/>
      <c r="BO5" s="48"/>
      <c r="BP5" s="48"/>
      <c r="BQ5" s="48"/>
      <c r="BR5" s="48"/>
    </row>
    <row r="6" spans="1:70" s="89" customFormat="1">
      <c r="A6" s="125"/>
      <c r="B6" s="199" t="str">
        <f>'Site 7 - Financial'!G4</f>
        <v>Residential Condominium Hard Costs for Construction</v>
      </c>
      <c r="C6" s="548">
        <f>'Site 7 - Financial'!I4</f>
        <v>19792500</v>
      </c>
      <c r="D6" s="252" t="s">
        <v>202</v>
      </c>
      <c r="E6" s="377" t="s">
        <v>202</v>
      </c>
      <c r="F6" s="905" t="s">
        <v>202</v>
      </c>
      <c r="G6" s="483">
        <v>0</v>
      </c>
      <c r="H6" s="518">
        <f>C6</f>
        <v>19792500</v>
      </c>
      <c r="I6" s="520" t="s">
        <v>202</v>
      </c>
      <c r="J6" s="512" t="s">
        <v>202</v>
      </c>
      <c r="K6" s="512" t="s">
        <v>202</v>
      </c>
      <c r="L6" s="512" t="s">
        <v>202</v>
      </c>
      <c r="M6" s="512" t="s">
        <v>202</v>
      </c>
      <c r="N6" s="512" t="s">
        <v>202</v>
      </c>
      <c r="O6" s="514" t="s">
        <v>202</v>
      </c>
      <c r="P6" s="103"/>
      <c r="Q6" s="96"/>
      <c r="R6" s="96"/>
      <c r="S6" s="96"/>
      <c r="T6" s="96"/>
      <c r="U6" s="96"/>
      <c r="V6" s="96"/>
      <c r="W6" s="96"/>
      <c r="X6" s="96"/>
      <c r="Y6" s="96"/>
      <c r="Z6" s="96"/>
      <c r="AA6" s="96"/>
      <c r="AB6" s="96"/>
      <c r="AC6" s="96"/>
      <c r="AD6" s="96"/>
      <c r="AE6" s="96"/>
      <c r="AF6" s="96"/>
      <c r="AG6" s="96"/>
      <c r="AH6" s="96"/>
      <c r="AI6" s="96"/>
      <c r="AJ6" s="96"/>
      <c r="AK6" s="96"/>
      <c r="AL6" s="96"/>
      <c r="AM6" s="96"/>
      <c r="AN6" s="96"/>
      <c r="AO6" s="868"/>
      <c r="BO6" s="48"/>
      <c r="BP6" s="48"/>
      <c r="BQ6" s="48"/>
      <c r="BR6" s="48"/>
    </row>
    <row r="7" spans="1:70" s="89" customFormat="1">
      <c r="A7" s="125"/>
      <c r="B7" s="258" t="str">
        <f>'Site 7 - Financial'!G5</f>
        <v>Office Shell &amp; Core Hard Costs for Construction</v>
      </c>
      <c r="C7" s="499">
        <f>'Site 7 - Financial'!I5</f>
        <v>0</v>
      </c>
      <c r="D7" s="252" t="s">
        <v>202</v>
      </c>
      <c r="E7" s="377" t="s">
        <v>202</v>
      </c>
      <c r="F7" s="905" t="s">
        <v>202</v>
      </c>
      <c r="G7" s="483">
        <v>0</v>
      </c>
      <c r="H7" s="518">
        <f t="shared" ref="H7:H10" si="6">C7</f>
        <v>0</v>
      </c>
      <c r="I7" s="252" t="s">
        <v>202</v>
      </c>
      <c r="J7" s="253" t="s">
        <v>202</v>
      </c>
      <c r="K7" s="253" t="s">
        <v>202</v>
      </c>
      <c r="L7" s="253" t="s">
        <v>202</v>
      </c>
      <c r="M7" s="253" t="s">
        <v>202</v>
      </c>
      <c r="N7" s="253" t="s">
        <v>202</v>
      </c>
      <c r="O7" s="254" t="s">
        <v>202</v>
      </c>
      <c r="P7" s="103"/>
      <c r="Q7" s="96"/>
      <c r="R7" s="96"/>
      <c r="S7" s="96"/>
      <c r="T7" s="96"/>
      <c r="U7" s="96"/>
      <c r="V7" s="96"/>
      <c r="W7" s="96"/>
      <c r="X7" s="96"/>
      <c r="Y7" s="96"/>
      <c r="Z7" s="96"/>
      <c r="AA7" s="96"/>
      <c r="AB7" s="96"/>
      <c r="AC7" s="96"/>
      <c r="AD7" s="96"/>
      <c r="AE7" s="96"/>
      <c r="AF7" s="96"/>
      <c r="AG7" s="96"/>
      <c r="AH7" s="96"/>
      <c r="AI7" s="96"/>
      <c r="AJ7" s="96"/>
      <c r="AK7" s="96"/>
      <c r="AL7" s="96"/>
      <c r="AM7" s="96"/>
      <c r="AN7" s="96"/>
      <c r="AO7" s="868"/>
      <c r="BO7" s="48"/>
      <c r="BP7" s="48"/>
      <c r="BQ7" s="48"/>
      <c r="BR7" s="48"/>
    </row>
    <row r="8" spans="1:70" s="89" customFormat="1">
      <c r="A8" s="125"/>
      <c r="B8" s="258" t="str">
        <f>'Site 7 - Financial'!G6</f>
        <v>Retail Hard Costs for Construction (50%)</v>
      </c>
      <c r="C8" s="499">
        <f>'Site 7 - Financial'!I6</f>
        <v>7435175</v>
      </c>
      <c r="D8" s="252" t="s">
        <v>202</v>
      </c>
      <c r="E8" s="377" t="s">
        <v>202</v>
      </c>
      <c r="F8" s="905" t="s">
        <v>202</v>
      </c>
      <c r="G8" s="483">
        <v>0</v>
      </c>
      <c r="H8" s="518">
        <f t="shared" si="6"/>
        <v>7435175</v>
      </c>
      <c r="I8" s="252" t="s">
        <v>202</v>
      </c>
      <c r="J8" s="253" t="s">
        <v>202</v>
      </c>
      <c r="K8" s="253" t="s">
        <v>202</v>
      </c>
      <c r="L8" s="253" t="s">
        <v>202</v>
      </c>
      <c r="M8" s="253" t="s">
        <v>202</v>
      </c>
      <c r="N8" s="253" t="s">
        <v>202</v>
      </c>
      <c r="O8" s="254" t="s">
        <v>202</v>
      </c>
      <c r="P8" s="103"/>
      <c r="Q8" s="96"/>
      <c r="R8" s="96"/>
      <c r="S8" s="96"/>
      <c r="T8" s="96"/>
      <c r="U8" s="96"/>
      <c r="V8" s="96"/>
      <c r="W8" s="96"/>
      <c r="X8" s="96"/>
      <c r="Y8" s="96"/>
      <c r="Z8" s="96"/>
      <c r="AA8" s="96"/>
      <c r="AB8" s="96"/>
      <c r="AC8" s="96"/>
      <c r="AD8" s="96"/>
      <c r="AE8" s="96"/>
      <c r="AF8" s="96"/>
      <c r="AG8" s="96"/>
      <c r="AH8" s="96"/>
      <c r="AI8" s="96"/>
      <c r="AJ8" s="96"/>
      <c r="AK8" s="96"/>
      <c r="AL8" s="96"/>
      <c r="AM8" s="96"/>
      <c r="AN8" s="96"/>
      <c r="AO8" s="868"/>
      <c r="BO8" s="48"/>
      <c r="BP8" s="48"/>
      <c r="BQ8" s="48"/>
      <c r="BR8" s="48"/>
    </row>
    <row r="9" spans="1:70" s="89" customFormat="1">
      <c r="A9" s="125"/>
      <c r="B9" s="258" t="str">
        <f>'Site 7 - Financial'!G7</f>
        <v>Parking Stalls</v>
      </c>
      <c r="C9" s="499">
        <f>'Site 7 - Financial'!I7</f>
        <v>0</v>
      </c>
      <c r="D9" s="252" t="s">
        <v>202</v>
      </c>
      <c r="E9" s="377" t="s">
        <v>202</v>
      </c>
      <c r="F9" s="905" t="s">
        <v>202</v>
      </c>
      <c r="G9" s="483">
        <v>0</v>
      </c>
      <c r="H9" s="518">
        <f t="shared" si="6"/>
        <v>0</v>
      </c>
      <c r="I9" s="252" t="s">
        <v>202</v>
      </c>
      <c r="J9" s="253" t="s">
        <v>202</v>
      </c>
      <c r="K9" s="253" t="s">
        <v>202</v>
      </c>
      <c r="L9" s="253" t="s">
        <v>202</v>
      </c>
      <c r="M9" s="253" t="s">
        <v>202</v>
      </c>
      <c r="N9" s="253" t="s">
        <v>202</v>
      </c>
      <c r="O9" s="254" t="s">
        <v>202</v>
      </c>
      <c r="P9" s="103"/>
      <c r="Q9" s="96"/>
      <c r="R9" s="96"/>
      <c r="S9" s="96"/>
      <c r="T9" s="96"/>
      <c r="U9" s="96"/>
      <c r="V9" s="96"/>
      <c r="W9" s="96"/>
      <c r="X9" s="96"/>
      <c r="Y9" s="96"/>
      <c r="Z9" s="96"/>
      <c r="AA9" s="96"/>
      <c r="AB9" s="96"/>
      <c r="AC9" s="96"/>
      <c r="AD9" s="96"/>
      <c r="AE9" s="96"/>
      <c r="AF9" s="96"/>
      <c r="AG9" s="96"/>
      <c r="AH9" s="96"/>
      <c r="AI9" s="96"/>
      <c r="AJ9" s="96"/>
      <c r="AK9" s="96"/>
      <c r="AL9" s="96"/>
      <c r="AM9" s="96"/>
      <c r="AN9" s="96"/>
      <c r="AO9" s="868"/>
      <c r="BO9" s="48"/>
      <c r="BP9" s="48"/>
      <c r="BQ9" s="48"/>
      <c r="BR9" s="48"/>
    </row>
    <row r="10" spans="1:70" s="89" customFormat="1">
      <c r="A10" s="125"/>
      <c r="B10" s="258" t="str">
        <f>'Site 7 - Financial'!G8</f>
        <v>Hard Cost Contingency</v>
      </c>
      <c r="C10" s="499">
        <f>'Site 7 - Financial'!I8</f>
        <v>2722767.5</v>
      </c>
      <c r="D10" s="252" t="s">
        <v>202</v>
      </c>
      <c r="E10" s="377" t="s">
        <v>202</v>
      </c>
      <c r="F10" s="905" t="s">
        <v>202</v>
      </c>
      <c r="G10" s="483">
        <v>0</v>
      </c>
      <c r="H10" s="518">
        <f t="shared" si="6"/>
        <v>2722767.5</v>
      </c>
      <c r="I10" s="255" t="s">
        <v>202</v>
      </c>
      <c r="J10" s="256" t="s">
        <v>202</v>
      </c>
      <c r="K10" s="256" t="s">
        <v>202</v>
      </c>
      <c r="L10" s="256" t="s">
        <v>202</v>
      </c>
      <c r="M10" s="256" t="s">
        <v>202</v>
      </c>
      <c r="N10" s="256" t="s">
        <v>202</v>
      </c>
      <c r="O10" s="257" t="s">
        <v>202</v>
      </c>
      <c r="P10" s="106"/>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868"/>
      <c r="BO10" s="48"/>
      <c r="BP10" s="48"/>
      <c r="BQ10" s="48"/>
      <c r="BR10" s="48"/>
    </row>
    <row r="11" spans="1:70" s="89" customFormat="1">
      <c r="A11" s="125"/>
      <c r="B11" s="258" t="str">
        <f>'Site 7 - Financial'!G9</f>
        <v>Demolition</v>
      </c>
      <c r="C11" s="499">
        <f>'Site 7 - Financial'!I9</f>
        <v>0</v>
      </c>
      <c r="D11" s="252" t="s">
        <v>202</v>
      </c>
      <c r="E11" s="377" t="s">
        <v>202</v>
      </c>
      <c r="F11" s="905" t="s">
        <v>202</v>
      </c>
      <c r="G11" s="203">
        <v>0</v>
      </c>
      <c r="H11" s="205">
        <v>0</v>
      </c>
      <c r="I11" s="255" t="s">
        <v>202</v>
      </c>
      <c r="J11" s="256" t="s">
        <v>202</v>
      </c>
      <c r="K11" s="256" t="s">
        <v>202</v>
      </c>
      <c r="L11" s="256" t="s">
        <v>202</v>
      </c>
      <c r="M11" s="256" t="s">
        <v>202</v>
      </c>
      <c r="N11" s="256" t="s">
        <v>202</v>
      </c>
      <c r="O11" s="257" t="s">
        <v>202</v>
      </c>
      <c r="P11" s="106"/>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868"/>
      <c r="BO11" s="48"/>
      <c r="BP11" s="48"/>
      <c r="BQ11" s="48"/>
      <c r="BR11" s="48"/>
    </row>
    <row r="12" spans="1:70" s="89" customFormat="1" ht="18.95" customHeight="1">
      <c r="A12" s="125"/>
      <c r="B12" s="258" t="str">
        <f>'Site 7 - Financial'!G10</f>
        <v>Land</v>
      </c>
      <c r="C12" s="499">
        <f>'Site 7 - Financial'!I10</f>
        <v>16803719.008264463</v>
      </c>
      <c r="D12" s="252" t="s">
        <v>202</v>
      </c>
      <c r="E12" s="377" t="s">
        <v>202</v>
      </c>
      <c r="F12" s="905" t="s">
        <v>202</v>
      </c>
      <c r="G12" s="203">
        <f>C12</f>
        <v>16803719.008264463</v>
      </c>
      <c r="H12" s="205">
        <v>0</v>
      </c>
      <c r="I12" s="255" t="s">
        <v>202</v>
      </c>
      <c r="J12" s="256" t="s">
        <v>202</v>
      </c>
      <c r="K12" s="256" t="s">
        <v>202</v>
      </c>
      <c r="L12" s="256" t="s">
        <v>202</v>
      </c>
      <c r="M12" s="256" t="s">
        <v>202</v>
      </c>
      <c r="N12" s="253" t="s">
        <v>202</v>
      </c>
      <c r="O12" s="257" t="s">
        <v>202</v>
      </c>
      <c r="P12" s="103"/>
      <c r="Q12" s="96"/>
      <c r="R12" s="96"/>
      <c r="S12" s="96"/>
      <c r="T12" s="96"/>
      <c r="U12" s="96"/>
      <c r="V12" s="96"/>
      <c r="W12" s="96"/>
      <c r="X12" s="96"/>
      <c r="Y12" s="96"/>
      <c r="Z12" s="96"/>
      <c r="AA12" s="96"/>
      <c r="AB12" s="96"/>
      <c r="AC12" s="96"/>
      <c r="AD12" s="96"/>
      <c r="AE12" s="96"/>
      <c r="AF12" s="96"/>
      <c r="AG12" s="96"/>
      <c r="AH12" s="96"/>
      <c r="AI12" s="96"/>
      <c r="AJ12" s="105"/>
      <c r="AK12" s="105"/>
      <c r="AL12" s="105"/>
      <c r="AM12" s="105"/>
      <c r="AN12" s="105"/>
      <c r="AO12" s="868"/>
      <c r="BO12" s="48"/>
      <c r="BP12" s="48"/>
      <c r="BQ12" s="48"/>
      <c r="BR12" s="48"/>
    </row>
    <row r="13" spans="1:70" s="89" customFormat="1">
      <c r="A13" s="125"/>
      <c r="B13" s="258" t="str">
        <f>'Site 7 - Financial'!G11</f>
        <v>Municipal Fees and Allowances</v>
      </c>
      <c r="C13" s="499">
        <f>'Site 7 - Financial'!I11</f>
        <v>120000</v>
      </c>
      <c r="D13" s="252" t="s">
        <v>202</v>
      </c>
      <c r="E13" s="377" t="s">
        <v>202</v>
      </c>
      <c r="F13" s="905" t="s">
        <v>202</v>
      </c>
      <c r="G13" s="203">
        <f>C13</f>
        <v>120000</v>
      </c>
      <c r="H13" s="205">
        <v>0</v>
      </c>
      <c r="I13" s="255" t="s">
        <v>202</v>
      </c>
      <c r="J13" s="256" t="s">
        <v>202</v>
      </c>
      <c r="K13" s="256" t="s">
        <v>202</v>
      </c>
      <c r="L13" s="256" t="s">
        <v>202</v>
      </c>
      <c r="M13" s="256" t="s">
        <v>202</v>
      </c>
      <c r="N13" s="256" t="s">
        <v>202</v>
      </c>
      <c r="O13" s="257" t="s">
        <v>202</v>
      </c>
      <c r="P13" s="106"/>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868"/>
      <c r="BO13" s="48"/>
      <c r="BP13" s="48"/>
      <c r="BQ13" s="48"/>
      <c r="BR13" s="48"/>
    </row>
    <row r="14" spans="1:70" s="89" customFormat="1">
      <c r="A14" s="125"/>
      <c r="B14" s="258" t="str">
        <f>'Site 7 - Financial'!G12</f>
        <v>Infrastructure Allocation</v>
      </c>
      <c r="C14" s="499">
        <f>'Site 7 - Financial'!I12</f>
        <v>11249999.999999998</v>
      </c>
      <c r="D14" s="252" t="s">
        <v>202</v>
      </c>
      <c r="E14" s="377" t="s">
        <v>202</v>
      </c>
      <c r="F14" s="905" t="s">
        <v>202</v>
      </c>
      <c r="G14" s="203">
        <f>C14/2</f>
        <v>5624999.9999999991</v>
      </c>
      <c r="H14" s="205">
        <f>G14</f>
        <v>5624999.9999999991</v>
      </c>
      <c r="I14" s="252" t="s">
        <v>202</v>
      </c>
      <c r="J14" s="253" t="s">
        <v>202</v>
      </c>
      <c r="K14" s="253" t="s">
        <v>202</v>
      </c>
      <c r="L14" s="253" t="s">
        <v>202</v>
      </c>
      <c r="M14" s="253" t="s">
        <v>202</v>
      </c>
      <c r="N14" s="253" t="s">
        <v>202</v>
      </c>
      <c r="O14" s="254" t="s">
        <v>202</v>
      </c>
      <c r="P14" s="103"/>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868"/>
      <c r="BO14" s="48"/>
      <c r="BP14" s="48"/>
      <c r="BQ14" s="48"/>
      <c r="BR14" s="48"/>
    </row>
    <row r="15" spans="1:70" s="89" customFormat="1">
      <c r="A15" s="125"/>
      <c r="B15" s="258" t="str">
        <f>'Site 7 - Financial'!G13</f>
        <v>Legal</v>
      </c>
      <c r="C15" s="499">
        <f>'Site 7 - Financial'!I13</f>
        <v>400000</v>
      </c>
      <c r="D15" s="252" t="s">
        <v>202</v>
      </c>
      <c r="E15" s="377" t="s">
        <v>202</v>
      </c>
      <c r="F15" s="905" t="s">
        <v>202</v>
      </c>
      <c r="G15" s="203">
        <f>C15/2</f>
        <v>200000</v>
      </c>
      <c r="H15" s="205">
        <f>G15</f>
        <v>200000</v>
      </c>
      <c r="I15" s="252" t="s">
        <v>202</v>
      </c>
      <c r="J15" s="253" t="s">
        <v>202</v>
      </c>
      <c r="K15" s="253" t="s">
        <v>202</v>
      </c>
      <c r="L15" s="253" t="s">
        <v>202</v>
      </c>
      <c r="M15" s="253" t="s">
        <v>202</v>
      </c>
      <c r="N15" s="253" t="s">
        <v>202</v>
      </c>
      <c r="O15" s="254" t="s">
        <v>202</v>
      </c>
      <c r="P15" s="103"/>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868"/>
      <c r="BO15" s="48"/>
      <c r="BP15" s="48"/>
      <c r="BQ15" s="48"/>
      <c r="BR15" s="48"/>
    </row>
    <row r="16" spans="1:70" s="89" customFormat="1">
      <c r="A16" s="125"/>
      <c r="B16" s="258" t="str">
        <f>'Site 7 - Financial'!G14</f>
        <v>Land Closing Costs/Commissions</v>
      </c>
      <c r="C16" s="499">
        <f>'Site 7 - Financial'!I14</f>
        <v>336074.38016528927</v>
      </c>
      <c r="D16" s="252" t="s">
        <v>202</v>
      </c>
      <c r="E16" s="377" t="s">
        <v>202</v>
      </c>
      <c r="F16" s="905" t="s">
        <v>202</v>
      </c>
      <c r="G16" s="203">
        <f>C16</f>
        <v>336074.38016528927</v>
      </c>
      <c r="H16" s="205">
        <v>0</v>
      </c>
      <c r="I16" s="255" t="s">
        <v>202</v>
      </c>
      <c r="J16" s="256" t="s">
        <v>202</v>
      </c>
      <c r="K16" s="256" t="s">
        <v>202</v>
      </c>
      <c r="L16" s="256" t="s">
        <v>202</v>
      </c>
      <c r="M16" s="256" t="s">
        <v>202</v>
      </c>
      <c r="N16" s="256" t="s">
        <v>202</v>
      </c>
      <c r="O16" s="257" t="s">
        <v>202</v>
      </c>
      <c r="P16" s="106"/>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868"/>
      <c r="BO16" s="48"/>
      <c r="BP16" s="48"/>
      <c r="BQ16" s="48"/>
      <c r="BR16" s="48"/>
    </row>
    <row r="17" spans="1:70" s="89" customFormat="1">
      <c r="A17" s="125"/>
      <c r="B17" s="258" t="str">
        <f>'Site 7 - Financial'!G15</f>
        <v xml:space="preserve">Design </v>
      </c>
      <c r="C17" s="499">
        <f>'Site 7 - Financial'!I15</f>
        <v>1089107</v>
      </c>
      <c r="D17" s="252" t="s">
        <v>202</v>
      </c>
      <c r="E17" s="377" t="s">
        <v>202</v>
      </c>
      <c r="F17" s="905" t="s">
        <v>202</v>
      </c>
      <c r="G17" s="203">
        <f>C17*0.75</f>
        <v>816830.25</v>
      </c>
      <c r="H17" s="205">
        <f>C17*0.25</f>
        <v>272276.75</v>
      </c>
      <c r="I17" s="255" t="s">
        <v>202</v>
      </c>
      <c r="J17" s="256" t="s">
        <v>202</v>
      </c>
      <c r="K17" s="256" t="s">
        <v>202</v>
      </c>
      <c r="L17" s="256" t="s">
        <v>202</v>
      </c>
      <c r="M17" s="256" t="s">
        <v>202</v>
      </c>
      <c r="N17" s="256" t="s">
        <v>202</v>
      </c>
      <c r="O17" s="257" t="s">
        <v>202</v>
      </c>
      <c r="P17" s="106"/>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868"/>
      <c r="BO17" s="48"/>
      <c r="BP17" s="48"/>
      <c r="BQ17" s="48"/>
      <c r="BR17" s="48"/>
    </row>
    <row r="18" spans="1:70" s="89" customFormat="1" ht="18.95" customHeight="1">
      <c r="A18" s="125"/>
      <c r="B18" s="258" t="str">
        <f>'Site 7 - Financial'!G16</f>
        <v>Developer Fee</v>
      </c>
      <c r="C18" s="499">
        <f>'Site 7 - Financial'!I16</f>
        <v>1798480.2866528926</v>
      </c>
      <c r="D18" s="252" t="s">
        <v>202</v>
      </c>
      <c r="E18" s="377" t="s">
        <v>202</v>
      </c>
      <c r="F18" s="905" t="s">
        <v>202</v>
      </c>
      <c r="G18" s="203">
        <f>C18/2</f>
        <v>899240.1433264463</v>
      </c>
      <c r="H18" s="205">
        <f>G18</f>
        <v>899240.1433264463</v>
      </c>
      <c r="I18" s="255" t="s">
        <v>202</v>
      </c>
      <c r="J18" s="256" t="s">
        <v>202</v>
      </c>
      <c r="K18" s="256" t="s">
        <v>202</v>
      </c>
      <c r="L18" s="256" t="s">
        <v>202</v>
      </c>
      <c r="M18" s="256" t="s">
        <v>202</v>
      </c>
      <c r="N18" s="253" t="s">
        <v>202</v>
      </c>
      <c r="O18" s="257" t="s">
        <v>202</v>
      </c>
      <c r="P18" s="103"/>
      <c r="Q18" s="96"/>
      <c r="R18" s="96"/>
      <c r="S18" s="96"/>
      <c r="T18" s="96"/>
      <c r="U18" s="96"/>
      <c r="V18" s="96"/>
      <c r="W18" s="96"/>
      <c r="X18" s="96"/>
      <c r="Y18" s="96"/>
      <c r="Z18" s="96"/>
      <c r="AA18" s="96"/>
      <c r="AB18" s="96"/>
      <c r="AC18" s="96"/>
      <c r="AD18" s="96"/>
      <c r="AE18" s="96"/>
      <c r="AF18" s="96"/>
      <c r="AG18" s="96"/>
      <c r="AH18" s="96"/>
      <c r="AI18" s="96"/>
      <c r="AJ18" s="105"/>
      <c r="AK18" s="105"/>
      <c r="AL18" s="105"/>
      <c r="AM18" s="105"/>
      <c r="AN18" s="105"/>
      <c r="AO18" s="868"/>
      <c r="BO18" s="48"/>
      <c r="BP18" s="48"/>
      <c r="BQ18" s="48"/>
      <c r="BR18" s="48"/>
    </row>
    <row r="19" spans="1:70" s="89" customFormat="1">
      <c r="A19" s="125"/>
      <c r="B19" s="258" t="str">
        <f>'Site 7 - Financial'!G17</f>
        <v>Construction Management Fee</v>
      </c>
      <c r="C19" s="499">
        <f>'Site 7 - Financial'!I17</f>
        <v>544553.5</v>
      </c>
      <c r="D19" s="252" t="s">
        <v>202</v>
      </c>
      <c r="E19" s="377" t="s">
        <v>202</v>
      </c>
      <c r="F19" s="905" t="s">
        <v>202</v>
      </c>
      <c r="G19" s="203">
        <f>C19/2</f>
        <v>272276.75</v>
      </c>
      <c r="H19" s="205">
        <f>G19</f>
        <v>272276.75</v>
      </c>
      <c r="I19" s="255" t="s">
        <v>202</v>
      </c>
      <c r="J19" s="256" t="s">
        <v>202</v>
      </c>
      <c r="K19" s="256" t="s">
        <v>202</v>
      </c>
      <c r="L19" s="256" t="s">
        <v>202</v>
      </c>
      <c r="M19" s="256" t="s">
        <v>202</v>
      </c>
      <c r="N19" s="256" t="s">
        <v>202</v>
      </c>
      <c r="O19" s="257" t="s">
        <v>202</v>
      </c>
      <c r="P19" s="106"/>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868"/>
      <c r="BO19" s="48"/>
      <c r="BP19" s="48"/>
      <c r="BQ19" s="48"/>
      <c r="BR19" s="48"/>
    </row>
    <row r="20" spans="1:70" s="89" customFormat="1">
      <c r="A20" s="125"/>
      <c r="B20" s="258" t="str">
        <f>'Site 7 - Financial'!G18</f>
        <v>Taxes</v>
      </c>
      <c r="C20" s="499">
        <f>'Site 7 - Financial'!I18</f>
        <v>148366.75661157025</v>
      </c>
      <c r="D20" s="252" t="s">
        <v>202</v>
      </c>
      <c r="E20" s="377" t="s">
        <v>202</v>
      </c>
      <c r="F20" s="905" t="s">
        <v>202</v>
      </c>
      <c r="G20" s="203">
        <f>C20/2</f>
        <v>74183.378305785125</v>
      </c>
      <c r="H20" s="205">
        <f>G20</f>
        <v>74183.378305785125</v>
      </c>
      <c r="I20" s="252" t="s">
        <v>202</v>
      </c>
      <c r="J20" s="253" t="s">
        <v>202</v>
      </c>
      <c r="K20" s="253" t="s">
        <v>202</v>
      </c>
      <c r="L20" s="253" t="s">
        <v>202</v>
      </c>
      <c r="M20" s="253" t="s">
        <v>202</v>
      </c>
      <c r="N20" s="253" t="s">
        <v>202</v>
      </c>
      <c r="O20" s="254" t="s">
        <v>202</v>
      </c>
      <c r="P20" s="103"/>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868"/>
      <c r="BO20" s="48"/>
      <c r="BP20" s="48"/>
      <c r="BQ20" s="48"/>
      <c r="BR20" s="48"/>
    </row>
    <row r="21" spans="1:70" s="89" customFormat="1">
      <c r="A21" s="125"/>
      <c r="B21" s="258" t="str">
        <f>'Site 7 - Financial'!G19</f>
        <v>Insurance</v>
      </c>
      <c r="C21" s="499">
        <f>'Site 7 - Financial'!I19</f>
        <v>666000</v>
      </c>
      <c r="D21" s="252" t="s">
        <v>202</v>
      </c>
      <c r="E21" s="377" t="s">
        <v>202</v>
      </c>
      <c r="F21" s="905" t="s">
        <v>202</v>
      </c>
      <c r="G21" s="203">
        <f>C21/2</f>
        <v>333000</v>
      </c>
      <c r="H21" s="205">
        <f>G21</f>
        <v>333000</v>
      </c>
      <c r="I21" s="252" t="s">
        <v>202</v>
      </c>
      <c r="J21" s="253" t="s">
        <v>202</v>
      </c>
      <c r="K21" s="253" t="s">
        <v>202</v>
      </c>
      <c r="L21" s="253" t="s">
        <v>202</v>
      </c>
      <c r="M21" s="253" t="s">
        <v>202</v>
      </c>
      <c r="N21" s="253" t="s">
        <v>202</v>
      </c>
      <c r="O21" s="254" t="s">
        <v>202</v>
      </c>
      <c r="P21" s="103"/>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868"/>
      <c r="BO21" s="48"/>
      <c r="BP21" s="48"/>
      <c r="BQ21" s="48"/>
      <c r="BR21" s="48"/>
    </row>
    <row r="22" spans="1:70" s="89" customFormat="1">
      <c r="A22" s="125"/>
      <c r="B22" s="258" t="str">
        <f>'Site 7 - Financial'!G20</f>
        <v>Marketing, FFE and Preleasing</v>
      </c>
      <c r="C22" s="499">
        <f>'Site 7 - Financial'!I20</f>
        <v>400000</v>
      </c>
      <c r="D22" s="252" t="s">
        <v>202</v>
      </c>
      <c r="E22" s="377" t="s">
        <v>202</v>
      </c>
      <c r="F22" s="905" t="s">
        <v>202</v>
      </c>
      <c r="G22" s="203">
        <f>C22/2</f>
        <v>200000</v>
      </c>
      <c r="H22" s="205">
        <f>G22</f>
        <v>200000</v>
      </c>
      <c r="I22" s="252" t="s">
        <v>202</v>
      </c>
      <c r="J22" s="253" t="s">
        <v>202</v>
      </c>
      <c r="K22" s="253" t="s">
        <v>202</v>
      </c>
      <c r="L22" s="253" t="s">
        <v>202</v>
      </c>
      <c r="M22" s="253" t="s">
        <v>202</v>
      </c>
      <c r="N22" s="253" t="s">
        <v>202</v>
      </c>
      <c r="O22" s="254" t="s">
        <v>202</v>
      </c>
      <c r="P22" s="103"/>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868"/>
      <c r="BO22" s="48"/>
      <c r="BP22" s="48"/>
      <c r="BQ22" s="48"/>
      <c r="BR22" s="48"/>
    </row>
    <row r="23" spans="1:70" s="89" customFormat="1">
      <c r="A23" s="125"/>
      <c r="B23" s="258" t="str">
        <f>'Site 7 - Financial'!G21</f>
        <v>Operating Deficit</v>
      </c>
      <c r="C23" s="499">
        <f>'Site 7 - Financial'!I21</f>
        <v>74351.75</v>
      </c>
      <c r="D23" s="252" t="s">
        <v>202</v>
      </c>
      <c r="E23" s="377" t="s">
        <v>202</v>
      </c>
      <c r="F23" s="905" t="s">
        <v>202</v>
      </c>
      <c r="G23" s="203">
        <f>-(G38+G47+G56)</f>
        <v>0</v>
      </c>
      <c r="H23" s="205">
        <f>-(H38+H47+H56)</f>
        <v>74351.75</v>
      </c>
      <c r="I23" s="252" t="s">
        <v>202</v>
      </c>
      <c r="J23" s="253" t="s">
        <v>202</v>
      </c>
      <c r="K23" s="253" t="s">
        <v>202</v>
      </c>
      <c r="L23" s="253" t="s">
        <v>202</v>
      </c>
      <c r="M23" s="253" t="s">
        <v>202</v>
      </c>
      <c r="N23" s="253" t="s">
        <v>202</v>
      </c>
      <c r="O23" s="254" t="s">
        <v>202</v>
      </c>
      <c r="P23" s="103"/>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868"/>
      <c r="BO23" s="48"/>
      <c r="BP23" s="48"/>
      <c r="BQ23" s="48"/>
      <c r="BR23" s="48"/>
    </row>
    <row r="24" spans="1:70" s="89" customFormat="1">
      <c r="A24" s="125"/>
      <c r="B24" s="258" t="str">
        <f>'Site 7 - Financial'!G22</f>
        <v>Commercial Interior Fitout Cost</v>
      </c>
      <c r="C24" s="499">
        <f>'Site 7 - Financial'!I22</f>
        <v>4055550</v>
      </c>
      <c r="D24" s="252" t="s">
        <v>202</v>
      </c>
      <c r="E24" s="377" t="s">
        <v>202</v>
      </c>
      <c r="F24" s="905" t="s">
        <v>202</v>
      </c>
      <c r="G24" s="203">
        <v>0</v>
      </c>
      <c r="H24" s="205">
        <f>C24</f>
        <v>4055550</v>
      </c>
      <c r="I24" s="252" t="s">
        <v>202</v>
      </c>
      <c r="J24" s="253" t="s">
        <v>202</v>
      </c>
      <c r="K24" s="253" t="s">
        <v>202</v>
      </c>
      <c r="L24" s="253" t="s">
        <v>202</v>
      </c>
      <c r="M24" s="253" t="s">
        <v>202</v>
      </c>
      <c r="N24" s="253" t="s">
        <v>202</v>
      </c>
      <c r="O24" s="254" t="s">
        <v>202</v>
      </c>
      <c r="P24" s="103"/>
      <c r="Q24" s="96"/>
      <c r="R24" s="96"/>
      <c r="S24" s="96"/>
      <c r="T24" s="96"/>
      <c r="U24" s="96"/>
      <c r="V24" s="96"/>
      <c r="W24" s="96"/>
      <c r="X24" s="96"/>
      <c r="Y24" s="96"/>
      <c r="Z24" s="96"/>
      <c r="AA24" s="96"/>
      <c r="AB24" s="96"/>
      <c r="AC24" s="96"/>
      <c r="AD24" s="96"/>
      <c r="AE24" s="96"/>
      <c r="AF24" s="96"/>
      <c r="AG24" s="96"/>
      <c r="AH24" s="96"/>
      <c r="AI24" s="96"/>
      <c r="AJ24" s="96"/>
      <c r="AK24" s="96"/>
      <c r="AL24" s="104"/>
      <c r="AM24" s="96"/>
      <c r="AN24" s="96"/>
      <c r="AO24" s="868"/>
      <c r="BO24" s="48"/>
      <c r="BP24" s="48"/>
      <c r="BQ24" s="48"/>
      <c r="BR24" s="48"/>
    </row>
    <row r="25" spans="1:70" s="89" customFormat="1">
      <c r="A25" s="125"/>
      <c r="B25" s="258" t="str">
        <f>'Site 7 - Financial'!G23</f>
        <v>Commercial Brokerage Commission</v>
      </c>
      <c r="C25" s="499">
        <f>'Site 7 - Financial'!I23</f>
        <v>283888.5</v>
      </c>
      <c r="D25" s="252" t="s">
        <v>202</v>
      </c>
      <c r="E25" s="377" t="s">
        <v>202</v>
      </c>
      <c r="F25" s="905" t="s">
        <v>202</v>
      </c>
      <c r="G25" s="203">
        <f>C25/2</f>
        <v>141944.25</v>
      </c>
      <c r="H25" s="205">
        <f>G25</f>
        <v>141944.25</v>
      </c>
      <c r="I25" s="252" t="s">
        <v>202</v>
      </c>
      <c r="J25" s="253" t="s">
        <v>202</v>
      </c>
      <c r="K25" s="253" t="s">
        <v>202</v>
      </c>
      <c r="L25" s="253" t="s">
        <v>202</v>
      </c>
      <c r="M25" s="253" t="s">
        <v>202</v>
      </c>
      <c r="N25" s="253" t="s">
        <v>202</v>
      </c>
      <c r="O25" s="254" t="s">
        <v>202</v>
      </c>
      <c r="P25" s="103"/>
      <c r="Q25" s="96"/>
      <c r="R25" s="96"/>
      <c r="S25" s="96"/>
      <c r="T25" s="96"/>
      <c r="U25" s="96"/>
      <c r="V25" s="96"/>
      <c r="W25" s="96"/>
      <c r="X25" s="96"/>
      <c r="Y25" s="96"/>
      <c r="Z25" s="96"/>
      <c r="AA25" s="96"/>
      <c r="AB25" s="96"/>
      <c r="AC25" s="96"/>
      <c r="AD25" s="96"/>
      <c r="AE25" s="96"/>
      <c r="AF25" s="96"/>
      <c r="AG25" s="96"/>
      <c r="AH25" s="96"/>
      <c r="AI25" s="96"/>
      <c r="AJ25" s="96"/>
      <c r="AK25" s="96"/>
      <c r="AL25" s="104"/>
      <c r="AM25" s="96"/>
      <c r="AN25" s="96"/>
      <c r="AO25" s="868"/>
      <c r="BO25" s="48"/>
      <c r="BP25" s="48"/>
      <c r="BQ25" s="48"/>
      <c r="BR25" s="48"/>
    </row>
    <row r="26" spans="1:70" s="89" customFormat="1">
      <c r="A26" s="125"/>
      <c r="B26" s="258" t="str">
        <f>'Site 7 - Financial'!G24</f>
        <v>Construction Loan Origination</v>
      </c>
      <c r="C26" s="499">
        <f>'Site 7 - Financial'!I24</f>
        <v>650000</v>
      </c>
      <c r="D26" s="252" t="s">
        <v>202</v>
      </c>
      <c r="E26" s="377" t="s">
        <v>202</v>
      </c>
      <c r="F26" s="905" t="s">
        <v>202</v>
      </c>
      <c r="G26" s="203">
        <f>C26</f>
        <v>650000</v>
      </c>
      <c r="H26" s="205">
        <v>0</v>
      </c>
      <c r="I26" s="252" t="s">
        <v>202</v>
      </c>
      <c r="J26" s="253" t="s">
        <v>202</v>
      </c>
      <c r="K26" s="253" t="s">
        <v>202</v>
      </c>
      <c r="L26" s="253" t="s">
        <v>202</v>
      </c>
      <c r="M26" s="253" t="s">
        <v>202</v>
      </c>
      <c r="N26" s="253" t="s">
        <v>202</v>
      </c>
      <c r="O26" s="254" t="s">
        <v>202</v>
      </c>
      <c r="P26" s="103"/>
      <c r="Q26" s="96"/>
      <c r="R26" s="96"/>
      <c r="S26" s="96"/>
      <c r="T26" s="96"/>
      <c r="U26" s="96"/>
      <c r="V26" s="96"/>
      <c r="W26" s="96"/>
      <c r="X26" s="96"/>
      <c r="Y26" s="96"/>
      <c r="Z26" s="96"/>
      <c r="AA26" s="96"/>
      <c r="AB26" s="96"/>
      <c r="AC26" s="96"/>
      <c r="AD26" s="96"/>
      <c r="AE26" s="96"/>
      <c r="AF26" s="96"/>
      <c r="AG26" s="96"/>
      <c r="AH26" s="96"/>
      <c r="AI26" s="96"/>
      <c r="AJ26" s="96"/>
      <c r="AK26" s="96"/>
      <c r="AL26" s="104"/>
      <c r="AM26" s="96"/>
      <c r="AN26" s="96"/>
      <c r="AO26" s="868"/>
      <c r="BO26" s="48"/>
      <c r="BP26" s="48"/>
      <c r="BQ26" s="48"/>
      <c r="BR26" s="48"/>
    </row>
    <row r="27" spans="1:70" s="89" customFormat="1">
      <c r="A27" s="125"/>
      <c r="B27" s="258" t="str">
        <f>'Site 7 - Financial'!G25</f>
        <v>Construction Interest</v>
      </c>
      <c r="C27" s="499">
        <f>'Site 7 - Financial'!I25</f>
        <v>3412500</v>
      </c>
      <c r="D27" s="252" t="s">
        <v>202</v>
      </c>
      <c r="E27" s="377" t="s">
        <v>202</v>
      </c>
      <c r="F27" s="905" t="s">
        <v>202</v>
      </c>
      <c r="G27" s="203">
        <f>C27/2</f>
        <v>1706250</v>
      </c>
      <c r="H27" s="205">
        <f>G27</f>
        <v>1706250</v>
      </c>
      <c r="I27" s="252" t="s">
        <v>202</v>
      </c>
      <c r="J27" s="253" t="s">
        <v>202</v>
      </c>
      <c r="K27" s="253" t="s">
        <v>202</v>
      </c>
      <c r="L27" s="253" t="s">
        <v>202</v>
      </c>
      <c r="M27" s="253" t="s">
        <v>202</v>
      </c>
      <c r="N27" s="253" t="s">
        <v>202</v>
      </c>
      <c r="O27" s="254" t="s">
        <v>202</v>
      </c>
      <c r="P27" s="103"/>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868"/>
      <c r="BO27" s="48"/>
      <c r="BP27" s="48"/>
      <c r="BQ27" s="48"/>
      <c r="BR27" s="48"/>
    </row>
    <row r="28" spans="1:70" s="89" customFormat="1">
      <c r="A28" s="125"/>
      <c r="B28" s="258" t="str">
        <f>'Site 7 - Financial'!G26</f>
        <v>Additional Contingency</v>
      </c>
      <c r="C28" s="499">
        <f>'Site 7 - Financial'!I26</f>
        <v>1500000</v>
      </c>
      <c r="D28" s="252" t="s">
        <v>202</v>
      </c>
      <c r="E28" s="377" t="s">
        <v>202</v>
      </c>
      <c r="F28" s="905" t="s">
        <v>202</v>
      </c>
      <c r="G28" s="203">
        <f>C28/2</f>
        <v>750000</v>
      </c>
      <c r="H28" s="205">
        <f>G28</f>
        <v>750000</v>
      </c>
      <c r="I28" s="252" t="s">
        <v>202</v>
      </c>
      <c r="J28" s="253" t="s">
        <v>202</v>
      </c>
      <c r="K28" s="253" t="s">
        <v>202</v>
      </c>
      <c r="L28" s="253" t="s">
        <v>202</v>
      </c>
      <c r="M28" s="253" t="s">
        <v>202</v>
      </c>
      <c r="N28" s="253" t="s">
        <v>202</v>
      </c>
      <c r="O28" s="254" t="s">
        <v>202</v>
      </c>
      <c r="P28" s="103"/>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868"/>
      <c r="BO28" s="48"/>
      <c r="BP28" s="48"/>
      <c r="BQ28" s="48"/>
      <c r="BR28" s="48"/>
    </row>
    <row r="29" spans="1:70" s="89" customFormat="1" ht="15.75" thickBot="1">
      <c r="A29" s="125"/>
      <c r="B29" s="775" t="s">
        <v>590</v>
      </c>
      <c r="C29" s="764">
        <f>-'Site 7 - Financial'!I28</f>
        <v>0</v>
      </c>
      <c r="D29" s="239" t="s">
        <v>202</v>
      </c>
      <c r="E29" s="769" t="s">
        <v>202</v>
      </c>
      <c r="F29" s="187" t="s">
        <v>202</v>
      </c>
      <c r="G29" s="766">
        <f>C29</f>
        <v>0</v>
      </c>
      <c r="H29" s="768">
        <v>0</v>
      </c>
      <c r="I29" s="239" t="s">
        <v>202</v>
      </c>
      <c r="J29" s="234" t="s">
        <v>202</v>
      </c>
      <c r="K29" s="234" t="s">
        <v>202</v>
      </c>
      <c r="L29" s="234" t="s">
        <v>202</v>
      </c>
      <c r="M29" s="234" t="s">
        <v>202</v>
      </c>
      <c r="N29" s="234" t="s">
        <v>202</v>
      </c>
      <c r="O29" s="235" t="s">
        <v>202</v>
      </c>
      <c r="P29" s="773"/>
      <c r="Q29" s="774"/>
      <c r="R29" s="774"/>
      <c r="S29" s="774"/>
      <c r="T29" s="774"/>
      <c r="U29" s="774"/>
      <c r="V29" s="774"/>
      <c r="W29" s="774"/>
      <c r="X29" s="774"/>
      <c r="Y29" s="774"/>
      <c r="Z29" s="774"/>
      <c r="AA29" s="774"/>
      <c r="AB29" s="774"/>
      <c r="AC29" s="774"/>
      <c r="AD29" s="774"/>
      <c r="AE29" s="774"/>
      <c r="AF29" s="774"/>
      <c r="AG29" s="774"/>
      <c r="AH29" s="774"/>
      <c r="AI29" s="774"/>
      <c r="AJ29" s="774"/>
      <c r="AK29" s="774"/>
      <c r="AL29" s="774"/>
      <c r="AM29" s="774"/>
      <c r="AN29" s="774"/>
      <c r="AO29" s="868"/>
      <c r="BO29" s="48"/>
      <c r="BP29" s="48"/>
      <c r="BQ29" s="48"/>
      <c r="BR29" s="48"/>
    </row>
    <row r="30" spans="1:70" s="89" customFormat="1" ht="15.75" thickBot="1">
      <c r="A30" s="125"/>
      <c r="B30" s="92" t="s">
        <v>38</v>
      </c>
      <c r="C30" s="500">
        <f>SUM(C6:C29)</f>
        <v>73483033.68169421</v>
      </c>
      <c r="D30" s="241">
        <f t="shared" ref="D30:O30" si="7">SUM(D6:D29)</f>
        <v>0</v>
      </c>
      <c r="E30" s="242">
        <f t="shared" si="7"/>
        <v>0</v>
      </c>
      <c r="F30" s="362">
        <f t="shared" si="7"/>
        <v>0</v>
      </c>
      <c r="G30" s="241">
        <f>SUM(G6:G29)</f>
        <v>28928518.160061985</v>
      </c>
      <c r="H30" s="243">
        <f t="shared" si="7"/>
        <v>44554515.521632232</v>
      </c>
      <c r="I30" s="241">
        <f t="shared" si="7"/>
        <v>0</v>
      </c>
      <c r="J30" s="242">
        <f t="shared" si="7"/>
        <v>0</v>
      </c>
      <c r="K30" s="242">
        <f t="shared" si="7"/>
        <v>0</v>
      </c>
      <c r="L30" s="242">
        <f t="shared" si="7"/>
        <v>0</v>
      </c>
      <c r="M30" s="242">
        <f t="shared" si="7"/>
        <v>0</v>
      </c>
      <c r="N30" s="242">
        <f t="shared" si="7"/>
        <v>0</v>
      </c>
      <c r="O30" s="243">
        <f t="shared" si="7"/>
        <v>0</v>
      </c>
      <c r="P30" s="9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BO30" s="48"/>
      <c r="BP30" s="48"/>
      <c r="BQ30" s="48"/>
      <c r="BR30" s="48"/>
    </row>
    <row r="31" spans="1:70" s="125" customFormat="1">
      <c r="B31" s="185" t="s">
        <v>583</v>
      </c>
      <c r="C31" s="216"/>
      <c r="D31" s="236"/>
      <c r="E31" s="227"/>
      <c r="F31" s="363"/>
      <c r="G31" s="236"/>
      <c r="H31" s="228"/>
      <c r="I31" s="236"/>
      <c r="J31" s="227"/>
      <c r="K31" s="227"/>
      <c r="L31" s="227"/>
      <c r="M31" s="227"/>
      <c r="N31" s="227"/>
      <c r="O31" s="228"/>
      <c r="P31" s="208"/>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BO31" s="47"/>
      <c r="BP31" s="47"/>
      <c r="BQ31" s="47"/>
      <c r="BR31" s="47"/>
    </row>
    <row r="32" spans="1:70" s="125" customFormat="1">
      <c r="B32" s="186" t="s">
        <v>91</v>
      </c>
      <c r="C32" s="217" t="s">
        <v>202</v>
      </c>
      <c r="D32" s="237">
        <v>0</v>
      </c>
      <c r="E32" s="229">
        <v>0</v>
      </c>
      <c r="F32" s="364">
        <v>0</v>
      </c>
      <c r="G32" s="237">
        <v>0</v>
      </c>
      <c r="H32" s="230">
        <v>0</v>
      </c>
      <c r="I32" s="237">
        <v>0</v>
      </c>
      <c r="J32" s="229">
        <v>0</v>
      </c>
      <c r="K32" s="229">
        <v>0</v>
      </c>
      <c r="L32" s="229">
        <v>0</v>
      </c>
      <c r="M32" s="229">
        <v>0</v>
      </c>
      <c r="N32" s="229">
        <v>0</v>
      </c>
      <c r="O32" s="230">
        <v>0</v>
      </c>
      <c r="P32" s="208"/>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BO32" s="47"/>
      <c r="BP32" s="47"/>
      <c r="BQ32" s="47"/>
      <c r="BR32" s="47"/>
    </row>
    <row r="33" spans="2:70" s="125" customFormat="1">
      <c r="B33" s="186" t="s">
        <v>521</v>
      </c>
      <c r="C33" s="217" t="s">
        <v>202</v>
      </c>
      <c r="D33" s="237">
        <v>0</v>
      </c>
      <c r="E33" s="229">
        <v>0</v>
      </c>
      <c r="F33" s="364">
        <v>0</v>
      </c>
      <c r="G33" s="237">
        <v>0</v>
      </c>
      <c r="H33" s="230">
        <v>0</v>
      </c>
      <c r="I33" s="237">
        <v>0</v>
      </c>
      <c r="J33" s="229">
        <v>0</v>
      </c>
      <c r="K33" s="229">
        <v>0</v>
      </c>
      <c r="L33" s="229">
        <v>0</v>
      </c>
      <c r="M33" s="229">
        <v>0</v>
      </c>
      <c r="N33" s="229">
        <v>0</v>
      </c>
      <c r="O33" s="230">
        <v>0</v>
      </c>
      <c r="P33" s="208"/>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BO33" s="47"/>
      <c r="BP33" s="47"/>
      <c r="BQ33" s="47"/>
      <c r="BR33" s="47"/>
    </row>
    <row r="34" spans="2:70" s="125" customFormat="1">
      <c r="B34" s="197" t="s">
        <v>309</v>
      </c>
      <c r="C34" s="217" t="s">
        <v>202</v>
      </c>
      <c r="D34" s="237">
        <v>0</v>
      </c>
      <c r="E34" s="229">
        <v>0</v>
      </c>
      <c r="F34" s="364">
        <v>0</v>
      </c>
      <c r="G34" s="237">
        <v>0</v>
      </c>
      <c r="H34" s="230">
        <v>0</v>
      </c>
      <c r="I34" s="237">
        <v>0</v>
      </c>
      <c r="J34" s="229">
        <v>0</v>
      </c>
      <c r="K34" s="229">
        <v>0</v>
      </c>
      <c r="L34" s="229">
        <v>0</v>
      </c>
      <c r="M34" s="229">
        <v>0</v>
      </c>
      <c r="N34" s="229">
        <v>0</v>
      </c>
      <c r="O34" s="230">
        <v>0</v>
      </c>
      <c r="P34" s="208"/>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BO34" s="47"/>
      <c r="BP34" s="47"/>
      <c r="BQ34" s="47"/>
      <c r="BR34" s="47"/>
    </row>
    <row r="35" spans="2:70" s="125" customFormat="1">
      <c r="B35" s="225" t="s">
        <v>93</v>
      </c>
      <c r="C35" s="226" t="s">
        <v>202</v>
      </c>
      <c r="D35" s="109">
        <f>SUM(D32:D34)</f>
        <v>0</v>
      </c>
      <c r="E35" s="101">
        <f t="shared" ref="E35:O35" si="8">SUM(E32:E34)</f>
        <v>0</v>
      </c>
      <c r="F35" s="365">
        <f t="shared" si="8"/>
        <v>0</v>
      </c>
      <c r="G35" s="109">
        <f t="shared" si="8"/>
        <v>0</v>
      </c>
      <c r="H35" s="110">
        <f t="shared" si="8"/>
        <v>0</v>
      </c>
      <c r="I35" s="109">
        <f t="shared" si="8"/>
        <v>0</v>
      </c>
      <c r="J35" s="101">
        <f t="shared" si="8"/>
        <v>0</v>
      </c>
      <c r="K35" s="101">
        <f t="shared" si="8"/>
        <v>0</v>
      </c>
      <c r="L35" s="101">
        <f t="shared" si="8"/>
        <v>0</v>
      </c>
      <c r="M35" s="101">
        <f t="shared" si="8"/>
        <v>0</v>
      </c>
      <c r="N35" s="101">
        <f t="shared" si="8"/>
        <v>0</v>
      </c>
      <c r="O35" s="110">
        <f t="shared" si="8"/>
        <v>0</v>
      </c>
      <c r="P35" s="208"/>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BO35" s="47"/>
      <c r="BP35" s="47"/>
      <c r="BQ35" s="47"/>
      <c r="BR35" s="47"/>
    </row>
    <row r="36" spans="2:70" s="125" customFormat="1">
      <c r="B36" s="197" t="s">
        <v>525</v>
      </c>
      <c r="C36" s="217" t="s">
        <v>202</v>
      </c>
      <c r="D36" s="237">
        <v>0</v>
      </c>
      <c r="E36" s="229">
        <v>0</v>
      </c>
      <c r="F36" s="364">
        <v>0</v>
      </c>
      <c r="G36" s="237">
        <v>0</v>
      </c>
      <c r="H36" s="230">
        <v>0</v>
      </c>
      <c r="I36" s="237">
        <v>0</v>
      </c>
      <c r="J36" s="229">
        <v>0</v>
      </c>
      <c r="K36" s="229">
        <v>0</v>
      </c>
      <c r="L36" s="229">
        <v>0</v>
      </c>
      <c r="M36" s="229">
        <v>0</v>
      </c>
      <c r="N36" s="229">
        <v>0</v>
      </c>
      <c r="O36" s="230">
        <v>0</v>
      </c>
      <c r="P36" s="208"/>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BO36" s="47"/>
      <c r="BP36" s="47"/>
      <c r="BQ36" s="47"/>
      <c r="BR36" s="47"/>
    </row>
    <row r="37" spans="2:70" s="125" customFormat="1">
      <c r="B37" s="197" t="s">
        <v>316</v>
      </c>
      <c r="C37" s="217" t="s">
        <v>202</v>
      </c>
      <c r="D37" s="237">
        <f t="shared" ref="D37:F37" si="9">-5%*D35</f>
        <v>0</v>
      </c>
      <c r="E37" s="229">
        <f t="shared" si="9"/>
        <v>0</v>
      </c>
      <c r="F37" s="364">
        <f t="shared" si="9"/>
        <v>0</v>
      </c>
      <c r="G37" s="237">
        <f>-5%*G35</f>
        <v>0</v>
      </c>
      <c r="H37" s="230">
        <f>-5%*H35</f>
        <v>0</v>
      </c>
      <c r="I37" s="237">
        <f t="shared" ref="I37:O37" si="10">-5%*I35</f>
        <v>0</v>
      </c>
      <c r="J37" s="229">
        <f t="shared" si="10"/>
        <v>0</v>
      </c>
      <c r="K37" s="229">
        <f t="shared" si="10"/>
        <v>0</v>
      </c>
      <c r="L37" s="229">
        <f t="shared" si="10"/>
        <v>0</v>
      </c>
      <c r="M37" s="229">
        <f t="shared" si="10"/>
        <v>0</v>
      </c>
      <c r="N37" s="229">
        <f t="shared" si="10"/>
        <v>0</v>
      </c>
      <c r="O37" s="230">
        <f t="shared" si="10"/>
        <v>0</v>
      </c>
      <c r="P37" s="208"/>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BO37" s="47"/>
      <c r="BP37" s="47"/>
      <c r="BQ37" s="47"/>
      <c r="BR37" s="47"/>
    </row>
    <row r="38" spans="2:70" s="125" customFormat="1">
      <c r="B38" s="225" t="s">
        <v>94</v>
      </c>
      <c r="C38" s="226" t="s">
        <v>202</v>
      </c>
      <c r="D38" s="109">
        <f t="shared" ref="D38:E38" si="11">SUM(D35:D37)</f>
        <v>0</v>
      </c>
      <c r="E38" s="101">
        <f t="shared" si="11"/>
        <v>0</v>
      </c>
      <c r="F38" s="365">
        <f>SUM(F35:F37)</f>
        <v>0</v>
      </c>
      <c r="G38" s="109">
        <f>SUM(G35:G37)</f>
        <v>0</v>
      </c>
      <c r="H38" s="110">
        <f>SUM(H35:H37)</f>
        <v>0</v>
      </c>
      <c r="I38" s="109">
        <f t="shared" ref="I38:O38" si="12">SUM(I35:I37)</f>
        <v>0</v>
      </c>
      <c r="J38" s="101">
        <f t="shared" si="12"/>
        <v>0</v>
      </c>
      <c r="K38" s="101">
        <f t="shared" si="12"/>
        <v>0</v>
      </c>
      <c r="L38" s="101">
        <f t="shared" si="12"/>
        <v>0</v>
      </c>
      <c r="M38" s="101">
        <f t="shared" si="12"/>
        <v>0</v>
      </c>
      <c r="N38" s="101">
        <f t="shared" si="12"/>
        <v>0</v>
      </c>
      <c r="O38" s="110">
        <f t="shared" si="12"/>
        <v>0</v>
      </c>
      <c r="P38" s="208"/>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BO38" s="47"/>
      <c r="BP38" s="47"/>
      <c r="BQ38" s="47"/>
      <c r="BR38" s="47"/>
    </row>
    <row r="39" spans="2:70" s="125" customFormat="1" ht="15.75" thickBot="1">
      <c r="B39" s="209" t="s">
        <v>317</v>
      </c>
      <c r="C39" s="218" t="s">
        <v>202</v>
      </c>
      <c r="D39" s="238">
        <v>0</v>
      </c>
      <c r="E39" s="231">
        <v>0</v>
      </c>
      <c r="F39" s="861">
        <v>0</v>
      </c>
      <c r="G39" s="863">
        <v>0</v>
      </c>
      <c r="H39" s="232">
        <v>0</v>
      </c>
      <c r="I39" s="863">
        <v>0</v>
      </c>
      <c r="J39" s="866">
        <v>0</v>
      </c>
      <c r="K39" s="866">
        <v>0</v>
      </c>
      <c r="L39" s="866">
        <v>0</v>
      </c>
      <c r="M39" s="866">
        <v>0</v>
      </c>
      <c r="N39" s="866">
        <v>0</v>
      </c>
      <c r="O39" s="232" t="s">
        <v>202</v>
      </c>
      <c r="P39" s="208"/>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BO39" s="47"/>
      <c r="BP39" s="47"/>
      <c r="BQ39" s="47"/>
      <c r="BR39" s="47"/>
    </row>
    <row r="40" spans="2:70" s="125" customFormat="1">
      <c r="B40" s="185" t="s">
        <v>325</v>
      </c>
      <c r="C40" s="216"/>
      <c r="D40" s="236"/>
      <c r="E40" s="227"/>
      <c r="F40" s="363"/>
      <c r="G40" s="236"/>
      <c r="H40" s="228"/>
      <c r="I40" s="236"/>
      <c r="J40" s="227"/>
      <c r="K40" s="227"/>
      <c r="L40" s="227"/>
      <c r="M40" s="227"/>
      <c r="N40" s="227"/>
      <c r="O40" s="228"/>
      <c r="P40" s="208"/>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BO40" s="47"/>
      <c r="BP40" s="47"/>
      <c r="BQ40" s="47"/>
      <c r="BR40" s="47"/>
    </row>
    <row r="41" spans="2:70" s="125" customFormat="1">
      <c r="B41" s="186" t="s">
        <v>91</v>
      </c>
      <c r="C41" s="217" t="s">
        <v>202</v>
      </c>
      <c r="D41" s="237">
        <v>0</v>
      </c>
      <c r="E41" s="229">
        <v>0</v>
      </c>
      <c r="F41" s="364">
        <v>0</v>
      </c>
      <c r="G41" s="237">
        <v>0</v>
      </c>
      <c r="H41" s="230">
        <v>0</v>
      </c>
      <c r="I41" s="237">
        <f>'Site 7 - Financial'!D11*'Site 7 - Financial'!E11</f>
        <v>946295</v>
      </c>
      <c r="J41" s="229">
        <f>I41*(1+Assumptions!$F$8)</f>
        <v>974683.85</v>
      </c>
      <c r="K41" s="229">
        <v>0</v>
      </c>
      <c r="L41" s="229">
        <v>0</v>
      </c>
      <c r="M41" s="229">
        <v>0</v>
      </c>
      <c r="N41" s="229">
        <v>0</v>
      </c>
      <c r="O41" s="230">
        <v>0</v>
      </c>
      <c r="P41" s="208"/>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BO41" s="47"/>
      <c r="BP41" s="47"/>
      <c r="BQ41" s="47"/>
      <c r="BR41" s="47"/>
    </row>
    <row r="42" spans="2:70" s="125" customFormat="1">
      <c r="B42" s="186" t="s">
        <v>521</v>
      </c>
      <c r="C42" s="217" t="s">
        <v>202</v>
      </c>
      <c r="D42" s="237">
        <v>0</v>
      </c>
      <c r="E42" s="229">
        <v>0</v>
      </c>
      <c r="F42" s="364">
        <v>0</v>
      </c>
      <c r="G42" s="237">
        <v>0</v>
      </c>
      <c r="H42" s="230">
        <v>0</v>
      </c>
      <c r="I42" s="237">
        <v>0</v>
      </c>
      <c r="J42" s="229">
        <v>0</v>
      </c>
      <c r="K42" s="229">
        <v>0</v>
      </c>
      <c r="L42" s="229">
        <v>0</v>
      </c>
      <c r="M42" s="229">
        <v>0</v>
      </c>
      <c r="N42" s="229">
        <v>0</v>
      </c>
      <c r="O42" s="230">
        <v>0</v>
      </c>
      <c r="P42" s="208"/>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BO42" s="47"/>
      <c r="BP42" s="47"/>
      <c r="BQ42" s="47"/>
      <c r="BR42" s="47"/>
    </row>
    <row r="43" spans="2:70" s="125" customFormat="1">
      <c r="B43" s="197" t="s">
        <v>309</v>
      </c>
      <c r="C43" s="217" t="s">
        <v>202</v>
      </c>
      <c r="D43" s="237">
        <v>0</v>
      </c>
      <c r="E43" s="229">
        <v>0</v>
      </c>
      <c r="F43" s="364">
        <v>0</v>
      </c>
      <c r="G43" s="237">
        <v>0</v>
      </c>
      <c r="H43" s="230">
        <v>0</v>
      </c>
      <c r="I43" s="237">
        <f>(Assumptions!D30*'Site 7 - Financial'!D11)*(1+Assumptions!$F$8)^I2</f>
        <v>153582.13641956059</v>
      </c>
      <c r="J43" s="229">
        <f>I43*(1+Assumptions!$F$8)</f>
        <v>158189.60051214742</v>
      </c>
      <c r="K43" s="229">
        <v>0</v>
      </c>
      <c r="L43" s="229">
        <v>0</v>
      </c>
      <c r="M43" s="229">
        <v>0</v>
      </c>
      <c r="N43" s="229">
        <v>0</v>
      </c>
      <c r="O43" s="230">
        <v>0</v>
      </c>
      <c r="P43" s="208"/>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BO43" s="47"/>
      <c r="BP43" s="47"/>
      <c r="BQ43" s="47"/>
      <c r="BR43" s="47"/>
    </row>
    <row r="44" spans="2:70" s="125" customFormat="1">
      <c r="B44" s="225" t="s">
        <v>93</v>
      </c>
      <c r="C44" s="226" t="s">
        <v>202</v>
      </c>
      <c r="D44" s="109">
        <f t="shared" ref="D44:O44" si="13">SUM(D41:D43)</f>
        <v>0</v>
      </c>
      <c r="E44" s="101">
        <f t="shared" si="13"/>
        <v>0</v>
      </c>
      <c r="F44" s="365">
        <f t="shared" si="13"/>
        <v>0</v>
      </c>
      <c r="G44" s="109">
        <f t="shared" si="13"/>
        <v>0</v>
      </c>
      <c r="H44" s="110">
        <f t="shared" si="13"/>
        <v>0</v>
      </c>
      <c r="I44" s="109">
        <f t="shared" si="13"/>
        <v>1099877.1364195605</v>
      </c>
      <c r="J44" s="101">
        <f t="shared" si="13"/>
        <v>1132873.4505121475</v>
      </c>
      <c r="K44" s="101">
        <f t="shared" si="13"/>
        <v>0</v>
      </c>
      <c r="L44" s="101">
        <f t="shared" si="13"/>
        <v>0</v>
      </c>
      <c r="M44" s="101">
        <f t="shared" si="13"/>
        <v>0</v>
      </c>
      <c r="N44" s="101">
        <f t="shared" si="13"/>
        <v>0</v>
      </c>
      <c r="O44" s="110">
        <f t="shared" si="13"/>
        <v>0</v>
      </c>
      <c r="P44" s="208"/>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BO44" s="47"/>
      <c r="BP44" s="47"/>
      <c r="BQ44" s="47"/>
      <c r="BR44" s="47"/>
    </row>
    <row r="45" spans="2:70" s="125" customFormat="1">
      <c r="B45" s="197" t="s">
        <v>525</v>
      </c>
      <c r="C45" s="217" t="s">
        <v>202</v>
      </c>
      <c r="D45" s="237">
        <v>0</v>
      </c>
      <c r="E45" s="229">
        <v>0</v>
      </c>
      <c r="F45" s="364">
        <v>0</v>
      </c>
      <c r="G45" s="237">
        <v>0</v>
      </c>
      <c r="H45" s="230">
        <f>-(Assumptions!D26+Assumptions!D27)*'Site 7 - Financial'!D11</f>
        <v>-74351.75</v>
      </c>
      <c r="I45" s="237">
        <f>-(Assumptions!D30*'Site 7 - Financial'!D11)*(1+Assumptions!$F$8)^I2</f>
        <v>-153582.13641956059</v>
      </c>
      <c r="J45" s="229">
        <f>I45*(1+Assumptions!$F$8)</f>
        <v>-158189.60051214742</v>
      </c>
      <c r="K45" s="229">
        <v>0</v>
      </c>
      <c r="L45" s="229">
        <v>0</v>
      </c>
      <c r="M45" s="229">
        <v>0</v>
      </c>
      <c r="N45" s="229">
        <v>0</v>
      </c>
      <c r="O45" s="230">
        <v>0</v>
      </c>
      <c r="P45" s="208"/>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BO45" s="47"/>
      <c r="BP45" s="47"/>
      <c r="BQ45" s="47"/>
      <c r="BR45" s="47"/>
    </row>
    <row r="46" spans="2:70" s="125" customFormat="1">
      <c r="B46" s="197" t="s">
        <v>316</v>
      </c>
      <c r="C46" s="217" t="s">
        <v>202</v>
      </c>
      <c r="D46" s="237">
        <f t="shared" ref="D46:J46" si="14">-5%*D44</f>
        <v>0</v>
      </c>
      <c r="E46" s="229">
        <f t="shared" si="14"/>
        <v>0</v>
      </c>
      <c r="F46" s="364">
        <f t="shared" si="14"/>
        <v>0</v>
      </c>
      <c r="G46" s="237">
        <f t="shared" si="14"/>
        <v>0</v>
      </c>
      <c r="H46" s="230">
        <f t="shared" si="14"/>
        <v>0</v>
      </c>
      <c r="I46" s="237">
        <f t="shared" si="14"/>
        <v>-54993.856820978028</v>
      </c>
      <c r="J46" s="229">
        <f t="shared" si="14"/>
        <v>-56643.672525607377</v>
      </c>
      <c r="K46" s="229">
        <v>0</v>
      </c>
      <c r="L46" s="229">
        <v>0</v>
      </c>
      <c r="M46" s="229">
        <v>0</v>
      </c>
      <c r="N46" s="229">
        <v>0</v>
      </c>
      <c r="O46" s="230">
        <v>0</v>
      </c>
      <c r="P46" s="208"/>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BO46" s="47"/>
      <c r="BP46" s="47"/>
      <c r="BQ46" s="47"/>
      <c r="BR46" s="47"/>
    </row>
    <row r="47" spans="2:70" s="125" customFormat="1">
      <c r="B47" s="225" t="s">
        <v>94</v>
      </c>
      <c r="C47" s="226" t="s">
        <v>202</v>
      </c>
      <c r="D47" s="109">
        <f t="shared" ref="D47:F47" si="15">SUM(D44:D46)</f>
        <v>0</v>
      </c>
      <c r="E47" s="101">
        <f t="shared" si="15"/>
        <v>0</v>
      </c>
      <c r="F47" s="365">
        <f t="shared" si="15"/>
        <v>0</v>
      </c>
      <c r="G47" s="109">
        <f>SUM(G44:G46)</f>
        <v>0</v>
      </c>
      <c r="H47" s="110">
        <f>SUM(H44:H46)</f>
        <v>-74351.75</v>
      </c>
      <c r="I47" s="109">
        <f>SUM(I44:I46)</f>
        <v>891301.14317902201</v>
      </c>
      <c r="J47" s="101">
        <f>SUM(J44:J46)</f>
        <v>918040.17747439269</v>
      </c>
      <c r="K47" s="101">
        <f>SUM(K44:K46)</f>
        <v>0</v>
      </c>
      <c r="L47" s="101">
        <f t="shared" ref="L47:O47" si="16">SUM(L44:L46)</f>
        <v>0</v>
      </c>
      <c r="M47" s="101">
        <f t="shared" si="16"/>
        <v>0</v>
      </c>
      <c r="N47" s="101">
        <f t="shared" si="16"/>
        <v>0</v>
      </c>
      <c r="O47" s="110">
        <f t="shared" si="16"/>
        <v>0</v>
      </c>
      <c r="P47" s="208"/>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BO47" s="47"/>
      <c r="BP47" s="47"/>
      <c r="BQ47" s="47"/>
      <c r="BR47" s="47"/>
    </row>
    <row r="48" spans="2:70" s="125" customFormat="1" ht="15.75" thickBot="1">
      <c r="B48" s="209" t="s">
        <v>317</v>
      </c>
      <c r="C48" s="218" t="s">
        <v>202</v>
      </c>
      <c r="D48" s="238">
        <v>0</v>
      </c>
      <c r="E48" s="231">
        <v>0</v>
      </c>
      <c r="F48" s="861">
        <v>0</v>
      </c>
      <c r="G48" s="863">
        <v>0</v>
      </c>
      <c r="H48" s="232">
        <v>0</v>
      </c>
      <c r="I48" s="863">
        <f>(J47/Assumptions!I9)*0.98</f>
        <v>19992874.976108998</v>
      </c>
      <c r="J48" s="866">
        <v>0</v>
      </c>
      <c r="K48" s="866">
        <v>0</v>
      </c>
      <c r="L48" s="866">
        <v>0</v>
      </c>
      <c r="M48" s="866">
        <v>0</v>
      </c>
      <c r="N48" s="866">
        <v>0</v>
      </c>
      <c r="O48" s="232" t="s">
        <v>202</v>
      </c>
      <c r="P48" s="208"/>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BO48" s="47"/>
      <c r="BP48" s="47"/>
      <c r="BQ48" s="47"/>
      <c r="BR48" s="47"/>
    </row>
    <row r="49" spans="2:70" s="125" customFormat="1">
      <c r="B49" s="185" t="s">
        <v>391</v>
      </c>
      <c r="C49" s="216"/>
      <c r="D49" s="236"/>
      <c r="E49" s="227"/>
      <c r="F49" s="363"/>
      <c r="G49" s="236"/>
      <c r="H49" s="228"/>
      <c r="I49" s="236"/>
      <c r="J49" s="227"/>
      <c r="K49" s="227"/>
      <c r="L49" s="227"/>
      <c r="M49" s="227"/>
      <c r="N49" s="227"/>
      <c r="O49" s="228"/>
      <c r="P49" s="208"/>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BO49" s="47"/>
      <c r="BP49" s="47"/>
      <c r="BQ49" s="47"/>
      <c r="BR49" s="47"/>
    </row>
    <row r="50" spans="2:70" s="125" customFormat="1">
      <c r="B50" s="186" t="s">
        <v>91</v>
      </c>
      <c r="C50" s="217" t="s">
        <v>202</v>
      </c>
      <c r="D50" s="237">
        <v>0</v>
      </c>
      <c r="E50" s="229">
        <v>0</v>
      </c>
      <c r="F50" s="364">
        <v>0</v>
      </c>
      <c r="G50" s="237">
        <f>'Site 7 - Financial'!D12*'Site 7 - Financial'!E12</f>
        <v>0</v>
      </c>
      <c r="H50" s="230">
        <f>G50*(1+Assumptions!$F$8)</f>
        <v>0</v>
      </c>
      <c r="I50" s="237">
        <f>H50*(1+Assumptions!$F$8)</f>
        <v>0</v>
      </c>
      <c r="J50" s="229">
        <f>I50*(1+Assumptions!$F$8)</f>
        <v>0</v>
      </c>
      <c r="K50" s="229">
        <v>0</v>
      </c>
      <c r="L50" s="229">
        <v>0</v>
      </c>
      <c r="M50" s="229">
        <f>L50*(1+Assumptions!$F$8)</f>
        <v>0</v>
      </c>
      <c r="N50" s="229">
        <f>M50*(1+Assumptions!$F$8)</f>
        <v>0</v>
      </c>
      <c r="O50" s="230">
        <f>N50*(1+Assumptions!$F$8)</f>
        <v>0</v>
      </c>
      <c r="P50" s="208"/>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BO50" s="47"/>
      <c r="BP50" s="47"/>
      <c r="BQ50" s="47"/>
      <c r="BR50" s="47"/>
    </row>
    <row r="51" spans="2:70" s="125" customFormat="1">
      <c r="B51" s="186" t="s">
        <v>521</v>
      </c>
      <c r="C51" s="217" t="s">
        <v>202</v>
      </c>
      <c r="D51" s="237">
        <v>0</v>
      </c>
      <c r="E51" s="229">
        <v>0</v>
      </c>
      <c r="F51" s="364">
        <v>0</v>
      </c>
      <c r="G51" s="237">
        <v>0</v>
      </c>
      <c r="H51" s="230">
        <v>0</v>
      </c>
      <c r="I51" s="237">
        <v>0</v>
      </c>
      <c r="J51" s="229">
        <v>0</v>
      </c>
      <c r="K51" s="229">
        <v>0</v>
      </c>
      <c r="L51" s="229">
        <v>0</v>
      </c>
      <c r="M51" s="229">
        <v>0</v>
      </c>
      <c r="N51" s="229">
        <v>0</v>
      </c>
      <c r="O51" s="230">
        <v>0</v>
      </c>
      <c r="P51" s="208"/>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BO51" s="47"/>
      <c r="BP51" s="47"/>
      <c r="BQ51" s="47"/>
      <c r="BR51" s="47"/>
    </row>
    <row r="52" spans="2:70" s="125" customFormat="1">
      <c r="B52" s="186" t="s">
        <v>309</v>
      </c>
      <c r="C52" s="217" t="s">
        <v>202</v>
      </c>
      <c r="D52" s="237">
        <v>0</v>
      </c>
      <c r="E52" s="229">
        <v>0</v>
      </c>
      <c r="F52" s="364">
        <v>0</v>
      </c>
      <c r="G52" s="237">
        <f>(Assumptions!D30*'Site 7 - Financial'!D12)*(1+Assumptions!F8)^G2</f>
        <v>0</v>
      </c>
      <c r="H52" s="230">
        <f>G52*(1+Assumptions!$F$8)</f>
        <v>0</v>
      </c>
      <c r="I52" s="237">
        <f>H52*(1+Assumptions!$F$8)</f>
        <v>0</v>
      </c>
      <c r="J52" s="229">
        <f>H52*(1+Assumptions!$F$8)</f>
        <v>0</v>
      </c>
      <c r="K52" s="229">
        <f>I52*(1+Assumptions!$F$8)</f>
        <v>0</v>
      </c>
      <c r="L52" s="229">
        <f>K52*(1+Assumptions!$F$8)</f>
        <v>0</v>
      </c>
      <c r="M52" s="229">
        <f>L52*(1+Assumptions!$F$8)</f>
        <v>0</v>
      </c>
      <c r="N52" s="229">
        <f>M52*(1+Assumptions!$F$8)</f>
        <v>0</v>
      </c>
      <c r="O52" s="230">
        <f>N52*(1+Assumptions!$F$8)</f>
        <v>0</v>
      </c>
      <c r="P52" s="208"/>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BO52" s="47"/>
      <c r="BP52" s="47"/>
      <c r="BQ52" s="47"/>
      <c r="BR52" s="47"/>
    </row>
    <row r="53" spans="2:70" s="125" customFormat="1">
      <c r="B53" s="225" t="s">
        <v>93</v>
      </c>
      <c r="C53" s="226" t="s">
        <v>202</v>
      </c>
      <c r="D53" s="109">
        <f t="shared" ref="D53:G53" si="17">SUM(D50:D52)</f>
        <v>0</v>
      </c>
      <c r="E53" s="101">
        <f t="shared" si="17"/>
        <v>0</v>
      </c>
      <c r="F53" s="365">
        <f t="shared" si="17"/>
        <v>0</v>
      </c>
      <c r="G53" s="109">
        <f t="shared" si="17"/>
        <v>0</v>
      </c>
      <c r="H53" s="110">
        <f t="shared" ref="H53:O53" si="18">SUM(H50:H52)</f>
        <v>0</v>
      </c>
      <c r="I53" s="109">
        <f t="shared" si="18"/>
        <v>0</v>
      </c>
      <c r="J53" s="101">
        <f t="shared" si="18"/>
        <v>0</v>
      </c>
      <c r="K53" s="101">
        <f t="shared" si="18"/>
        <v>0</v>
      </c>
      <c r="L53" s="101">
        <f>SUM(L50:L52)</f>
        <v>0</v>
      </c>
      <c r="M53" s="101">
        <f t="shared" si="18"/>
        <v>0</v>
      </c>
      <c r="N53" s="101">
        <f t="shared" si="18"/>
        <v>0</v>
      </c>
      <c r="O53" s="110">
        <f t="shared" si="18"/>
        <v>0</v>
      </c>
      <c r="P53" s="208"/>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BO53" s="47"/>
      <c r="BP53" s="47"/>
      <c r="BQ53" s="47"/>
      <c r="BR53" s="47"/>
    </row>
    <row r="54" spans="2:70" s="125" customFormat="1">
      <c r="B54" s="197" t="s">
        <v>525</v>
      </c>
      <c r="C54" s="217" t="s">
        <v>202</v>
      </c>
      <c r="D54" s="237">
        <v>0</v>
      </c>
      <c r="E54" s="229">
        <f>-(Assumptions!D26+Assumptions!D27)*'Site 7 - Financial'!D12</f>
        <v>0</v>
      </c>
      <c r="F54" s="364">
        <f>E54*(1+Assumptions!$F$8)</f>
        <v>0</v>
      </c>
      <c r="G54" s="237">
        <f>-(Assumptions!D30*'Site 7 - Financial'!D12)*(1+Assumptions!$F$8)^G2</f>
        <v>0</v>
      </c>
      <c r="H54" s="230">
        <f>G54*(1+Assumptions!$F$8)</f>
        <v>0</v>
      </c>
      <c r="I54" s="237">
        <f>H54*(1+Assumptions!$F$8)</f>
        <v>0</v>
      </c>
      <c r="J54" s="229">
        <f>H54*(1+Assumptions!$F$8)</f>
        <v>0</v>
      </c>
      <c r="K54" s="229">
        <f>I54*(1+Assumptions!$F$8)</f>
        <v>0</v>
      </c>
      <c r="L54" s="229">
        <f>K54*(1+Assumptions!$F$8)</f>
        <v>0</v>
      </c>
      <c r="M54" s="229">
        <f>L54*(1+Assumptions!$F$8)</f>
        <v>0</v>
      </c>
      <c r="N54" s="229">
        <f>M54*(1+Assumptions!$F$8)</f>
        <v>0</v>
      </c>
      <c r="O54" s="230">
        <f>N54*(1+Assumptions!$F$8)</f>
        <v>0</v>
      </c>
      <c r="P54" s="208"/>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BO54" s="47"/>
      <c r="BP54" s="47"/>
      <c r="BQ54" s="47"/>
      <c r="BR54" s="47"/>
    </row>
    <row r="55" spans="2:70" s="125" customFormat="1">
      <c r="B55" s="186" t="s">
        <v>316</v>
      </c>
      <c r="C55" s="217" t="s">
        <v>202</v>
      </c>
      <c r="D55" s="237">
        <f t="shared" ref="D55:O55" si="19">-5%*D53</f>
        <v>0</v>
      </c>
      <c r="E55" s="229">
        <f t="shared" si="19"/>
        <v>0</v>
      </c>
      <c r="F55" s="364">
        <f t="shared" si="19"/>
        <v>0</v>
      </c>
      <c r="G55" s="237">
        <f t="shared" si="19"/>
        <v>0</v>
      </c>
      <c r="H55" s="230">
        <f t="shared" si="19"/>
        <v>0</v>
      </c>
      <c r="I55" s="237">
        <f t="shared" si="19"/>
        <v>0</v>
      </c>
      <c r="J55" s="229">
        <f t="shared" si="19"/>
        <v>0</v>
      </c>
      <c r="K55" s="229">
        <f t="shared" si="19"/>
        <v>0</v>
      </c>
      <c r="L55" s="229">
        <f t="shared" si="19"/>
        <v>0</v>
      </c>
      <c r="M55" s="229">
        <f t="shared" si="19"/>
        <v>0</v>
      </c>
      <c r="N55" s="229">
        <f t="shared" si="19"/>
        <v>0</v>
      </c>
      <c r="O55" s="230">
        <f t="shared" si="19"/>
        <v>0</v>
      </c>
      <c r="P55" s="208"/>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BO55" s="47"/>
      <c r="BP55" s="47"/>
      <c r="BQ55" s="47"/>
      <c r="BR55" s="47"/>
    </row>
    <row r="56" spans="2:70" s="125" customFormat="1">
      <c r="B56" s="225" t="s">
        <v>94</v>
      </c>
      <c r="C56" s="226" t="s">
        <v>202</v>
      </c>
      <c r="D56" s="109">
        <f t="shared" ref="D56:O56" si="20">SUM(D53:D55)</f>
        <v>0</v>
      </c>
      <c r="E56" s="101">
        <f t="shared" si="20"/>
        <v>0</v>
      </c>
      <c r="F56" s="365">
        <f t="shared" si="20"/>
        <v>0</v>
      </c>
      <c r="G56" s="109">
        <f t="shared" si="20"/>
        <v>0</v>
      </c>
      <c r="H56" s="110">
        <f t="shared" si="20"/>
        <v>0</v>
      </c>
      <c r="I56" s="109">
        <f>SUM(I53:I55)</f>
        <v>0</v>
      </c>
      <c r="J56" s="101">
        <f t="shared" ref="J56" si="21">SUM(J53:J55)</f>
        <v>0</v>
      </c>
      <c r="K56" s="101">
        <f t="shared" si="20"/>
        <v>0</v>
      </c>
      <c r="L56" s="101">
        <f>SUM(L53:L55)</f>
        <v>0</v>
      </c>
      <c r="M56" s="101">
        <f t="shared" si="20"/>
        <v>0</v>
      </c>
      <c r="N56" s="101">
        <f t="shared" si="20"/>
        <v>0</v>
      </c>
      <c r="O56" s="110">
        <f t="shared" si="20"/>
        <v>0</v>
      </c>
      <c r="P56" s="208"/>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BO56" s="47"/>
      <c r="BP56" s="47"/>
      <c r="BQ56" s="47"/>
      <c r="BR56" s="47"/>
    </row>
    <row r="57" spans="2:70" s="125" customFormat="1" ht="15.75" thickBot="1">
      <c r="B57" s="189" t="s">
        <v>317</v>
      </c>
      <c r="C57" s="218" t="s">
        <v>202</v>
      </c>
      <c r="D57" s="238">
        <v>0</v>
      </c>
      <c r="E57" s="231">
        <v>0</v>
      </c>
      <c r="F57" s="861">
        <v>0</v>
      </c>
      <c r="G57" s="863">
        <v>0</v>
      </c>
      <c r="H57" s="232">
        <v>0</v>
      </c>
      <c r="I57" s="863">
        <f>J56/Assumptions!I8</f>
        <v>0</v>
      </c>
      <c r="J57" s="866" t="s">
        <v>202</v>
      </c>
      <c r="K57" s="866" t="s">
        <v>202</v>
      </c>
      <c r="L57" s="866" t="s">
        <v>202</v>
      </c>
      <c r="M57" s="866" t="s">
        <v>202</v>
      </c>
      <c r="N57" s="866" t="s">
        <v>202</v>
      </c>
      <c r="O57" s="232" t="s">
        <v>202</v>
      </c>
      <c r="P57" s="208"/>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BO57" s="47"/>
      <c r="BP57" s="47"/>
      <c r="BQ57" s="47"/>
      <c r="BR57" s="47"/>
    </row>
    <row r="58" spans="2:70" s="279" customFormat="1">
      <c r="B58" s="280" t="s">
        <v>326</v>
      </c>
      <c r="C58" s="281"/>
      <c r="D58" s="282"/>
      <c r="E58" s="233"/>
      <c r="F58" s="876"/>
      <c r="G58" s="282"/>
      <c r="H58" s="283"/>
      <c r="I58" s="282"/>
      <c r="J58" s="233"/>
      <c r="K58" s="233"/>
      <c r="L58" s="233"/>
      <c r="M58" s="233"/>
      <c r="N58" s="233"/>
      <c r="O58" s="283"/>
      <c r="AP58" s="284"/>
      <c r="AQ58" s="284"/>
      <c r="AR58" s="284"/>
      <c r="AS58" s="284"/>
    </row>
    <row r="59" spans="2:70" s="125" customFormat="1" ht="15.75" thickBot="1">
      <c r="B59" s="186" t="s">
        <v>327</v>
      </c>
      <c r="C59" s="219" t="s">
        <v>202</v>
      </c>
      <c r="D59" s="239">
        <v>0</v>
      </c>
      <c r="E59" s="234">
        <v>0</v>
      </c>
      <c r="F59" s="367">
        <v>0</v>
      </c>
      <c r="G59" s="900" t="s">
        <v>202</v>
      </c>
      <c r="H59" s="877" t="s">
        <v>202</v>
      </c>
      <c r="I59" s="239">
        <f>'Site 7 - Financial'!F8*0.98</f>
        <v>86742250</v>
      </c>
      <c r="J59" s="234" t="s">
        <v>202</v>
      </c>
      <c r="K59" s="234" t="s">
        <v>202</v>
      </c>
      <c r="L59" s="234" t="s">
        <v>202</v>
      </c>
      <c r="M59" s="234" t="s">
        <v>202</v>
      </c>
      <c r="N59" s="234" t="s">
        <v>202</v>
      </c>
      <c r="O59" s="235" t="s">
        <v>202</v>
      </c>
      <c r="AP59" s="47"/>
      <c r="AQ59" s="47"/>
      <c r="AR59" s="47"/>
      <c r="AS59" s="47"/>
    </row>
    <row r="60" spans="2:70" s="125" customFormat="1" ht="15.75" thickBot="1">
      <c r="B60" s="240" t="s">
        <v>328</v>
      </c>
      <c r="C60" s="336">
        <f>IRR(G60:I60)</f>
        <v>0.30680495737591462</v>
      </c>
      <c r="D60" s="241">
        <f>D30</f>
        <v>0</v>
      </c>
      <c r="E60" s="242">
        <f>E30</f>
        <v>0</v>
      </c>
      <c r="F60" s="362">
        <f>F30</f>
        <v>0</v>
      </c>
      <c r="G60" s="241">
        <f>-G30</f>
        <v>-28928518.160061985</v>
      </c>
      <c r="H60" s="243">
        <f>-H30</f>
        <v>-44554515.521632232</v>
      </c>
      <c r="I60" s="241">
        <f>SUM(I38:I39,I56:I57,I47:I48,I30,I59)</f>
        <v>107626426.11928803</v>
      </c>
      <c r="J60" s="242">
        <v>0</v>
      </c>
      <c r="K60" s="242">
        <v>0</v>
      </c>
      <c r="L60" s="242">
        <v>0</v>
      </c>
      <c r="M60" s="242">
        <v>0</v>
      </c>
      <c r="N60" s="242">
        <v>0</v>
      </c>
      <c r="O60" s="243" t="s">
        <v>202</v>
      </c>
      <c r="P60" s="208"/>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BO60" s="47"/>
      <c r="BP60" s="47"/>
      <c r="BQ60" s="47"/>
      <c r="BR60" s="47"/>
    </row>
    <row r="61" spans="2:70" s="125" customFormat="1">
      <c r="B61" s="186" t="s">
        <v>331</v>
      </c>
      <c r="C61" s="244">
        <f>Assumptions!I13</f>
        <v>5.2499999999999998E-2</v>
      </c>
      <c r="D61" s="239" t="s">
        <v>202</v>
      </c>
      <c r="E61" s="234" t="s">
        <v>202</v>
      </c>
      <c r="F61" s="367" t="s">
        <v>202</v>
      </c>
      <c r="G61" s="239">
        <f>C61*-'Site 7 - Financial'!E17</f>
        <v>-2121822.5975589203</v>
      </c>
      <c r="H61" s="235">
        <f t="shared" ref="H61:I61" si="22">G61</f>
        <v>-2121822.5975589203</v>
      </c>
      <c r="I61" s="239">
        <f t="shared" si="22"/>
        <v>-2121822.5975589203</v>
      </c>
      <c r="J61" s="234" t="s">
        <v>202</v>
      </c>
      <c r="K61" s="234" t="s">
        <v>202</v>
      </c>
      <c r="L61" s="234" t="s">
        <v>202</v>
      </c>
      <c r="M61" s="234" t="s">
        <v>202</v>
      </c>
      <c r="N61" s="234" t="s">
        <v>202</v>
      </c>
      <c r="O61" s="235" t="s">
        <v>202</v>
      </c>
      <c r="P61" s="208"/>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BO61" s="47"/>
      <c r="BP61" s="47"/>
      <c r="BQ61" s="47"/>
      <c r="BR61" s="47"/>
    </row>
    <row r="62" spans="2:70" s="191" customFormat="1" outlineLevel="1">
      <c r="B62" s="337" t="s">
        <v>393</v>
      </c>
      <c r="C62" s="338"/>
      <c r="D62" s="339" t="s">
        <v>202</v>
      </c>
      <c r="E62" s="340" t="s">
        <v>202</v>
      </c>
      <c r="F62" s="368" t="s">
        <v>202</v>
      </c>
      <c r="G62" s="339">
        <f>'Site 7 - Financial'!E17</f>
        <v>40415668.524931818</v>
      </c>
      <c r="H62" s="386">
        <f>G62</f>
        <v>40415668.524931818</v>
      </c>
      <c r="I62" s="339">
        <f>-H62</f>
        <v>-40415668.524931818</v>
      </c>
      <c r="J62" s="340" t="s">
        <v>202</v>
      </c>
      <c r="K62" s="340" t="s">
        <v>202</v>
      </c>
      <c r="L62" s="340" t="s">
        <v>202</v>
      </c>
      <c r="M62" s="340" t="s">
        <v>202</v>
      </c>
      <c r="N62" s="340" t="s">
        <v>202</v>
      </c>
      <c r="O62" s="386" t="s">
        <v>202</v>
      </c>
      <c r="P62" s="342"/>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BO62" s="344"/>
      <c r="BP62" s="344"/>
      <c r="BQ62" s="344"/>
      <c r="BR62" s="344"/>
    </row>
    <row r="63" spans="2:70" s="125" customFormat="1" ht="15.75" thickBot="1">
      <c r="B63" s="186" t="s">
        <v>332</v>
      </c>
      <c r="C63" s="219"/>
      <c r="D63" s="239" t="s">
        <v>202</v>
      </c>
      <c r="E63" s="234" t="s">
        <v>202</v>
      </c>
      <c r="F63" s="367" t="s">
        <v>202</v>
      </c>
      <c r="G63" s="239">
        <f>-G30*'Site 7 - Financial'!$D$18</f>
        <v>-13017833.172027892</v>
      </c>
      <c r="H63" s="235">
        <f>-H30*'Site 7 - Financial'!$D$18</f>
        <v>-20049531.984734502</v>
      </c>
      <c r="I63" s="239">
        <v>0</v>
      </c>
      <c r="J63" s="234" t="s">
        <v>202</v>
      </c>
      <c r="K63" s="234" t="s">
        <v>202</v>
      </c>
      <c r="L63" s="234" t="s">
        <v>202</v>
      </c>
      <c r="M63" s="234" t="s">
        <v>202</v>
      </c>
      <c r="N63" s="234" t="s">
        <v>202</v>
      </c>
      <c r="O63" s="235" t="s">
        <v>202</v>
      </c>
      <c r="P63" s="208"/>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BO63" s="47"/>
      <c r="BP63" s="47"/>
      <c r="BQ63" s="47"/>
      <c r="BR63" s="47"/>
    </row>
    <row r="64" spans="2:70" s="137" customFormat="1" ht="15.75" thickBot="1">
      <c r="B64" s="240" t="s">
        <v>329</v>
      </c>
      <c r="C64" s="336">
        <f>IRR(G64:I64)</f>
        <v>0.46672473848926432</v>
      </c>
      <c r="D64" s="241">
        <v>0</v>
      </c>
      <c r="E64" s="242">
        <v>0</v>
      </c>
      <c r="F64" s="362">
        <v>0</v>
      </c>
      <c r="G64" s="241">
        <f>G63+G61</f>
        <v>-15139655.769586813</v>
      </c>
      <c r="H64" s="243">
        <f>H63+H61</f>
        <v>-22171354.582293421</v>
      </c>
      <c r="I64" s="241">
        <f>SUM(I60:I63)</f>
        <v>65088934.996797293</v>
      </c>
      <c r="J64" s="242">
        <v>0</v>
      </c>
      <c r="K64" s="242">
        <v>0</v>
      </c>
      <c r="L64" s="242">
        <v>0</v>
      </c>
      <c r="M64" s="242">
        <v>0</v>
      </c>
      <c r="N64" s="242">
        <v>0</v>
      </c>
      <c r="O64" s="243" t="s">
        <v>202</v>
      </c>
      <c r="P64" s="208"/>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BO64" s="248"/>
      <c r="BP64" s="248"/>
      <c r="BQ64" s="248"/>
      <c r="BR64" s="248"/>
    </row>
    <row r="65" spans="1:70" s="89" customFormat="1">
      <c r="A65" s="125"/>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O65" s="48"/>
      <c r="BP65" s="48"/>
      <c r="BQ65" s="48"/>
      <c r="BR65" s="48"/>
    </row>
    <row r="66" spans="1:70" s="89" customFormat="1">
      <c r="A66" s="125"/>
      <c r="B66" s="48"/>
      <c r="C66" s="171"/>
      <c r="D66" s="48"/>
      <c r="E66" s="48"/>
      <c r="F66" s="48"/>
      <c r="G66" s="48"/>
      <c r="H66" s="48"/>
      <c r="I66" s="292"/>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O66" s="48"/>
      <c r="BP66" s="48"/>
      <c r="BQ66" s="48"/>
      <c r="BR66" s="48"/>
    </row>
    <row r="67" spans="1:70" s="89" customFormat="1">
      <c r="A67" s="125"/>
      <c r="B67" s="48"/>
      <c r="C67" s="171"/>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O67" s="48"/>
      <c r="BP67" s="48"/>
      <c r="BQ67" s="48"/>
      <c r="BR67" s="48"/>
    </row>
    <row r="68" spans="1:70" s="89" customFormat="1">
      <c r="A68" s="125"/>
      <c r="B68" s="136"/>
      <c r="C68" s="176"/>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O68" s="48"/>
      <c r="BP68" s="48"/>
      <c r="BQ68" s="48"/>
      <c r="BR68" s="48"/>
    </row>
    <row r="69" spans="1:70" s="89" customFormat="1">
      <c r="A69" s="12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O69" s="48"/>
      <c r="BP69" s="48"/>
      <c r="BQ69" s="48"/>
      <c r="BR69" s="48"/>
    </row>
  </sheetData>
  <mergeCells count="1">
    <mergeCell ref="B2:B4"/>
  </mergeCells>
  <conditionalFormatting sqref="D4:AN4">
    <cfRule type="cellIs" dxfId="11" priority="1" operator="equal">
      <formula>#REF!</formula>
    </cfRule>
    <cfRule type="cellIs" dxfId="10" priority="2" operator="equal">
      <formula>#REF!</formula>
    </cfRule>
    <cfRule type="cellIs" dxfId="9" priority="3" operator="equal">
      <formula>#REF!</formula>
    </cfRule>
    <cfRule type="cellIs" dxfId="8" priority="4" operator="equal">
      <formula>#REF!</formula>
    </cfRule>
  </conditionalFormatting>
  <conditionalFormatting sqref="AM5:AN5">
    <cfRule type="cellIs" dxfId="7" priority="5" operator="equal">
      <formula>#REF!</formula>
    </cfRule>
    <cfRule type="cellIs" dxfId="6" priority="6" operator="equal">
      <formula>#REF!</formula>
    </cfRule>
    <cfRule type="cellIs" dxfId="5" priority="7" operator="equal">
      <formula>#REF!</formula>
    </cfRule>
    <cfRule type="cellIs" dxfId="4" priority="8" operator="equal">
      <formula>#REF!</formula>
    </cfRule>
    <cfRule type="cellIs" dxfId="3" priority="9" operator="equal">
      <formula>#REF!</formula>
    </cfRule>
    <cfRule type="cellIs" dxfId="2" priority="10" operator="equal">
      <formula>#REF!</formula>
    </cfRule>
    <cfRule type="cellIs" dxfId="1" priority="11" operator="equal">
      <formula>#REF!</formula>
    </cfRule>
    <cfRule type="cellIs" dxfId="0" priority="12"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8FE95-4ED2-40C2-A093-ADB7D34F28F5}">
  <sheetPr>
    <tabColor rgb="FF00B0F0"/>
  </sheetPr>
  <dimension ref="A2:J41"/>
  <sheetViews>
    <sheetView tabSelected="1" topLeftCell="A3" zoomScaleNormal="100" zoomScaleSheetLayoutView="125" workbookViewId="0">
      <selection activeCell="D8" sqref="D8"/>
    </sheetView>
  </sheetViews>
  <sheetFormatPr defaultColWidth="12.140625" defaultRowHeight="12.75"/>
  <cols>
    <col min="1" max="1" width="3.28515625" style="44" customWidth="1"/>
    <col min="2" max="2" width="31" style="44" customWidth="1"/>
    <col min="3" max="3" width="15.7109375" style="44" bestFit="1" customWidth="1"/>
    <col min="4" max="4" width="24.140625" style="44" bestFit="1" customWidth="1"/>
    <col min="5" max="5" width="38.140625" style="44" customWidth="1"/>
    <col min="6" max="6" width="29.28515625" style="44" customWidth="1"/>
    <col min="7" max="7" width="33.140625" style="44" customWidth="1"/>
    <col min="8" max="9" width="29.28515625" style="44" customWidth="1"/>
    <col min="10" max="10" width="12.140625" style="44"/>
    <col min="11" max="11" width="36" style="44" bestFit="1" customWidth="1"/>
    <col min="12" max="12" width="21.85546875" style="44" bestFit="1" customWidth="1"/>
    <col min="13" max="13" width="12.140625" style="44"/>
    <col min="14" max="14" width="18.42578125" style="44" bestFit="1" customWidth="1"/>
    <col min="15" max="16384" width="12.140625" style="44"/>
  </cols>
  <sheetData>
    <row r="2" spans="2:10">
      <c r="B2" s="85" t="s">
        <v>645</v>
      </c>
      <c r="D2" s="442"/>
      <c r="E2" s="442"/>
    </row>
    <row r="3" spans="2:10" ht="13.5" thickBot="1">
      <c r="C3" s="45"/>
      <c r="D3" s="46"/>
      <c r="E3" s="46"/>
      <c r="F3" s="46"/>
      <c r="G3" s="46"/>
    </row>
    <row r="4" spans="2:10" ht="27" customHeight="1" thickBot="1">
      <c r="B4" s="1064" t="s">
        <v>697</v>
      </c>
      <c r="C4" s="1065"/>
      <c r="D4" s="1065"/>
      <c r="E4" s="1065"/>
      <c r="F4" s="1065"/>
      <c r="G4" s="1065"/>
      <c r="H4" s="1065"/>
      <c r="I4" s="1066"/>
      <c r="J4" s="46"/>
    </row>
    <row r="5" spans="2:10" ht="15.95" customHeight="1">
      <c r="B5" s="1062" t="s">
        <v>13</v>
      </c>
      <c r="C5" s="1069"/>
      <c r="D5" s="1063"/>
      <c r="E5" s="1059" t="s">
        <v>675</v>
      </c>
      <c r="F5" s="1060"/>
      <c r="G5" s="1061"/>
      <c r="H5" s="1062" t="s">
        <v>394</v>
      </c>
      <c r="I5" s="1063"/>
    </row>
    <row r="6" spans="2:10" ht="13.5" thickBot="1">
      <c r="B6" s="582" t="s">
        <v>289</v>
      </c>
      <c r="C6" s="352" t="s">
        <v>193</v>
      </c>
      <c r="D6" s="353" t="s">
        <v>490</v>
      </c>
      <c r="E6" s="134" t="s">
        <v>319</v>
      </c>
      <c r="F6" s="135" t="s">
        <v>1</v>
      </c>
      <c r="G6" s="190" t="s">
        <v>0</v>
      </c>
      <c r="H6" s="575" t="s">
        <v>14</v>
      </c>
      <c r="I6" s="909">
        <f>'Market Research'!C6</f>
        <v>0.05</v>
      </c>
    </row>
    <row r="7" spans="2:10">
      <c r="B7" s="583" t="s">
        <v>200</v>
      </c>
      <c r="C7" s="348">
        <v>450</v>
      </c>
      <c r="D7" s="354">
        <v>2000</v>
      </c>
      <c r="E7" s="198" t="s">
        <v>320</v>
      </c>
      <c r="F7" s="195">
        <v>35</v>
      </c>
      <c r="G7" s="196">
        <v>45</v>
      </c>
      <c r="H7" s="575" t="s">
        <v>15</v>
      </c>
      <c r="I7" s="909">
        <f>'Market Research'!C5</f>
        <v>4.7500000000000001E-2</v>
      </c>
    </row>
    <row r="8" spans="2:10" ht="25.5">
      <c r="B8" s="584" t="s">
        <v>201</v>
      </c>
      <c r="C8" s="349">
        <v>450</v>
      </c>
      <c r="D8" s="346">
        <v>1350</v>
      </c>
      <c r="E8" s="944" t="s">
        <v>606</v>
      </c>
      <c r="F8" s="945">
        <v>0.03</v>
      </c>
      <c r="G8" s="909">
        <v>0.03</v>
      </c>
      <c r="H8" s="575" t="s">
        <v>0</v>
      </c>
      <c r="I8" s="909">
        <f>'Market Research'!C67</f>
        <v>0.05</v>
      </c>
    </row>
    <row r="9" spans="2:10" ht="13.5" thickBot="1">
      <c r="B9" s="584" t="s">
        <v>194</v>
      </c>
      <c r="C9" s="350">
        <v>650</v>
      </c>
      <c r="D9" s="346">
        <v>2400</v>
      </c>
      <c r="E9" s="199" t="s">
        <v>676</v>
      </c>
      <c r="F9" s="981">
        <f>'Market Research'!H125</f>
        <v>150</v>
      </c>
      <c r="G9" s="982">
        <f>F9</f>
        <v>150</v>
      </c>
      <c r="H9" s="575" t="s">
        <v>1</v>
      </c>
      <c r="I9" s="909">
        <f>'Market Research'!C91</f>
        <v>4.4999999999999998E-2</v>
      </c>
      <c r="J9" s="47"/>
    </row>
    <row r="10" spans="2:10">
      <c r="B10" s="584" t="s">
        <v>195</v>
      </c>
      <c r="C10" s="349">
        <v>650</v>
      </c>
      <c r="D10" s="346">
        <v>1300</v>
      </c>
      <c r="E10" s="199" t="s">
        <v>677</v>
      </c>
      <c r="F10" s="247">
        <v>0.06</v>
      </c>
      <c r="G10" s="983">
        <v>0.06</v>
      </c>
      <c r="H10" s="1062" t="s">
        <v>405</v>
      </c>
      <c r="I10" s="1063"/>
      <c r="J10" s="48"/>
    </row>
    <row r="11" spans="2:10">
      <c r="B11" s="584" t="s">
        <v>196</v>
      </c>
      <c r="C11" s="350">
        <v>1000</v>
      </c>
      <c r="D11" s="346">
        <v>3400</v>
      </c>
      <c r="E11" s="1081" t="s">
        <v>678</v>
      </c>
      <c r="F11" s="1082"/>
      <c r="G11" s="1083"/>
      <c r="H11" s="977" t="s">
        <v>403</v>
      </c>
      <c r="I11" s="978">
        <v>0.55000000000000004</v>
      </c>
    </row>
    <row r="12" spans="2:10">
      <c r="B12" s="584" t="s">
        <v>197</v>
      </c>
      <c r="C12" s="349">
        <v>1000</v>
      </c>
      <c r="D12" s="438">
        <v>1250</v>
      </c>
      <c r="E12" s="1081"/>
      <c r="F12" s="1082"/>
      <c r="G12" s="1083"/>
      <c r="H12" s="977" t="s">
        <v>404</v>
      </c>
      <c r="I12" s="978">
        <f>1-I11</f>
        <v>0.44999999999999996</v>
      </c>
    </row>
    <row r="13" spans="2:10">
      <c r="B13" s="584" t="s">
        <v>198</v>
      </c>
      <c r="C13" s="350">
        <v>1200</v>
      </c>
      <c r="D13" s="346">
        <v>4600</v>
      </c>
      <c r="E13" s="1081"/>
      <c r="F13" s="1082"/>
      <c r="G13" s="1083"/>
      <c r="H13" s="977" t="s">
        <v>406</v>
      </c>
      <c r="I13" s="909">
        <v>5.2499999999999998E-2</v>
      </c>
    </row>
    <row r="14" spans="2:10" ht="21.95" customHeight="1" thickBot="1">
      <c r="B14" s="585" t="s">
        <v>199</v>
      </c>
      <c r="C14" s="351">
        <v>1200</v>
      </c>
      <c r="D14" s="347">
        <v>1200</v>
      </c>
      <c r="E14" s="1084"/>
      <c r="F14" s="1085"/>
      <c r="G14" s="1086"/>
      <c r="H14" s="979" t="s">
        <v>647</v>
      </c>
      <c r="I14" s="980" t="s">
        <v>648</v>
      </c>
    </row>
    <row r="15" spans="2:10" ht="15.95" customHeight="1" thickBot="1">
      <c r="B15" s="1075"/>
      <c r="C15" s="1076"/>
      <c r="D15" s="1076"/>
      <c r="E15" s="1076"/>
      <c r="F15" s="1076"/>
      <c r="G15" s="1076"/>
      <c r="H15" s="1076"/>
      <c r="I15" s="1077"/>
    </row>
    <row r="16" spans="2:10" ht="29.1" customHeight="1">
      <c r="B16" s="1078" t="s">
        <v>16</v>
      </c>
      <c r="C16" s="1079"/>
      <c r="D16" s="1079"/>
      <c r="E16" s="1080"/>
      <c r="F16" s="1072" t="s">
        <v>124</v>
      </c>
      <c r="G16" s="1073"/>
      <c r="H16" s="1073"/>
      <c r="I16" s="1074"/>
    </row>
    <row r="17" spans="2:9" ht="12.95" customHeight="1">
      <c r="B17" s="1070" t="s">
        <v>515</v>
      </c>
      <c r="C17" s="1071"/>
      <c r="D17" s="1049">
        <f>'Site 1 - Financial'!C26+'Site 2 - Financial'!C27+'Site 3 - Financial'!C27+'Site 4 - Financial'!C20+'Site 5 - Financial'!C27+'Site 6 - Financial'!C20</f>
        <v>765</v>
      </c>
      <c r="E17" s="1050"/>
      <c r="F17" s="1067" t="s">
        <v>17</v>
      </c>
      <c r="G17" s="1068"/>
      <c r="H17" s="1051" t="s">
        <v>18</v>
      </c>
      <c r="I17" s="1052"/>
    </row>
    <row r="18" spans="2:9" ht="27.95" customHeight="1">
      <c r="B18" s="1053" t="s">
        <v>514</v>
      </c>
      <c r="C18" s="1054"/>
      <c r="D18" s="1047">
        <f>'Site 1 - Financial'!C27+'Site 2 - Financial'!C28+'Site 3 - Financial'!C28+'Site 4 - Financial'!C21+'Site 5 - Financial'!C28+'Site 6 - Financial'!C21</f>
        <v>665</v>
      </c>
      <c r="E18" s="1048"/>
      <c r="F18" s="1057" t="s">
        <v>306</v>
      </c>
      <c r="G18" s="1058"/>
      <c r="H18" s="1055" t="s">
        <v>545</v>
      </c>
      <c r="I18" s="1056"/>
    </row>
    <row r="19" spans="2:9">
      <c r="B19" s="1094" t="s">
        <v>516</v>
      </c>
      <c r="C19" s="1095"/>
      <c r="D19" s="1100">
        <v>330</v>
      </c>
      <c r="E19" s="1101"/>
      <c r="F19" s="1045" t="s">
        <v>305</v>
      </c>
      <c r="G19" s="1046"/>
      <c r="H19" s="1041" t="s">
        <v>547</v>
      </c>
      <c r="I19" s="1042"/>
    </row>
    <row r="20" spans="2:9" ht="12.95" customHeight="1">
      <c r="B20" s="1094" t="s">
        <v>561</v>
      </c>
      <c r="C20" s="1095"/>
      <c r="D20" s="1043">
        <v>250</v>
      </c>
      <c r="E20" s="1044"/>
      <c r="F20" s="1045" t="s">
        <v>307</v>
      </c>
      <c r="G20" s="1046"/>
      <c r="H20" s="1041" t="s">
        <v>546</v>
      </c>
      <c r="I20" s="1042"/>
    </row>
    <row r="21" spans="2:9" ht="12.95" customHeight="1">
      <c r="B21" s="1096" t="s">
        <v>562</v>
      </c>
      <c r="C21" s="1097"/>
      <c r="D21" s="1043">
        <v>350</v>
      </c>
      <c r="E21" s="1044"/>
      <c r="F21" s="1045" t="s">
        <v>19</v>
      </c>
      <c r="G21" s="1046"/>
      <c r="H21" s="1041" t="s">
        <v>548</v>
      </c>
      <c r="I21" s="1042"/>
    </row>
    <row r="22" spans="2:9" ht="12.95" customHeight="1" thickBot="1">
      <c r="B22" s="1098" t="s">
        <v>563</v>
      </c>
      <c r="C22" s="1099"/>
      <c r="D22" s="1043">
        <v>150</v>
      </c>
      <c r="E22" s="1044"/>
      <c r="F22" s="1045" t="s">
        <v>20</v>
      </c>
      <c r="G22" s="1046"/>
      <c r="H22" s="1041" t="s">
        <v>549</v>
      </c>
      <c r="I22" s="1042"/>
    </row>
    <row r="23" spans="2:9" ht="12.95" customHeight="1">
      <c r="B23" s="1087" t="s">
        <v>315</v>
      </c>
      <c r="C23" s="1088"/>
      <c r="D23" s="1088"/>
      <c r="E23" s="1089"/>
      <c r="F23" s="1045" t="s">
        <v>21</v>
      </c>
      <c r="G23" s="1046"/>
      <c r="H23" s="1041" t="s">
        <v>550</v>
      </c>
      <c r="I23" s="1042"/>
    </row>
    <row r="24" spans="2:9" ht="12.95" customHeight="1">
      <c r="B24" s="142" t="s">
        <v>309</v>
      </c>
      <c r="C24" s="140" t="s">
        <v>310</v>
      </c>
      <c r="D24" s="140" t="s">
        <v>314</v>
      </c>
      <c r="E24" s="114" t="s">
        <v>318</v>
      </c>
      <c r="F24" s="1045" t="s">
        <v>22</v>
      </c>
      <c r="G24" s="1046"/>
      <c r="H24" s="1041" t="s">
        <v>551</v>
      </c>
      <c r="I24" s="1042"/>
    </row>
    <row r="25" spans="2:9" ht="12.95" customHeight="1">
      <c r="B25" s="172" t="s">
        <v>311</v>
      </c>
      <c r="C25" s="191" t="s">
        <v>312</v>
      </c>
      <c r="D25" s="192">
        <v>0.15</v>
      </c>
      <c r="E25" s="194" t="s">
        <v>222</v>
      </c>
      <c r="F25" s="1045" t="s">
        <v>23</v>
      </c>
      <c r="G25" s="1046"/>
      <c r="H25" s="1041" t="s">
        <v>552</v>
      </c>
      <c r="I25" s="1042"/>
    </row>
    <row r="26" spans="2:9" ht="12.95" customHeight="1">
      <c r="B26" s="172" t="s">
        <v>29</v>
      </c>
      <c r="C26" s="191" t="s">
        <v>312</v>
      </c>
      <c r="D26" s="192">
        <v>0.25</v>
      </c>
      <c r="E26" s="194" t="s">
        <v>312</v>
      </c>
      <c r="F26" s="1045" t="s">
        <v>25</v>
      </c>
      <c r="G26" s="1046"/>
      <c r="H26" s="1041" t="s">
        <v>553</v>
      </c>
      <c r="I26" s="1042"/>
    </row>
    <row r="27" spans="2:9" ht="12.95" customHeight="1">
      <c r="B27" s="141" t="s">
        <v>98</v>
      </c>
      <c r="C27" s="125" t="s">
        <v>312</v>
      </c>
      <c r="D27" s="193">
        <v>2.5</v>
      </c>
      <c r="E27" s="194" t="s">
        <v>312</v>
      </c>
      <c r="F27" s="1045" t="s">
        <v>26</v>
      </c>
      <c r="G27" s="1046"/>
      <c r="H27" s="1041" t="s">
        <v>554</v>
      </c>
      <c r="I27" s="1042"/>
    </row>
    <row r="28" spans="2:9" ht="12.95" customHeight="1">
      <c r="B28" s="141" t="s">
        <v>313</v>
      </c>
      <c r="C28" s="125" t="s">
        <v>312</v>
      </c>
      <c r="D28" s="193">
        <v>1.5</v>
      </c>
      <c r="E28" s="194" t="s">
        <v>222</v>
      </c>
      <c r="F28" s="1045" t="s">
        <v>27</v>
      </c>
      <c r="G28" s="1046"/>
      <c r="H28" s="1041" t="s">
        <v>555</v>
      </c>
      <c r="I28" s="1042"/>
    </row>
    <row r="29" spans="2:9" ht="12.95" customHeight="1" thickBot="1">
      <c r="B29" s="173" t="s">
        <v>366</v>
      </c>
      <c r="C29" s="174" t="s">
        <v>312</v>
      </c>
      <c r="D29" s="175">
        <v>0.5</v>
      </c>
      <c r="E29" s="194" t="s">
        <v>222</v>
      </c>
      <c r="F29" s="1045" t="s">
        <v>28</v>
      </c>
      <c r="G29" s="1046"/>
      <c r="H29" s="1041" t="s">
        <v>556</v>
      </c>
      <c r="I29" s="1042"/>
    </row>
    <row r="30" spans="2:9" ht="12.95" customHeight="1" thickBot="1">
      <c r="B30" s="576" t="s">
        <v>654</v>
      </c>
      <c r="C30" s="577"/>
      <c r="D30" s="578">
        <f>SUM(D25:D29)</f>
        <v>4.9000000000000004</v>
      </c>
      <c r="E30" s="579"/>
      <c r="F30" s="1045" t="s">
        <v>557</v>
      </c>
      <c r="G30" s="1046"/>
      <c r="H30" s="1041" t="s">
        <v>362</v>
      </c>
      <c r="I30" s="1042"/>
    </row>
    <row r="31" spans="2:9" ht="12.95" customHeight="1">
      <c r="B31" s="1087" t="s">
        <v>392</v>
      </c>
      <c r="C31" s="1088"/>
      <c r="D31" s="1088"/>
      <c r="E31" s="1089"/>
      <c r="F31" s="1045" t="s">
        <v>29</v>
      </c>
      <c r="G31" s="1046"/>
      <c r="H31" s="1041" t="s">
        <v>558</v>
      </c>
      <c r="I31" s="1042"/>
    </row>
    <row r="32" spans="2:9" ht="14.1" customHeight="1">
      <c r="B32" s="142" t="s">
        <v>309</v>
      </c>
      <c r="C32" s="140" t="s">
        <v>310</v>
      </c>
      <c r="D32" s="140" t="s">
        <v>314</v>
      </c>
      <c r="E32" s="114" t="s">
        <v>318</v>
      </c>
      <c r="F32" s="1045" t="s">
        <v>30</v>
      </c>
      <c r="G32" s="1046"/>
      <c r="H32" s="1041" t="s">
        <v>552</v>
      </c>
      <c r="I32" s="1042"/>
    </row>
    <row r="33" spans="1:9" ht="12.95" customHeight="1">
      <c r="B33" s="172" t="s">
        <v>311</v>
      </c>
      <c r="C33" s="191" t="s">
        <v>585</v>
      </c>
      <c r="D33" s="192">
        <v>0.75</v>
      </c>
      <c r="E33" s="194" t="s">
        <v>222</v>
      </c>
      <c r="F33" s="1045" t="s">
        <v>31</v>
      </c>
      <c r="G33" s="1046"/>
      <c r="H33" s="1041" t="s">
        <v>551</v>
      </c>
      <c r="I33" s="1042"/>
    </row>
    <row r="34" spans="1:9" ht="12.95" customHeight="1">
      <c r="B34" s="172" t="s">
        <v>29</v>
      </c>
      <c r="C34" s="191" t="s">
        <v>222</v>
      </c>
      <c r="D34" s="192">
        <v>0.75</v>
      </c>
      <c r="E34" s="194" t="s">
        <v>312</v>
      </c>
      <c r="F34" s="1045" t="s">
        <v>32</v>
      </c>
      <c r="G34" s="1046"/>
      <c r="H34" s="1041" t="s">
        <v>679</v>
      </c>
      <c r="I34" s="1042"/>
    </row>
    <row r="35" spans="1:9" ht="12.95" customHeight="1">
      <c r="B35" s="141" t="s">
        <v>98</v>
      </c>
      <c r="C35" s="125" t="s">
        <v>312</v>
      </c>
      <c r="D35" s="193">
        <v>5</v>
      </c>
      <c r="E35" s="194" t="s">
        <v>312</v>
      </c>
      <c r="F35" s="1045" t="s">
        <v>543</v>
      </c>
      <c r="G35" s="1046"/>
      <c r="H35" s="1041" t="s">
        <v>544</v>
      </c>
      <c r="I35" s="1042"/>
    </row>
    <row r="36" spans="1:9" ht="12.95" customHeight="1">
      <c r="B36" s="141" t="s">
        <v>313</v>
      </c>
      <c r="C36" s="125" t="s">
        <v>222</v>
      </c>
      <c r="D36" s="193">
        <v>2</v>
      </c>
      <c r="E36" s="194" t="s">
        <v>222</v>
      </c>
      <c r="F36" s="1045" t="s">
        <v>33</v>
      </c>
      <c r="G36" s="1046"/>
      <c r="H36" s="1041" t="s">
        <v>559</v>
      </c>
      <c r="I36" s="1042"/>
    </row>
    <row r="37" spans="1:9" ht="12.95" customHeight="1" thickBot="1">
      <c r="B37" s="173" t="s">
        <v>366</v>
      </c>
      <c r="C37" s="174" t="s">
        <v>312</v>
      </c>
      <c r="D37" s="175">
        <v>1.5</v>
      </c>
      <c r="E37" s="194" t="s">
        <v>222</v>
      </c>
      <c r="F37" s="1090" t="s">
        <v>34</v>
      </c>
      <c r="G37" s="1091"/>
      <c r="H37" s="1092" t="s">
        <v>560</v>
      </c>
      <c r="I37" s="1093"/>
    </row>
    <row r="38" spans="1:9" ht="12.95" customHeight="1" thickBot="1">
      <c r="B38" s="576" t="s">
        <v>654</v>
      </c>
      <c r="C38" s="577"/>
      <c r="D38" s="578">
        <f>SUM(D33:D37)</f>
        <v>10</v>
      </c>
      <c r="E38" s="579"/>
      <c r="F38" s="580"/>
      <c r="G38" s="580"/>
      <c r="H38" s="580"/>
      <c r="I38" s="581"/>
    </row>
    <row r="40" spans="1:9" ht="14.25">
      <c r="A40" s="946"/>
      <c r="B40" s="946"/>
      <c r="C40" s="947"/>
    </row>
    <row r="41" spans="1:9" ht="14.25">
      <c r="A41" s="946"/>
      <c r="B41" s="946"/>
      <c r="C41" s="947"/>
    </row>
  </sheetData>
  <mergeCells count="65">
    <mergeCell ref="B19:C19"/>
    <mergeCell ref="B20:C20"/>
    <mergeCell ref="B21:C21"/>
    <mergeCell ref="B22:C22"/>
    <mergeCell ref="F29:G29"/>
    <mergeCell ref="F28:G28"/>
    <mergeCell ref="F27:G27"/>
    <mergeCell ref="F26:G26"/>
    <mergeCell ref="F25:G25"/>
    <mergeCell ref="F24:G24"/>
    <mergeCell ref="F23:G23"/>
    <mergeCell ref="B23:E23"/>
    <mergeCell ref="D19:E19"/>
    <mergeCell ref="D20:E20"/>
    <mergeCell ref="D21:E21"/>
    <mergeCell ref="F21:G21"/>
    <mergeCell ref="B31:E31"/>
    <mergeCell ref="H35:I35"/>
    <mergeCell ref="F37:G37"/>
    <mergeCell ref="F36:G36"/>
    <mergeCell ref="F35:G35"/>
    <mergeCell ref="F34:G34"/>
    <mergeCell ref="F33:G33"/>
    <mergeCell ref="F32:G32"/>
    <mergeCell ref="F31:G31"/>
    <mergeCell ref="H31:I31"/>
    <mergeCell ref="H32:I32"/>
    <mergeCell ref="H33:I33"/>
    <mergeCell ref="H34:I34"/>
    <mergeCell ref="H36:I36"/>
    <mergeCell ref="H37:I37"/>
    <mergeCell ref="F30:G30"/>
    <mergeCell ref="H26:I26"/>
    <mergeCell ref="H27:I27"/>
    <mergeCell ref="H28:I28"/>
    <mergeCell ref="H29:I29"/>
    <mergeCell ref="H30:I30"/>
    <mergeCell ref="E5:G5"/>
    <mergeCell ref="H10:I10"/>
    <mergeCell ref="B4:I4"/>
    <mergeCell ref="H5:I5"/>
    <mergeCell ref="F17:G17"/>
    <mergeCell ref="B5:D5"/>
    <mergeCell ref="B17:C17"/>
    <mergeCell ref="F16:I16"/>
    <mergeCell ref="B15:I15"/>
    <mergeCell ref="B16:E16"/>
    <mergeCell ref="E11:G14"/>
    <mergeCell ref="D18:E18"/>
    <mergeCell ref="D17:E17"/>
    <mergeCell ref="H17:I17"/>
    <mergeCell ref="B18:C18"/>
    <mergeCell ref="H18:I18"/>
    <mergeCell ref="F18:G18"/>
    <mergeCell ref="F19:G19"/>
    <mergeCell ref="F20:G20"/>
    <mergeCell ref="H19:I19"/>
    <mergeCell ref="H20:I20"/>
    <mergeCell ref="H23:I23"/>
    <mergeCell ref="H24:I24"/>
    <mergeCell ref="H25:I25"/>
    <mergeCell ref="D22:E22"/>
    <mergeCell ref="H21:I21"/>
    <mergeCell ref="H22:I22"/>
    <mergeCell ref="F22:G22"/>
  </mergeCells>
  <pageMargins left="0.7" right="0.7" top="0.75" bottom="0.75" header="0.3" footer="0.3"/>
  <pageSetup scale="54" pageOrder="overThenDown"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30E0E-9308-B044-9177-B50CF8953988}">
  <sheetPr>
    <tabColor rgb="FFFFFF00"/>
    <pageSetUpPr fitToPage="1"/>
  </sheetPr>
  <dimension ref="C1:M41"/>
  <sheetViews>
    <sheetView view="pageBreakPreview" topLeftCell="A6" zoomScale="25" zoomScaleNormal="25" zoomScaleSheetLayoutView="25" workbookViewId="0">
      <selection activeCell="L18" sqref="L18:M18"/>
    </sheetView>
  </sheetViews>
  <sheetFormatPr defaultColWidth="9.140625" defaultRowHeight="14.25"/>
  <cols>
    <col min="1" max="1" width="9.140625" style="1"/>
    <col min="2" max="2" width="14.28515625" style="1" customWidth="1"/>
    <col min="3" max="3" width="82.28515625" style="1" customWidth="1"/>
    <col min="4" max="12" width="50" style="1" customWidth="1"/>
    <col min="13" max="13" width="206.140625" style="1" customWidth="1"/>
    <col min="14" max="14" width="14.28515625" style="1" customWidth="1"/>
    <col min="15" max="16384" width="9.140625" style="1"/>
  </cols>
  <sheetData>
    <row r="1" spans="3:13" ht="46.5" customHeight="1"/>
    <row r="2" spans="3:13" ht="75" customHeight="1" thickBot="1">
      <c r="M2" s="2"/>
    </row>
    <row r="3" spans="3:13" s="7" customFormat="1" ht="150.75" customHeight="1" thickTop="1" thickBot="1">
      <c r="C3" s="3" t="s">
        <v>111</v>
      </c>
      <c r="D3" s="4" t="s">
        <v>112</v>
      </c>
      <c r="E3" s="4" t="s">
        <v>113</v>
      </c>
      <c r="F3" s="4" t="s">
        <v>114</v>
      </c>
      <c r="G3" s="4" t="s">
        <v>115</v>
      </c>
      <c r="H3" s="5" t="s">
        <v>273</v>
      </c>
      <c r="I3" s="4" t="s">
        <v>116</v>
      </c>
      <c r="J3" s="4" t="s">
        <v>271</v>
      </c>
      <c r="K3" s="5" t="s">
        <v>272</v>
      </c>
      <c r="L3" s="5" t="s">
        <v>119</v>
      </c>
      <c r="M3" s="6" t="s">
        <v>211</v>
      </c>
    </row>
    <row r="4" spans="3:13" ht="150.75" customHeight="1" thickTop="1">
      <c r="C4" s="8" t="s">
        <v>270</v>
      </c>
      <c r="D4" s="9" t="s">
        <v>214</v>
      </c>
      <c r="E4" s="9" t="s">
        <v>215</v>
      </c>
      <c r="F4" s="10">
        <v>45082</v>
      </c>
      <c r="G4" s="11">
        <v>33700000</v>
      </c>
      <c r="H4" s="11">
        <f t="shared" ref="H4:H7" si="0">G4/J4</f>
        <v>269600</v>
      </c>
      <c r="I4" s="12">
        <v>2.3699999999999999E-2</v>
      </c>
      <c r="J4" s="13">
        <v>125</v>
      </c>
      <c r="K4" s="11">
        <f t="shared" ref="K4:K7" si="1">(I4*G4)/J4</f>
        <v>6389.52</v>
      </c>
      <c r="L4" s="9" t="s">
        <v>274</v>
      </c>
      <c r="M4" s="14" t="s">
        <v>269</v>
      </c>
    </row>
    <row r="5" spans="3:13" ht="329.1" customHeight="1">
      <c r="C5" s="8" t="s">
        <v>275</v>
      </c>
      <c r="D5" s="9" t="s">
        <v>214</v>
      </c>
      <c r="E5" s="9" t="s">
        <v>215</v>
      </c>
      <c r="F5" s="10">
        <v>45055</v>
      </c>
      <c r="G5" s="11">
        <v>63250000</v>
      </c>
      <c r="H5" s="11">
        <f t="shared" si="0"/>
        <v>334656.08465608465</v>
      </c>
      <c r="I5" s="12">
        <v>2.53E-2</v>
      </c>
      <c r="J5" s="13">
        <v>189</v>
      </c>
      <c r="K5" s="11">
        <f t="shared" si="1"/>
        <v>8466.7989417989411</v>
      </c>
      <c r="L5" s="9">
        <v>1969</v>
      </c>
      <c r="M5" s="14" t="s">
        <v>276</v>
      </c>
    </row>
    <row r="6" spans="3:13" ht="360.95" customHeight="1">
      <c r="C6" s="8" t="s">
        <v>277</v>
      </c>
      <c r="D6" s="9" t="s">
        <v>214</v>
      </c>
      <c r="E6" s="9" t="s">
        <v>215</v>
      </c>
      <c r="F6" s="10">
        <v>44858</v>
      </c>
      <c r="G6" s="11">
        <v>107797000</v>
      </c>
      <c r="H6" s="11">
        <f t="shared" si="0"/>
        <v>470729.2576419214</v>
      </c>
      <c r="I6" s="12" t="s">
        <v>154</v>
      </c>
      <c r="J6" s="13">
        <v>229</v>
      </c>
      <c r="K6" s="11" t="s">
        <v>154</v>
      </c>
      <c r="L6" s="9">
        <v>2018</v>
      </c>
      <c r="M6" s="14" t="s">
        <v>278</v>
      </c>
    </row>
    <row r="7" spans="3:13" ht="150.75" customHeight="1">
      <c r="C7" s="8" t="s">
        <v>279</v>
      </c>
      <c r="D7" s="9" t="s">
        <v>214</v>
      </c>
      <c r="E7" s="9" t="s">
        <v>215</v>
      </c>
      <c r="F7" s="10">
        <v>44853</v>
      </c>
      <c r="G7" s="11">
        <v>69615000</v>
      </c>
      <c r="H7" s="11">
        <f t="shared" si="0"/>
        <v>455000</v>
      </c>
      <c r="I7" s="12">
        <v>2.9000000000000001E-2</v>
      </c>
      <c r="J7" s="13">
        <v>153</v>
      </c>
      <c r="K7" s="11">
        <f t="shared" si="1"/>
        <v>13195</v>
      </c>
      <c r="L7" s="9" t="s">
        <v>280</v>
      </c>
      <c r="M7" s="14" t="s">
        <v>281</v>
      </c>
    </row>
    <row r="8" spans="3:13" ht="150.75" customHeight="1">
      <c r="C8" s="8" t="s">
        <v>282</v>
      </c>
      <c r="D8" s="9" t="s">
        <v>214</v>
      </c>
      <c r="E8" s="9" t="s">
        <v>215</v>
      </c>
      <c r="F8" s="10">
        <v>44764</v>
      </c>
      <c r="G8" s="11">
        <v>30320000</v>
      </c>
      <c r="H8" s="11">
        <f t="shared" ref="H8:H9" si="2">G8/J8</f>
        <v>252666.66666666666</v>
      </c>
      <c r="I8" s="12" t="s">
        <v>154</v>
      </c>
      <c r="J8" s="13">
        <v>120</v>
      </c>
      <c r="K8" s="11" t="s">
        <v>154</v>
      </c>
      <c r="L8" s="9" t="s">
        <v>283</v>
      </c>
      <c r="M8" s="14" t="s">
        <v>284</v>
      </c>
    </row>
    <row r="9" spans="3:13" ht="150.75" customHeight="1" thickBot="1">
      <c r="C9" s="8" t="s">
        <v>285</v>
      </c>
      <c r="D9" s="9" t="s">
        <v>214</v>
      </c>
      <c r="E9" s="9" t="s">
        <v>215</v>
      </c>
      <c r="F9" s="10">
        <v>44736</v>
      </c>
      <c r="G9" s="11">
        <v>59944432</v>
      </c>
      <c r="H9" s="11">
        <f t="shared" si="2"/>
        <v>307407.3435897436</v>
      </c>
      <c r="I9" s="12" t="s">
        <v>154</v>
      </c>
      <c r="J9" s="13">
        <v>195</v>
      </c>
      <c r="K9" s="11" t="s">
        <v>154</v>
      </c>
      <c r="L9" s="9" t="s">
        <v>286</v>
      </c>
      <c r="M9" s="14" t="s">
        <v>287</v>
      </c>
    </row>
    <row r="10" spans="3:13" s="7" customFormat="1" ht="150.75" customHeight="1" thickTop="1" thickBot="1">
      <c r="C10" s="3" t="s">
        <v>111</v>
      </c>
      <c r="D10" s="4" t="s">
        <v>112</v>
      </c>
      <c r="E10" s="4" t="s">
        <v>113</v>
      </c>
      <c r="F10" s="5" t="s">
        <v>451</v>
      </c>
      <c r="G10" s="4" t="s">
        <v>120</v>
      </c>
      <c r="H10" s="5" t="s">
        <v>119</v>
      </c>
      <c r="I10" s="5" t="s">
        <v>117</v>
      </c>
      <c r="J10" s="1287" t="s">
        <v>121</v>
      </c>
      <c r="K10" s="1287"/>
      <c r="L10" s="1287" t="s">
        <v>122</v>
      </c>
      <c r="M10" s="1288"/>
    </row>
    <row r="11" spans="3:13" ht="150" customHeight="1" thickTop="1">
      <c r="C11" s="18"/>
      <c r="D11" s="19"/>
      <c r="E11" s="20"/>
      <c r="F11" s="20"/>
      <c r="G11" s="21"/>
      <c r="H11" s="19"/>
      <c r="I11" s="22"/>
      <c r="J11" s="1289"/>
      <c r="K11" s="1289"/>
      <c r="L11" s="1289"/>
      <c r="M11" s="1290"/>
    </row>
    <row r="12" spans="3:13" ht="150" customHeight="1">
      <c r="C12" s="8"/>
      <c r="D12" s="9"/>
      <c r="E12" s="23"/>
      <c r="F12" s="23"/>
      <c r="G12" s="24"/>
      <c r="H12" s="25"/>
      <c r="I12" s="13"/>
      <c r="J12" s="1284"/>
      <c r="K12" s="1284"/>
      <c r="L12" s="1284"/>
      <c r="M12" s="1285"/>
    </row>
    <row r="13" spans="3:13" ht="150" customHeight="1">
      <c r="C13" s="8"/>
      <c r="D13" s="9"/>
      <c r="E13" s="23"/>
      <c r="F13" s="23"/>
      <c r="G13" s="24"/>
      <c r="H13" s="25"/>
      <c r="I13" s="13"/>
      <c r="J13" s="1284"/>
      <c r="K13" s="1284"/>
      <c r="L13" s="1284"/>
      <c r="M13" s="1285"/>
    </row>
    <row r="14" spans="3:13" ht="150" customHeight="1">
      <c r="C14" s="26"/>
      <c r="D14" s="27"/>
      <c r="E14" s="28"/>
      <c r="F14" s="28"/>
      <c r="G14" s="29"/>
      <c r="H14" s="30"/>
      <c r="I14" s="31"/>
      <c r="J14" s="1284"/>
      <c r="K14" s="1284"/>
      <c r="L14" s="1286"/>
      <c r="M14" s="1285"/>
    </row>
    <row r="15" spans="3:13" ht="150" customHeight="1">
      <c r="C15" s="8"/>
      <c r="D15" s="9"/>
      <c r="E15" s="23"/>
      <c r="F15" s="23"/>
      <c r="G15" s="24"/>
      <c r="H15" s="25"/>
      <c r="I15" s="13"/>
      <c r="J15" s="1284"/>
      <c r="K15" s="1284"/>
      <c r="L15" s="1284"/>
      <c r="M15" s="1285"/>
    </row>
    <row r="16" spans="3:13" ht="150" customHeight="1">
      <c r="C16" s="8"/>
      <c r="D16" s="9"/>
      <c r="E16" s="23"/>
      <c r="F16" s="23"/>
      <c r="G16" s="24"/>
      <c r="H16" s="25"/>
      <c r="I16" s="13"/>
      <c r="J16" s="1284"/>
      <c r="K16" s="1284"/>
      <c r="L16" s="1284"/>
      <c r="M16" s="1285"/>
    </row>
    <row r="17" spans="3:13" ht="150" customHeight="1">
      <c r="C17" s="8"/>
      <c r="D17" s="9"/>
      <c r="E17" s="23"/>
      <c r="F17" s="23"/>
      <c r="G17" s="24"/>
      <c r="H17" s="25"/>
      <c r="I17" s="13"/>
      <c r="J17" s="1284"/>
      <c r="K17" s="1284"/>
      <c r="L17" s="1284"/>
      <c r="M17" s="1285"/>
    </row>
    <row r="18" spans="3:13" ht="150" customHeight="1">
      <c r="C18" s="26"/>
      <c r="D18" s="27"/>
      <c r="E18" s="28"/>
      <c r="F18" s="28"/>
      <c r="G18" s="29"/>
      <c r="H18" s="30"/>
      <c r="I18" s="31"/>
      <c r="J18" s="1284"/>
      <c r="K18" s="1284"/>
      <c r="L18" s="1286"/>
      <c r="M18" s="1285"/>
    </row>
    <row r="19" spans="3:13" ht="150" customHeight="1">
      <c r="C19" s="8"/>
      <c r="D19" s="9"/>
      <c r="E19" s="23"/>
      <c r="F19" s="23"/>
      <c r="G19" s="24"/>
      <c r="H19" s="25"/>
      <c r="I19" s="13"/>
      <c r="J19" s="1284"/>
      <c r="K19" s="1284"/>
      <c r="L19" s="1284"/>
      <c r="M19" s="1285"/>
    </row>
    <row r="20" spans="3:13" ht="150" customHeight="1">
      <c r="C20" s="8"/>
      <c r="D20" s="9"/>
      <c r="E20" s="23"/>
      <c r="F20" s="23"/>
      <c r="G20" s="24"/>
      <c r="H20" s="25"/>
      <c r="I20" s="13"/>
      <c r="J20" s="1284"/>
      <c r="K20" s="1284"/>
      <c r="L20" s="1284"/>
      <c r="M20" s="1285"/>
    </row>
    <row r="21" spans="3:13" ht="150" customHeight="1">
      <c r="C21" s="8"/>
      <c r="D21" s="9"/>
      <c r="E21" s="23"/>
      <c r="F21" s="23"/>
      <c r="G21" s="24"/>
      <c r="H21" s="25"/>
      <c r="I21" s="13"/>
      <c r="J21" s="1284"/>
      <c r="K21" s="1284"/>
      <c r="L21" s="1284"/>
      <c r="M21" s="1285"/>
    </row>
    <row r="22" spans="3:13" ht="150" customHeight="1">
      <c r="C22" s="26"/>
      <c r="D22" s="27"/>
      <c r="E22" s="28"/>
      <c r="F22" s="28"/>
      <c r="G22" s="29"/>
      <c r="H22" s="30"/>
      <c r="I22" s="31"/>
      <c r="J22" s="1284"/>
      <c r="K22" s="1284"/>
      <c r="L22" s="1286"/>
      <c r="M22" s="1285"/>
    </row>
    <row r="23" spans="3:13" ht="150" customHeight="1">
      <c r="C23" s="8"/>
      <c r="D23" s="9"/>
      <c r="E23" s="23"/>
      <c r="F23" s="23"/>
      <c r="G23" s="24"/>
      <c r="H23" s="25"/>
      <c r="I23" s="13"/>
      <c r="J23" s="1284"/>
      <c r="K23" s="1284"/>
      <c r="L23" s="1284"/>
      <c r="M23" s="1285"/>
    </row>
    <row r="24" spans="3:13" ht="150" customHeight="1" thickBot="1">
      <c r="C24" s="15"/>
      <c r="D24" s="16"/>
      <c r="E24" s="32"/>
      <c r="F24" s="32"/>
      <c r="G24" s="33"/>
      <c r="H24" s="34"/>
      <c r="I24" s="17"/>
      <c r="J24" s="1294"/>
      <c r="K24" s="1294"/>
      <c r="L24" s="1294"/>
      <c r="M24" s="1295"/>
    </row>
    <row r="25" spans="3:13" ht="148.5" customHeight="1" thickTop="1" thickBot="1">
      <c r="C25" s="1291" t="s">
        <v>123</v>
      </c>
      <c r="D25" s="1292"/>
      <c r="E25" s="1292"/>
      <c r="F25" s="35"/>
      <c r="G25" s="36" t="e">
        <f>SUMPRODUCT(I11:I24,G11:G24)/I25</f>
        <v>#DIV/0!</v>
      </c>
      <c r="H25" s="37"/>
      <c r="I25" s="38">
        <f>SUM(I11:I24)</f>
        <v>0</v>
      </c>
      <c r="J25" s="39"/>
      <c r="K25" s="39"/>
      <c r="L25" s="39"/>
      <c r="M25" s="40"/>
    </row>
    <row r="26" spans="3:13" ht="75" customHeight="1" thickTop="1"/>
    <row r="31" spans="3:13">
      <c r="G31" s="1293"/>
      <c r="H31" s="1293"/>
    </row>
    <row r="32" spans="3:13">
      <c r="G32" s="1293"/>
      <c r="H32" s="1293"/>
    </row>
    <row r="33" spans="7:8">
      <c r="G33" s="1293"/>
      <c r="H33" s="1293"/>
    </row>
    <row r="34" spans="7:8">
      <c r="G34" s="1293"/>
      <c r="H34" s="1293"/>
    </row>
    <row r="35" spans="7:8">
      <c r="G35" s="1293"/>
      <c r="H35" s="1293"/>
    </row>
    <row r="36" spans="7:8" ht="44.25">
      <c r="G36" s="41"/>
      <c r="H36" s="42"/>
    </row>
    <row r="37" spans="7:8" ht="44.25">
      <c r="G37" s="41"/>
      <c r="H37" s="42"/>
    </row>
    <row r="38" spans="7:8" ht="44.25">
      <c r="G38" s="41"/>
      <c r="H38" s="42"/>
    </row>
    <row r="39" spans="7:8" ht="44.25">
      <c r="G39" s="41"/>
      <c r="H39" s="42"/>
    </row>
    <row r="40" spans="7:8" ht="44.25">
      <c r="G40" s="41"/>
      <c r="H40" s="42"/>
    </row>
    <row r="41" spans="7:8" ht="45">
      <c r="G41" s="43"/>
      <c r="H41" s="42"/>
    </row>
  </sheetData>
  <mergeCells count="32">
    <mergeCell ref="C25:E25"/>
    <mergeCell ref="G31:H35"/>
    <mergeCell ref="J20:K20"/>
    <mergeCell ref="L20:M20"/>
    <mergeCell ref="J21:K21"/>
    <mergeCell ref="L21:M21"/>
    <mergeCell ref="J22:K22"/>
    <mergeCell ref="L22:M22"/>
    <mergeCell ref="J23:K23"/>
    <mergeCell ref="L23:M23"/>
    <mergeCell ref="J24:K24"/>
    <mergeCell ref="L24:M24"/>
    <mergeCell ref="J17:K17"/>
    <mergeCell ref="L17:M17"/>
    <mergeCell ref="J18:K18"/>
    <mergeCell ref="L18:M18"/>
    <mergeCell ref="J19:K19"/>
    <mergeCell ref="L19:M19"/>
    <mergeCell ref="J10:K10"/>
    <mergeCell ref="L10:M10"/>
    <mergeCell ref="J11:K11"/>
    <mergeCell ref="L11:M11"/>
    <mergeCell ref="J12:K12"/>
    <mergeCell ref="L12:M12"/>
    <mergeCell ref="J16:K16"/>
    <mergeCell ref="L16:M16"/>
    <mergeCell ref="J13:K13"/>
    <mergeCell ref="L13:M13"/>
    <mergeCell ref="J14:K14"/>
    <mergeCell ref="L14:M14"/>
    <mergeCell ref="J15:K15"/>
    <mergeCell ref="L15:M15"/>
  </mergeCells>
  <printOptions horizontalCentered="1" verticalCentered="1"/>
  <pageMargins left="0.70866141732283472" right="0.70866141732283472" top="0.74803149606299213" bottom="0.74803149606299213" header="0.31496062992125984" footer="0.31496062992125984"/>
  <pageSetup scale="1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AE8C2-2257-4B43-A4EE-DA28C5CEE083}">
  <sheetPr>
    <tabColor theme="2" tint="-0.249977111117893"/>
  </sheetPr>
  <dimension ref="B1:G12"/>
  <sheetViews>
    <sheetView zoomScale="113" zoomScaleNormal="75" workbookViewId="0">
      <selection activeCell="F9" sqref="F9"/>
    </sheetView>
  </sheetViews>
  <sheetFormatPr defaultColWidth="8.85546875" defaultRowHeight="15"/>
  <cols>
    <col min="1" max="1" width="6.28515625" style="125" customWidth="1"/>
    <col min="2" max="2" width="22.85546875" style="125" customWidth="1"/>
    <col min="3" max="3" width="33.7109375" style="125" customWidth="1"/>
    <col min="4" max="4" width="22.85546875" style="125" customWidth="1"/>
    <col min="5" max="5" width="22.42578125" style="125" customWidth="1"/>
    <col min="6" max="6" width="19.85546875" style="125" customWidth="1"/>
    <col min="7" max="7" width="19.42578125" style="125" customWidth="1"/>
    <col min="8" max="16384" width="8.85546875" style="125"/>
  </cols>
  <sheetData>
    <row r="1" spans="2:7" ht="15.75" thickBot="1"/>
    <row r="2" spans="2:7" ht="15.75" thickBot="1">
      <c r="B2" s="1296" t="s">
        <v>127</v>
      </c>
      <c r="C2" s="1297"/>
      <c r="D2" s="1297"/>
      <c r="E2" s="1297"/>
      <c r="F2" s="1297"/>
      <c r="G2" s="1298"/>
    </row>
    <row r="3" spans="2:7" ht="45.75" thickBot="1">
      <c r="B3" s="131" t="s">
        <v>46</v>
      </c>
      <c r="C3" s="51" t="s">
        <v>204</v>
      </c>
      <c r="D3" s="51" t="s">
        <v>205</v>
      </c>
      <c r="E3" s="51" t="s">
        <v>47</v>
      </c>
      <c r="F3" s="50" t="s">
        <v>206</v>
      </c>
      <c r="G3" s="132" t="s">
        <v>207</v>
      </c>
    </row>
    <row r="4" spans="2:7" ht="45" customHeight="1">
      <c r="B4" s="586" t="s">
        <v>48</v>
      </c>
      <c r="C4" s="587" t="s">
        <v>49</v>
      </c>
      <c r="D4" s="588" t="s">
        <v>50</v>
      </c>
      <c r="E4" s="588" t="s">
        <v>51</v>
      </c>
      <c r="F4" s="589">
        <v>0.3</v>
      </c>
      <c r="G4" s="590" t="s">
        <v>52</v>
      </c>
    </row>
    <row r="5" spans="2:7" ht="45" customHeight="1">
      <c r="B5" s="591" t="s">
        <v>53</v>
      </c>
      <c r="C5" s="592" t="s">
        <v>54</v>
      </c>
      <c r="D5" s="592" t="s">
        <v>55</v>
      </c>
      <c r="E5" s="593" t="s">
        <v>56</v>
      </c>
      <c r="F5" s="594">
        <v>0.2</v>
      </c>
      <c r="G5" s="595" t="s">
        <v>57</v>
      </c>
    </row>
    <row r="6" spans="2:7" ht="64.7" customHeight="1">
      <c r="B6" s="591" t="s">
        <v>58</v>
      </c>
      <c r="C6" s="592" t="s">
        <v>59</v>
      </c>
      <c r="D6" s="592" t="s">
        <v>60</v>
      </c>
      <c r="E6" s="593" t="s">
        <v>0</v>
      </c>
      <c r="F6" s="594">
        <v>0.3</v>
      </c>
      <c r="G6" s="595" t="s">
        <v>52</v>
      </c>
    </row>
    <row r="7" spans="2:7" ht="45" customHeight="1">
      <c r="B7" s="591" t="s">
        <v>61</v>
      </c>
      <c r="C7" s="592" t="s">
        <v>59</v>
      </c>
      <c r="D7" s="592" t="s">
        <v>55</v>
      </c>
      <c r="E7" s="592" t="s">
        <v>62</v>
      </c>
      <c r="F7" s="596" t="s">
        <v>63</v>
      </c>
      <c r="G7" s="597" t="s">
        <v>64</v>
      </c>
    </row>
    <row r="8" spans="2:7" ht="45" customHeight="1">
      <c r="B8" s="591" t="s">
        <v>65</v>
      </c>
      <c r="C8" s="592" t="s">
        <v>66</v>
      </c>
      <c r="D8" s="592" t="s">
        <v>55</v>
      </c>
      <c r="E8" s="593" t="s">
        <v>67</v>
      </c>
      <c r="F8" s="596" t="s">
        <v>68</v>
      </c>
      <c r="G8" s="598" t="s">
        <v>69</v>
      </c>
    </row>
    <row r="9" spans="2:7" ht="45" customHeight="1">
      <c r="B9" s="591" t="s">
        <v>70</v>
      </c>
      <c r="C9" s="593" t="s">
        <v>71</v>
      </c>
      <c r="D9" s="592" t="s">
        <v>55</v>
      </c>
      <c r="E9" s="593" t="s">
        <v>72</v>
      </c>
      <c r="F9" s="594">
        <v>0.3</v>
      </c>
      <c r="G9" s="595" t="s">
        <v>52</v>
      </c>
    </row>
    <row r="10" spans="2:7" ht="45" customHeight="1">
      <c r="B10" s="591" t="s">
        <v>73</v>
      </c>
      <c r="C10" s="592" t="s">
        <v>66</v>
      </c>
      <c r="D10" s="592" t="s">
        <v>55</v>
      </c>
      <c r="E10" s="593" t="s">
        <v>74</v>
      </c>
      <c r="F10" s="594">
        <v>0.3</v>
      </c>
      <c r="G10" s="595" t="s">
        <v>52</v>
      </c>
    </row>
    <row r="11" spans="2:7" ht="37.5" customHeight="1">
      <c r="B11" s="599" t="s">
        <v>75</v>
      </c>
      <c r="C11" s="592" t="s">
        <v>76</v>
      </c>
      <c r="D11" s="592" t="s">
        <v>60</v>
      </c>
      <c r="E11" s="593" t="s">
        <v>77</v>
      </c>
      <c r="F11" s="594">
        <v>0.3</v>
      </c>
      <c r="G11" s="595" t="s">
        <v>52</v>
      </c>
    </row>
    <row r="12" spans="2:7" ht="63" customHeight="1" thickBot="1">
      <c r="B12" s="600" t="s">
        <v>78</v>
      </c>
      <c r="C12" s="601" t="s">
        <v>79</v>
      </c>
      <c r="D12" s="601" t="s">
        <v>80</v>
      </c>
      <c r="E12" s="602" t="s">
        <v>81</v>
      </c>
      <c r="F12" s="603" t="s">
        <v>82</v>
      </c>
      <c r="G12" s="604" t="s">
        <v>64</v>
      </c>
    </row>
  </sheetData>
  <mergeCells count="1">
    <mergeCell ref="B2:G2"/>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6EFC-0B5B-FA41-8503-FF1E494D1953}">
  <sheetPr>
    <tabColor rgb="FF00B0F0"/>
  </sheetPr>
  <dimension ref="A1:U138"/>
  <sheetViews>
    <sheetView topLeftCell="A103" zoomScale="64" workbookViewId="0">
      <selection activeCell="I108" sqref="I108"/>
    </sheetView>
  </sheetViews>
  <sheetFormatPr defaultColWidth="10.85546875" defaultRowHeight="15"/>
  <cols>
    <col min="1" max="1" width="4.140625" style="626" customWidth="1"/>
    <col min="2" max="2" width="48.140625" style="626" customWidth="1"/>
    <col min="3" max="3" width="24.85546875" style="626" customWidth="1"/>
    <col min="4" max="4" width="9.85546875" style="626" customWidth="1"/>
    <col min="5" max="5" width="25" style="626" customWidth="1"/>
    <col min="6" max="7" width="15.42578125" style="626" customWidth="1"/>
    <col min="8" max="8" width="13" style="626" bestFit="1" customWidth="1"/>
    <col min="9" max="9" width="16" style="626" bestFit="1" customWidth="1"/>
    <col min="10" max="10" width="13.42578125" style="626" customWidth="1"/>
    <col min="11" max="11" width="24.28515625" style="626" customWidth="1"/>
    <col min="12" max="12" width="17.28515625" style="626" bestFit="1" customWidth="1"/>
    <col min="13" max="13" width="24.140625" style="626" bestFit="1" customWidth="1"/>
    <col min="14" max="14" width="10.85546875" style="626" bestFit="1" customWidth="1"/>
    <col min="15" max="15" width="6.140625" style="626" bestFit="1" customWidth="1"/>
    <col min="16" max="16" width="16.85546875" style="626" customWidth="1"/>
    <col min="17" max="17" width="10.7109375" style="1" bestFit="1" customWidth="1"/>
    <col min="18" max="18" width="9.85546875" style="1" bestFit="1" customWidth="1"/>
    <col min="19" max="19" width="11.140625" style="1" bestFit="1" customWidth="1"/>
    <col min="20" max="20" width="24.42578125" style="1" bestFit="1" customWidth="1"/>
    <col min="21" max="21" width="74.42578125" style="1" customWidth="1"/>
    <col min="22" max="16384" width="10.85546875" style="626"/>
  </cols>
  <sheetData>
    <row r="1" spans="1:21" ht="15.75" thickBot="1"/>
    <row r="2" spans="1:21" ht="36.75" thickTop="1" thickBot="1">
      <c r="B2" s="1102" t="s">
        <v>575</v>
      </c>
      <c r="C2" s="1103"/>
      <c r="D2" s="1103"/>
      <c r="E2" s="1103"/>
      <c r="F2" s="1103"/>
      <c r="G2" s="1103"/>
      <c r="H2" s="1103"/>
      <c r="I2" s="1103"/>
      <c r="J2" s="1103"/>
      <c r="K2" s="1103"/>
      <c r="L2" s="1103"/>
      <c r="M2" s="1103"/>
      <c r="N2" s="1103"/>
      <c r="O2" s="1103"/>
      <c r="P2" s="1103"/>
      <c r="Q2" s="1103"/>
      <c r="R2" s="1103"/>
      <c r="S2" s="1103"/>
      <c r="T2" s="1104"/>
    </row>
    <row r="3" spans="1:21" ht="42.95" customHeight="1" thickTop="1">
      <c r="B3" s="1126" t="s">
        <v>567</v>
      </c>
      <c r="C3" s="1127"/>
      <c r="E3" s="1117" t="s">
        <v>475</v>
      </c>
      <c r="F3" s="1118"/>
      <c r="G3" s="1118"/>
      <c r="H3" s="1118"/>
      <c r="I3" s="1118"/>
      <c r="J3" s="1118"/>
      <c r="K3" s="1118"/>
      <c r="L3" s="1118"/>
      <c r="M3" s="1118"/>
      <c r="N3" s="1118"/>
      <c r="O3" s="1118"/>
      <c r="P3" s="1118"/>
      <c r="Q3" s="1118"/>
      <c r="R3" s="1118"/>
      <c r="S3" s="1118"/>
      <c r="T3" s="1119"/>
    </row>
    <row r="4" spans="1:21" ht="42.95" customHeight="1" thickBot="1">
      <c r="B4" s="1110"/>
      <c r="C4" s="1111"/>
      <c r="E4" s="605" t="s">
        <v>111</v>
      </c>
      <c r="F4" s="606" t="s">
        <v>112</v>
      </c>
      <c r="G4" s="606" t="s">
        <v>113</v>
      </c>
      <c r="H4" s="606" t="s">
        <v>114</v>
      </c>
      <c r="I4" s="606" t="s">
        <v>115</v>
      </c>
      <c r="J4" s="607" t="s">
        <v>92</v>
      </c>
      <c r="K4" s="606" t="s">
        <v>116</v>
      </c>
      <c r="L4" s="606" t="s">
        <v>117</v>
      </c>
      <c r="M4" s="607" t="s">
        <v>118</v>
      </c>
      <c r="N4" s="607" t="s">
        <v>119</v>
      </c>
      <c r="O4" s="1116" t="s">
        <v>211</v>
      </c>
      <c r="P4" s="1116"/>
      <c r="Q4" s="1116"/>
      <c r="R4" s="1116"/>
      <c r="S4" s="1116"/>
      <c r="T4" s="1111"/>
    </row>
    <row r="5" spans="1:21" ht="32.1" customHeight="1" thickTop="1">
      <c r="A5" s="658"/>
      <c r="B5" s="656" t="s">
        <v>565</v>
      </c>
      <c r="C5" s="657">
        <v>4.7500000000000001E-2</v>
      </c>
      <c r="E5" s="608" t="s">
        <v>246</v>
      </c>
      <c r="F5" s="609" t="s">
        <v>214</v>
      </c>
      <c r="G5" s="609" t="s">
        <v>215</v>
      </c>
      <c r="H5" s="610">
        <v>45280</v>
      </c>
      <c r="I5" s="611">
        <v>13425000</v>
      </c>
      <c r="J5" s="612">
        <f t="shared" ref="J5:J11" si="0">I5/L5</f>
        <v>637.7369246116574</v>
      </c>
      <c r="K5" s="613" t="s">
        <v>154</v>
      </c>
      <c r="L5" s="614">
        <v>21051</v>
      </c>
      <c r="M5" s="612" t="s">
        <v>154</v>
      </c>
      <c r="N5" s="609">
        <v>1910</v>
      </c>
      <c r="O5" s="1120" t="s">
        <v>247</v>
      </c>
      <c r="P5" s="1120"/>
      <c r="Q5" s="1120"/>
      <c r="R5" s="1120"/>
      <c r="S5" s="1120"/>
      <c r="T5" s="1121"/>
    </row>
    <row r="6" spans="1:21" ht="32.1" customHeight="1">
      <c r="A6" s="658"/>
      <c r="B6" s="656" t="s">
        <v>566</v>
      </c>
      <c r="C6" s="657">
        <f>C5+0.0025</f>
        <v>0.05</v>
      </c>
      <c r="E6" s="608" t="s">
        <v>248</v>
      </c>
      <c r="F6" s="609" t="s">
        <v>214</v>
      </c>
      <c r="G6" s="609" t="s">
        <v>215</v>
      </c>
      <c r="H6" s="610">
        <v>45218</v>
      </c>
      <c r="I6" s="611">
        <v>26900000</v>
      </c>
      <c r="J6" s="612">
        <f t="shared" si="0"/>
        <v>402.99625468164794</v>
      </c>
      <c r="K6" s="613" t="s">
        <v>154</v>
      </c>
      <c r="L6" s="614">
        <v>66750</v>
      </c>
      <c r="M6" s="612" t="s">
        <v>154</v>
      </c>
      <c r="N6" s="609">
        <v>1992</v>
      </c>
      <c r="O6" s="1122" t="s">
        <v>468</v>
      </c>
      <c r="P6" s="1122"/>
      <c r="Q6" s="1122"/>
      <c r="R6" s="1122"/>
      <c r="S6" s="1122"/>
      <c r="T6" s="1123"/>
    </row>
    <row r="7" spans="1:21" ht="32.1" customHeight="1">
      <c r="A7" s="658"/>
      <c r="B7" s="656" t="s">
        <v>627</v>
      </c>
      <c r="C7" s="663">
        <v>2000</v>
      </c>
      <c r="E7" s="608" t="s">
        <v>249</v>
      </c>
      <c r="F7" s="609" t="s">
        <v>214</v>
      </c>
      <c r="G7" s="609" t="s">
        <v>215</v>
      </c>
      <c r="H7" s="610">
        <v>45194</v>
      </c>
      <c r="I7" s="611">
        <v>28500000</v>
      </c>
      <c r="J7" s="612">
        <f t="shared" si="0"/>
        <v>570</v>
      </c>
      <c r="K7" s="613" t="s">
        <v>154</v>
      </c>
      <c r="L7" s="614">
        <v>50000</v>
      </c>
      <c r="M7" s="611" t="s">
        <v>154</v>
      </c>
      <c r="N7" s="609">
        <v>2020</v>
      </c>
      <c r="O7" s="1122" t="s">
        <v>469</v>
      </c>
      <c r="P7" s="1122"/>
      <c r="Q7" s="1122"/>
      <c r="R7" s="1122"/>
      <c r="S7" s="1122"/>
      <c r="T7" s="1123"/>
    </row>
    <row r="8" spans="1:21" ht="32.1" customHeight="1">
      <c r="B8" s="656" t="s">
        <v>628</v>
      </c>
      <c r="C8" s="663">
        <v>2400</v>
      </c>
      <c r="E8" s="608" t="s">
        <v>250</v>
      </c>
      <c r="F8" s="609" t="s">
        <v>214</v>
      </c>
      <c r="G8" s="609" t="s">
        <v>215</v>
      </c>
      <c r="H8" s="610">
        <v>45063</v>
      </c>
      <c r="I8" s="611">
        <v>11600000</v>
      </c>
      <c r="J8" s="612">
        <f t="shared" si="0"/>
        <v>446.25682849888437</v>
      </c>
      <c r="K8" s="613">
        <v>4.0500000000000001E-2</v>
      </c>
      <c r="L8" s="614">
        <v>25994</v>
      </c>
      <c r="M8" s="611">
        <f>(K8*I8)/L8</f>
        <v>18.073401554204818</v>
      </c>
      <c r="N8" s="609">
        <v>1925</v>
      </c>
      <c r="O8" s="1122" t="s">
        <v>470</v>
      </c>
      <c r="P8" s="1122"/>
      <c r="Q8" s="1122"/>
      <c r="R8" s="1122"/>
      <c r="S8" s="1122"/>
      <c r="T8" s="1123"/>
    </row>
    <row r="9" spans="1:21" ht="32.1" customHeight="1">
      <c r="B9" s="656" t="s">
        <v>629</v>
      </c>
      <c r="C9" s="663">
        <v>3400</v>
      </c>
      <c r="E9" s="608" t="s">
        <v>251</v>
      </c>
      <c r="F9" s="609" t="s">
        <v>214</v>
      </c>
      <c r="G9" s="609" t="s">
        <v>215</v>
      </c>
      <c r="H9" s="610">
        <v>45023</v>
      </c>
      <c r="I9" s="611">
        <v>15100000</v>
      </c>
      <c r="J9" s="612">
        <f t="shared" si="0"/>
        <v>520.86926526388413</v>
      </c>
      <c r="K9" s="613">
        <v>4.7E-2</v>
      </c>
      <c r="L9" s="614">
        <v>28990</v>
      </c>
      <c r="M9" s="611">
        <f>(K9*I9)/L9</f>
        <v>24.480855467402552</v>
      </c>
      <c r="N9" s="609">
        <v>2016</v>
      </c>
      <c r="O9" s="1122" t="s">
        <v>471</v>
      </c>
      <c r="P9" s="1122"/>
      <c r="Q9" s="1122"/>
      <c r="R9" s="1122"/>
      <c r="S9" s="1122"/>
      <c r="T9" s="1123"/>
    </row>
    <row r="10" spans="1:21" ht="32.1" customHeight="1">
      <c r="B10" s="656" t="s">
        <v>630</v>
      </c>
      <c r="C10" s="663">
        <v>4600</v>
      </c>
      <c r="E10" s="608" t="s">
        <v>252</v>
      </c>
      <c r="F10" s="609" t="s">
        <v>214</v>
      </c>
      <c r="G10" s="609" t="s">
        <v>215</v>
      </c>
      <c r="H10" s="610">
        <v>44991</v>
      </c>
      <c r="I10" s="611">
        <v>37455000</v>
      </c>
      <c r="J10" s="612">
        <f t="shared" si="0"/>
        <v>452.2567557777295</v>
      </c>
      <c r="K10" s="613" t="s">
        <v>154</v>
      </c>
      <c r="L10" s="614">
        <v>82818</v>
      </c>
      <c r="M10" s="611" t="s">
        <v>154</v>
      </c>
      <c r="N10" s="609">
        <v>2013</v>
      </c>
      <c r="O10" s="1122" t="s">
        <v>472</v>
      </c>
      <c r="P10" s="1122"/>
      <c r="Q10" s="1122"/>
      <c r="R10" s="1122"/>
      <c r="S10" s="1122"/>
      <c r="T10" s="1123"/>
    </row>
    <row r="11" spans="1:21" ht="32.1" customHeight="1" thickBot="1">
      <c r="B11" s="656" t="s">
        <v>671</v>
      </c>
      <c r="C11" s="663">
        <v>1766</v>
      </c>
      <c r="E11" s="615" t="s">
        <v>253</v>
      </c>
      <c r="F11" s="609" t="s">
        <v>214</v>
      </c>
      <c r="G11" s="609" t="s">
        <v>215</v>
      </c>
      <c r="H11" s="616">
        <v>44980</v>
      </c>
      <c r="I11" s="617">
        <v>105000000</v>
      </c>
      <c r="J11" s="618">
        <f t="shared" si="0"/>
        <v>698.44015033092762</v>
      </c>
      <c r="K11" s="619">
        <v>4.4999999999999998E-2</v>
      </c>
      <c r="L11" s="620">
        <v>150335</v>
      </c>
      <c r="M11" s="617">
        <f>(K11*I11)/L11</f>
        <v>31.42980676489174</v>
      </c>
      <c r="N11" s="621">
        <v>2021</v>
      </c>
      <c r="O11" s="1131" t="s">
        <v>473</v>
      </c>
      <c r="P11" s="1131"/>
      <c r="Q11" s="1131"/>
      <c r="R11" s="1131"/>
      <c r="S11" s="1131"/>
      <c r="T11" s="1132"/>
    </row>
    <row r="12" spans="1:21" ht="33" customHeight="1" thickTop="1" thickBot="1">
      <c r="B12" s="656" t="s">
        <v>672</v>
      </c>
      <c r="C12" s="663">
        <v>1892</v>
      </c>
      <c r="E12" s="1124" t="s">
        <v>123</v>
      </c>
      <c r="F12" s="1125"/>
      <c r="G12" s="1125"/>
      <c r="H12" s="622"/>
      <c r="I12" s="623">
        <f>SUM(I5:I11)</f>
        <v>237980000</v>
      </c>
      <c r="J12" s="623">
        <f>SUMPRODUCT(J5:J11,I5:I11)/I12</f>
        <v>583.93316729272124</v>
      </c>
      <c r="K12" s="624">
        <f>AVERAGE(K5:K11)</f>
        <v>4.4166666666666667E-2</v>
      </c>
      <c r="L12" s="625"/>
      <c r="M12" s="623">
        <f>AVERAGE(M5:M11)</f>
        <v>24.661354595499702</v>
      </c>
      <c r="N12" s="625"/>
      <c r="O12" s="1133"/>
      <c r="P12" s="1133"/>
      <c r="Q12" s="1133"/>
      <c r="R12" s="1133"/>
      <c r="S12" s="1133"/>
      <c r="T12" s="1134"/>
    </row>
    <row r="13" spans="1:21" ht="16.5" thickTop="1" thickBot="1">
      <c r="B13" s="656" t="s">
        <v>673</v>
      </c>
      <c r="C13" s="663">
        <v>2271</v>
      </c>
      <c r="Q13" s="626"/>
      <c r="R13" s="626"/>
      <c r="S13" s="626"/>
      <c r="T13" s="658"/>
      <c r="U13" s="626"/>
    </row>
    <row r="14" spans="1:21" ht="33.950000000000003" customHeight="1" thickTop="1" thickBot="1">
      <c r="B14" s="659" t="s">
        <v>674</v>
      </c>
      <c r="C14" s="745">
        <v>2623</v>
      </c>
      <c r="E14" s="1128" t="s">
        <v>474</v>
      </c>
      <c r="F14" s="1129"/>
      <c r="G14" s="1129"/>
      <c r="H14" s="1129"/>
      <c r="I14" s="1129"/>
      <c r="J14" s="1129"/>
      <c r="K14" s="1129"/>
      <c r="L14" s="1129"/>
      <c r="M14" s="1129"/>
      <c r="N14" s="1129"/>
      <c r="O14" s="1129"/>
      <c r="P14" s="1129"/>
      <c r="Q14" s="1129"/>
      <c r="R14" s="1129"/>
      <c r="S14" s="1129"/>
      <c r="T14" s="1130"/>
      <c r="U14" s="626"/>
    </row>
    <row r="15" spans="1:21" ht="48.75" thickTop="1" thickBot="1">
      <c r="B15" s="656"/>
      <c r="E15" s="645" t="s">
        <v>111</v>
      </c>
      <c r="F15" s="646" t="s">
        <v>112</v>
      </c>
      <c r="G15" s="646" t="s">
        <v>113</v>
      </c>
      <c r="H15" s="646" t="s">
        <v>467</v>
      </c>
      <c r="I15" s="647" t="s">
        <v>119</v>
      </c>
      <c r="J15" s="647" t="s">
        <v>117</v>
      </c>
      <c r="K15" s="646" t="s">
        <v>289</v>
      </c>
      <c r="L15" s="648" t="s">
        <v>476</v>
      </c>
      <c r="M15" s="645" t="s">
        <v>111</v>
      </c>
      <c r="N15" s="646" t="s">
        <v>112</v>
      </c>
      <c r="O15" s="646" t="s">
        <v>113</v>
      </c>
      <c r="P15" s="646" t="s">
        <v>467</v>
      </c>
      <c r="Q15" s="647" t="s">
        <v>119</v>
      </c>
      <c r="R15" s="647" t="s">
        <v>117</v>
      </c>
      <c r="S15" s="646" t="s">
        <v>289</v>
      </c>
      <c r="T15" s="648" t="s">
        <v>476</v>
      </c>
      <c r="U15" s="626"/>
    </row>
    <row r="16" spans="1:21" ht="27" customHeight="1" thickTop="1">
      <c r="B16" s="656"/>
      <c r="E16" s="627" t="s">
        <v>477</v>
      </c>
      <c r="F16" s="628" t="s">
        <v>214</v>
      </c>
      <c r="G16" s="629" t="s">
        <v>215</v>
      </c>
      <c r="H16" s="630">
        <v>1859</v>
      </c>
      <c r="I16" s="628">
        <v>2018</v>
      </c>
      <c r="J16" s="631">
        <v>706</v>
      </c>
      <c r="K16" s="631" t="s">
        <v>9</v>
      </c>
      <c r="L16" s="632" t="s">
        <v>480</v>
      </c>
      <c r="M16" s="608" t="s">
        <v>477</v>
      </c>
      <c r="N16" s="609" t="s">
        <v>214</v>
      </c>
      <c r="O16" s="633" t="s">
        <v>215</v>
      </c>
      <c r="P16" s="634">
        <v>3378</v>
      </c>
      <c r="Q16" s="635">
        <v>2018</v>
      </c>
      <c r="R16" s="614">
        <v>1009</v>
      </c>
      <c r="S16" s="636" t="s">
        <v>498</v>
      </c>
      <c r="T16" s="637" t="s">
        <v>480</v>
      </c>
      <c r="U16" s="626"/>
    </row>
    <row r="17" spans="2:21" ht="27" customHeight="1">
      <c r="B17" s="656"/>
      <c r="E17" s="608" t="s">
        <v>478</v>
      </c>
      <c r="F17" s="609" t="s">
        <v>214</v>
      </c>
      <c r="G17" s="633" t="s">
        <v>215</v>
      </c>
      <c r="H17" s="634">
        <v>1905</v>
      </c>
      <c r="I17" s="635">
        <v>2017</v>
      </c>
      <c r="J17" s="614">
        <v>448</v>
      </c>
      <c r="K17" s="636" t="s">
        <v>9</v>
      </c>
      <c r="L17" s="637" t="s">
        <v>479</v>
      </c>
      <c r="M17" s="608" t="s">
        <v>483</v>
      </c>
      <c r="N17" s="609" t="s">
        <v>214</v>
      </c>
      <c r="O17" s="633" t="s">
        <v>215</v>
      </c>
      <c r="P17" s="634">
        <v>3154</v>
      </c>
      <c r="Q17" s="635">
        <v>1998</v>
      </c>
      <c r="R17" s="614">
        <v>1375</v>
      </c>
      <c r="S17" s="636" t="s">
        <v>498</v>
      </c>
      <c r="T17" s="637" t="s">
        <v>484</v>
      </c>
      <c r="U17" s="626"/>
    </row>
    <row r="18" spans="2:21" ht="27" customHeight="1">
      <c r="B18" s="656"/>
      <c r="E18" s="608" t="s">
        <v>481</v>
      </c>
      <c r="F18" s="609" t="s">
        <v>214</v>
      </c>
      <c r="G18" s="633" t="s">
        <v>215</v>
      </c>
      <c r="H18" s="634">
        <v>1950</v>
      </c>
      <c r="I18" s="635">
        <v>1910</v>
      </c>
      <c r="J18" s="614">
        <v>805</v>
      </c>
      <c r="K18" s="636" t="s">
        <v>9</v>
      </c>
      <c r="L18" s="637" t="s">
        <v>482</v>
      </c>
      <c r="M18" s="608" t="s">
        <v>493</v>
      </c>
      <c r="N18" s="609" t="s">
        <v>214</v>
      </c>
      <c r="O18" s="633" t="s">
        <v>215</v>
      </c>
      <c r="P18" s="634">
        <v>3479</v>
      </c>
      <c r="Q18" s="635">
        <v>2018</v>
      </c>
      <c r="R18" s="614">
        <v>1169</v>
      </c>
      <c r="S18" s="636" t="s">
        <v>498</v>
      </c>
      <c r="T18" s="637" t="s">
        <v>494</v>
      </c>
      <c r="U18" s="626"/>
    </row>
    <row r="19" spans="2:21" ht="27" customHeight="1">
      <c r="B19" s="656"/>
      <c r="E19" s="638" t="s">
        <v>487</v>
      </c>
      <c r="F19" s="650" t="s">
        <v>214</v>
      </c>
      <c r="G19" s="651" t="s">
        <v>215</v>
      </c>
      <c r="H19" s="652">
        <v>1985</v>
      </c>
      <c r="I19" s="653">
        <v>2015</v>
      </c>
      <c r="J19" s="654">
        <v>465</v>
      </c>
      <c r="K19" s="636" t="s">
        <v>9</v>
      </c>
      <c r="L19" s="637" t="s">
        <v>486</v>
      </c>
      <c r="M19" s="608" t="s">
        <v>481</v>
      </c>
      <c r="N19" s="609" t="s">
        <v>214</v>
      </c>
      <c r="O19" s="633" t="s">
        <v>215</v>
      </c>
      <c r="P19" s="634">
        <v>3525</v>
      </c>
      <c r="Q19" s="635">
        <v>1910</v>
      </c>
      <c r="R19" s="614">
        <v>986</v>
      </c>
      <c r="S19" s="636" t="s">
        <v>498</v>
      </c>
      <c r="T19" s="637" t="s">
        <v>482</v>
      </c>
      <c r="U19" s="626"/>
    </row>
    <row r="20" spans="2:21" ht="27" customHeight="1" thickBot="1">
      <c r="B20" s="659"/>
      <c r="E20" s="608" t="s">
        <v>483</v>
      </c>
      <c r="F20" s="609" t="s">
        <v>214</v>
      </c>
      <c r="G20" s="633" t="s">
        <v>215</v>
      </c>
      <c r="H20" s="634">
        <v>2035</v>
      </c>
      <c r="I20" s="635">
        <v>1998</v>
      </c>
      <c r="J20" s="614">
        <v>483</v>
      </c>
      <c r="K20" s="636" t="s">
        <v>9</v>
      </c>
      <c r="L20" s="637" t="s">
        <v>484</v>
      </c>
      <c r="M20" s="608" t="s">
        <v>501</v>
      </c>
      <c r="N20" s="609" t="s">
        <v>214</v>
      </c>
      <c r="O20" s="633" t="s">
        <v>215</v>
      </c>
      <c r="P20" s="634">
        <v>3545</v>
      </c>
      <c r="Q20" s="635">
        <v>2007</v>
      </c>
      <c r="R20" s="614">
        <v>1238</v>
      </c>
      <c r="S20" s="636" t="s">
        <v>498</v>
      </c>
      <c r="T20" s="637" t="s">
        <v>502</v>
      </c>
      <c r="U20" s="626"/>
    </row>
    <row r="21" spans="2:21" ht="33.950000000000003" customHeight="1" thickTop="1" thickBot="1">
      <c r="B21" s="661" t="s">
        <v>150</v>
      </c>
      <c r="C21" s="662" t="s">
        <v>568</v>
      </c>
      <c r="E21" s="1114" t="s">
        <v>485</v>
      </c>
      <c r="F21" s="1115"/>
      <c r="G21" s="1115"/>
      <c r="H21" s="639">
        <f>AVERAGE(H16:H20)</f>
        <v>1946.8</v>
      </c>
      <c r="I21" s="640"/>
      <c r="J21" s="641">
        <f>AVERAGE(J16:J20)</f>
        <v>581.4</v>
      </c>
      <c r="K21" s="642"/>
      <c r="L21" s="643"/>
      <c r="M21" s="1114" t="s">
        <v>499</v>
      </c>
      <c r="N21" s="1115"/>
      <c r="O21" s="1115"/>
      <c r="P21" s="639">
        <f>AVERAGE(P16:P20)</f>
        <v>3416.2</v>
      </c>
      <c r="Q21" s="640"/>
      <c r="R21" s="641">
        <f>AVERAGE(R16:R20)</f>
        <v>1155.4000000000001</v>
      </c>
      <c r="S21" s="642"/>
      <c r="T21" s="643"/>
      <c r="U21" s="626"/>
    </row>
    <row r="22" spans="2:21" ht="27" customHeight="1" thickTop="1">
      <c r="B22" s="666" t="s">
        <v>156</v>
      </c>
      <c r="C22" s="667">
        <v>3.28</v>
      </c>
      <c r="E22" s="638" t="s">
        <v>481</v>
      </c>
      <c r="F22" s="650" t="s">
        <v>214</v>
      </c>
      <c r="G22" s="651" t="s">
        <v>215</v>
      </c>
      <c r="H22" s="652">
        <v>2295</v>
      </c>
      <c r="I22" s="653">
        <v>1910</v>
      </c>
      <c r="J22" s="654">
        <v>714</v>
      </c>
      <c r="K22" s="655" t="s">
        <v>492</v>
      </c>
      <c r="L22" s="644" t="s">
        <v>482</v>
      </c>
      <c r="M22" s="608" t="s">
        <v>503</v>
      </c>
      <c r="N22" s="609" t="s">
        <v>214</v>
      </c>
      <c r="O22" s="633" t="s">
        <v>215</v>
      </c>
      <c r="P22" s="634">
        <v>5049</v>
      </c>
      <c r="Q22" s="635">
        <v>2022</v>
      </c>
      <c r="R22" s="614">
        <v>1274</v>
      </c>
      <c r="S22" s="636" t="s">
        <v>505</v>
      </c>
      <c r="T22" s="637" t="s">
        <v>504</v>
      </c>
      <c r="U22" s="626"/>
    </row>
    <row r="23" spans="2:21" ht="27" customHeight="1">
      <c r="B23" s="668" t="s">
        <v>157</v>
      </c>
      <c r="C23" s="669">
        <v>3.63</v>
      </c>
      <c r="E23" s="638" t="s">
        <v>483</v>
      </c>
      <c r="F23" s="650" t="s">
        <v>214</v>
      </c>
      <c r="G23" s="651" t="s">
        <v>215</v>
      </c>
      <c r="H23" s="652">
        <v>2300</v>
      </c>
      <c r="I23" s="653">
        <v>1998</v>
      </c>
      <c r="J23" s="654">
        <v>732</v>
      </c>
      <c r="K23" s="636" t="s">
        <v>492</v>
      </c>
      <c r="L23" s="637" t="s">
        <v>484</v>
      </c>
      <c r="M23" s="608" t="s">
        <v>507</v>
      </c>
      <c r="N23" s="609" t="s">
        <v>214</v>
      </c>
      <c r="O23" s="633" t="s">
        <v>215</v>
      </c>
      <c r="P23" s="634">
        <v>5168</v>
      </c>
      <c r="Q23" s="635">
        <v>2022</v>
      </c>
      <c r="R23" s="614">
        <v>1345</v>
      </c>
      <c r="S23" s="636" t="s">
        <v>505</v>
      </c>
      <c r="T23" s="637" t="s">
        <v>506</v>
      </c>
      <c r="U23" s="626"/>
    </row>
    <row r="24" spans="2:21" ht="27" customHeight="1">
      <c r="B24" s="668" t="s">
        <v>152</v>
      </c>
      <c r="C24" s="670">
        <v>2302</v>
      </c>
      <c r="E24" s="608" t="s">
        <v>493</v>
      </c>
      <c r="F24" s="609" t="s">
        <v>214</v>
      </c>
      <c r="G24" s="633" t="s">
        <v>215</v>
      </c>
      <c r="H24" s="634">
        <v>2525</v>
      </c>
      <c r="I24" s="635">
        <v>2018</v>
      </c>
      <c r="J24" s="614">
        <v>851</v>
      </c>
      <c r="K24" s="636" t="s">
        <v>492</v>
      </c>
      <c r="L24" s="637" t="s">
        <v>494</v>
      </c>
      <c r="M24" s="608" t="s">
        <v>508</v>
      </c>
      <c r="N24" s="609" t="s">
        <v>214</v>
      </c>
      <c r="O24" s="633" t="s">
        <v>215</v>
      </c>
      <c r="P24" s="634">
        <v>4339</v>
      </c>
      <c r="Q24" s="635">
        <v>2020</v>
      </c>
      <c r="R24" s="614">
        <v>1207</v>
      </c>
      <c r="S24" s="636" t="s">
        <v>505</v>
      </c>
      <c r="T24" s="637" t="s">
        <v>509</v>
      </c>
      <c r="U24" s="626"/>
    </row>
    <row r="25" spans="2:21" ht="27" customHeight="1">
      <c r="B25" s="668" t="s">
        <v>153</v>
      </c>
      <c r="C25" s="670">
        <v>2622</v>
      </c>
      <c r="E25" s="608" t="s">
        <v>495</v>
      </c>
      <c r="F25" s="609" t="s">
        <v>214</v>
      </c>
      <c r="G25" s="633" t="s">
        <v>215</v>
      </c>
      <c r="H25" s="634">
        <v>2260</v>
      </c>
      <c r="I25" s="635">
        <v>2019</v>
      </c>
      <c r="J25" s="614">
        <v>813</v>
      </c>
      <c r="K25" s="636" t="s">
        <v>492</v>
      </c>
      <c r="L25" s="637" t="s">
        <v>496</v>
      </c>
      <c r="M25" s="608" t="s">
        <v>510</v>
      </c>
      <c r="N25" s="609" t="s">
        <v>214</v>
      </c>
      <c r="O25" s="633" t="s">
        <v>215</v>
      </c>
      <c r="P25" s="634">
        <v>4328</v>
      </c>
      <c r="Q25" s="635">
        <v>2002</v>
      </c>
      <c r="R25" s="614">
        <v>1423</v>
      </c>
      <c r="S25" s="636" t="s">
        <v>505</v>
      </c>
      <c r="T25" s="637" t="s">
        <v>511</v>
      </c>
      <c r="U25" s="626"/>
    </row>
    <row r="26" spans="2:21" ht="27" customHeight="1">
      <c r="B26" s="668" t="s">
        <v>151</v>
      </c>
      <c r="C26" s="671">
        <v>5.6000000000000001E-2</v>
      </c>
      <c r="E26" s="608" t="s">
        <v>477</v>
      </c>
      <c r="F26" s="609" t="s">
        <v>214</v>
      </c>
      <c r="G26" s="633" t="s">
        <v>215</v>
      </c>
      <c r="H26" s="634">
        <v>2430</v>
      </c>
      <c r="I26" s="635">
        <v>2018</v>
      </c>
      <c r="J26" s="614">
        <v>723</v>
      </c>
      <c r="K26" s="636" t="s">
        <v>492</v>
      </c>
      <c r="L26" s="637" t="s">
        <v>480</v>
      </c>
      <c r="M26" s="608" t="s">
        <v>512</v>
      </c>
      <c r="N26" s="609" t="s">
        <v>214</v>
      </c>
      <c r="O26" s="633" t="s">
        <v>215</v>
      </c>
      <c r="P26" s="634">
        <v>4417</v>
      </c>
      <c r="Q26" s="635">
        <v>1962</v>
      </c>
      <c r="R26" s="614">
        <v>1383</v>
      </c>
      <c r="S26" s="636" t="s">
        <v>505</v>
      </c>
      <c r="T26" s="637" t="s">
        <v>513</v>
      </c>
      <c r="U26" s="626"/>
    </row>
    <row r="27" spans="2:21" ht="33.950000000000003" customHeight="1" thickBot="1">
      <c r="B27" s="664" t="s">
        <v>173</v>
      </c>
      <c r="C27" s="665" t="s">
        <v>171</v>
      </c>
      <c r="D27" s="673"/>
      <c r="E27" s="1114" t="s">
        <v>497</v>
      </c>
      <c r="F27" s="1115"/>
      <c r="G27" s="1115"/>
      <c r="H27" s="639">
        <f>AVERAGE(H22:H26)</f>
        <v>2362</v>
      </c>
      <c r="I27" s="640"/>
      <c r="J27" s="641">
        <f>AVERAGE(J22:J26)</f>
        <v>766.6</v>
      </c>
      <c r="K27" s="642"/>
      <c r="L27" s="643"/>
      <c r="M27" s="1114" t="s">
        <v>500</v>
      </c>
      <c r="N27" s="1115"/>
      <c r="O27" s="1115"/>
      <c r="P27" s="639">
        <f>AVERAGE(P22:P26)</f>
        <v>4660.2</v>
      </c>
      <c r="Q27" s="640"/>
      <c r="R27" s="641">
        <f>AVERAGE(R22:R26)</f>
        <v>1326.4</v>
      </c>
      <c r="S27" s="642"/>
      <c r="T27" s="643"/>
      <c r="U27" s="626"/>
    </row>
    <row r="28" spans="2:21" ht="16.5" thickTop="1" thickBot="1">
      <c r="Q28" s="626"/>
      <c r="R28" s="626"/>
      <c r="S28" s="626"/>
      <c r="T28" s="626"/>
      <c r="U28" s="626"/>
    </row>
    <row r="29" spans="2:21" ht="36.75" thickTop="1" thickBot="1">
      <c r="B29" s="1105" t="s">
        <v>569</v>
      </c>
      <c r="C29" s="1106"/>
      <c r="D29" s="1106"/>
      <c r="E29" s="1106"/>
      <c r="F29" s="1106"/>
      <c r="G29" s="1106"/>
      <c r="H29" s="1106"/>
      <c r="I29" s="1106"/>
      <c r="J29" s="1106"/>
      <c r="K29" s="1106"/>
      <c r="L29" s="1106"/>
      <c r="M29" s="1106"/>
      <c r="N29" s="1106"/>
      <c r="O29" s="1106"/>
      <c r="P29" s="1106"/>
      <c r="Q29" s="1106"/>
      <c r="R29" s="1106"/>
      <c r="S29" s="1106"/>
      <c r="T29" s="1107"/>
    </row>
    <row r="30" spans="2:21" ht="16.5" thickTop="1" thickBot="1">
      <c r="B30" s="1108" t="s">
        <v>574</v>
      </c>
      <c r="C30" s="1109"/>
      <c r="E30" s="688" t="s">
        <v>288</v>
      </c>
      <c r="F30" s="1113" t="s">
        <v>111</v>
      </c>
      <c r="G30" s="1113"/>
      <c r="H30" s="1113" t="s">
        <v>298</v>
      </c>
      <c r="I30" s="1113"/>
      <c r="J30" s="689" t="s">
        <v>289</v>
      </c>
      <c r="K30" s="690" t="s">
        <v>488</v>
      </c>
      <c r="L30" s="691" t="s">
        <v>489</v>
      </c>
      <c r="T30" s="672"/>
    </row>
    <row r="31" spans="2:21" ht="15.75" thickBot="1">
      <c r="B31" s="1110"/>
      <c r="C31" s="1111"/>
      <c r="E31" s="677" t="s">
        <v>290</v>
      </c>
      <c r="F31" s="1112" t="s">
        <v>291</v>
      </c>
      <c r="G31" s="1112"/>
      <c r="H31" s="1112" t="s">
        <v>299</v>
      </c>
      <c r="I31" s="1112"/>
      <c r="J31" s="678" t="s">
        <v>9</v>
      </c>
      <c r="K31" s="679">
        <v>654</v>
      </c>
      <c r="L31" s="680">
        <v>1044</v>
      </c>
      <c r="T31" s="672"/>
    </row>
    <row r="32" spans="2:21" ht="15.75" thickTop="1">
      <c r="B32" s="656" t="s">
        <v>570</v>
      </c>
      <c r="C32" s="663">
        <v>1350</v>
      </c>
      <c r="E32" s="684" t="s">
        <v>292</v>
      </c>
      <c r="F32" s="1136" t="s">
        <v>293</v>
      </c>
      <c r="G32" s="1136"/>
      <c r="H32" s="1136" t="s">
        <v>300</v>
      </c>
      <c r="I32" s="1136"/>
      <c r="J32" s="685" t="s">
        <v>9</v>
      </c>
      <c r="K32" s="686">
        <v>734</v>
      </c>
      <c r="L32" s="687">
        <v>857</v>
      </c>
      <c r="T32" s="672"/>
    </row>
    <row r="33" spans="2:20">
      <c r="B33" s="656" t="s">
        <v>571</v>
      </c>
      <c r="C33" s="663">
        <v>1300</v>
      </c>
      <c r="E33" s="684" t="s">
        <v>294</v>
      </c>
      <c r="F33" s="1136" t="s">
        <v>295</v>
      </c>
      <c r="G33" s="1136"/>
      <c r="H33" s="1136" t="s">
        <v>301</v>
      </c>
      <c r="I33" s="1136"/>
      <c r="J33" s="685" t="s">
        <v>9</v>
      </c>
      <c r="K33" s="686">
        <v>848</v>
      </c>
      <c r="L33" s="687">
        <v>848</v>
      </c>
      <c r="T33" s="672"/>
    </row>
    <row r="34" spans="2:20">
      <c r="B34" s="656" t="s">
        <v>572</v>
      </c>
      <c r="C34" s="663">
        <v>1250</v>
      </c>
      <c r="E34" s="675" t="s">
        <v>296</v>
      </c>
      <c r="F34" s="1138" t="s">
        <v>297</v>
      </c>
      <c r="G34" s="1138"/>
      <c r="H34" s="1138" t="s">
        <v>302</v>
      </c>
      <c r="I34" s="1138"/>
      <c r="J34" s="138" t="s">
        <v>9</v>
      </c>
      <c r="K34" s="139">
        <v>771</v>
      </c>
      <c r="L34" s="676">
        <v>1316</v>
      </c>
      <c r="T34" s="672"/>
    </row>
    <row r="35" spans="2:20" ht="15.75" thickBot="1">
      <c r="B35" s="656" t="s">
        <v>573</v>
      </c>
      <c r="C35" s="663">
        <v>1200</v>
      </c>
      <c r="E35" s="681"/>
      <c r="F35" s="1139"/>
      <c r="G35" s="1139"/>
      <c r="H35" s="1141"/>
      <c r="I35" s="1141"/>
      <c r="J35" s="432"/>
      <c r="K35" s="433">
        <f>MIN(K31:K34)</f>
        <v>654</v>
      </c>
      <c r="L35" s="682">
        <f>MAX(L31:L34)</f>
        <v>1316</v>
      </c>
      <c r="T35" s="672"/>
    </row>
    <row r="36" spans="2:20" ht="15.75" thickBot="1">
      <c r="B36" s="659" t="s">
        <v>660</v>
      </c>
      <c r="C36" s="660" t="s">
        <v>154</v>
      </c>
      <c r="E36" s="695" t="s">
        <v>290</v>
      </c>
      <c r="F36" s="1135" t="s">
        <v>291</v>
      </c>
      <c r="G36" s="1135"/>
      <c r="H36" s="1135" t="s">
        <v>299</v>
      </c>
      <c r="I36" s="1135"/>
      <c r="J36" s="696" t="s">
        <v>10</v>
      </c>
      <c r="K36" s="697">
        <v>621</v>
      </c>
      <c r="L36" s="698">
        <v>822</v>
      </c>
      <c r="T36" s="672"/>
    </row>
    <row r="37" spans="2:20" ht="15.75" thickTop="1">
      <c r="B37" s="656"/>
      <c r="E37" s="684" t="s">
        <v>292</v>
      </c>
      <c r="F37" s="1136" t="s">
        <v>293</v>
      </c>
      <c r="G37" s="1136"/>
      <c r="H37" s="1136" t="s">
        <v>300</v>
      </c>
      <c r="I37" s="1136"/>
      <c r="J37" s="685" t="s">
        <v>10</v>
      </c>
      <c r="K37" s="686">
        <v>774</v>
      </c>
      <c r="L37" s="687">
        <v>1204</v>
      </c>
      <c r="T37" s="672"/>
    </row>
    <row r="38" spans="2:20">
      <c r="B38" s="656"/>
      <c r="E38" s="684" t="s">
        <v>294</v>
      </c>
      <c r="F38" s="1136" t="s">
        <v>295</v>
      </c>
      <c r="G38" s="1136"/>
      <c r="H38" s="1136" t="s">
        <v>301</v>
      </c>
      <c r="I38" s="1136"/>
      <c r="J38" s="685" t="s">
        <v>10</v>
      </c>
      <c r="K38" s="686">
        <v>793</v>
      </c>
      <c r="L38" s="687">
        <v>1339</v>
      </c>
      <c r="T38" s="672"/>
    </row>
    <row r="39" spans="2:20">
      <c r="B39" s="656"/>
      <c r="E39" s="684" t="s">
        <v>296</v>
      </c>
      <c r="F39" s="1136" t="s">
        <v>297</v>
      </c>
      <c r="G39" s="1136"/>
      <c r="H39" s="1136" t="s">
        <v>302</v>
      </c>
      <c r="I39" s="1136"/>
      <c r="J39" s="685" t="s">
        <v>10</v>
      </c>
      <c r="K39" s="686">
        <v>622</v>
      </c>
      <c r="L39" s="687">
        <v>993</v>
      </c>
      <c r="T39" s="672"/>
    </row>
    <row r="40" spans="2:20" ht="15.75" thickBot="1">
      <c r="B40" s="656"/>
      <c r="E40" s="699"/>
      <c r="F40" s="1140"/>
      <c r="G40" s="1140"/>
      <c r="H40" s="1137"/>
      <c r="I40" s="1137"/>
      <c r="J40" s="674"/>
      <c r="K40" s="700">
        <f>MIN(K36:K39)</f>
        <v>621</v>
      </c>
      <c r="L40" s="701">
        <f>MAX(L36:L39)</f>
        <v>1339</v>
      </c>
      <c r="T40" s="672"/>
    </row>
    <row r="41" spans="2:20">
      <c r="B41" s="656"/>
      <c r="E41" s="695" t="s">
        <v>290</v>
      </c>
      <c r="F41" s="1135" t="s">
        <v>291</v>
      </c>
      <c r="G41" s="1135"/>
      <c r="H41" s="1135" t="s">
        <v>299</v>
      </c>
      <c r="I41" s="1135"/>
      <c r="J41" s="696" t="s">
        <v>11</v>
      </c>
      <c r="K41" s="697">
        <v>788</v>
      </c>
      <c r="L41" s="698">
        <v>978</v>
      </c>
      <c r="T41" s="672"/>
    </row>
    <row r="42" spans="2:20">
      <c r="B42" s="656"/>
      <c r="E42" s="684" t="s">
        <v>292</v>
      </c>
      <c r="F42" s="1136" t="s">
        <v>293</v>
      </c>
      <c r="G42" s="1136"/>
      <c r="H42" s="1136" t="s">
        <v>300</v>
      </c>
      <c r="I42" s="1136"/>
      <c r="J42" s="685" t="s">
        <v>11</v>
      </c>
      <c r="K42" s="686">
        <v>742</v>
      </c>
      <c r="L42" s="687">
        <v>1784</v>
      </c>
      <c r="T42" s="672"/>
    </row>
    <row r="43" spans="2:20">
      <c r="B43" s="656"/>
      <c r="E43" s="684" t="s">
        <v>294</v>
      </c>
      <c r="F43" s="1136" t="s">
        <v>295</v>
      </c>
      <c r="G43" s="1136"/>
      <c r="H43" s="1136" t="s">
        <v>301</v>
      </c>
      <c r="I43" s="1136"/>
      <c r="J43" s="685" t="s">
        <v>11</v>
      </c>
      <c r="K43" s="686">
        <v>903</v>
      </c>
      <c r="L43" s="687">
        <v>1906</v>
      </c>
      <c r="T43" s="672"/>
    </row>
    <row r="44" spans="2:20">
      <c r="B44" s="656"/>
      <c r="E44" s="684" t="s">
        <v>296</v>
      </c>
      <c r="F44" s="1136" t="s">
        <v>297</v>
      </c>
      <c r="G44" s="1136"/>
      <c r="H44" s="1136" t="s">
        <v>302</v>
      </c>
      <c r="I44" s="1136"/>
      <c r="J44" s="685" t="s">
        <v>11</v>
      </c>
      <c r="K44" s="686">
        <v>861</v>
      </c>
      <c r="L44" s="687">
        <v>1006</v>
      </c>
      <c r="T44" s="672"/>
    </row>
    <row r="45" spans="2:20" ht="15.75" thickBot="1">
      <c r="B45" s="656"/>
      <c r="E45" s="699"/>
      <c r="F45" s="1140"/>
      <c r="G45" s="1140"/>
      <c r="H45" s="1137"/>
      <c r="I45" s="1137"/>
      <c r="J45" s="674"/>
      <c r="K45" s="700">
        <f>MIN(K41:K44)</f>
        <v>742</v>
      </c>
      <c r="L45" s="701">
        <f>MAX(L41:L44)</f>
        <v>1906</v>
      </c>
      <c r="T45" s="672"/>
    </row>
    <row r="46" spans="2:20">
      <c r="B46" s="656"/>
      <c r="E46" s="695" t="s">
        <v>292</v>
      </c>
      <c r="F46" s="1135" t="s">
        <v>293</v>
      </c>
      <c r="G46" s="1135"/>
      <c r="H46" s="1135" t="s">
        <v>300</v>
      </c>
      <c r="I46" s="1135"/>
      <c r="J46" s="696" t="s">
        <v>12</v>
      </c>
      <c r="K46" s="697">
        <v>1298</v>
      </c>
      <c r="L46" s="698">
        <v>1298</v>
      </c>
      <c r="T46" s="672"/>
    </row>
    <row r="47" spans="2:20">
      <c r="B47" s="656"/>
      <c r="E47" s="684" t="s">
        <v>294</v>
      </c>
      <c r="F47" s="1136" t="s">
        <v>295</v>
      </c>
      <c r="G47" s="1136"/>
      <c r="H47" s="1136" t="s">
        <v>301</v>
      </c>
      <c r="I47" s="1136"/>
      <c r="J47" s="685" t="s">
        <v>12</v>
      </c>
      <c r="K47" s="686">
        <v>1892</v>
      </c>
      <c r="L47" s="687">
        <v>2061</v>
      </c>
      <c r="T47" s="672"/>
    </row>
    <row r="48" spans="2:20" ht="15.75" thickBot="1">
      <c r="B48" s="659"/>
      <c r="C48" s="673"/>
      <c r="D48" s="673"/>
      <c r="E48" s="692"/>
      <c r="F48" s="1142"/>
      <c r="G48" s="1142"/>
      <c r="H48" s="1143"/>
      <c r="I48" s="1143"/>
      <c r="J48" s="683"/>
      <c r="K48" s="693">
        <f>MIN(K46:K47)</f>
        <v>1298</v>
      </c>
      <c r="L48" s="694">
        <f>MAX(L46:L47)</f>
        <v>2061</v>
      </c>
      <c r="M48" s="673"/>
      <c r="N48" s="673"/>
      <c r="O48" s="673"/>
      <c r="P48" s="673"/>
      <c r="Q48" s="702"/>
      <c r="R48" s="702"/>
      <c r="S48" s="702"/>
      <c r="T48" s="703"/>
    </row>
    <row r="49" spans="2:20" ht="16.5" thickTop="1" thickBot="1"/>
    <row r="50" spans="2:20" ht="36.75" thickTop="1" thickBot="1">
      <c r="B50" s="1102" t="s">
        <v>576</v>
      </c>
      <c r="C50" s="1103"/>
      <c r="D50" s="1103"/>
      <c r="E50" s="1103"/>
      <c r="F50" s="1103"/>
      <c r="G50" s="1103"/>
      <c r="H50" s="1103"/>
      <c r="I50" s="1103"/>
      <c r="J50" s="1103"/>
      <c r="K50" s="1103"/>
      <c r="L50" s="1103"/>
      <c r="M50" s="1103"/>
      <c r="N50" s="1103"/>
      <c r="O50" s="1103"/>
      <c r="P50" s="1103"/>
      <c r="Q50" s="1103"/>
      <c r="R50" s="1103"/>
      <c r="S50" s="1103"/>
      <c r="T50" s="1104"/>
    </row>
    <row r="51" spans="2:20" ht="33" thickTop="1" thickBot="1">
      <c r="B51" s="1126" t="s">
        <v>579</v>
      </c>
      <c r="C51" s="1127"/>
      <c r="E51" s="605" t="s">
        <v>111</v>
      </c>
      <c r="F51" s="606" t="s">
        <v>112</v>
      </c>
      <c r="G51" s="606" t="s">
        <v>113</v>
      </c>
      <c r="H51" s="606" t="s">
        <v>114</v>
      </c>
      <c r="I51" s="606" t="s">
        <v>115</v>
      </c>
      <c r="J51" s="802" t="s">
        <v>209</v>
      </c>
      <c r="K51" s="607" t="s">
        <v>213</v>
      </c>
      <c r="L51" s="606" t="s">
        <v>223</v>
      </c>
      <c r="M51" s="803" t="s">
        <v>210</v>
      </c>
      <c r="N51" s="1116" t="s">
        <v>211</v>
      </c>
      <c r="O51" s="1116"/>
      <c r="P51" s="1116"/>
      <c r="Q51" s="1116"/>
      <c r="R51" s="1116"/>
      <c r="S51" s="1116"/>
      <c r="T51" s="1111"/>
    </row>
    <row r="52" spans="2:20" ht="31.5" thickTop="1" thickBot="1">
      <c r="B52" s="1110"/>
      <c r="C52" s="1111"/>
      <c r="E52" s="627" t="s">
        <v>212</v>
      </c>
      <c r="F52" s="628" t="s">
        <v>214</v>
      </c>
      <c r="G52" s="628" t="s">
        <v>215</v>
      </c>
      <c r="H52" s="715">
        <v>45180</v>
      </c>
      <c r="I52" s="716">
        <v>6400000</v>
      </c>
      <c r="J52" s="717">
        <v>0.39</v>
      </c>
      <c r="K52" s="718" t="s">
        <v>218</v>
      </c>
      <c r="L52" s="719" t="s">
        <v>216</v>
      </c>
      <c r="M52" s="720">
        <f t="shared" ref="M52:M61" si="1">I52/J52</f>
        <v>16410256.41025641</v>
      </c>
      <c r="N52" s="1120" t="s">
        <v>224</v>
      </c>
      <c r="O52" s="1120"/>
      <c r="P52" s="1120"/>
      <c r="Q52" s="1120"/>
      <c r="R52" s="1120"/>
      <c r="S52" s="1120"/>
      <c r="T52" s="1121"/>
    </row>
    <row r="53" spans="2:20" ht="16.5" thickTop="1">
      <c r="B53" s="807" t="s">
        <v>578</v>
      </c>
      <c r="C53" s="808">
        <v>45000000</v>
      </c>
      <c r="E53" s="608" t="s">
        <v>217</v>
      </c>
      <c r="F53" s="609" t="s">
        <v>214</v>
      </c>
      <c r="G53" s="609" t="s">
        <v>215</v>
      </c>
      <c r="H53" s="610">
        <v>45107</v>
      </c>
      <c r="I53" s="611">
        <v>9100000</v>
      </c>
      <c r="J53" s="704">
        <v>0.31</v>
      </c>
      <c r="K53" s="612" t="s">
        <v>219</v>
      </c>
      <c r="L53" s="613" t="s">
        <v>220</v>
      </c>
      <c r="M53" s="705">
        <f t="shared" si="1"/>
        <v>29354838.709677421</v>
      </c>
      <c r="N53" s="1122" t="s">
        <v>221</v>
      </c>
      <c r="O53" s="1122"/>
      <c r="P53" s="1122"/>
      <c r="Q53" s="1122"/>
      <c r="R53" s="1122"/>
      <c r="S53" s="1122"/>
      <c r="T53" s="1123"/>
    </row>
    <row r="54" spans="2:20" ht="30">
      <c r="B54" s="804" t="s">
        <v>698</v>
      </c>
      <c r="C54" s="809">
        <f>C53*0.25</f>
        <v>11250000</v>
      </c>
      <c r="E54" s="608" t="s">
        <v>225</v>
      </c>
      <c r="F54" s="609" t="s">
        <v>214</v>
      </c>
      <c r="G54" s="609" t="s">
        <v>215</v>
      </c>
      <c r="H54" s="610">
        <v>44873</v>
      </c>
      <c r="I54" s="611">
        <v>6800000</v>
      </c>
      <c r="J54" s="704">
        <v>0.27</v>
      </c>
      <c r="K54" s="612" t="s">
        <v>226</v>
      </c>
      <c r="L54" s="613" t="s">
        <v>89</v>
      </c>
      <c r="M54" s="705">
        <f t="shared" si="1"/>
        <v>25185185.185185183</v>
      </c>
      <c r="N54" s="1122" t="s">
        <v>227</v>
      </c>
      <c r="O54" s="1122"/>
      <c r="P54" s="1122"/>
      <c r="Q54" s="1122"/>
      <c r="R54" s="1122"/>
      <c r="S54" s="1122"/>
      <c r="T54" s="1123"/>
    </row>
    <row r="55" spans="2:20" ht="30.75" thickBot="1">
      <c r="B55" s="1146" t="s">
        <v>580</v>
      </c>
      <c r="C55" s="1147"/>
      <c r="E55" s="608" t="s">
        <v>228</v>
      </c>
      <c r="F55" s="609" t="s">
        <v>214</v>
      </c>
      <c r="G55" s="609" t="s">
        <v>215</v>
      </c>
      <c r="H55" s="610">
        <v>44820</v>
      </c>
      <c r="I55" s="611">
        <v>42000000</v>
      </c>
      <c r="J55" s="704">
        <v>0.63</v>
      </c>
      <c r="K55" s="612" t="s">
        <v>229</v>
      </c>
      <c r="L55" s="613" t="s">
        <v>126</v>
      </c>
      <c r="M55" s="705">
        <f t="shared" si="1"/>
        <v>66666666.666666664</v>
      </c>
      <c r="N55" s="1122" t="s">
        <v>154</v>
      </c>
      <c r="O55" s="1122"/>
      <c r="P55" s="1122"/>
      <c r="Q55" s="1122"/>
      <c r="R55" s="1122"/>
      <c r="S55" s="1122"/>
      <c r="T55" s="1123"/>
    </row>
    <row r="56" spans="2:20" ht="30.75" thickTop="1">
      <c r="B56" s="656"/>
      <c r="E56" s="608" t="s">
        <v>230</v>
      </c>
      <c r="F56" s="609" t="s">
        <v>214</v>
      </c>
      <c r="G56" s="609" t="s">
        <v>215</v>
      </c>
      <c r="H56" s="610">
        <v>44811</v>
      </c>
      <c r="I56" s="611">
        <v>5100000</v>
      </c>
      <c r="J56" s="704">
        <f>13939/43560</f>
        <v>0.31999540863177228</v>
      </c>
      <c r="K56" s="612" t="s">
        <v>233</v>
      </c>
      <c r="L56" s="613" t="s">
        <v>231</v>
      </c>
      <c r="M56" s="705">
        <f t="shared" si="1"/>
        <v>15937728.674940813</v>
      </c>
      <c r="N56" s="1122" t="s">
        <v>232</v>
      </c>
      <c r="O56" s="1122"/>
      <c r="P56" s="1122"/>
      <c r="Q56" s="1122"/>
      <c r="R56" s="1122"/>
      <c r="S56" s="1122"/>
      <c r="T56" s="1123"/>
    </row>
    <row r="57" spans="2:20" ht="30">
      <c r="B57" s="656"/>
      <c r="E57" s="608" t="s">
        <v>234</v>
      </c>
      <c r="F57" s="609" t="s">
        <v>214</v>
      </c>
      <c r="G57" s="609" t="s">
        <v>215</v>
      </c>
      <c r="H57" s="610">
        <v>44791</v>
      </c>
      <c r="I57" s="611">
        <v>17500000</v>
      </c>
      <c r="J57" s="704">
        <v>0.61</v>
      </c>
      <c r="K57" s="612" t="s">
        <v>235</v>
      </c>
      <c r="L57" s="613" t="s">
        <v>216</v>
      </c>
      <c r="M57" s="705">
        <f t="shared" si="1"/>
        <v>28688524.590163935</v>
      </c>
      <c r="N57" s="1122" t="s">
        <v>236</v>
      </c>
      <c r="O57" s="1122"/>
      <c r="P57" s="1122"/>
      <c r="Q57" s="1122"/>
      <c r="R57" s="1122"/>
      <c r="S57" s="1122"/>
      <c r="T57" s="1123"/>
    </row>
    <row r="58" spans="2:20" ht="31.5">
      <c r="B58" s="656"/>
      <c r="E58" s="706" t="s">
        <v>237</v>
      </c>
      <c r="F58" s="707" t="s">
        <v>214</v>
      </c>
      <c r="G58" s="707" t="s">
        <v>215</v>
      </c>
      <c r="H58" s="708">
        <v>44726</v>
      </c>
      <c r="I58" s="709">
        <v>22500000</v>
      </c>
      <c r="J58" s="710">
        <v>1.8107</v>
      </c>
      <c r="K58" s="711" t="s">
        <v>222</v>
      </c>
      <c r="L58" s="712" t="s">
        <v>216</v>
      </c>
      <c r="M58" s="713">
        <f t="shared" si="1"/>
        <v>12426133.539515104</v>
      </c>
      <c r="N58" s="1148" t="s">
        <v>577</v>
      </c>
      <c r="O58" s="1148"/>
      <c r="P58" s="1148"/>
      <c r="Q58" s="1148"/>
      <c r="R58" s="1148"/>
      <c r="S58" s="1148"/>
      <c r="T58" s="1149"/>
    </row>
    <row r="59" spans="2:20" ht="69.95" customHeight="1">
      <c r="B59" s="656"/>
      <c r="E59" s="608" t="s">
        <v>238</v>
      </c>
      <c r="F59" s="609" t="s">
        <v>214</v>
      </c>
      <c r="G59" s="609" t="s">
        <v>215</v>
      </c>
      <c r="H59" s="610">
        <v>44713</v>
      </c>
      <c r="I59" s="611">
        <v>29000000</v>
      </c>
      <c r="J59" s="704">
        <f>19105/43560</f>
        <v>0.4385904499540863</v>
      </c>
      <c r="K59" s="612" t="s">
        <v>240</v>
      </c>
      <c r="L59" s="613" t="s">
        <v>216</v>
      </c>
      <c r="M59" s="705">
        <f t="shared" si="1"/>
        <v>66120910.756346509</v>
      </c>
      <c r="N59" s="1122" t="s">
        <v>239</v>
      </c>
      <c r="O59" s="1122"/>
      <c r="P59" s="1122"/>
      <c r="Q59" s="1122"/>
      <c r="R59" s="1122"/>
      <c r="S59" s="1122"/>
      <c r="T59" s="1123"/>
    </row>
    <row r="60" spans="2:20" ht="33" customHeight="1">
      <c r="B60" s="656"/>
      <c r="E60" s="608" t="s">
        <v>241</v>
      </c>
      <c r="F60" s="609" t="s">
        <v>214</v>
      </c>
      <c r="G60" s="609" t="s">
        <v>215</v>
      </c>
      <c r="H60" s="610">
        <v>44670</v>
      </c>
      <c r="I60" s="611">
        <v>6600000</v>
      </c>
      <c r="J60" s="704">
        <v>0.6</v>
      </c>
      <c r="K60" s="612" t="s">
        <v>222</v>
      </c>
      <c r="L60" s="613" t="s">
        <v>126</v>
      </c>
      <c r="M60" s="705">
        <f t="shared" si="1"/>
        <v>11000000</v>
      </c>
      <c r="N60" s="1122" t="s">
        <v>154</v>
      </c>
      <c r="O60" s="1122"/>
      <c r="P60" s="1122"/>
      <c r="Q60" s="1122"/>
      <c r="R60" s="1122"/>
      <c r="S60" s="1122"/>
      <c r="T60" s="1123"/>
    </row>
    <row r="61" spans="2:20" ht="66" customHeight="1" thickBot="1">
      <c r="B61" s="656"/>
      <c r="E61" s="728" t="s">
        <v>244</v>
      </c>
      <c r="F61" s="649" t="s">
        <v>214</v>
      </c>
      <c r="G61" s="649" t="s">
        <v>215</v>
      </c>
      <c r="H61" s="729">
        <v>44606</v>
      </c>
      <c r="I61" s="730">
        <v>5560000</v>
      </c>
      <c r="J61" s="731">
        <v>0.25</v>
      </c>
      <c r="K61" s="732" t="s">
        <v>243</v>
      </c>
      <c r="L61" s="733" t="s">
        <v>216</v>
      </c>
      <c r="M61" s="734">
        <f t="shared" si="1"/>
        <v>22240000</v>
      </c>
      <c r="N61" s="1131" t="s">
        <v>242</v>
      </c>
      <c r="O61" s="1131"/>
      <c r="P61" s="1131"/>
      <c r="Q61" s="1131"/>
      <c r="R61" s="1131"/>
      <c r="S61" s="1131"/>
      <c r="T61" s="1132"/>
    </row>
    <row r="62" spans="2:20" ht="51.95" customHeight="1" thickTop="1" thickBot="1">
      <c r="B62" s="659"/>
      <c r="C62" s="673"/>
      <c r="D62" s="673"/>
      <c r="E62" s="721" t="s">
        <v>245</v>
      </c>
      <c r="F62" s="714"/>
      <c r="G62" s="714"/>
      <c r="H62" s="722"/>
      <c r="I62" s="723">
        <f>AVERAGE(I52:I61)</f>
        <v>15056000</v>
      </c>
      <c r="J62" s="724">
        <f>AVERAGE(J52:J61)</f>
        <v>0.56292858585858574</v>
      </c>
      <c r="K62" s="725"/>
      <c r="L62" s="726"/>
      <c r="M62" s="727">
        <f>SUMPRODUCT(M52:M61,I52:I61)/SUM(I52:I61)</f>
        <v>41977247.248181261</v>
      </c>
      <c r="N62" s="1144"/>
      <c r="O62" s="1144"/>
      <c r="P62" s="1144"/>
      <c r="Q62" s="1144"/>
      <c r="R62" s="1144"/>
      <c r="S62" s="1144"/>
      <c r="T62" s="1145"/>
    </row>
    <row r="63" spans="2:20" ht="16.5" thickTop="1" thickBot="1"/>
    <row r="64" spans="2:20" ht="36.75" thickTop="1" thickBot="1">
      <c r="B64" s="1102" t="s">
        <v>591</v>
      </c>
      <c r="C64" s="1103"/>
      <c r="D64" s="1103"/>
      <c r="E64" s="1103"/>
      <c r="F64" s="1103"/>
      <c r="G64" s="1103"/>
      <c r="H64" s="1103"/>
      <c r="I64" s="1103"/>
      <c r="J64" s="1103"/>
      <c r="K64" s="1103"/>
      <c r="L64" s="1103"/>
      <c r="M64" s="1103"/>
      <c r="N64" s="1103"/>
      <c r="O64" s="1103"/>
      <c r="P64" s="1103"/>
      <c r="Q64" s="1103"/>
      <c r="R64" s="1103"/>
      <c r="S64" s="1103"/>
      <c r="T64" s="1104"/>
    </row>
    <row r="65" spans="2:20" ht="27.95" customHeight="1" thickTop="1">
      <c r="B65" s="1126" t="s">
        <v>598</v>
      </c>
      <c r="C65" s="1127"/>
      <c r="E65" s="1117" t="s">
        <v>449</v>
      </c>
      <c r="F65" s="1118"/>
      <c r="G65" s="1118"/>
      <c r="H65" s="1118"/>
      <c r="I65" s="1118"/>
      <c r="J65" s="1118"/>
      <c r="K65" s="1118"/>
      <c r="L65" s="1118"/>
      <c r="M65" s="1118"/>
      <c r="N65" s="1118"/>
      <c r="O65" s="1118"/>
      <c r="P65" s="1118"/>
      <c r="Q65" s="1118"/>
      <c r="R65" s="1118"/>
      <c r="S65" s="1118"/>
      <c r="T65" s="1119"/>
    </row>
    <row r="66" spans="2:20" ht="32.25" thickBot="1">
      <c r="B66" s="1110"/>
      <c r="C66" s="1111"/>
      <c r="E66" s="778" t="s">
        <v>111</v>
      </c>
      <c r="F66" s="776" t="s">
        <v>112</v>
      </c>
      <c r="G66" s="776" t="s">
        <v>113</v>
      </c>
      <c r="H66" s="776" t="s">
        <v>114</v>
      </c>
      <c r="I66" s="776" t="s">
        <v>115</v>
      </c>
      <c r="J66" s="777" t="s">
        <v>92</v>
      </c>
      <c r="K66" s="776" t="s">
        <v>116</v>
      </c>
      <c r="L66" s="776" t="s">
        <v>117</v>
      </c>
      <c r="M66" s="777" t="s">
        <v>118</v>
      </c>
      <c r="N66" s="777" t="s">
        <v>119</v>
      </c>
      <c r="O66" s="1155" t="s">
        <v>211</v>
      </c>
      <c r="P66" s="1155"/>
      <c r="Q66" s="1155"/>
      <c r="R66" s="1155"/>
      <c r="S66" s="1155"/>
      <c r="T66" s="1127"/>
    </row>
    <row r="67" spans="2:20" ht="36.950000000000003" customHeight="1" thickTop="1">
      <c r="B67" s="804" t="s">
        <v>593</v>
      </c>
      <c r="C67" s="805">
        <v>0.05</v>
      </c>
      <c r="E67" s="627" t="s">
        <v>264</v>
      </c>
      <c r="F67" s="628" t="s">
        <v>214</v>
      </c>
      <c r="G67" s="628" t="s">
        <v>215</v>
      </c>
      <c r="H67" s="715">
        <v>44949</v>
      </c>
      <c r="I67" s="716">
        <v>2528000</v>
      </c>
      <c r="J67" s="718">
        <f>I67/L67</f>
        <v>457.97101449275362</v>
      </c>
      <c r="K67" s="719" t="s">
        <v>154</v>
      </c>
      <c r="L67" s="789">
        <v>5520</v>
      </c>
      <c r="M67" s="718" t="s">
        <v>154</v>
      </c>
      <c r="N67" s="628">
        <v>1948</v>
      </c>
      <c r="O67" s="1120" t="s">
        <v>463</v>
      </c>
      <c r="P67" s="1120"/>
      <c r="Q67" s="1120"/>
      <c r="R67" s="1120"/>
      <c r="S67" s="1120"/>
      <c r="T67" s="1121"/>
    </row>
    <row r="68" spans="2:20" ht="36.950000000000003" customHeight="1" thickBot="1">
      <c r="B68" s="804" t="s">
        <v>594</v>
      </c>
      <c r="C68" s="806">
        <v>45</v>
      </c>
      <c r="E68" s="608" t="s">
        <v>265</v>
      </c>
      <c r="F68" s="609" t="s">
        <v>214</v>
      </c>
      <c r="G68" s="609" t="s">
        <v>215</v>
      </c>
      <c r="H68" s="610">
        <v>44762</v>
      </c>
      <c r="I68" s="611">
        <v>10600000</v>
      </c>
      <c r="J68" s="612">
        <f>I68/L68</f>
        <v>486.19392716264565</v>
      </c>
      <c r="K68" s="613" t="s">
        <v>154</v>
      </c>
      <c r="L68" s="614">
        <v>21802</v>
      </c>
      <c r="M68" s="612" t="s">
        <v>154</v>
      </c>
      <c r="N68" s="609">
        <v>1928</v>
      </c>
      <c r="O68" s="1122" t="s">
        <v>464</v>
      </c>
      <c r="P68" s="1122"/>
      <c r="Q68" s="1122"/>
      <c r="R68" s="1122"/>
      <c r="S68" s="1122"/>
      <c r="T68" s="1123"/>
    </row>
    <row r="69" spans="2:20" ht="36.950000000000003" customHeight="1" thickTop="1" thickBot="1">
      <c r="B69" s="735"/>
      <c r="C69" s="792"/>
      <c r="E69" s="608" t="s">
        <v>266</v>
      </c>
      <c r="F69" s="609" t="s">
        <v>214</v>
      </c>
      <c r="G69" s="609" t="s">
        <v>215</v>
      </c>
      <c r="H69" s="610">
        <v>44721</v>
      </c>
      <c r="I69" s="611">
        <f>75000000/0.49</f>
        <v>153061224.48979592</v>
      </c>
      <c r="J69" s="612">
        <f>I69/L69</f>
        <v>278.29313543599261</v>
      </c>
      <c r="K69" s="613" t="s">
        <v>154</v>
      </c>
      <c r="L69" s="614">
        <v>550000</v>
      </c>
      <c r="M69" s="612" t="s">
        <v>154</v>
      </c>
      <c r="N69" s="609">
        <v>2001</v>
      </c>
      <c r="O69" s="1122" t="s">
        <v>154</v>
      </c>
      <c r="P69" s="1122"/>
      <c r="Q69" s="1122"/>
      <c r="R69" s="1122"/>
      <c r="S69" s="1122"/>
      <c r="T69" s="1123"/>
    </row>
    <row r="70" spans="2:20" ht="72.95" customHeight="1">
      <c r="B70" s="795" t="s">
        <v>169</v>
      </c>
      <c r="C70" s="793" t="s">
        <v>595</v>
      </c>
      <c r="E70" s="608" t="s">
        <v>267</v>
      </c>
      <c r="F70" s="609" t="s">
        <v>214</v>
      </c>
      <c r="G70" s="609" t="s">
        <v>215</v>
      </c>
      <c r="H70" s="610">
        <v>44698</v>
      </c>
      <c r="I70" s="611">
        <v>730000000</v>
      </c>
      <c r="J70" s="612">
        <f>I70/L70</f>
        <v>959.30068294323962</v>
      </c>
      <c r="K70" s="613">
        <v>4.2999999999999997E-2</v>
      </c>
      <c r="L70" s="614">
        <v>760971</v>
      </c>
      <c r="M70" s="612">
        <f>(K70*I70)/L70</f>
        <v>41.2499293665593</v>
      </c>
      <c r="N70" s="609">
        <v>2017</v>
      </c>
      <c r="O70" s="1122" t="s">
        <v>465</v>
      </c>
      <c r="P70" s="1122"/>
      <c r="Q70" s="1122"/>
      <c r="R70" s="1122"/>
      <c r="S70" s="1122"/>
      <c r="T70" s="1123"/>
    </row>
    <row r="71" spans="2:20" ht="72.95" customHeight="1" thickBot="1">
      <c r="B71" s="796" t="s">
        <v>155</v>
      </c>
      <c r="C71" s="73">
        <v>49.28</v>
      </c>
      <c r="E71" s="728" t="s">
        <v>268</v>
      </c>
      <c r="F71" s="649" t="s">
        <v>214</v>
      </c>
      <c r="G71" s="649" t="s">
        <v>215</v>
      </c>
      <c r="H71" s="729">
        <v>44588</v>
      </c>
      <c r="I71" s="730">
        <v>382000000</v>
      </c>
      <c r="J71" s="732">
        <f>I71/L71</f>
        <v>608.62236257004338</v>
      </c>
      <c r="K71" s="733">
        <v>4.4999999999999998E-2</v>
      </c>
      <c r="L71" s="782">
        <f>542848+84799</f>
        <v>627647</v>
      </c>
      <c r="M71" s="732">
        <f>(K71*I71)/L71</f>
        <v>27.38800631565195</v>
      </c>
      <c r="N71" s="649">
        <v>1991</v>
      </c>
      <c r="O71" s="1131" t="s">
        <v>466</v>
      </c>
      <c r="P71" s="1131"/>
      <c r="Q71" s="1131"/>
      <c r="R71" s="1131"/>
      <c r="S71" s="1131"/>
      <c r="T71" s="1132"/>
    </row>
    <row r="72" spans="2:20" ht="36.950000000000003" customHeight="1" thickTop="1" thickBot="1">
      <c r="B72" s="797" t="s">
        <v>158</v>
      </c>
      <c r="C72" s="74">
        <v>53</v>
      </c>
      <c r="E72" s="1124" t="s">
        <v>123</v>
      </c>
      <c r="F72" s="1125"/>
      <c r="G72" s="1125"/>
      <c r="H72" s="622"/>
      <c r="I72" s="623">
        <f>SUM(I67:I71)</f>
        <v>1278189224.4897959</v>
      </c>
      <c r="J72" s="623">
        <f>SUMPRODUCT(J67:J71,I67:I71)/I72</f>
        <v>768.03224176113213</v>
      </c>
      <c r="K72" s="624">
        <f>AVERAGE(K67:K71)</f>
        <v>4.3999999999999997E-2</v>
      </c>
      <c r="L72" s="625"/>
      <c r="M72" s="625"/>
      <c r="N72" s="625"/>
      <c r="O72" s="625"/>
      <c r="P72" s="779"/>
      <c r="Q72" s="779"/>
      <c r="R72" s="779"/>
      <c r="S72" s="779"/>
      <c r="T72" s="780"/>
    </row>
    <row r="73" spans="2:20" ht="39.950000000000003" customHeight="1" thickTop="1" thickBot="1">
      <c r="B73" s="797" t="s">
        <v>159</v>
      </c>
      <c r="C73" s="74">
        <v>49.68</v>
      </c>
      <c r="Q73" s="626"/>
      <c r="R73" s="626"/>
      <c r="S73" s="626"/>
      <c r="T73" s="658"/>
    </row>
    <row r="74" spans="2:20" ht="32.1" customHeight="1" thickTop="1">
      <c r="B74" s="798" t="s">
        <v>160</v>
      </c>
      <c r="C74" s="75">
        <v>47.74</v>
      </c>
      <c r="E74" s="1128" t="s">
        <v>448</v>
      </c>
      <c r="F74" s="1129"/>
      <c r="G74" s="1129"/>
      <c r="H74" s="1129"/>
      <c r="I74" s="1129"/>
      <c r="J74" s="1129"/>
      <c r="K74" s="1129"/>
      <c r="L74" s="1129"/>
      <c r="M74" s="1129"/>
      <c r="N74" s="1129"/>
      <c r="O74" s="1129"/>
      <c r="P74" s="1129"/>
      <c r="Q74" s="1129"/>
      <c r="R74" s="1129"/>
      <c r="S74" s="1129"/>
      <c r="T74" s="1130"/>
    </row>
    <row r="75" spans="2:20" ht="32.1" customHeight="1" thickBot="1">
      <c r="B75" s="799" t="s">
        <v>596</v>
      </c>
      <c r="C75" s="794" t="s">
        <v>165</v>
      </c>
      <c r="E75" s="1117" t="s">
        <v>111</v>
      </c>
      <c r="F75" s="1118"/>
      <c r="G75" s="776" t="s">
        <v>112</v>
      </c>
      <c r="H75" s="776" t="s">
        <v>113</v>
      </c>
      <c r="I75" s="777" t="s">
        <v>451</v>
      </c>
      <c r="J75" s="776" t="s">
        <v>120</v>
      </c>
      <c r="K75" s="777" t="s">
        <v>117</v>
      </c>
      <c r="L75" s="1155" t="s">
        <v>121</v>
      </c>
      <c r="M75" s="1155"/>
      <c r="N75" s="1155"/>
      <c r="O75" s="1155"/>
      <c r="P75" s="1155" t="s">
        <v>122</v>
      </c>
      <c r="Q75" s="1155"/>
      <c r="R75" s="1155"/>
      <c r="S75" s="1155"/>
      <c r="T75" s="1127"/>
    </row>
    <row r="76" spans="2:20" ht="36.950000000000003" customHeight="1" thickTop="1">
      <c r="B76" s="796" t="s">
        <v>161</v>
      </c>
      <c r="C76" s="76">
        <v>0.309</v>
      </c>
      <c r="E76" s="1164" t="s">
        <v>450</v>
      </c>
      <c r="F76" s="1120"/>
      <c r="G76" s="628" t="s">
        <v>214</v>
      </c>
      <c r="H76" s="629" t="s">
        <v>215</v>
      </c>
      <c r="I76" s="629">
        <v>45383</v>
      </c>
      <c r="J76" s="788">
        <v>40</v>
      </c>
      <c r="K76" s="789">
        <v>15317</v>
      </c>
      <c r="L76" s="1161" t="s">
        <v>452</v>
      </c>
      <c r="M76" s="1161"/>
      <c r="N76" s="1161"/>
      <c r="O76" s="1161"/>
      <c r="P76" s="1158" t="s">
        <v>453</v>
      </c>
      <c r="Q76" s="1158"/>
      <c r="R76" s="1158"/>
      <c r="S76" s="1158"/>
      <c r="T76" s="1159"/>
    </row>
    <row r="77" spans="2:20" ht="36.950000000000003" customHeight="1">
      <c r="B77" s="797" t="s">
        <v>162</v>
      </c>
      <c r="C77" s="77">
        <v>0.34399999999999997</v>
      </c>
      <c r="E77" s="1150" t="s">
        <v>460</v>
      </c>
      <c r="F77" s="1122"/>
      <c r="G77" s="609" t="s">
        <v>214</v>
      </c>
      <c r="H77" s="633" t="s">
        <v>215</v>
      </c>
      <c r="I77" s="633">
        <v>45292</v>
      </c>
      <c r="J77" s="781">
        <v>44</v>
      </c>
      <c r="K77" s="614">
        <v>21824</v>
      </c>
      <c r="L77" s="1162" t="s">
        <v>461</v>
      </c>
      <c r="M77" s="1162"/>
      <c r="N77" s="1162"/>
      <c r="O77" s="1162"/>
      <c r="P77" s="1151" t="s">
        <v>462</v>
      </c>
      <c r="Q77" s="1151"/>
      <c r="R77" s="1151"/>
      <c r="S77" s="1151" t="s">
        <v>462</v>
      </c>
      <c r="T77" s="1152"/>
    </row>
    <row r="78" spans="2:20" ht="36.950000000000003" customHeight="1">
      <c r="B78" s="797" t="s">
        <v>164</v>
      </c>
      <c r="C78" s="77">
        <v>0.26900000000000002</v>
      </c>
      <c r="E78" s="1150" t="s">
        <v>454</v>
      </c>
      <c r="F78" s="1122"/>
      <c r="G78" s="609" t="s">
        <v>214</v>
      </c>
      <c r="H78" s="633" t="s">
        <v>215</v>
      </c>
      <c r="I78" s="633">
        <v>45200</v>
      </c>
      <c r="J78" s="781">
        <v>36</v>
      </c>
      <c r="K78" s="614">
        <v>3119</v>
      </c>
      <c r="L78" s="1162" t="s">
        <v>154</v>
      </c>
      <c r="M78" s="1162"/>
      <c r="N78" s="1162"/>
      <c r="O78" s="1162"/>
      <c r="P78" s="1151" t="s">
        <v>154</v>
      </c>
      <c r="Q78" s="1151"/>
      <c r="R78" s="1151"/>
      <c r="S78" s="1151" t="s">
        <v>154</v>
      </c>
      <c r="T78" s="1152"/>
    </row>
    <row r="79" spans="2:20" ht="36.950000000000003" customHeight="1">
      <c r="B79" s="798" t="s">
        <v>163</v>
      </c>
      <c r="C79" s="78">
        <v>0.217</v>
      </c>
      <c r="E79" s="1150" t="s">
        <v>455</v>
      </c>
      <c r="F79" s="1122"/>
      <c r="G79" s="609" t="s">
        <v>214</v>
      </c>
      <c r="H79" s="633" t="s">
        <v>215</v>
      </c>
      <c r="I79" s="633">
        <v>45170</v>
      </c>
      <c r="J79" s="781">
        <v>45</v>
      </c>
      <c r="K79" s="614">
        <v>20473</v>
      </c>
      <c r="L79" s="1162" t="s">
        <v>154</v>
      </c>
      <c r="M79" s="1162"/>
      <c r="N79" s="1162"/>
      <c r="O79" s="1162"/>
      <c r="P79" s="1151" t="s">
        <v>154</v>
      </c>
      <c r="Q79" s="1151"/>
      <c r="R79" s="1151"/>
      <c r="S79" s="1151" t="s">
        <v>154</v>
      </c>
      <c r="T79" s="1152"/>
    </row>
    <row r="80" spans="2:20" ht="36.950000000000003" customHeight="1">
      <c r="B80" s="799" t="s">
        <v>167</v>
      </c>
      <c r="C80" s="794" t="s">
        <v>168</v>
      </c>
      <c r="E80" s="1150" t="s">
        <v>456</v>
      </c>
      <c r="F80" s="1122"/>
      <c r="G80" s="609" t="s">
        <v>214</v>
      </c>
      <c r="H80" s="633" t="s">
        <v>215</v>
      </c>
      <c r="I80" s="633">
        <v>45139</v>
      </c>
      <c r="J80" s="781">
        <v>33</v>
      </c>
      <c r="K80" s="614">
        <v>2315</v>
      </c>
      <c r="L80" s="1162" t="s">
        <v>154</v>
      </c>
      <c r="M80" s="1162"/>
      <c r="N80" s="1162"/>
      <c r="O80" s="1162"/>
      <c r="P80" s="1151" t="s">
        <v>154</v>
      </c>
      <c r="Q80" s="1151"/>
      <c r="R80" s="1151"/>
      <c r="S80" s="1151" t="s">
        <v>154</v>
      </c>
      <c r="T80" s="1152"/>
    </row>
    <row r="81" spans="2:20" ht="36.950000000000003" customHeight="1">
      <c r="B81" s="796" t="s">
        <v>161</v>
      </c>
      <c r="C81" s="79">
        <v>-413765</v>
      </c>
      <c r="E81" s="1150" t="s">
        <v>457</v>
      </c>
      <c r="F81" s="1122"/>
      <c r="G81" s="609" t="s">
        <v>214</v>
      </c>
      <c r="H81" s="633" t="s">
        <v>215</v>
      </c>
      <c r="I81" s="633">
        <v>45078</v>
      </c>
      <c r="J81" s="781">
        <v>43</v>
      </c>
      <c r="K81" s="614">
        <v>19064</v>
      </c>
      <c r="L81" s="1162" t="s">
        <v>458</v>
      </c>
      <c r="M81" s="1162"/>
      <c r="N81" s="1162"/>
      <c r="O81" s="1162"/>
      <c r="P81" s="1151" t="s">
        <v>592</v>
      </c>
      <c r="Q81" s="1151"/>
      <c r="R81" s="1151"/>
      <c r="S81" s="1151" t="s">
        <v>459</v>
      </c>
      <c r="T81" s="1152"/>
    </row>
    <row r="82" spans="2:20" ht="36.950000000000003" customHeight="1">
      <c r="B82" s="797" t="s">
        <v>162</v>
      </c>
      <c r="C82" s="80">
        <v>-21382</v>
      </c>
      <c r="E82" s="1150" t="s">
        <v>456</v>
      </c>
      <c r="F82" s="1122"/>
      <c r="G82" s="609" t="s">
        <v>214</v>
      </c>
      <c r="H82" s="633" t="s">
        <v>215</v>
      </c>
      <c r="I82" s="633">
        <v>44986</v>
      </c>
      <c r="J82" s="781">
        <v>43</v>
      </c>
      <c r="K82" s="614">
        <v>9146</v>
      </c>
      <c r="L82" s="1162" t="s">
        <v>154</v>
      </c>
      <c r="M82" s="1162"/>
      <c r="N82" s="1162"/>
      <c r="O82" s="1162"/>
      <c r="P82" s="1151" t="s">
        <v>154</v>
      </c>
      <c r="Q82" s="1151"/>
      <c r="R82" s="1151"/>
      <c r="S82" s="1151" t="s">
        <v>154</v>
      </c>
      <c r="T82" s="1152"/>
    </row>
    <row r="83" spans="2:20" ht="36.950000000000003" customHeight="1" thickBot="1">
      <c r="B83" s="797" t="s">
        <v>164</v>
      </c>
      <c r="C83" s="80">
        <v>-559903</v>
      </c>
      <c r="E83" s="1160" t="s">
        <v>454</v>
      </c>
      <c r="F83" s="1131"/>
      <c r="G83" s="649" t="s">
        <v>214</v>
      </c>
      <c r="H83" s="790" t="s">
        <v>215</v>
      </c>
      <c r="I83" s="790">
        <v>44958</v>
      </c>
      <c r="J83" s="791">
        <v>37</v>
      </c>
      <c r="K83" s="782">
        <v>3846</v>
      </c>
      <c r="L83" s="1163" t="s">
        <v>154</v>
      </c>
      <c r="M83" s="1163"/>
      <c r="N83" s="1163"/>
      <c r="O83" s="1163"/>
      <c r="P83" s="1153" t="s">
        <v>154</v>
      </c>
      <c r="Q83" s="1153"/>
      <c r="R83" s="1153"/>
      <c r="S83" s="1153" t="s">
        <v>154</v>
      </c>
      <c r="T83" s="1154"/>
    </row>
    <row r="84" spans="2:20" ht="39" customHeight="1" thickTop="1" thickBot="1">
      <c r="B84" s="798" t="s">
        <v>163</v>
      </c>
      <c r="C84" s="81">
        <v>-522033</v>
      </c>
      <c r="E84" s="1124" t="s">
        <v>123</v>
      </c>
      <c r="F84" s="1125"/>
      <c r="G84" s="1125"/>
      <c r="H84" s="1125"/>
      <c r="I84" s="622"/>
      <c r="J84" s="783">
        <f>SUMPRODUCT(J76:J83,K76:K83)/K84</f>
        <v>42.461221399730825</v>
      </c>
      <c r="K84" s="784">
        <f>SUM(K76:K83)</f>
        <v>95104</v>
      </c>
      <c r="L84" s="785"/>
      <c r="M84" s="786"/>
      <c r="N84" s="786"/>
      <c r="O84" s="787"/>
      <c r="P84" s="1156"/>
      <c r="Q84" s="1156"/>
      <c r="R84" s="1156"/>
      <c r="S84" s="1156"/>
      <c r="T84" s="1157"/>
    </row>
    <row r="85" spans="2:20" ht="29.1" customHeight="1" thickTop="1">
      <c r="B85" s="799" t="s">
        <v>170</v>
      </c>
      <c r="C85" s="794" t="s">
        <v>172</v>
      </c>
      <c r="T85" s="672"/>
    </row>
    <row r="86" spans="2:20" ht="29.1" customHeight="1" thickBot="1">
      <c r="B86" s="800" t="s">
        <v>175</v>
      </c>
      <c r="C86" s="801" t="s">
        <v>174</v>
      </c>
      <c r="D86" s="673"/>
      <c r="E86" s="673"/>
      <c r="F86" s="673"/>
      <c r="G86" s="673"/>
      <c r="H86" s="673"/>
      <c r="I86" s="673"/>
      <c r="J86" s="673"/>
      <c r="K86" s="673"/>
      <c r="L86" s="673"/>
      <c r="M86" s="673"/>
      <c r="N86" s="673"/>
      <c r="O86" s="673"/>
      <c r="P86" s="673"/>
      <c r="Q86" s="702"/>
      <c r="R86" s="702"/>
      <c r="S86" s="702"/>
      <c r="T86" s="703"/>
    </row>
    <row r="87" spans="2:20" ht="16.5" thickTop="1" thickBot="1"/>
    <row r="88" spans="2:20" ht="36.75" thickTop="1" thickBot="1">
      <c r="B88" s="1102" t="s">
        <v>597</v>
      </c>
      <c r="C88" s="1103"/>
      <c r="D88" s="1103"/>
      <c r="E88" s="1103"/>
      <c r="F88" s="1103"/>
      <c r="G88" s="1103"/>
      <c r="H88" s="1103"/>
      <c r="I88" s="1103"/>
      <c r="J88" s="1103"/>
      <c r="K88" s="1103"/>
      <c r="L88" s="1103"/>
      <c r="M88" s="1103"/>
      <c r="N88" s="1103"/>
      <c r="O88" s="1103"/>
      <c r="P88" s="1103"/>
      <c r="Q88" s="1103"/>
      <c r="R88" s="1103"/>
      <c r="S88" s="1103"/>
      <c r="T88" s="1104"/>
    </row>
    <row r="89" spans="2:20" ht="16.5" thickTop="1">
      <c r="B89" s="1126" t="s">
        <v>599</v>
      </c>
      <c r="C89" s="1127"/>
      <c r="E89" s="1128" t="s">
        <v>441</v>
      </c>
      <c r="F89" s="1129"/>
      <c r="G89" s="1129"/>
      <c r="H89" s="1129"/>
      <c r="I89" s="1129"/>
      <c r="J89" s="1129"/>
      <c r="K89" s="1129"/>
      <c r="L89" s="1129"/>
      <c r="M89" s="1129"/>
      <c r="N89" s="1129"/>
      <c r="O89" s="1129"/>
      <c r="P89" s="1129"/>
      <c r="Q89" s="1129"/>
      <c r="R89" s="1129"/>
      <c r="S89" s="1129"/>
      <c r="T89" s="1130"/>
    </row>
    <row r="90" spans="2:20" ht="32.25" thickBot="1">
      <c r="B90" s="1110"/>
      <c r="C90" s="1111"/>
      <c r="E90" s="605" t="s">
        <v>111</v>
      </c>
      <c r="F90" s="606" t="s">
        <v>112</v>
      </c>
      <c r="G90" s="606" t="s">
        <v>113</v>
      </c>
      <c r="H90" s="606" t="s">
        <v>114</v>
      </c>
      <c r="I90" s="606" t="s">
        <v>115</v>
      </c>
      <c r="J90" s="607" t="s">
        <v>92</v>
      </c>
      <c r="K90" s="606" t="s">
        <v>116</v>
      </c>
      <c r="L90" s="606" t="s">
        <v>117</v>
      </c>
      <c r="M90" s="607" t="s">
        <v>118</v>
      </c>
      <c r="N90" s="607" t="s">
        <v>119</v>
      </c>
      <c r="O90" s="1155" t="s">
        <v>211</v>
      </c>
      <c r="P90" s="1155"/>
      <c r="Q90" s="1155"/>
      <c r="R90" s="1155"/>
      <c r="S90" s="1155"/>
      <c r="T90" s="1127"/>
    </row>
    <row r="91" spans="2:20" ht="80.099999999999994" customHeight="1" thickTop="1">
      <c r="B91" s="807" t="s">
        <v>593</v>
      </c>
      <c r="C91" s="812">
        <v>4.4999999999999998E-2</v>
      </c>
      <c r="E91" s="608" t="s">
        <v>254</v>
      </c>
      <c r="F91" s="609" t="s">
        <v>214</v>
      </c>
      <c r="G91" s="609" t="s">
        <v>215</v>
      </c>
      <c r="H91" s="610">
        <v>45055</v>
      </c>
      <c r="I91" s="611">
        <v>5000000</v>
      </c>
      <c r="J91" s="611">
        <f t="shared" ref="J91:J97" si="2">I91/L91</f>
        <v>252.52525252525251</v>
      </c>
      <c r="K91" s="613" t="s">
        <v>154</v>
      </c>
      <c r="L91" s="614">
        <v>19800</v>
      </c>
      <c r="M91" s="612" t="s">
        <v>154</v>
      </c>
      <c r="N91" s="609">
        <v>1962</v>
      </c>
      <c r="O91" s="1120" t="s">
        <v>447</v>
      </c>
      <c r="P91" s="1120"/>
      <c r="Q91" s="1120"/>
      <c r="R91" s="1120"/>
      <c r="S91" s="1120"/>
      <c r="T91" s="1121"/>
    </row>
    <row r="92" spans="2:20" ht="59.1" customHeight="1" thickBot="1">
      <c r="B92" s="813" t="s">
        <v>594</v>
      </c>
      <c r="C92" s="814">
        <v>35</v>
      </c>
      <c r="E92" s="608" t="s">
        <v>255</v>
      </c>
      <c r="F92" s="609" t="s">
        <v>214</v>
      </c>
      <c r="G92" s="609" t="s">
        <v>215</v>
      </c>
      <c r="H92" s="610">
        <v>44895</v>
      </c>
      <c r="I92" s="611">
        <v>900000</v>
      </c>
      <c r="J92" s="611">
        <f t="shared" si="2"/>
        <v>209.88805970149255</v>
      </c>
      <c r="K92" s="613" t="s">
        <v>154</v>
      </c>
      <c r="L92" s="614">
        <v>4288</v>
      </c>
      <c r="M92" s="612" t="s">
        <v>154</v>
      </c>
      <c r="N92" s="609">
        <v>1975</v>
      </c>
      <c r="O92" s="1122" t="s">
        <v>446</v>
      </c>
      <c r="P92" s="1122"/>
      <c r="Q92" s="1122"/>
      <c r="R92" s="1122"/>
      <c r="S92" s="1122"/>
      <c r="T92" s="1123"/>
    </row>
    <row r="93" spans="2:20" ht="36" customHeight="1" thickTop="1" thickBot="1">
      <c r="B93" s="656"/>
      <c r="E93" s="608" t="s">
        <v>256</v>
      </c>
      <c r="F93" s="609" t="s">
        <v>214</v>
      </c>
      <c r="G93" s="609" t="s">
        <v>215</v>
      </c>
      <c r="H93" s="610">
        <v>44788</v>
      </c>
      <c r="I93" s="611">
        <v>3500000</v>
      </c>
      <c r="J93" s="611">
        <f t="shared" si="2"/>
        <v>309.46065428824051</v>
      </c>
      <c r="K93" s="613" t="s">
        <v>154</v>
      </c>
      <c r="L93" s="614">
        <v>11310</v>
      </c>
      <c r="M93" s="612" t="s">
        <v>154</v>
      </c>
      <c r="N93" s="609">
        <v>1920</v>
      </c>
      <c r="O93" s="1122" t="s">
        <v>445</v>
      </c>
      <c r="P93" s="1122"/>
      <c r="Q93" s="1122"/>
      <c r="R93" s="1122"/>
      <c r="S93" s="1122"/>
      <c r="T93" s="1123"/>
    </row>
    <row r="94" spans="2:20" ht="36" customHeight="1">
      <c r="B94" s="795" t="s">
        <v>169</v>
      </c>
      <c r="C94" s="793" t="s">
        <v>180</v>
      </c>
      <c r="E94" s="608" t="s">
        <v>257</v>
      </c>
      <c r="F94" s="609" t="s">
        <v>214</v>
      </c>
      <c r="G94" s="609" t="s">
        <v>215</v>
      </c>
      <c r="H94" s="610">
        <v>44719</v>
      </c>
      <c r="I94" s="611">
        <v>5000000</v>
      </c>
      <c r="J94" s="611">
        <f t="shared" si="2"/>
        <v>534.3022013250694</v>
      </c>
      <c r="K94" s="613">
        <v>0.04</v>
      </c>
      <c r="L94" s="614">
        <v>9358</v>
      </c>
      <c r="M94" s="612">
        <f>(K94*I94)/L94</f>
        <v>21.372088053002777</v>
      </c>
      <c r="N94" s="609" t="s">
        <v>258</v>
      </c>
      <c r="O94" s="1122" t="s">
        <v>444</v>
      </c>
      <c r="P94" s="1122"/>
      <c r="Q94" s="1122"/>
      <c r="R94" s="1122"/>
      <c r="S94" s="1122"/>
      <c r="T94" s="1123"/>
    </row>
    <row r="95" spans="2:20" ht="36" customHeight="1">
      <c r="B95" s="1167" t="s">
        <v>178</v>
      </c>
      <c r="C95" s="1173">
        <v>28.4</v>
      </c>
      <c r="E95" s="608" t="s">
        <v>259</v>
      </c>
      <c r="F95" s="609" t="s">
        <v>214</v>
      </c>
      <c r="G95" s="609" t="s">
        <v>215</v>
      </c>
      <c r="H95" s="610">
        <v>44677</v>
      </c>
      <c r="I95" s="611">
        <v>1530000</v>
      </c>
      <c r="J95" s="611">
        <f t="shared" si="2"/>
        <v>591.64733178654296</v>
      </c>
      <c r="K95" s="613">
        <v>0.05</v>
      </c>
      <c r="L95" s="614">
        <v>2586</v>
      </c>
      <c r="M95" s="612">
        <f>(K95*I95)/L95</f>
        <v>29.582366589327147</v>
      </c>
      <c r="N95" s="609">
        <v>1980</v>
      </c>
      <c r="O95" s="1122" t="s">
        <v>444</v>
      </c>
      <c r="P95" s="1122"/>
      <c r="Q95" s="1122"/>
      <c r="R95" s="1122"/>
      <c r="S95" s="1122"/>
      <c r="T95" s="1123"/>
    </row>
    <row r="96" spans="2:20" ht="36" customHeight="1">
      <c r="B96" s="1168"/>
      <c r="C96" s="1174"/>
      <c r="E96" s="608" t="s">
        <v>260</v>
      </c>
      <c r="F96" s="609" t="s">
        <v>214</v>
      </c>
      <c r="G96" s="609" t="s">
        <v>215</v>
      </c>
      <c r="H96" s="610">
        <v>44652</v>
      </c>
      <c r="I96" s="611">
        <v>4765000</v>
      </c>
      <c r="J96" s="611">
        <f t="shared" si="2"/>
        <v>311.19383490073147</v>
      </c>
      <c r="K96" s="613" t="s">
        <v>154</v>
      </c>
      <c r="L96" s="614">
        <v>15312</v>
      </c>
      <c r="M96" s="612" t="s">
        <v>154</v>
      </c>
      <c r="N96" s="609" t="s">
        <v>261</v>
      </c>
      <c r="O96" s="1122" t="s">
        <v>444</v>
      </c>
      <c r="P96" s="1122"/>
      <c r="Q96" s="1122"/>
      <c r="R96" s="1122"/>
      <c r="S96" s="1122"/>
      <c r="T96" s="1123"/>
    </row>
    <row r="97" spans="2:20" ht="36" customHeight="1" thickBot="1">
      <c r="B97" s="1169" t="s">
        <v>179</v>
      </c>
      <c r="C97" s="1171">
        <v>27.9</v>
      </c>
      <c r="E97" s="608" t="s">
        <v>262</v>
      </c>
      <c r="F97" s="609" t="s">
        <v>214</v>
      </c>
      <c r="G97" s="609" t="s">
        <v>215</v>
      </c>
      <c r="H97" s="610">
        <v>44582</v>
      </c>
      <c r="I97" s="611">
        <v>14400000</v>
      </c>
      <c r="J97" s="611">
        <f t="shared" si="2"/>
        <v>1698.1132075471698</v>
      </c>
      <c r="K97" s="613">
        <v>3.7999999999999999E-2</v>
      </c>
      <c r="L97" s="614">
        <v>8480</v>
      </c>
      <c r="M97" s="612">
        <f>(K97*I97)/L97</f>
        <v>64.528301886792448</v>
      </c>
      <c r="N97" s="609" t="s">
        <v>263</v>
      </c>
      <c r="O97" s="1131" t="s">
        <v>443</v>
      </c>
      <c r="P97" s="1131"/>
      <c r="Q97" s="1131"/>
      <c r="R97" s="1131"/>
      <c r="S97" s="1131"/>
      <c r="T97" s="1132"/>
    </row>
    <row r="98" spans="2:20" ht="33" customHeight="1" thickTop="1" thickBot="1">
      <c r="B98" s="1170"/>
      <c r="C98" s="1172"/>
      <c r="E98" s="1124" t="s">
        <v>123</v>
      </c>
      <c r="F98" s="1125"/>
      <c r="G98" s="1125"/>
      <c r="H98" s="622"/>
      <c r="I98" s="623">
        <f>SUM(I91:I97)</f>
        <v>35095000</v>
      </c>
      <c r="J98" s="623">
        <f>SUMPRODUCT(J91:J97,I91:I97)/I98</f>
        <v>913.1511053599213</v>
      </c>
      <c r="K98" s="624">
        <f>AVERAGE(K91:K97)</f>
        <v>4.2666666666666665E-2</v>
      </c>
      <c r="L98" s="625"/>
      <c r="M98" s="625"/>
      <c r="N98" s="786"/>
      <c r="O98" s="1165"/>
      <c r="P98" s="1165"/>
      <c r="Q98" s="1165"/>
      <c r="R98" s="1165"/>
      <c r="S98" s="1165"/>
      <c r="T98" s="1166"/>
    </row>
    <row r="99" spans="2:20" ht="17.25" thickTop="1" thickBot="1">
      <c r="B99" s="799" t="s">
        <v>166</v>
      </c>
      <c r="C99" s="794" t="s">
        <v>181</v>
      </c>
      <c r="T99" s="672"/>
    </row>
    <row r="100" spans="2:20" ht="26.1" customHeight="1" thickTop="1">
      <c r="B100" s="816" t="s">
        <v>176</v>
      </c>
      <c r="C100" s="815">
        <v>5.2999999999999999E-2</v>
      </c>
      <c r="E100" s="1128" t="s">
        <v>442</v>
      </c>
      <c r="F100" s="1129"/>
      <c r="G100" s="1129"/>
      <c r="H100" s="1129"/>
      <c r="I100" s="1129"/>
      <c r="J100" s="1129"/>
      <c r="K100" s="1129"/>
      <c r="L100" s="1129"/>
      <c r="M100" s="1129"/>
      <c r="N100" s="1129"/>
      <c r="O100" s="1129"/>
      <c r="P100" s="1129"/>
      <c r="Q100" s="1129"/>
      <c r="R100" s="1129"/>
      <c r="S100" s="1129"/>
      <c r="T100" s="1130"/>
    </row>
    <row r="101" spans="2:20" ht="26.1" customHeight="1" thickBot="1">
      <c r="B101" s="817" t="s">
        <v>177</v>
      </c>
      <c r="C101" s="815">
        <v>6.0999999999999999E-2</v>
      </c>
      <c r="E101" s="605" t="s">
        <v>111</v>
      </c>
      <c r="F101" s="606" t="s">
        <v>112</v>
      </c>
      <c r="G101" s="606" t="s">
        <v>113</v>
      </c>
      <c r="H101" s="607" t="s">
        <v>451</v>
      </c>
      <c r="I101" s="606" t="s">
        <v>120</v>
      </c>
      <c r="J101" s="607" t="s">
        <v>117</v>
      </c>
      <c r="K101" s="1116" t="s">
        <v>121</v>
      </c>
      <c r="L101" s="1116"/>
      <c r="M101" s="1116"/>
      <c r="N101" s="1155" t="s">
        <v>122</v>
      </c>
      <c r="O101" s="1155"/>
      <c r="P101" s="1155"/>
      <c r="Q101" s="1155"/>
      <c r="R101" s="1155"/>
      <c r="S101" s="1155"/>
      <c r="T101" s="1127"/>
    </row>
    <row r="102" spans="2:20" ht="41.1" customHeight="1" thickTop="1">
      <c r="B102" s="799" t="s">
        <v>182</v>
      </c>
      <c r="C102" s="794" t="s">
        <v>183</v>
      </c>
      <c r="E102" s="627" t="s">
        <v>431</v>
      </c>
      <c r="F102" s="628" t="s">
        <v>214</v>
      </c>
      <c r="G102" s="629" t="s">
        <v>215</v>
      </c>
      <c r="H102" s="810">
        <v>45292</v>
      </c>
      <c r="I102" s="718">
        <v>28.8</v>
      </c>
      <c r="J102" s="789">
        <v>1250</v>
      </c>
      <c r="K102" s="1158" t="s">
        <v>432</v>
      </c>
      <c r="L102" s="1158"/>
      <c r="M102" s="1158"/>
      <c r="N102" s="1158" t="s">
        <v>433</v>
      </c>
      <c r="O102" s="1158"/>
      <c r="P102" s="1158"/>
      <c r="Q102" s="1158"/>
      <c r="R102" s="1158"/>
      <c r="S102" s="1158"/>
      <c r="T102" s="1159"/>
    </row>
    <row r="103" spans="2:20" ht="41.1" customHeight="1">
      <c r="B103" s="796" t="s">
        <v>176</v>
      </c>
      <c r="C103" s="79">
        <v>13704168</v>
      </c>
      <c r="E103" s="608" t="s">
        <v>434</v>
      </c>
      <c r="F103" s="609" t="s">
        <v>214</v>
      </c>
      <c r="G103" s="633" t="s">
        <v>215</v>
      </c>
      <c r="H103" s="811">
        <v>45292</v>
      </c>
      <c r="I103" s="781">
        <v>28</v>
      </c>
      <c r="J103" s="614">
        <v>1971</v>
      </c>
      <c r="K103" s="1151" t="s">
        <v>154</v>
      </c>
      <c r="L103" s="1151"/>
      <c r="M103" s="1151"/>
      <c r="N103" s="1151" t="s">
        <v>154</v>
      </c>
      <c r="O103" s="1151"/>
      <c r="P103" s="1151"/>
      <c r="Q103" s="1151"/>
      <c r="R103" s="1151"/>
      <c r="S103" s="1151"/>
      <c r="T103" s="1152"/>
    </row>
    <row r="104" spans="2:20" ht="41.1" customHeight="1">
      <c r="B104" s="797" t="s">
        <v>177</v>
      </c>
      <c r="C104" s="80">
        <v>14149832</v>
      </c>
      <c r="E104" s="608" t="s">
        <v>260</v>
      </c>
      <c r="F104" s="609" t="s">
        <v>214</v>
      </c>
      <c r="G104" s="633" t="s">
        <v>215</v>
      </c>
      <c r="H104" s="811">
        <v>45108</v>
      </c>
      <c r="I104" s="781">
        <v>28</v>
      </c>
      <c r="J104" s="614">
        <v>2843</v>
      </c>
      <c r="K104" s="1151" t="s">
        <v>154</v>
      </c>
      <c r="L104" s="1151"/>
      <c r="M104" s="1151"/>
      <c r="N104" s="1151" t="s">
        <v>154</v>
      </c>
      <c r="O104" s="1151"/>
      <c r="P104" s="1151"/>
      <c r="Q104" s="1151"/>
      <c r="R104" s="1151"/>
      <c r="S104" s="1151"/>
      <c r="T104" s="1152"/>
    </row>
    <row r="105" spans="2:20" ht="41.1" customHeight="1">
      <c r="B105" s="818" t="s">
        <v>184</v>
      </c>
      <c r="C105" s="84">
        <v>27854000</v>
      </c>
      <c r="E105" s="638" t="s">
        <v>435</v>
      </c>
      <c r="F105" s="650" t="s">
        <v>214</v>
      </c>
      <c r="G105" s="651" t="s">
        <v>215</v>
      </c>
      <c r="H105" s="819">
        <v>45108</v>
      </c>
      <c r="I105" s="820">
        <v>28</v>
      </c>
      <c r="J105" s="614">
        <v>1849</v>
      </c>
      <c r="K105" s="1151" t="s">
        <v>436</v>
      </c>
      <c r="L105" s="1151"/>
      <c r="M105" s="1151"/>
      <c r="N105" s="1151" t="s">
        <v>437</v>
      </c>
      <c r="O105" s="1151"/>
      <c r="P105" s="1151"/>
      <c r="Q105" s="1151"/>
      <c r="R105" s="1151"/>
      <c r="S105" s="1151"/>
      <c r="T105" s="1152"/>
    </row>
    <row r="106" spans="2:20" ht="41.1" customHeight="1">
      <c r="B106" s="799" t="s">
        <v>170</v>
      </c>
      <c r="C106" s="794" t="s">
        <v>185</v>
      </c>
      <c r="E106" s="608" t="s">
        <v>438</v>
      </c>
      <c r="F106" s="609" t="s">
        <v>214</v>
      </c>
      <c r="G106" s="633" t="s">
        <v>215</v>
      </c>
      <c r="H106" s="811">
        <v>45078</v>
      </c>
      <c r="I106" s="781">
        <v>30</v>
      </c>
      <c r="J106" s="614">
        <v>1826</v>
      </c>
      <c r="K106" s="1151" t="s">
        <v>154</v>
      </c>
      <c r="L106" s="1151"/>
      <c r="M106" s="1151"/>
      <c r="N106" s="1151" t="s">
        <v>154</v>
      </c>
      <c r="O106" s="1151"/>
      <c r="P106" s="1151"/>
      <c r="Q106" s="1151"/>
      <c r="R106" s="1151"/>
      <c r="S106" s="1151"/>
      <c r="T106" s="1152"/>
    </row>
    <row r="107" spans="2:20" ht="41.1" customHeight="1">
      <c r="B107" s="796" t="s">
        <v>176</v>
      </c>
      <c r="C107" s="83">
        <v>6.7500000000000004E-2</v>
      </c>
      <c r="E107" s="608" t="s">
        <v>439</v>
      </c>
      <c r="F107" s="609" t="s">
        <v>214</v>
      </c>
      <c r="G107" s="633" t="s">
        <v>215</v>
      </c>
      <c r="H107" s="811">
        <v>45017</v>
      </c>
      <c r="I107" s="781">
        <v>40</v>
      </c>
      <c r="J107" s="614">
        <v>1343</v>
      </c>
      <c r="K107" s="1151" t="s">
        <v>154</v>
      </c>
      <c r="L107" s="1151"/>
      <c r="M107" s="1151"/>
      <c r="N107" s="1151" t="s">
        <v>154</v>
      </c>
      <c r="O107" s="1151"/>
      <c r="P107" s="1151"/>
      <c r="Q107" s="1151"/>
      <c r="R107" s="1151"/>
      <c r="S107" s="1151"/>
      <c r="T107" s="1152"/>
    </row>
    <row r="108" spans="2:20" ht="41.1" customHeight="1" thickBot="1">
      <c r="B108" s="821" t="s">
        <v>177</v>
      </c>
      <c r="C108" s="82">
        <v>7.0000000000000007E-2</v>
      </c>
      <c r="E108" s="608" t="s">
        <v>440</v>
      </c>
      <c r="F108" s="609" t="s">
        <v>214</v>
      </c>
      <c r="G108" s="633" t="s">
        <v>215</v>
      </c>
      <c r="H108" s="811">
        <v>44986</v>
      </c>
      <c r="I108" s="781">
        <v>35</v>
      </c>
      <c r="J108" s="614">
        <v>1540</v>
      </c>
      <c r="K108" s="1153" t="s">
        <v>154</v>
      </c>
      <c r="L108" s="1153"/>
      <c r="M108" s="1153"/>
      <c r="N108" s="1153" t="s">
        <v>154</v>
      </c>
      <c r="O108" s="1153"/>
      <c r="P108" s="1153"/>
      <c r="Q108" s="1153"/>
      <c r="R108" s="1153"/>
      <c r="S108" s="1153"/>
      <c r="T108" s="1154"/>
    </row>
    <row r="109" spans="2:20" ht="41.1" customHeight="1" thickTop="1" thickBot="1">
      <c r="B109" s="659"/>
      <c r="C109" s="673"/>
      <c r="D109" s="673"/>
      <c r="E109" s="1124" t="s">
        <v>123</v>
      </c>
      <c r="F109" s="1125"/>
      <c r="G109" s="1125"/>
      <c r="H109" s="622"/>
      <c r="I109" s="783">
        <f>SUMPRODUCT(I102:I108,J102:J108)/J109</f>
        <v>30.499445412771351</v>
      </c>
      <c r="J109" s="784">
        <f>SUM(J102:J108)</f>
        <v>12622</v>
      </c>
      <c r="K109" s="785"/>
      <c r="L109" s="625"/>
      <c r="M109" s="625"/>
      <c r="N109" s="1183"/>
      <c r="O109" s="1183"/>
      <c r="P109" s="1183"/>
      <c r="Q109" s="1183"/>
      <c r="R109" s="1183"/>
      <c r="S109" s="1183"/>
      <c r="T109" s="1184"/>
    </row>
    <row r="110" spans="2:20" ht="15.75" thickTop="1"/>
    <row r="112" spans="2:20" ht="15.75" thickBot="1">
      <c r="B112" s="72"/>
      <c r="C112" s="72"/>
      <c r="D112" s="72"/>
      <c r="E112" s="72"/>
      <c r="F112" s="72"/>
      <c r="I112" s="72"/>
      <c r="J112" s="72"/>
      <c r="K112" s="72"/>
      <c r="L112" s="72"/>
      <c r="M112" s="72"/>
    </row>
    <row r="113" spans="2:20" ht="36.75" thickTop="1" thickBot="1">
      <c r="B113" s="1102" t="s">
        <v>603</v>
      </c>
      <c r="C113" s="1103"/>
      <c r="D113" s="1103"/>
      <c r="E113" s="1103"/>
      <c r="F113" s="1103"/>
      <c r="G113" s="1103"/>
      <c r="H113" s="1103"/>
      <c r="I113" s="1103"/>
      <c r="J113" s="1103"/>
      <c r="K113" s="1103"/>
      <c r="L113" s="1103"/>
      <c r="M113" s="1103"/>
      <c r="N113" s="1103"/>
      <c r="O113" s="1103"/>
      <c r="P113" s="1103"/>
      <c r="Q113" s="1103"/>
      <c r="R113" s="1103"/>
      <c r="S113" s="1103"/>
      <c r="T113" s="1104"/>
    </row>
    <row r="114" spans="2:20" ht="16.5" thickTop="1">
      <c r="B114" s="1185" t="s">
        <v>600</v>
      </c>
      <c r="C114" s="1186"/>
      <c r="D114" s="1186"/>
      <c r="E114" s="1186"/>
      <c r="F114" s="1186"/>
      <c r="G114" s="1186"/>
      <c r="H114" s="1187"/>
      <c r="I114" s="72"/>
      <c r="J114" s="1197" t="s">
        <v>140</v>
      </c>
      <c r="K114" s="1198"/>
      <c r="L114" s="1192" t="s">
        <v>601</v>
      </c>
      <c r="M114" s="1193"/>
      <c r="N114" s="1194"/>
      <c r="T114" s="672"/>
    </row>
    <row r="115" spans="2:20" ht="16.5" thickBot="1">
      <c r="B115" s="822"/>
      <c r="C115" s="823"/>
      <c r="D115" s="824" t="s">
        <v>334</v>
      </c>
      <c r="E115" s="824" t="s">
        <v>335</v>
      </c>
      <c r="F115" s="824" t="s">
        <v>337</v>
      </c>
      <c r="G115" s="824" t="s">
        <v>336</v>
      </c>
      <c r="H115" s="825" t="s">
        <v>349</v>
      </c>
      <c r="I115" s="72"/>
      <c r="J115" s="1195" t="s">
        <v>2</v>
      </c>
      <c r="K115" s="1196"/>
      <c r="L115" s="853" t="s">
        <v>4</v>
      </c>
      <c r="M115" s="853" t="s">
        <v>139</v>
      </c>
      <c r="N115" s="854" t="s">
        <v>3</v>
      </c>
      <c r="T115" s="672"/>
    </row>
    <row r="116" spans="2:20" ht="16.5" thickTop="1">
      <c r="B116" s="826" t="s">
        <v>339</v>
      </c>
      <c r="C116" s="249" t="s">
        <v>333</v>
      </c>
      <c r="D116" s="428">
        <v>310</v>
      </c>
      <c r="E116" s="429">
        <v>380</v>
      </c>
      <c r="F116" s="250">
        <f t="shared" ref="F116:F135" si="3">D116/$D$137</f>
        <v>231.34328358208953</v>
      </c>
      <c r="G116" s="250">
        <f t="shared" ref="G116:G135" si="4">E116/$D$137</f>
        <v>283.58208955223881</v>
      </c>
      <c r="H116" s="827">
        <v>275</v>
      </c>
      <c r="I116" s="72"/>
      <c r="J116" s="1199" t="s">
        <v>5</v>
      </c>
      <c r="K116" s="1200"/>
      <c r="L116" s="850"/>
      <c r="M116" s="851"/>
      <c r="N116" s="852"/>
      <c r="T116" s="672"/>
    </row>
    <row r="117" spans="2:20">
      <c r="B117" s="828"/>
      <c r="C117" s="829" t="s">
        <v>338</v>
      </c>
      <c r="D117" s="430">
        <v>330</v>
      </c>
      <c r="E117" s="830">
        <v>400</v>
      </c>
      <c r="F117" s="831">
        <f t="shared" si="3"/>
        <v>246.26865671641789</v>
      </c>
      <c r="G117" s="831">
        <f t="shared" si="4"/>
        <v>298.50746268656712</v>
      </c>
      <c r="H117" s="832">
        <v>290</v>
      </c>
      <c r="I117" s="72"/>
      <c r="J117" s="1179" t="s">
        <v>141</v>
      </c>
      <c r="K117" s="1180"/>
      <c r="L117" s="66">
        <v>290</v>
      </c>
      <c r="M117" s="67">
        <v>385</v>
      </c>
      <c r="N117" s="844">
        <v>570</v>
      </c>
      <c r="T117" s="672"/>
    </row>
    <row r="118" spans="2:20">
      <c r="B118" s="828"/>
      <c r="C118" s="829" t="s">
        <v>340</v>
      </c>
      <c r="D118" s="430">
        <v>340</v>
      </c>
      <c r="E118" s="830">
        <v>420</v>
      </c>
      <c r="F118" s="831">
        <f t="shared" si="3"/>
        <v>253.73134328358208</v>
      </c>
      <c r="G118" s="831">
        <f t="shared" si="4"/>
        <v>313.43283582089549</v>
      </c>
      <c r="H118" s="832">
        <v>305</v>
      </c>
      <c r="I118" s="72"/>
      <c r="J118" s="1201" t="s">
        <v>142</v>
      </c>
      <c r="K118" s="1202"/>
      <c r="L118" s="68">
        <v>390</v>
      </c>
      <c r="M118" s="69">
        <v>535</v>
      </c>
      <c r="N118" s="845">
        <v>830</v>
      </c>
      <c r="T118" s="672"/>
    </row>
    <row r="119" spans="2:20" ht="15.75">
      <c r="B119" s="833"/>
      <c r="C119" s="834" t="s">
        <v>341</v>
      </c>
      <c r="D119" s="431">
        <v>365</v>
      </c>
      <c r="E119" s="835">
        <v>460</v>
      </c>
      <c r="F119" s="836">
        <f t="shared" si="3"/>
        <v>272.38805970149252</v>
      </c>
      <c r="G119" s="836">
        <f t="shared" si="4"/>
        <v>343.28358208955223</v>
      </c>
      <c r="H119" s="837">
        <v>335</v>
      </c>
      <c r="I119" s="72"/>
      <c r="J119" s="1177" t="s">
        <v>146</v>
      </c>
      <c r="K119" s="1178"/>
      <c r="L119" s="70"/>
      <c r="M119" s="71"/>
      <c r="N119" s="846"/>
      <c r="T119" s="672"/>
    </row>
    <row r="120" spans="2:20">
      <c r="B120" s="826" t="s">
        <v>342</v>
      </c>
      <c r="C120" s="249" t="s">
        <v>344</v>
      </c>
      <c r="D120" s="428">
        <v>290</v>
      </c>
      <c r="E120" s="429">
        <v>375</v>
      </c>
      <c r="F120" s="250">
        <f t="shared" si="3"/>
        <v>216.41791044776119</v>
      </c>
      <c r="G120" s="250">
        <f t="shared" si="4"/>
        <v>279.85074626865668</v>
      </c>
      <c r="H120" s="827">
        <v>270</v>
      </c>
      <c r="I120" s="72"/>
      <c r="J120" s="1179" t="s">
        <v>143</v>
      </c>
      <c r="K120" s="1180"/>
      <c r="L120" s="66">
        <v>270</v>
      </c>
      <c r="M120" s="67">
        <v>335</v>
      </c>
      <c r="N120" s="844">
        <v>480</v>
      </c>
      <c r="T120" s="672"/>
    </row>
    <row r="121" spans="2:20">
      <c r="B121" s="828"/>
      <c r="C121" s="829" t="s">
        <v>343</v>
      </c>
      <c r="D121" s="430">
        <v>290</v>
      </c>
      <c r="E121" s="830">
        <v>370</v>
      </c>
      <c r="F121" s="831">
        <f t="shared" si="3"/>
        <v>216.41791044776119</v>
      </c>
      <c r="G121" s="831">
        <f t="shared" si="4"/>
        <v>276.1194029850746</v>
      </c>
      <c r="H121" s="832">
        <v>265</v>
      </c>
      <c r="I121" s="72"/>
      <c r="J121" s="1179" t="s">
        <v>144</v>
      </c>
      <c r="K121" s="1180"/>
      <c r="L121" s="66">
        <v>160</v>
      </c>
      <c r="M121" s="67">
        <v>265</v>
      </c>
      <c r="N121" s="844">
        <v>460</v>
      </c>
      <c r="T121" s="672"/>
    </row>
    <row r="122" spans="2:20">
      <c r="B122" s="828"/>
      <c r="C122" s="829" t="s">
        <v>345</v>
      </c>
      <c r="D122" s="430">
        <v>295</v>
      </c>
      <c r="E122" s="830">
        <v>380</v>
      </c>
      <c r="F122" s="831">
        <f t="shared" si="3"/>
        <v>220.14925373134326</v>
      </c>
      <c r="G122" s="831">
        <f t="shared" si="4"/>
        <v>283.58208955223881</v>
      </c>
      <c r="H122" s="832">
        <v>275</v>
      </c>
      <c r="I122" s="72"/>
      <c r="J122" s="1201" t="s">
        <v>145</v>
      </c>
      <c r="K122" s="1202"/>
      <c r="L122" s="68">
        <v>500</v>
      </c>
      <c r="M122" s="69">
        <v>860</v>
      </c>
      <c r="N122" s="845">
        <v>1520</v>
      </c>
      <c r="T122" s="672"/>
    </row>
    <row r="123" spans="2:20" ht="15.75">
      <c r="B123" s="828"/>
      <c r="C123" s="829" t="s">
        <v>346</v>
      </c>
      <c r="D123" s="430">
        <v>320</v>
      </c>
      <c r="E123" s="830">
        <v>450</v>
      </c>
      <c r="F123" s="831">
        <f t="shared" si="3"/>
        <v>238.80597014925371</v>
      </c>
      <c r="G123" s="831">
        <f t="shared" si="4"/>
        <v>335.82089552238801</v>
      </c>
      <c r="H123" s="832">
        <v>325</v>
      </c>
      <c r="I123" s="72"/>
      <c r="J123" s="1177" t="s">
        <v>7</v>
      </c>
      <c r="K123" s="1178"/>
      <c r="L123" s="70"/>
      <c r="M123" s="71"/>
      <c r="N123" s="846"/>
      <c r="T123" s="672"/>
    </row>
    <row r="124" spans="2:20">
      <c r="B124" s="828"/>
      <c r="C124" s="829" t="s">
        <v>347</v>
      </c>
      <c r="D124" s="430">
        <v>85</v>
      </c>
      <c r="E124" s="830">
        <v>150</v>
      </c>
      <c r="F124" s="831">
        <f t="shared" si="3"/>
        <v>63.432835820895519</v>
      </c>
      <c r="G124" s="831">
        <f t="shared" si="4"/>
        <v>111.94029850746269</v>
      </c>
      <c r="H124" s="832">
        <v>100</v>
      </c>
      <c r="I124" s="72"/>
      <c r="J124" s="1175" t="s">
        <v>147</v>
      </c>
      <c r="K124" s="1176"/>
      <c r="L124" s="68">
        <v>330</v>
      </c>
      <c r="M124" s="69">
        <v>505</v>
      </c>
      <c r="N124" s="845">
        <v>830</v>
      </c>
      <c r="T124" s="672"/>
    </row>
    <row r="125" spans="2:20" ht="15.75">
      <c r="B125" s="833"/>
      <c r="C125" s="834" t="s">
        <v>348</v>
      </c>
      <c r="D125" s="431">
        <v>130</v>
      </c>
      <c r="E125" s="835">
        <v>250</v>
      </c>
      <c r="F125" s="836">
        <f t="shared" si="3"/>
        <v>97.014925373134318</v>
      </c>
      <c r="G125" s="836">
        <f t="shared" si="4"/>
        <v>186.56716417910448</v>
      </c>
      <c r="H125" s="837">
        <v>150</v>
      </c>
      <c r="I125" s="72"/>
      <c r="J125" s="1177" t="s">
        <v>8</v>
      </c>
      <c r="K125" s="1178"/>
      <c r="L125" s="70"/>
      <c r="M125" s="71"/>
      <c r="N125" s="846"/>
      <c r="T125" s="672"/>
    </row>
    <row r="126" spans="2:20">
      <c r="B126" s="826" t="s">
        <v>604</v>
      </c>
      <c r="C126" s="249" t="s">
        <v>350</v>
      </c>
      <c r="D126" s="428">
        <v>200</v>
      </c>
      <c r="E126" s="429">
        <v>275</v>
      </c>
      <c r="F126" s="250">
        <f t="shared" si="3"/>
        <v>149.25373134328356</v>
      </c>
      <c r="G126" s="250">
        <f t="shared" si="4"/>
        <v>205.22388059701493</v>
      </c>
      <c r="H126" s="827" t="s">
        <v>154</v>
      </c>
      <c r="I126" s="72"/>
      <c r="J126" s="1179" t="s">
        <v>148</v>
      </c>
      <c r="K126" s="1180"/>
      <c r="L126" s="66">
        <v>25000</v>
      </c>
      <c r="M126" s="67">
        <v>36000</v>
      </c>
      <c r="N126" s="844">
        <v>57000</v>
      </c>
      <c r="T126" s="672"/>
    </row>
    <row r="127" spans="2:20" ht="15.75" thickBot="1">
      <c r="B127" s="828"/>
      <c r="C127" s="829" t="s">
        <v>351</v>
      </c>
      <c r="D127" s="430">
        <v>210</v>
      </c>
      <c r="E127" s="830">
        <v>265</v>
      </c>
      <c r="F127" s="831">
        <f t="shared" si="3"/>
        <v>156.71641791044775</v>
      </c>
      <c r="G127" s="831">
        <f t="shared" si="4"/>
        <v>197.76119402985074</v>
      </c>
      <c r="H127" s="832" t="s">
        <v>154</v>
      </c>
      <c r="I127" s="72"/>
      <c r="J127" s="1181" t="s">
        <v>149</v>
      </c>
      <c r="K127" s="1182"/>
      <c r="L127" s="847">
        <v>76000</v>
      </c>
      <c r="M127" s="848">
        <v>103000</v>
      </c>
      <c r="N127" s="849">
        <v>158000</v>
      </c>
      <c r="T127" s="672"/>
    </row>
    <row r="128" spans="2:20" ht="15.75" thickTop="1">
      <c r="B128" s="828"/>
      <c r="C128" s="829" t="s">
        <v>352</v>
      </c>
      <c r="D128" s="430">
        <v>200</v>
      </c>
      <c r="E128" s="830">
        <v>265</v>
      </c>
      <c r="F128" s="831">
        <f t="shared" si="3"/>
        <v>149.25373134328356</v>
      </c>
      <c r="G128" s="831">
        <f t="shared" si="4"/>
        <v>197.76119402985074</v>
      </c>
      <c r="H128" s="832" t="s">
        <v>154</v>
      </c>
      <c r="I128" s="72"/>
      <c r="J128" s="72"/>
      <c r="K128" s="72"/>
      <c r="L128" s="72"/>
      <c r="M128" s="72"/>
      <c r="T128" s="672"/>
    </row>
    <row r="129" spans="2:20">
      <c r="B129" s="833"/>
      <c r="C129" s="834" t="s">
        <v>353</v>
      </c>
      <c r="D129" s="431">
        <v>300</v>
      </c>
      <c r="E129" s="835">
        <v>405</v>
      </c>
      <c r="F129" s="836">
        <f t="shared" si="3"/>
        <v>223.88059701492537</v>
      </c>
      <c r="G129" s="836">
        <f t="shared" si="4"/>
        <v>302.23880597014926</v>
      </c>
      <c r="H129" s="837" t="s">
        <v>154</v>
      </c>
      <c r="I129" s="72"/>
      <c r="J129" s="72"/>
      <c r="K129" s="72"/>
      <c r="L129" s="72"/>
      <c r="M129" s="72"/>
      <c r="T129" s="672"/>
    </row>
    <row r="130" spans="2:20">
      <c r="B130" s="826" t="s">
        <v>354</v>
      </c>
      <c r="C130" s="249" t="s">
        <v>355</v>
      </c>
      <c r="D130" s="428">
        <v>210</v>
      </c>
      <c r="E130" s="429">
        <v>270</v>
      </c>
      <c r="F130" s="250">
        <f t="shared" si="3"/>
        <v>156.71641791044775</v>
      </c>
      <c r="G130" s="250">
        <f t="shared" si="4"/>
        <v>201.49253731343282</v>
      </c>
      <c r="H130" s="827" t="s">
        <v>154</v>
      </c>
      <c r="I130" s="72"/>
      <c r="J130" s="72"/>
      <c r="K130" s="72"/>
      <c r="L130" s="72"/>
      <c r="M130" s="72"/>
      <c r="T130" s="672"/>
    </row>
    <row r="131" spans="2:20">
      <c r="B131" s="828"/>
      <c r="C131" s="829" t="s">
        <v>356</v>
      </c>
      <c r="D131" s="430">
        <v>335</v>
      </c>
      <c r="E131" s="830">
        <v>405</v>
      </c>
      <c r="F131" s="831">
        <f t="shared" si="3"/>
        <v>249.99999999999997</v>
      </c>
      <c r="G131" s="831">
        <f t="shared" si="4"/>
        <v>302.23880597014926</v>
      </c>
      <c r="H131" s="832" t="s">
        <v>154</v>
      </c>
      <c r="I131" s="72"/>
      <c r="J131" s="72"/>
      <c r="K131" s="72"/>
      <c r="L131" s="72"/>
      <c r="M131" s="72"/>
      <c r="T131" s="672"/>
    </row>
    <row r="132" spans="2:20">
      <c r="B132" s="833"/>
      <c r="C132" s="834" t="s">
        <v>357</v>
      </c>
      <c r="D132" s="431">
        <v>355</v>
      </c>
      <c r="E132" s="835">
        <v>470</v>
      </c>
      <c r="F132" s="836">
        <f t="shared" si="3"/>
        <v>264.92537313432837</v>
      </c>
      <c r="G132" s="836">
        <f t="shared" si="4"/>
        <v>350.74626865671638</v>
      </c>
      <c r="H132" s="837" t="s">
        <v>154</v>
      </c>
      <c r="I132" s="72"/>
      <c r="J132" s="72"/>
      <c r="K132" s="72"/>
      <c r="L132" s="72"/>
      <c r="M132" s="72"/>
      <c r="T132" s="672"/>
    </row>
    <row r="133" spans="2:20">
      <c r="B133" s="826" t="s">
        <v>358</v>
      </c>
      <c r="C133" s="249" t="s">
        <v>359</v>
      </c>
      <c r="D133" s="428">
        <v>10</v>
      </c>
      <c r="E133" s="429">
        <v>25</v>
      </c>
      <c r="F133" s="250">
        <f t="shared" si="3"/>
        <v>7.4626865671641784</v>
      </c>
      <c r="G133" s="250">
        <f t="shared" si="4"/>
        <v>18.656716417910445</v>
      </c>
      <c r="H133" s="827">
        <v>15</v>
      </c>
      <c r="I133" s="72"/>
      <c r="J133" s="72"/>
      <c r="K133" s="72"/>
      <c r="L133" s="72"/>
      <c r="M133" s="72"/>
      <c r="T133" s="672"/>
    </row>
    <row r="134" spans="2:20">
      <c r="B134" s="828"/>
      <c r="C134" s="829" t="s">
        <v>602</v>
      </c>
      <c r="D134" s="430">
        <v>120</v>
      </c>
      <c r="E134" s="830">
        <v>200</v>
      </c>
      <c r="F134" s="831">
        <f t="shared" si="3"/>
        <v>89.552238805970148</v>
      </c>
      <c r="G134" s="831">
        <f t="shared" si="4"/>
        <v>149.25373134328356</v>
      </c>
      <c r="H134" s="832">
        <v>140</v>
      </c>
      <c r="I134" s="72"/>
      <c r="J134" s="72"/>
      <c r="K134" s="72"/>
      <c r="L134" s="72"/>
      <c r="M134" s="72"/>
      <c r="T134" s="672"/>
    </row>
    <row r="135" spans="2:20" ht="15.75" thickBot="1">
      <c r="B135" s="838"/>
      <c r="C135" s="839" t="s">
        <v>360</v>
      </c>
      <c r="D135" s="840">
        <v>120</v>
      </c>
      <c r="E135" s="841">
        <v>230</v>
      </c>
      <c r="F135" s="842">
        <f t="shared" si="3"/>
        <v>89.552238805970148</v>
      </c>
      <c r="G135" s="842">
        <f t="shared" si="4"/>
        <v>171.64179104477611</v>
      </c>
      <c r="H135" s="843">
        <v>160</v>
      </c>
      <c r="I135" s="72"/>
      <c r="T135" s="672"/>
    </row>
    <row r="136" spans="2:20" ht="15.75" thickTop="1">
      <c r="B136" s="855" t="s">
        <v>605</v>
      </c>
      <c r="T136" s="672"/>
    </row>
    <row r="137" spans="2:20" ht="16.5" thickBot="1">
      <c r="B137" s="1188" t="s">
        <v>208</v>
      </c>
      <c r="C137" s="1189"/>
      <c r="D137" s="1190">
        <v>1.34</v>
      </c>
      <c r="E137" s="1191"/>
      <c r="F137" s="673"/>
      <c r="G137" s="673"/>
      <c r="H137" s="673"/>
      <c r="I137" s="673"/>
      <c r="J137" s="673"/>
      <c r="K137" s="673"/>
      <c r="L137" s="673"/>
      <c r="M137" s="673"/>
      <c r="N137" s="673"/>
      <c r="O137" s="673"/>
      <c r="P137" s="673"/>
      <c r="Q137" s="702"/>
      <c r="R137" s="702"/>
      <c r="S137" s="702"/>
      <c r="T137" s="703"/>
    </row>
    <row r="138" spans="2:20" ht="15.75" thickTop="1"/>
  </sheetData>
  <mergeCells count="168">
    <mergeCell ref="J124:K124"/>
    <mergeCell ref="J125:K125"/>
    <mergeCell ref="J126:K126"/>
    <mergeCell ref="J127:K127"/>
    <mergeCell ref="B113:T113"/>
    <mergeCell ref="N109:T109"/>
    <mergeCell ref="K101:M101"/>
    <mergeCell ref="B114:H114"/>
    <mergeCell ref="B137:C137"/>
    <mergeCell ref="D137:E137"/>
    <mergeCell ref="L114:N114"/>
    <mergeCell ref="J115:K115"/>
    <mergeCell ref="J114:K114"/>
    <mergeCell ref="J116:K116"/>
    <mergeCell ref="J117:K117"/>
    <mergeCell ref="J118:K118"/>
    <mergeCell ref="J119:K119"/>
    <mergeCell ref="J120:K120"/>
    <mergeCell ref="J121:K121"/>
    <mergeCell ref="J122:K122"/>
    <mergeCell ref="J123:K123"/>
    <mergeCell ref="N104:T104"/>
    <mergeCell ref="N105:T105"/>
    <mergeCell ref="N106:T106"/>
    <mergeCell ref="N107:T107"/>
    <mergeCell ref="N108:T108"/>
    <mergeCell ref="E109:G109"/>
    <mergeCell ref="K108:M108"/>
    <mergeCell ref="K106:M106"/>
    <mergeCell ref="K107:M107"/>
    <mergeCell ref="K105:M105"/>
    <mergeCell ref="K104:M104"/>
    <mergeCell ref="N102:T102"/>
    <mergeCell ref="N101:T101"/>
    <mergeCell ref="O97:T97"/>
    <mergeCell ref="O98:T98"/>
    <mergeCell ref="K103:M103"/>
    <mergeCell ref="K102:M102"/>
    <mergeCell ref="E100:T100"/>
    <mergeCell ref="N103:T103"/>
    <mergeCell ref="B88:T88"/>
    <mergeCell ref="B89:C90"/>
    <mergeCell ref="B95:B96"/>
    <mergeCell ref="B97:B98"/>
    <mergeCell ref="C97:C98"/>
    <mergeCell ref="C95:C96"/>
    <mergeCell ref="E98:G98"/>
    <mergeCell ref="O90:T90"/>
    <mergeCell ref="E89:T89"/>
    <mergeCell ref="O91:T91"/>
    <mergeCell ref="O92:T92"/>
    <mergeCell ref="O93:T93"/>
    <mergeCell ref="O94:T94"/>
    <mergeCell ref="O95:T95"/>
    <mergeCell ref="O96:T96"/>
    <mergeCell ref="P84:T84"/>
    <mergeCell ref="E74:T74"/>
    <mergeCell ref="B65:C66"/>
    <mergeCell ref="P76:T76"/>
    <mergeCell ref="P75:T75"/>
    <mergeCell ref="P77:T77"/>
    <mergeCell ref="P78:T78"/>
    <mergeCell ref="P79:T79"/>
    <mergeCell ref="E83:F83"/>
    <mergeCell ref="E84:H84"/>
    <mergeCell ref="L75:O75"/>
    <mergeCell ref="L76:O76"/>
    <mergeCell ref="L77:O77"/>
    <mergeCell ref="L78:O78"/>
    <mergeCell ref="L79:O79"/>
    <mergeCell ref="L80:O80"/>
    <mergeCell ref="L81:O81"/>
    <mergeCell ref="L82:O82"/>
    <mergeCell ref="L83:O83"/>
    <mergeCell ref="E75:F75"/>
    <mergeCell ref="E76:F76"/>
    <mergeCell ref="E77:F77"/>
    <mergeCell ref="E78:F78"/>
    <mergeCell ref="E79:F79"/>
    <mergeCell ref="E80:F80"/>
    <mergeCell ref="E81:F81"/>
    <mergeCell ref="E82:F82"/>
    <mergeCell ref="P80:T80"/>
    <mergeCell ref="P81:T81"/>
    <mergeCell ref="P82:T82"/>
    <mergeCell ref="P83:T83"/>
    <mergeCell ref="B64:T64"/>
    <mergeCell ref="E72:G72"/>
    <mergeCell ref="O66:T66"/>
    <mergeCell ref="O67:T67"/>
    <mergeCell ref="O68:T68"/>
    <mergeCell ref="O69:T69"/>
    <mergeCell ref="O70:T70"/>
    <mergeCell ref="O71:T71"/>
    <mergeCell ref="E65:T65"/>
    <mergeCell ref="N62:T62"/>
    <mergeCell ref="B51:C52"/>
    <mergeCell ref="B55:C55"/>
    <mergeCell ref="N56:T56"/>
    <mergeCell ref="N57:T57"/>
    <mergeCell ref="N58:T58"/>
    <mergeCell ref="N59:T59"/>
    <mergeCell ref="N60:T60"/>
    <mergeCell ref="N61:T61"/>
    <mergeCell ref="N55:T55"/>
    <mergeCell ref="B50:T50"/>
    <mergeCell ref="N51:T51"/>
    <mergeCell ref="N52:T52"/>
    <mergeCell ref="N53:T53"/>
    <mergeCell ref="N54:T54"/>
    <mergeCell ref="H43:I43"/>
    <mergeCell ref="H32:I32"/>
    <mergeCell ref="H33:I33"/>
    <mergeCell ref="H34:I34"/>
    <mergeCell ref="H35:I35"/>
    <mergeCell ref="H36:I36"/>
    <mergeCell ref="H37:I37"/>
    <mergeCell ref="H38:I38"/>
    <mergeCell ref="H39:I39"/>
    <mergeCell ref="H40:I40"/>
    <mergeCell ref="H41:I41"/>
    <mergeCell ref="H42:I42"/>
    <mergeCell ref="F44:G44"/>
    <mergeCell ref="F45:G45"/>
    <mergeCell ref="F46:G46"/>
    <mergeCell ref="F47:G47"/>
    <mergeCell ref="F48:G48"/>
    <mergeCell ref="H48:I48"/>
    <mergeCell ref="H47:I47"/>
    <mergeCell ref="H46:I46"/>
    <mergeCell ref="H44:I44"/>
    <mergeCell ref="H45:I45"/>
    <mergeCell ref="F43:G43"/>
    <mergeCell ref="F32:G32"/>
    <mergeCell ref="F33:G33"/>
    <mergeCell ref="F34:G34"/>
    <mergeCell ref="F35:G35"/>
    <mergeCell ref="F36:G36"/>
    <mergeCell ref="F37:G37"/>
    <mergeCell ref="F38:G38"/>
    <mergeCell ref="F39:G39"/>
    <mergeCell ref="F40:G40"/>
    <mergeCell ref="F41:G41"/>
    <mergeCell ref="F42:G42"/>
    <mergeCell ref="B2:T2"/>
    <mergeCell ref="B29:T29"/>
    <mergeCell ref="B30:C31"/>
    <mergeCell ref="F31:G31"/>
    <mergeCell ref="F30:G30"/>
    <mergeCell ref="H30:I30"/>
    <mergeCell ref="H31:I31"/>
    <mergeCell ref="M21:O21"/>
    <mergeCell ref="M27:O27"/>
    <mergeCell ref="E21:G21"/>
    <mergeCell ref="E27:G27"/>
    <mergeCell ref="O4:T4"/>
    <mergeCell ref="E3:T3"/>
    <mergeCell ref="O5:T5"/>
    <mergeCell ref="O6:T6"/>
    <mergeCell ref="O7:T7"/>
    <mergeCell ref="O8:T8"/>
    <mergeCell ref="E12:G12"/>
    <mergeCell ref="B3:C4"/>
    <mergeCell ref="E14:T14"/>
    <mergeCell ref="O9:T9"/>
    <mergeCell ref="O10:T10"/>
    <mergeCell ref="O11:T11"/>
    <mergeCell ref="O12:T12"/>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5CF0B-3E8F-2C4B-9517-7C3689FD89AA}">
  <sheetPr>
    <tabColor rgb="FF00B0F0"/>
  </sheetPr>
  <dimension ref="B2:H23"/>
  <sheetViews>
    <sheetView workbookViewId="0">
      <selection activeCell="K20" sqref="K20"/>
    </sheetView>
  </sheetViews>
  <sheetFormatPr defaultColWidth="10.85546875" defaultRowHeight="15"/>
  <cols>
    <col min="1" max="1" width="7" style="922" customWidth="1"/>
    <col min="2" max="2" width="17.140625" style="922" bestFit="1" customWidth="1"/>
    <col min="3" max="3" width="16.85546875" style="922" bestFit="1" customWidth="1"/>
    <col min="4" max="4" width="15.140625" style="922" bestFit="1" customWidth="1"/>
    <col min="5" max="5" width="4.42578125" style="922" customWidth="1"/>
    <col min="6" max="6" width="16.85546875" style="922" bestFit="1" customWidth="1"/>
    <col min="7" max="7" width="9.140625" style="922" bestFit="1" customWidth="1"/>
    <col min="8" max="8" width="14.7109375" style="922" bestFit="1" customWidth="1"/>
    <col min="9" max="16384" width="10.85546875" style="922"/>
  </cols>
  <sheetData>
    <row r="2" spans="2:8" ht="15.75" thickBot="1"/>
    <row r="3" spans="2:8">
      <c r="B3" s="1087" t="s">
        <v>631</v>
      </c>
      <c r="C3" s="1088"/>
      <c r="D3" s="1089"/>
      <c r="F3" s="1087" t="s">
        <v>664</v>
      </c>
      <c r="G3" s="1088"/>
      <c r="H3" s="1089"/>
    </row>
    <row r="4" spans="2:8">
      <c r="B4" s="928" t="s">
        <v>632</v>
      </c>
      <c r="C4" s="126">
        <f>'Development Program'!M12</f>
        <v>652893239.75500822</v>
      </c>
      <c r="D4" s="937">
        <f>C4/$C$7</f>
        <v>0.54999999999999993</v>
      </c>
      <c r="F4" s="142" t="s">
        <v>288</v>
      </c>
      <c r="G4" s="140" t="s">
        <v>183</v>
      </c>
      <c r="H4" s="925" t="s">
        <v>100</v>
      </c>
    </row>
    <row r="5" spans="2:8">
      <c r="B5" s="928" t="s">
        <v>633</v>
      </c>
      <c r="C5" s="126">
        <f>'Development Program'!L12</f>
        <v>532125508.99192739</v>
      </c>
      <c r="D5" s="937">
        <f t="shared" ref="D5:D7" si="0">C5/$C$7</f>
        <v>0.44826475773494179</v>
      </c>
      <c r="F5" s="926" t="s">
        <v>661</v>
      </c>
      <c r="H5" s="927"/>
    </row>
    <row r="6" spans="2:8">
      <c r="B6" s="928" t="s">
        <v>634</v>
      </c>
      <c r="C6" s="126">
        <f>'Development Program'!N12</f>
        <v>2059868.9894430041</v>
      </c>
      <c r="D6" s="937">
        <f t="shared" si="0"/>
        <v>1.7352422650581776E-3</v>
      </c>
      <c r="F6" s="928" t="s">
        <v>414</v>
      </c>
      <c r="G6" s="929">
        <f>'Development Program'!G5+'Development Program'!H5</f>
        <v>370882</v>
      </c>
      <c r="H6" s="930">
        <f>'Development Program'!K5</f>
        <v>228663977.89256197</v>
      </c>
    </row>
    <row r="7" spans="2:8" ht="15.75" thickBot="1">
      <c r="B7" s="938" t="s">
        <v>103</v>
      </c>
      <c r="C7" s="939">
        <f>SUM(C4:C6)</f>
        <v>1187078617.7363787</v>
      </c>
      <c r="D7" s="940">
        <f t="shared" si="0"/>
        <v>1</v>
      </c>
      <c r="F7" s="928" t="s">
        <v>410</v>
      </c>
      <c r="G7" s="929">
        <f>'Development Program'!G7+'Development Program'!H7</f>
        <v>272831</v>
      </c>
      <c r="H7" s="930">
        <f>'Development Program'!K7</f>
        <v>161645932.16890496</v>
      </c>
    </row>
    <row r="8" spans="2:8" ht="15.75" thickBot="1">
      <c r="F8" s="928" t="s">
        <v>416</v>
      </c>
      <c r="G8" s="929">
        <f>'Development Program'!G8+'Development Program'!H8</f>
        <v>152646</v>
      </c>
      <c r="H8" s="930">
        <f>'Development Program'!K8</f>
        <v>99429054.651404962</v>
      </c>
    </row>
    <row r="9" spans="2:8">
      <c r="B9" s="1087" t="s">
        <v>635</v>
      </c>
      <c r="C9" s="1088"/>
      <c r="D9" s="1089"/>
      <c r="F9" s="931" t="s">
        <v>665</v>
      </c>
      <c r="G9" s="932">
        <f>SUM(G6:G8)</f>
        <v>796359</v>
      </c>
      <c r="H9" s="933">
        <f>SUM(H6:H8)</f>
        <v>489738964.71287191</v>
      </c>
    </row>
    <row r="10" spans="2:8">
      <c r="B10" s="928" t="s">
        <v>308</v>
      </c>
      <c r="C10" s="941">
        <f>'Site 1 - Financial'!I10+'Site 2 - Financial'!I10+'Site 3 - Financial'!I10+'Site 4 - Financial'!I10+'Site 5 - Financial'!I10+'Site 6 - Financial'!I10+'Site 7 - Financial'!I10+'Development Program'!D22</f>
        <v>323679752.06611574</v>
      </c>
      <c r="D10" s="937">
        <f>C10/$C$14</f>
        <v>0.27266917896586784</v>
      </c>
      <c r="F10" s="926" t="s">
        <v>662</v>
      </c>
      <c r="G10" s="929"/>
      <c r="H10" s="930"/>
    </row>
    <row r="11" spans="2:8">
      <c r="B11" s="928" t="s">
        <v>636</v>
      </c>
      <c r="C11" s="126">
        <f>'Development Program'!K12-C10-C13-C12</f>
        <v>751442615.67026317</v>
      </c>
      <c r="D11" s="937">
        <f t="shared" ref="D11:D14" si="1">C11/$C$14</f>
        <v>0.63301840707330492</v>
      </c>
      <c r="F11" s="928" t="s">
        <v>418</v>
      </c>
      <c r="G11" s="929">
        <f>'Development Program'!G9+'Development Program'!H9</f>
        <v>244493</v>
      </c>
      <c r="H11" s="930">
        <f>'Development Program'!K9</f>
        <v>196993993.87923557</v>
      </c>
    </row>
    <row r="12" spans="2:8">
      <c r="B12" s="928" t="s">
        <v>637</v>
      </c>
      <c r="C12" s="941">
        <f>'Development Program'!E22</f>
        <v>52500000</v>
      </c>
      <c r="D12" s="937">
        <f t="shared" si="1"/>
        <v>4.422621991129063E-2</v>
      </c>
      <c r="F12" s="928" t="s">
        <v>429</v>
      </c>
      <c r="G12" s="929">
        <f>'Development Program'!G10+'Development Program'!H10</f>
        <v>91577</v>
      </c>
      <c r="H12" s="930">
        <f>'Development Program'!K10</f>
        <v>59348850.655285738</v>
      </c>
    </row>
    <row r="13" spans="2:8">
      <c r="B13" s="928" t="s">
        <v>638</v>
      </c>
      <c r="C13" s="941">
        <f>'Site 1 - Financial'!I25+'Site 2 - Financial'!I25+'Site 3 - Financial'!I25+'Site 4 - Financial'!I25+'Site 5 - Financial'!I25+'Site 6 - Financial'!I25+'Site 7 - Financial'!I25</f>
        <v>59456250</v>
      </c>
      <c r="D13" s="937">
        <f t="shared" si="1"/>
        <v>5.0086194049536639E-2</v>
      </c>
      <c r="F13" s="931" t="s">
        <v>666</v>
      </c>
      <c r="G13" s="932">
        <f>SUM(G11:G12)</f>
        <v>336070</v>
      </c>
      <c r="H13" s="933">
        <f>SUM(H11:H12)</f>
        <v>256342844.53452131</v>
      </c>
    </row>
    <row r="14" spans="2:8" ht="15.75" thickBot="1">
      <c r="B14" s="938" t="s">
        <v>103</v>
      </c>
      <c r="C14" s="942">
        <f>SUM(C10:C13)</f>
        <v>1187078617.7363789</v>
      </c>
      <c r="D14" s="940">
        <f t="shared" si="1"/>
        <v>1</v>
      </c>
      <c r="F14" s="926" t="s">
        <v>663</v>
      </c>
      <c r="G14" s="929"/>
      <c r="H14" s="930"/>
    </row>
    <row r="15" spans="2:8" ht="15.75" thickBot="1">
      <c r="C15" s="923"/>
      <c r="F15" s="928" t="s">
        <v>415</v>
      </c>
      <c r="G15" s="929">
        <f>'Development Program'!G6+'Development Program'!H6</f>
        <v>604240</v>
      </c>
      <c r="H15" s="930">
        <f>'Development Program'!K6</f>
        <v>367513774.80729127</v>
      </c>
    </row>
    <row r="16" spans="2:8">
      <c r="B16" s="1087" t="s">
        <v>639</v>
      </c>
      <c r="C16" s="1088"/>
      <c r="D16" s="1089"/>
      <c r="F16" s="928" t="s">
        <v>523</v>
      </c>
      <c r="G16" s="929">
        <f>'Development Program'!G11+'Development Program'!H11</f>
        <v>95287</v>
      </c>
      <c r="H16" s="930">
        <f>'Development Program'!K11</f>
        <v>73483033.68169421</v>
      </c>
    </row>
    <row r="17" spans="2:8">
      <c r="B17" s="928" t="s">
        <v>640</v>
      </c>
      <c r="C17" s="929">
        <f>'Site 1 - Financial'!D17+'Site 2 - Financial'!D18+'Site 3 - Financial'!D18+'Site 4 - Financial'!D11+'Site 5 - Financial'!D18+'Site 6 - Financial'!D11+'Site 7 - Financial'!D11</f>
        <v>355066</v>
      </c>
      <c r="D17" s="937">
        <f>C17/$C$22</f>
        <v>0.19381797379413043</v>
      </c>
      <c r="F17" s="931" t="s">
        <v>667</v>
      </c>
      <c r="G17" s="932">
        <f>SUM(G15:G16)</f>
        <v>699527</v>
      </c>
      <c r="H17" s="933">
        <f>SUM(H15:H16)</f>
        <v>440996808.48898548</v>
      </c>
    </row>
    <row r="18" spans="2:8" ht="15.75" thickBot="1">
      <c r="B18" s="928" t="s">
        <v>641</v>
      </c>
      <c r="C18" s="929">
        <f>'Site 1 - Financial'!D18+'Site 2 - Financial'!D19+'Site 3 - Financial'!D19+'Site 4 - Financial'!D12+'Site 5 - Financial'!D19+'Site 6 - Financial'!D12+'Site 7 - Financial'!D12</f>
        <v>124690</v>
      </c>
      <c r="D18" s="937">
        <f t="shared" ref="D18:D22" si="2">C18/$C$22</f>
        <v>6.8063861795807326E-2</v>
      </c>
      <c r="F18" s="934" t="s">
        <v>668</v>
      </c>
      <c r="G18" s="935">
        <f>G17+G13+G9</f>
        <v>1831956</v>
      </c>
      <c r="H18" s="936">
        <f>H17+H13+H9</f>
        <v>1187078617.7363787</v>
      </c>
    </row>
    <row r="19" spans="2:8">
      <c r="B19" s="928" t="s">
        <v>642</v>
      </c>
      <c r="C19" s="929">
        <f>'Development Program'!D32</f>
        <v>547500</v>
      </c>
      <c r="D19" s="937">
        <f t="shared" si="2"/>
        <v>0.29886088967202268</v>
      </c>
    </row>
    <row r="20" spans="2:8">
      <c r="B20" s="928" t="s">
        <v>643</v>
      </c>
      <c r="C20" s="929">
        <f>'Development Program'!D33</f>
        <v>329450</v>
      </c>
      <c r="D20" s="937">
        <f t="shared" si="2"/>
        <v>0.17983510520995047</v>
      </c>
    </row>
    <row r="21" spans="2:8">
      <c r="B21" s="928" t="s">
        <v>644</v>
      </c>
      <c r="C21" s="929">
        <f>'Development Program'!D37</f>
        <v>475250</v>
      </c>
      <c r="D21" s="937">
        <f t="shared" si="2"/>
        <v>0.25942216952808911</v>
      </c>
    </row>
    <row r="22" spans="2:8" ht="15.75" thickBot="1">
      <c r="B22" s="938" t="s">
        <v>103</v>
      </c>
      <c r="C22" s="943">
        <f>SUM(C17:C21)</f>
        <v>1831956</v>
      </c>
      <c r="D22" s="940">
        <f t="shared" si="2"/>
        <v>1</v>
      </c>
    </row>
    <row r="23" spans="2:8">
      <c r="C23" s="924"/>
    </row>
  </sheetData>
  <mergeCells count="4">
    <mergeCell ref="B16:D16"/>
    <mergeCell ref="B9:D9"/>
    <mergeCell ref="B3:D3"/>
    <mergeCell ref="F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72F2C-E2E0-4252-85C5-77BC5457C24C}">
  <sheetPr>
    <tabColor rgb="FF00B0F0"/>
  </sheetPr>
  <dimension ref="B1:AO36"/>
  <sheetViews>
    <sheetView zoomScale="91" zoomScaleNormal="100" zoomScalePageLayoutView="125" workbookViewId="0">
      <selection activeCell="C21" sqref="C21"/>
    </sheetView>
  </sheetViews>
  <sheetFormatPr defaultColWidth="8.85546875" defaultRowHeight="15"/>
  <cols>
    <col min="1" max="1" width="8.85546875" style="47"/>
    <col min="2" max="2" width="35.42578125" style="47" customWidth="1"/>
    <col min="3" max="3" width="14.42578125" style="47" customWidth="1"/>
    <col min="4" max="14" width="13.85546875" style="47" customWidth="1"/>
    <col min="15" max="37" width="17" style="125" customWidth="1"/>
    <col min="38" max="38" width="16.42578125" style="125" customWidth="1"/>
    <col min="39" max="39" width="15" style="125" customWidth="1"/>
    <col min="40" max="40" width="17.85546875" style="125" bestFit="1" customWidth="1"/>
    <col min="41" max="41" width="9.42578125" style="125" bestFit="1" customWidth="1"/>
    <col min="42" max="42" width="11.85546875" style="47" bestFit="1" customWidth="1"/>
    <col min="43" max="44" width="9.42578125" style="47" bestFit="1" customWidth="1"/>
    <col min="45" max="16384" width="8.85546875" style="47"/>
  </cols>
  <sheetData>
    <row r="1" spans="2:41" ht="15.75" thickBot="1">
      <c r="D1" s="976"/>
      <c r="E1" s="976"/>
      <c r="F1" s="976"/>
      <c r="G1" s="976"/>
      <c r="H1" s="976"/>
      <c r="I1" s="976"/>
      <c r="J1" s="976"/>
      <c r="K1" s="976"/>
      <c r="L1" s="976"/>
      <c r="M1" s="976"/>
      <c r="N1" s="976"/>
    </row>
    <row r="2" spans="2:41">
      <c r="B2" s="1059" t="s">
        <v>540</v>
      </c>
      <c r="C2" s="1204" t="s">
        <v>103</v>
      </c>
      <c r="D2" s="128" t="s">
        <v>529</v>
      </c>
      <c r="E2" s="129" t="s">
        <v>530</v>
      </c>
      <c r="F2" s="129" t="s">
        <v>531</v>
      </c>
      <c r="G2" s="129" t="s">
        <v>532</v>
      </c>
      <c r="H2" s="129" t="s">
        <v>533</v>
      </c>
      <c r="I2" s="129" t="s">
        <v>534</v>
      </c>
      <c r="J2" s="129" t="s">
        <v>535</v>
      </c>
      <c r="K2" s="129" t="s">
        <v>536</v>
      </c>
      <c r="L2" s="129" t="s">
        <v>537</v>
      </c>
      <c r="M2" s="129" t="s">
        <v>538</v>
      </c>
      <c r="N2" s="246" t="s">
        <v>539</v>
      </c>
    </row>
    <row r="3" spans="2:41" ht="15.75" thickBot="1">
      <c r="B3" s="1203"/>
      <c r="C3" s="1205"/>
      <c r="D3" s="130">
        <v>45778</v>
      </c>
      <c r="E3" s="127">
        <f>EDATE(D3,12)</f>
        <v>46143</v>
      </c>
      <c r="F3" s="127">
        <f t="shared" ref="F3:N3" si="0">EDATE(E3,12)</f>
        <v>46508</v>
      </c>
      <c r="G3" s="127">
        <f t="shared" si="0"/>
        <v>46874</v>
      </c>
      <c r="H3" s="127">
        <f t="shared" si="0"/>
        <v>47239</v>
      </c>
      <c r="I3" s="127">
        <f t="shared" si="0"/>
        <v>47604</v>
      </c>
      <c r="J3" s="127">
        <f t="shared" si="0"/>
        <v>47969</v>
      </c>
      <c r="K3" s="127">
        <f t="shared" si="0"/>
        <v>48335</v>
      </c>
      <c r="L3" s="127">
        <f t="shared" si="0"/>
        <v>48700</v>
      </c>
      <c r="M3" s="127">
        <f t="shared" si="0"/>
        <v>49065</v>
      </c>
      <c r="N3" s="550">
        <f t="shared" si="0"/>
        <v>49430</v>
      </c>
    </row>
    <row r="4" spans="2:41" s="119" customFormat="1">
      <c r="B4" s="558" t="s">
        <v>541</v>
      </c>
      <c r="C4" s="555">
        <f>SUM(D4:N4)</f>
        <v>497736459.6093303</v>
      </c>
      <c r="D4" s="856">
        <f>'Site 1 - Draw'!D59+'Site 2 - Draw'!D60+'Site 3 - Draw'!D66+'Site 4 - Draw'!D58+'Site 5 - Draw'!D67+'Site 6 - Draw'!D58+'Site 7 - Draw'!D60</f>
        <v>-200072089.57007623</v>
      </c>
      <c r="E4" s="857">
        <f>'Site 1 - Draw'!E59+'Site 2 - Draw'!E60+'Site 3 - Draw'!E66+'Site 4 - Draw'!E58+'Site 5 - Draw'!E67+'Site 6 - Draw'!E58+'Site 7 - Draw'!E60</f>
        <v>-290982635.35539949</v>
      </c>
      <c r="F4" s="857">
        <f>'Site 1 - Draw'!F59+'Site 2 - Draw'!F60+'Site 3 - Draw'!F66+'Site 4 - Draw'!F58+'Site 5 - Draw'!F67+'Site 6 - Draw'!F58+'Site 7 - Draw'!F60</f>
        <v>-35064436.348187014</v>
      </c>
      <c r="G4" s="857">
        <f>'Site 1 - Draw'!G59+'Site 2 - Draw'!G60+'Site 3 - Draw'!G66+'Site 4 - Draw'!G58+'Site 5 - Draw'!G67+'Site 6 - Draw'!G58+'Site 7 - Draw'!G60</f>
        <v>474088710.20307076</v>
      </c>
      <c r="H4" s="857">
        <f>'Site 1 - Draw'!H59+'Site 2 - Draw'!H60+'Site 3 - Draw'!H66+'Site 4 - Draw'!H58+'Site 5 - Draw'!H67+'Site 6 - Draw'!H58+'Site 7 - Draw'!H60</f>
        <v>56807523.361859806</v>
      </c>
      <c r="I4" s="857">
        <f>'Site 1 - Draw'!I59+'Site 2 - Draw'!I60+'Site 3 - Draw'!I66+'Site 4 - Draw'!I58+'Site 5 - Draw'!I67+'Site 6 - Draw'!I58+'Site 7 - Draw'!I60</f>
        <v>21604155.590974748</v>
      </c>
      <c r="J4" s="857">
        <f>'Site 1 - Draw'!J59+'Site 2 - Draw'!J60+'Site 3 - Draw'!J66+'Site 4 - Draw'!J58+'Site 5 - Draw'!J67+'Site 6 - Draw'!J58+'Site 7 - Draw'!J60</f>
        <v>2926439.8543812484</v>
      </c>
      <c r="K4" s="857">
        <f>'Site 1 - Draw'!K59+'Site 2 - Draw'!K60+'Site 3 - Draw'!K66+'Site 4 - Draw'!K58+'Site 5 - Draw'!K67+'Site 6 - Draw'!K58+'Site 7 - Draw'!K60</f>
        <v>-77213135.729265839</v>
      </c>
      <c r="L4" s="857">
        <f>'Site 1 - Draw'!L59+'Site 2 - Draw'!L60+'Site 3 - Draw'!L66+'Site 4 - Draw'!L58+'Site 5 - Draw'!L67+'Site 6 - Draw'!L58+'Site 7 - Draw'!L60</f>
        <v>545641927.60197234</v>
      </c>
      <c r="M4" s="857">
        <f>'Site 1 - Draw'!M59+'Site 2 - Draw'!M60+'Site 3 - Draw'!M66+'Site 4 - Draw'!M58+'Site 5 - Draw'!M67+'Site 6 - Draw'!M58+'Site 7 - Draw'!M60</f>
        <v>0</v>
      </c>
      <c r="N4" s="858">
        <f>'Site 1 - Draw'!N59+'Site 2 - Draw'!N60+'Site 3 - Draw'!N66+'Site 4 - Draw'!N58+'Site 5 - Draw'!N67+'Site 6 - Draw'!N58+'Site 7 - Draw'!N60</f>
        <v>0</v>
      </c>
      <c r="O4" s="859"/>
      <c r="P4" s="859"/>
      <c r="Q4" s="859"/>
      <c r="R4" s="859"/>
      <c r="S4" s="859"/>
      <c r="T4" s="859"/>
      <c r="U4" s="859"/>
      <c r="V4" s="859"/>
      <c r="W4" s="859"/>
      <c r="X4" s="859"/>
      <c r="Y4" s="859"/>
      <c r="Z4" s="859"/>
      <c r="AA4" s="859"/>
      <c r="AB4" s="859"/>
      <c r="AC4" s="859"/>
      <c r="AD4" s="859"/>
      <c r="AE4" s="859"/>
      <c r="AF4" s="859"/>
      <c r="AG4" s="859"/>
      <c r="AH4" s="859"/>
      <c r="AI4" s="859"/>
      <c r="AJ4" s="859"/>
      <c r="AK4" s="859"/>
      <c r="AL4" s="859"/>
      <c r="AM4" s="859"/>
      <c r="AN4" s="859"/>
      <c r="AO4" s="859"/>
    </row>
    <row r="5" spans="2:41" s="124" customFormat="1">
      <c r="B5" s="560" t="str">
        <f>'Development Program'!B5</f>
        <v>King's Court</v>
      </c>
      <c r="C5" s="561">
        <f t="shared" ref="C5:C11" si="1">SUM(D5:N5)</f>
        <v>102408326.06880671</v>
      </c>
      <c r="D5" s="564">
        <f>'Site 1 - Draw'!D59</f>
        <v>-75798072.883498609</v>
      </c>
      <c r="E5" s="565">
        <f>'Site 1 - Draw'!E59</f>
        <v>-117331659.15953168</v>
      </c>
      <c r="F5" s="565">
        <f>'Site 1 - Draw'!F59</f>
        <v>-35534245.84953168</v>
      </c>
      <c r="G5" s="565">
        <f>'Site 1 - Draw'!G59</f>
        <v>331072303.96136868</v>
      </c>
      <c r="H5" s="565">
        <f>'Site 1 - Draw'!H59</f>
        <v>0</v>
      </c>
      <c r="I5" s="565">
        <f>'Site 1 - Draw'!I59</f>
        <v>0</v>
      </c>
      <c r="J5" s="565">
        <f>'Site 1 - Draw'!J59</f>
        <v>0</v>
      </c>
      <c r="K5" s="565">
        <f>'Site 1 - Draw'!K59</f>
        <v>0</v>
      </c>
      <c r="L5" s="565">
        <f>'Site 1 - Draw'!L59</f>
        <v>0</v>
      </c>
      <c r="M5" s="565">
        <f>'Site 1 - Draw'!M59</f>
        <v>0</v>
      </c>
      <c r="N5" s="470">
        <f>'Site 1 - Draw'!N59</f>
        <v>0</v>
      </c>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row>
    <row r="6" spans="2:41" s="124" customFormat="1">
      <c r="B6" s="557" t="str">
        <f>'Development Program'!B6</f>
        <v>Hawk's Nest</v>
      </c>
      <c r="C6" s="556">
        <f t="shared" si="1"/>
        <v>178128152.79468107</v>
      </c>
      <c r="D6" s="237">
        <f>'Site 2 - Draw'!D60</f>
        <v>0</v>
      </c>
      <c r="E6" s="229">
        <f>'Site 2 - Draw'!E60</f>
        <v>0</v>
      </c>
      <c r="F6" s="229">
        <f>'Site 2 - Draw'!F60</f>
        <v>0</v>
      </c>
      <c r="G6" s="229">
        <f>'Site 2 - Draw'!G60</f>
        <v>0</v>
      </c>
      <c r="H6" s="229">
        <f>'Site 2 - Draw'!H60</f>
        <v>-141427291.14499378</v>
      </c>
      <c r="I6" s="229">
        <f>'Site 2 - Draw'!I60</f>
        <v>-71913660.629015833</v>
      </c>
      <c r="J6" s="229">
        <f>'Site 2 - Draw'!J60</f>
        <v>-76959687.304015845</v>
      </c>
      <c r="K6" s="229">
        <f>'Site 2 - Draw'!K60</f>
        <v>-77213135.729265839</v>
      </c>
      <c r="L6" s="229">
        <f>'Site 2 - Draw'!L60</f>
        <v>545641927.60197234</v>
      </c>
      <c r="M6" s="229">
        <f>'Site 2 - Draw'!M60</f>
        <v>0</v>
      </c>
      <c r="N6" s="230">
        <f>'Site 2 - Draw'!N60</f>
        <v>0</v>
      </c>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row>
    <row r="7" spans="2:41" s="124" customFormat="1">
      <c r="B7" s="557" t="str">
        <f>'Development Program'!B7</f>
        <v>Chinook</v>
      </c>
      <c r="C7" s="556">
        <f t="shared" si="1"/>
        <v>73622503.838576168</v>
      </c>
      <c r="D7" s="237">
        <f>'Site 3 - Draw'!D66</f>
        <v>-44747015.195359461</v>
      </c>
      <c r="E7" s="229">
        <f>'Site 3 - Draw'!E66</f>
        <v>-58233085.933829203</v>
      </c>
      <c r="F7" s="229">
        <f>'Site 3 - Draw'!F66</f>
        <v>-58267443.942942105</v>
      </c>
      <c r="G7" s="229">
        <f>'Site 3 - Draw'!G66</f>
        <v>234870048.91070694</v>
      </c>
      <c r="H7" s="229">
        <f>'Site 3 - Draw'!H66</f>
        <v>0</v>
      </c>
      <c r="I7" s="229">
        <f>'Site 3 - Draw'!I66</f>
        <v>0</v>
      </c>
      <c r="J7" s="229">
        <f>'Site 3 - Draw'!J66</f>
        <v>0</v>
      </c>
      <c r="K7" s="229">
        <f>'Site 3 - Draw'!K66</f>
        <v>0</v>
      </c>
      <c r="L7" s="229">
        <f>'Site 3 - Draw'!L66</f>
        <v>0</v>
      </c>
      <c r="M7" s="229">
        <f>'Site 3 - Draw'!M66</f>
        <v>0</v>
      </c>
      <c r="N7" s="230">
        <f>'Site 3 - Draw'!N66</f>
        <v>0</v>
      </c>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row>
    <row r="8" spans="2:41" s="124" customFormat="1">
      <c r="B8" s="557" t="str">
        <f>'Development Program'!B8</f>
        <v>County Center</v>
      </c>
      <c r="C8" s="556">
        <f t="shared" si="1"/>
        <v>29210755.69858861</v>
      </c>
      <c r="D8" s="237">
        <f>'Site 4 - Draw'!D58</f>
        <v>-79527001.491218135</v>
      </c>
      <c r="E8" s="229">
        <f>'Site 4 - Draw'!E58</f>
        <v>-17842184.170743801</v>
      </c>
      <c r="F8" s="229">
        <f>'Site 4 - Draw'!F58</f>
        <v>126579941.36055055</v>
      </c>
      <c r="G8" s="229">
        <f>'Site 4 - Draw'!G58</f>
        <v>0</v>
      </c>
      <c r="H8" s="229">
        <f>'Site 4 - Draw'!H58</f>
        <v>0</v>
      </c>
      <c r="I8" s="229">
        <f>'Site 4 - Draw'!I58</f>
        <v>0</v>
      </c>
      <c r="J8" s="229">
        <f>'Site 4 - Draw'!J58</f>
        <v>0</v>
      </c>
      <c r="K8" s="229">
        <f>'Site 4 - Draw'!K58</f>
        <v>0</v>
      </c>
      <c r="L8" s="229">
        <f>'Site 4 - Draw'!L58</f>
        <v>0</v>
      </c>
      <c r="M8" s="229">
        <f>'Site 4 - Draw'!M58</f>
        <v>0</v>
      </c>
      <c r="N8" s="230">
        <f>'Site 4 - Draw'!N58</f>
        <v>0</v>
      </c>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row>
    <row r="9" spans="2:41" s="124" customFormat="1">
      <c r="B9" s="557" t="str">
        <f>'Development Program'!B9</f>
        <v>Goat Hill</v>
      </c>
      <c r="C9" s="556">
        <f t="shared" si="1"/>
        <v>59686052.267972738</v>
      </c>
      <c r="D9" s="237">
        <f>'Site 5 - Draw'!D67</f>
        <v>0</v>
      </c>
      <c r="E9" s="229">
        <f>'Site 5 - Draw'!E67</f>
        <v>-97575706.09129478</v>
      </c>
      <c r="F9" s="229">
        <f>'Site 5 - Draw'!F67</f>
        <v>-49597437.245220385</v>
      </c>
      <c r="G9" s="229">
        <f>'Site 5 - Draw'!G67</f>
        <v>-49820850.542720385</v>
      </c>
      <c r="H9" s="229">
        <f>'Site 5 - Draw'!H67</f>
        <v>256680046.14720827</v>
      </c>
      <c r="I9" s="229">
        <f>'Site 5 - Draw'!I67</f>
        <v>0</v>
      </c>
      <c r="J9" s="229">
        <f>'Site 5 - Draw'!J67</f>
        <v>0</v>
      </c>
      <c r="K9" s="229">
        <f>'Site 5 - Draw'!K67</f>
        <v>0</v>
      </c>
      <c r="L9" s="229">
        <f>'Site 5 - Draw'!L67</f>
        <v>0</v>
      </c>
      <c r="M9" s="229">
        <f>'Site 5 - Draw'!M67</f>
        <v>0</v>
      </c>
      <c r="N9" s="230">
        <f>'Site 5 - Draw'!N67</f>
        <v>0</v>
      </c>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row>
    <row r="10" spans="2:41" s="124" customFormat="1">
      <c r="B10" s="557" t="str">
        <f>'Development Program'!B10</f>
        <v>The Argyle</v>
      </c>
      <c r="C10" s="556">
        <f t="shared" si="1"/>
        <v>20537276.503111355</v>
      </c>
      <c r="D10" s="237">
        <f>'Site 6 - Draw'!D58</f>
        <v>0</v>
      </c>
      <c r="E10" s="229">
        <f>'Site 6 - Draw'!E58</f>
        <v>0</v>
      </c>
      <c r="F10" s="229">
        <f>'Site 6 - Draw'!F58</f>
        <v>-18245250.671043389</v>
      </c>
      <c r="G10" s="229">
        <f>'Site 6 - Draw'!G58</f>
        <v>-13104273.966222452</v>
      </c>
      <c r="H10" s="229">
        <f>'Site 6 - Draw'!H58</f>
        <v>-13890716.11872245</v>
      </c>
      <c r="I10" s="229">
        <f>'Site 6 - Draw'!I58</f>
        <v>-14108609.899297452</v>
      </c>
      <c r="J10" s="229">
        <f>'Site 6 - Draw'!J58</f>
        <v>79886127.158397093</v>
      </c>
      <c r="K10" s="229">
        <f>'Site 6 - Draw'!K58</f>
        <v>0</v>
      </c>
      <c r="L10" s="229">
        <f>'Site 6 - Draw'!L58</f>
        <v>0</v>
      </c>
      <c r="M10" s="229">
        <f>'Site 6 - Draw'!M58</f>
        <v>0</v>
      </c>
      <c r="N10" s="230">
        <f>'Site 6 - Draw'!N58</f>
        <v>0</v>
      </c>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row>
    <row r="11" spans="2:41" s="124" customFormat="1">
      <c r="B11" s="562" t="str">
        <f>'Development Program'!B11</f>
        <v>The Yesler</v>
      </c>
      <c r="C11" s="563">
        <f t="shared" si="1"/>
        <v>34143392.437593818</v>
      </c>
      <c r="D11" s="566">
        <f>'Site 7 - Draw'!D60</f>
        <v>0</v>
      </c>
      <c r="E11" s="567">
        <f>'Site 7 - Draw'!E60</f>
        <v>0</v>
      </c>
      <c r="F11" s="567">
        <f>'Site 7 - Draw'!F60</f>
        <v>0</v>
      </c>
      <c r="G11" s="567">
        <f>'Site 7 - Draw'!G60</f>
        <v>-28928518.160061985</v>
      </c>
      <c r="H11" s="567">
        <f>'Site 7 - Draw'!H60</f>
        <v>-44554515.521632232</v>
      </c>
      <c r="I11" s="567">
        <f>'Site 7 - Draw'!I60</f>
        <v>107626426.11928803</v>
      </c>
      <c r="J11" s="567">
        <f>'Site 7 - Draw'!J60</f>
        <v>0</v>
      </c>
      <c r="K11" s="567">
        <f>'Site 7 - Draw'!K60</f>
        <v>0</v>
      </c>
      <c r="L11" s="567">
        <f>'Site 7 - Draw'!L60</f>
        <v>0</v>
      </c>
      <c r="M11" s="567">
        <f>'Site 7 - Draw'!M60</f>
        <v>0</v>
      </c>
      <c r="N11" s="505">
        <f>'Site 7 - Draw'!N60</f>
        <v>0</v>
      </c>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row>
    <row r="12" spans="2:41" s="124" customFormat="1" ht="15.75" thickBot="1">
      <c r="B12" s="559" t="s">
        <v>133</v>
      </c>
      <c r="C12" s="984">
        <f>IRR(D4:N4)</f>
        <v>0.16532810088136696</v>
      </c>
      <c r="D12" s="238" t="s">
        <v>202</v>
      </c>
      <c r="E12" s="231" t="s">
        <v>202</v>
      </c>
      <c r="F12" s="231" t="s">
        <v>202</v>
      </c>
      <c r="G12" s="231" t="s">
        <v>202</v>
      </c>
      <c r="H12" s="231" t="s">
        <v>202</v>
      </c>
      <c r="I12" s="549" t="s">
        <v>202</v>
      </c>
      <c r="J12" s="231" t="s">
        <v>202</v>
      </c>
      <c r="K12" s="231" t="s">
        <v>202</v>
      </c>
      <c r="L12" s="231" t="s">
        <v>202</v>
      </c>
      <c r="M12" s="231" t="s">
        <v>202</v>
      </c>
      <c r="N12" s="232" t="s">
        <v>202</v>
      </c>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row>
    <row r="13" spans="2:41" s="119" customFormat="1">
      <c r="B13" s="558" t="s">
        <v>607</v>
      </c>
      <c r="C13" s="555">
        <f>SUM(D13:N13)</f>
        <v>354911459.18650979</v>
      </c>
      <c r="D13" s="856">
        <f>'Site 1 - Draw'!D63+'Site 2 - Draw'!D64+'Site 3 - Draw'!D70+'Site 4 - Draw'!D62+'Site 5 - Draw'!D71+'Site 6 - Draw'!D62+'Site 7 - Draw'!D64</f>
        <v>-104173652.91261846</v>
      </c>
      <c r="E13" s="857">
        <f>'Site 1 - Draw'!E63+'Site 2 - Draw'!E64+'Site 3 - Draw'!E70+'Site 4 - Draw'!E62+'Site 5 - Draw'!E71+'Site 6 - Draw'!E62+'Site 7 - Draw'!E64</f>
        <v>-150771600.08927685</v>
      </c>
      <c r="F13" s="857">
        <f>'Site 1 - Draw'!F63+'Site 2 - Draw'!F64+'Site 3 - Draw'!F70+'Site 4 - Draw'!F62+'Site 5 - Draw'!F71+'Site 6 - Draw'!F62+'Site 7 - Draw'!F64</f>
        <v>-21476858.375120379</v>
      </c>
      <c r="G13" s="857">
        <f>'Site 1 - Draw'!G63+'Site 2 - Draw'!G64+'Site 3 - Draw'!G70+'Site 4 - Draw'!G62+'Site 5 - Draw'!G71+'Site 6 - Draw'!G62+'Site 7 - Draw'!G64</f>
        <v>289799055.94900966</v>
      </c>
      <c r="H13" s="857">
        <f>'Site 1 - Draw'!H63+'Site 2 - Draw'!H64+'Site 3 - Draw'!H70+'Site 4 - Draw'!H62+'Site 5 - Draw'!H71+'Site 6 - Draw'!H62+'Site 7 - Draw'!H64</f>
        <v>38949567.585104287</v>
      </c>
      <c r="I13" s="857">
        <f>'Site 1 - Draw'!I63+'Site 2 - Draw'!I64+'Site 3 - Draw'!I70+'Site 4 - Draw'!I62+'Site 5 - Draw'!I71+'Site 6 - Draw'!I62+'Site 7 - Draw'!I64</f>
        <v>14758685.443789274</v>
      </c>
      <c r="J13" s="857">
        <f>'Site 1 - Draw'!J63+'Site 2 - Draw'!J64+'Site 3 - Draw'!J70+'Site 4 - Draw'!J62+'Site 5 - Draw'!J71+'Site 6 - Draw'!J62+'Site 7 - Draw'!J64</f>
        <v>286741.70095089078</v>
      </c>
      <c r="K13" s="857">
        <f>'Site 1 - Draw'!K63+'Site 2 - Draw'!K64+'Site 3 - Draw'!K70+'Site 4 - Draw'!K62+'Site 5 - Draw'!K71+'Site 6 - Draw'!K62+'Site 7 - Draw'!K64</f>
        <v>-45357871.32573016</v>
      </c>
      <c r="L13" s="857">
        <f>'Site 1 - Draw'!L63+'Site 2 - Draw'!L64+'Site 3 - Draw'!L70+'Site 4 - Draw'!L62+'Site 5 - Draw'!L71+'Site 6 - Draw'!L62+'Site 7 - Draw'!L64</f>
        <v>332897391.21040154</v>
      </c>
      <c r="M13" s="857">
        <f>'Site 1 - Draw'!M63+'Site 2 - Draw'!M64+'Site 3 - Draw'!M70+'Site 4 - Draw'!M62+'Site 5 - Draw'!M71+'Site 6 - Draw'!M62+'Site 7 - Draw'!M64</f>
        <v>0</v>
      </c>
      <c r="N13" s="858">
        <f>'Site 1 - Draw'!N63+'Site 2 - Draw'!N64+'Site 3 - Draw'!N70+'Site 4 - Draw'!N62+'Site 5 - Draw'!N71+'Site 6 - Draw'!N62+'Site 7 - Draw'!N64</f>
        <v>0</v>
      </c>
      <c r="O13" s="859"/>
      <c r="P13" s="859"/>
      <c r="Q13" s="859"/>
      <c r="R13" s="859"/>
      <c r="S13" s="859"/>
      <c r="T13" s="859"/>
      <c r="U13" s="859"/>
      <c r="V13" s="859"/>
      <c r="W13" s="859"/>
      <c r="X13" s="859"/>
      <c r="Y13" s="859"/>
      <c r="Z13" s="859"/>
      <c r="AA13" s="859"/>
      <c r="AB13" s="859"/>
      <c r="AC13" s="859"/>
      <c r="AD13" s="859"/>
      <c r="AE13" s="859"/>
      <c r="AF13" s="859"/>
      <c r="AG13" s="859"/>
      <c r="AH13" s="859"/>
      <c r="AI13" s="859"/>
      <c r="AJ13" s="859"/>
      <c r="AK13" s="859"/>
      <c r="AL13" s="859"/>
      <c r="AM13" s="859"/>
      <c r="AN13" s="859"/>
      <c r="AO13" s="859"/>
    </row>
    <row r="14" spans="2:41" s="124" customFormat="1">
      <c r="B14" s="560" t="str">
        <f>B5</f>
        <v>King's Court</v>
      </c>
      <c r="C14" s="561">
        <f>SUM(D14:N14)</f>
        <v>75997636.622215807</v>
      </c>
      <c r="D14" s="564">
        <f>'Site 1 - Draw'!D63</f>
        <v>-40711805.159222096</v>
      </c>
      <c r="E14" s="565">
        <f>'Site 1 - Draw'!E63</f>
        <v>-59401918.983436979</v>
      </c>
      <c r="F14" s="565">
        <f>'Site 1 - Draw'!F63</f>
        <v>-22593082.993936982</v>
      </c>
      <c r="G14" s="565">
        <f>'Site 1 - Draw'!G63</f>
        <v>198704443.75881186</v>
      </c>
      <c r="H14" s="565">
        <f>'Site 1 - Draw'!H63</f>
        <v>0</v>
      </c>
      <c r="I14" s="565">
        <f>'Site 1 - Draw'!I63</f>
        <v>0</v>
      </c>
      <c r="J14" s="565">
        <f>'Site 1 - Draw'!J63</f>
        <v>0</v>
      </c>
      <c r="K14" s="565">
        <f>'Site 1 - Draw'!K63</f>
        <v>0</v>
      </c>
      <c r="L14" s="565">
        <f>'Site 1 - Draw'!L63</f>
        <v>0</v>
      </c>
      <c r="M14" s="565">
        <f>'Site 1 - Draw'!M63</f>
        <v>0</v>
      </c>
      <c r="N14" s="470">
        <f>'Site 1 - Draw'!N63</f>
        <v>0</v>
      </c>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row>
    <row r="15" spans="2:41" s="124" customFormat="1">
      <c r="B15" s="557" t="str">
        <f t="shared" ref="B15:B20" si="2">B6</f>
        <v>Hawk's Nest</v>
      </c>
      <c r="C15" s="556">
        <f t="shared" ref="C15:C20" si="3">SUM(D15:N15)</f>
        <v>125068351.55687833</v>
      </c>
      <c r="D15" s="237">
        <f>'Site 2 - Draw'!D64</f>
        <v>0</v>
      </c>
      <c r="E15" s="229">
        <f>'Site 2 - Draw'!E64</f>
        <v>0</v>
      </c>
      <c r="F15" s="229">
        <f>'Site 2 - Draw'!F64</f>
        <v>0</v>
      </c>
      <c r="G15" s="229">
        <f>'Site 2 - Draw'!G64</f>
        <v>0</v>
      </c>
      <c r="H15" s="229">
        <f>'Site 2 - Draw'!H64</f>
        <v>-74254241.262807727</v>
      </c>
      <c r="I15" s="229">
        <f>'Site 2 - Draw'!I64</f>
        <v>-42973107.530617662</v>
      </c>
      <c r="J15" s="229">
        <f>'Site 2 - Draw'!J64</f>
        <v>-45243819.534367666</v>
      </c>
      <c r="K15" s="229">
        <f>'Site 2 - Draw'!K64</f>
        <v>-45357871.32573016</v>
      </c>
      <c r="L15" s="229">
        <f>'Site 2 - Draw'!L64</f>
        <v>332897391.21040154</v>
      </c>
      <c r="M15" s="229">
        <f>'Site 2 - Draw'!M64</f>
        <v>0</v>
      </c>
      <c r="N15" s="230">
        <f>'Site 2 - Draw'!N64</f>
        <v>0</v>
      </c>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row>
    <row r="16" spans="2:41" s="124" customFormat="1">
      <c r="B16" s="557" t="str">
        <f t="shared" si="2"/>
        <v>Chinook</v>
      </c>
      <c r="C16" s="556">
        <f t="shared" si="3"/>
        <v>54733285.76984185</v>
      </c>
      <c r="D16" s="237">
        <f>'Site 3 - Draw'!D70</f>
        <v>-24803683.129288886</v>
      </c>
      <c r="E16" s="229">
        <f>'Site 3 - Draw'!E70</f>
        <v>-30872414.96160027</v>
      </c>
      <c r="F16" s="229">
        <f>'Site 3 - Draw'!F70</f>
        <v>-30887876.065701075</v>
      </c>
      <c r="G16" s="229">
        <f>'Site 3 - Draw'!G70</f>
        <v>141297259.92643207</v>
      </c>
      <c r="H16" s="229">
        <f>'Site 3 - Draw'!H70</f>
        <v>0</v>
      </c>
      <c r="I16" s="229">
        <f>'Site 3 - Draw'!I70</f>
        <v>0</v>
      </c>
      <c r="J16" s="229">
        <f>'Site 3 - Draw'!J70</f>
        <v>0</v>
      </c>
      <c r="K16" s="229">
        <f>'Site 3 - Draw'!K70</f>
        <v>0</v>
      </c>
      <c r="L16" s="229">
        <f>'Site 3 - Draw'!L70</f>
        <v>0</v>
      </c>
      <c r="M16" s="229">
        <f>'Site 3 - Draw'!M70</f>
        <v>0</v>
      </c>
      <c r="N16" s="230">
        <f>'Site 3 - Draw'!N70</f>
        <v>0</v>
      </c>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row>
    <row r="17" spans="2:41" s="124" customFormat="1">
      <c r="B17" s="557" t="str">
        <f t="shared" si="2"/>
        <v>County Center</v>
      </c>
      <c r="C17" s="556">
        <f t="shared" si="3"/>
        <v>19464785.895217001</v>
      </c>
      <c r="D17" s="237">
        <f>'Site 4 - Draw'!D62</f>
        <v>-38658164.624107473</v>
      </c>
      <c r="E17" s="229">
        <f>'Site 4 - Draw'!E62</f>
        <v>-10899996.829894029</v>
      </c>
      <c r="F17" s="229">
        <f>'Site 4 - Draw'!F62</f>
        <v>69022947.349218503</v>
      </c>
      <c r="G17" s="229">
        <f>'Site 4 - Draw'!G62</f>
        <v>0</v>
      </c>
      <c r="H17" s="229">
        <f>'Site 4 - Draw'!H62</f>
        <v>0</v>
      </c>
      <c r="I17" s="229">
        <f>'Site 4 - Draw'!I62</f>
        <v>0</v>
      </c>
      <c r="J17" s="229">
        <f>'Site 4 - Draw'!J62</f>
        <v>0</v>
      </c>
      <c r="K17" s="229">
        <f>'Site 4 - Draw'!K62</f>
        <v>0</v>
      </c>
      <c r="L17" s="229">
        <f>'Site 4 - Draw'!L62</f>
        <v>0</v>
      </c>
      <c r="M17" s="229">
        <f>'Site 4 - Draw'!M62</f>
        <v>0</v>
      </c>
      <c r="N17" s="230">
        <f>'Site 4 - Draw'!N62</f>
        <v>0</v>
      </c>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row>
    <row r="18" spans="2:41" s="124" customFormat="1">
      <c r="B18" s="557" t="str">
        <f t="shared" si="2"/>
        <v>Goat Hill</v>
      </c>
      <c r="C18" s="556">
        <f t="shared" si="3"/>
        <v>36933245.974921018</v>
      </c>
      <c r="D18" s="237">
        <f>'Site 5 - Draw'!D71</f>
        <v>0</v>
      </c>
      <c r="E18" s="229">
        <f>'Site 5 - Draw'!E71</f>
        <v>-49597269.314345576</v>
      </c>
      <c r="F18" s="229">
        <f>'Site 5 - Draw'!F71</f>
        <v>-28007048.333612099</v>
      </c>
      <c r="G18" s="229">
        <f>'Site 5 - Draw'!G71</f>
        <v>-28107584.317487098</v>
      </c>
      <c r="H18" s="229">
        <f>'Site 5 - Draw'!H71</f>
        <v>142645147.94036579</v>
      </c>
      <c r="I18" s="229">
        <f>'Site 5 - Draw'!I71</f>
        <v>0</v>
      </c>
      <c r="J18" s="229">
        <f>'Site 5 - Draw'!J71</f>
        <v>0</v>
      </c>
      <c r="K18" s="229">
        <f>'Site 5 - Draw'!K71</f>
        <v>0</v>
      </c>
      <c r="L18" s="229">
        <f>'Site 5 - Draw'!L71</f>
        <v>0</v>
      </c>
      <c r="M18" s="229">
        <f>'Site 5 - Draw'!M71</f>
        <v>0</v>
      </c>
      <c r="N18" s="230">
        <f>'Site 5 - Draw'!N71</f>
        <v>0</v>
      </c>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row>
    <row r="19" spans="2:41" s="124" customFormat="1">
      <c r="B19" s="557" t="str">
        <f t="shared" si="2"/>
        <v>The Argyle</v>
      </c>
      <c r="C19" s="556">
        <f t="shared" si="3"/>
        <v>14936228.722518757</v>
      </c>
      <c r="D19" s="237">
        <f>'Site 6 - Draw'!D62</f>
        <v>0</v>
      </c>
      <c r="E19" s="229">
        <f>'Site 6 - Draw'!E62</f>
        <v>0</v>
      </c>
      <c r="F19" s="229">
        <f>'Site 6 - Draw'!F62</f>
        <v>-9011798.3310887311</v>
      </c>
      <c r="G19" s="229">
        <f>'Site 6 - Draw'!G62</f>
        <v>-6955407.6491603563</v>
      </c>
      <c r="H19" s="229">
        <f>'Site 6 - Draw'!H62</f>
        <v>-7269984.5101603558</v>
      </c>
      <c r="I19" s="229">
        <f>'Site 6 - Draw'!I62</f>
        <v>-7357142.0223903563</v>
      </c>
      <c r="J19" s="229">
        <f>'Site 6 - Draw'!J62</f>
        <v>45530561.235318556</v>
      </c>
      <c r="K19" s="229">
        <f>'Site 6 - Draw'!K62</f>
        <v>0</v>
      </c>
      <c r="L19" s="229">
        <f>'Site 6 - Draw'!L62</f>
        <v>0</v>
      </c>
      <c r="M19" s="229">
        <f>'Site 6 - Draw'!M62</f>
        <v>0</v>
      </c>
      <c r="N19" s="230">
        <f>'Site 6 - Draw'!N62</f>
        <v>0</v>
      </c>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row>
    <row r="20" spans="2:41" s="124" customFormat="1">
      <c r="B20" s="557" t="str">
        <f t="shared" si="2"/>
        <v>The Yesler</v>
      </c>
      <c r="C20" s="556">
        <f t="shared" si="3"/>
        <v>27777924.644917056</v>
      </c>
      <c r="D20" s="237">
        <f>'Site 7 - Draw'!D64</f>
        <v>0</v>
      </c>
      <c r="E20" s="229">
        <f>'Site 7 - Draw'!E64</f>
        <v>0</v>
      </c>
      <c r="F20" s="229">
        <f>'Site 7 - Draw'!F64</f>
        <v>0</v>
      </c>
      <c r="G20" s="229">
        <f>'Site 7 - Draw'!G64</f>
        <v>-15139655.769586813</v>
      </c>
      <c r="H20" s="229">
        <f>'Site 7 - Draw'!H64</f>
        <v>-22171354.582293421</v>
      </c>
      <c r="I20" s="229">
        <f>'Site 7 - Draw'!I64</f>
        <v>65088934.996797293</v>
      </c>
      <c r="J20" s="229">
        <f>'Site 7 - Draw'!J64</f>
        <v>0</v>
      </c>
      <c r="K20" s="229">
        <f>'Site 7 - Draw'!K64</f>
        <v>0</v>
      </c>
      <c r="L20" s="229">
        <f>'Site 7 - Draw'!L64</f>
        <v>0</v>
      </c>
      <c r="M20" s="229">
        <f>'Site 7 - Draw'!M64</f>
        <v>0</v>
      </c>
      <c r="N20" s="230">
        <f>'Site 7 - Draw'!N64</f>
        <v>0</v>
      </c>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row>
    <row r="21" spans="2:41" s="124" customFormat="1" ht="15.75" thickBot="1">
      <c r="B21" s="568" t="s">
        <v>40</v>
      </c>
      <c r="C21" s="985">
        <f>IRR(D13:N13)</f>
        <v>0.21605385738947502</v>
      </c>
      <c r="D21" s="569" t="s">
        <v>202</v>
      </c>
      <c r="E21" s="570" t="s">
        <v>202</v>
      </c>
      <c r="F21" s="570" t="s">
        <v>202</v>
      </c>
      <c r="G21" s="570" t="s">
        <v>202</v>
      </c>
      <c r="H21" s="570" t="s">
        <v>202</v>
      </c>
      <c r="I21" s="571" t="s">
        <v>202</v>
      </c>
      <c r="J21" s="570" t="s">
        <v>202</v>
      </c>
      <c r="K21" s="570" t="s">
        <v>202</v>
      </c>
      <c r="L21" s="570" t="s">
        <v>202</v>
      </c>
      <c r="M21" s="570" t="s">
        <v>202</v>
      </c>
      <c r="N21" s="572" t="s">
        <v>202</v>
      </c>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row>
    <row r="22" spans="2:41">
      <c r="B22" s="551" t="s">
        <v>324</v>
      </c>
      <c r="C22" s="555">
        <f>'Development Program'!J12</f>
        <v>1682356821.2594922</v>
      </c>
    </row>
    <row r="23" spans="2:41">
      <c r="B23" s="552" t="s">
        <v>649</v>
      </c>
      <c r="C23" s="556">
        <f>'Sources, Uses, Phasing'!C5</f>
        <v>532125508.99192739</v>
      </c>
      <c r="E23" s="554"/>
    </row>
    <row r="24" spans="2:41" ht="15.75" thickBot="1">
      <c r="B24" s="553" t="s">
        <v>695</v>
      </c>
      <c r="C24" s="975">
        <f>(C22/C23)-1</f>
        <v>2.161578974942572</v>
      </c>
      <c r="E24" s="554"/>
    </row>
    <row r="27" spans="2:41">
      <c r="B27" s="248"/>
      <c r="C27" s="248"/>
    </row>
    <row r="28" spans="2:41">
      <c r="B28" s="124"/>
    </row>
    <row r="29" spans="2:41">
      <c r="B29" s="124"/>
    </row>
    <row r="30" spans="2:41">
      <c r="B30" s="124"/>
    </row>
    <row r="31" spans="2:41">
      <c r="B31" s="248"/>
      <c r="C31" s="248"/>
    </row>
    <row r="32" spans="2:41">
      <c r="B32" s="124"/>
    </row>
    <row r="33" spans="2:3">
      <c r="B33" s="124"/>
    </row>
    <row r="34" spans="2:3">
      <c r="B34" s="248"/>
      <c r="C34" s="248"/>
    </row>
    <row r="35" spans="2:3">
      <c r="B35" s="124"/>
    </row>
    <row r="36" spans="2:3">
      <c r="B36" s="124"/>
    </row>
  </sheetData>
  <mergeCells count="2">
    <mergeCell ref="B2:B3"/>
    <mergeCell ref="C2:C3"/>
  </mergeCells>
  <conditionalFormatting sqref="E3:N3">
    <cfRule type="cellIs" dxfId="43" priority="1" operator="equal">
      <formula>#REF!</formula>
    </cfRule>
    <cfRule type="cellIs" dxfId="42" priority="2" operator="equal">
      <formula>#REF!</formula>
    </cfRule>
    <cfRule type="cellIs" dxfId="41" priority="3" operator="equal">
      <formula>#REF!</formula>
    </cfRule>
    <cfRule type="cellIs" dxfId="40" priority="4" operator="equal">
      <formula>#REF!</formula>
    </cfRule>
  </conditionalFormatting>
  <conditionalFormatting sqref="H3:N3">
    <cfRule type="cellIs" dxfId="39" priority="5" operator="equal">
      <formula>#REF!</formula>
    </cfRule>
    <cfRule type="cellIs" dxfId="38" priority="6" operator="equal">
      <formula>#REF!</formula>
    </cfRule>
    <cfRule type="cellIs" dxfId="37" priority="7" operator="equal">
      <formula>#REF!</formula>
    </cfRule>
    <cfRule type="cellIs" dxfId="36" priority="8" operator="equal">
      <formula>#REF!</formula>
    </cfRule>
  </conditionalFormatting>
  <pageMargins left="0.7" right="0.7" top="0.75" bottom="0.75" header="0.3" footer="0.3"/>
  <pageSetup orientation="portrait" horizontalDpi="1200" verticalDpi="1200" r:id="rId1"/>
  <headerFooter>
    <oddHeader>&amp;C&amp;"Calibri,Regular"&amp;K000000OVERALL DRAW</oddHeader>
    <oddFooter>&amp;C&amp;"Calibri,Regular"&amp;K000000PAGE &amp;P OF &amp;N</oddFooter>
  </headerFooter>
  <ignoredErrors>
    <ignoredError sqref="C1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861AA-4A9E-E344-8CDE-DBAE1BFC2204}">
  <sheetPr>
    <tabColor rgb="FF92D050"/>
    <pageSetUpPr fitToPage="1"/>
  </sheetPr>
  <dimension ref="B1:L89"/>
  <sheetViews>
    <sheetView showGridLines="0" zoomScale="86" zoomScaleNormal="110" zoomScaleSheetLayoutView="90" workbookViewId="0">
      <selection activeCell="I24" sqref="I24"/>
    </sheetView>
  </sheetViews>
  <sheetFormatPr defaultColWidth="8.85546875" defaultRowHeight="23.25" customHeight="1"/>
  <cols>
    <col min="1" max="1" width="2" style="48" customWidth="1"/>
    <col min="2" max="2" width="36.42578125" style="48" bestFit="1" customWidth="1"/>
    <col min="3" max="3" width="32.140625" style="48" bestFit="1" customWidth="1"/>
    <col min="4" max="4" width="22.42578125" style="48" bestFit="1" customWidth="1"/>
    <col min="5" max="5" width="18.42578125" style="48" customWidth="1"/>
    <col min="6" max="6" width="18.140625" style="48" bestFit="1" customWidth="1"/>
    <col min="7" max="7" width="44.85546875" style="48" customWidth="1"/>
    <col min="8" max="11" width="26.140625" style="48" customWidth="1"/>
    <col min="12" max="12" width="13.140625" style="48" bestFit="1" customWidth="1"/>
    <col min="13" max="13" width="24.42578125" style="48" customWidth="1"/>
    <col min="14" max="14" width="32.42578125" style="48" customWidth="1"/>
    <col min="15" max="15" width="20.140625" style="48" customWidth="1"/>
    <col min="16" max="16384" width="8.85546875" style="48"/>
  </cols>
  <sheetData>
    <row r="1" spans="2:10" ht="12" customHeight="1" thickBot="1">
      <c r="B1" s="115"/>
      <c r="C1" s="115"/>
      <c r="D1" s="113"/>
      <c r="E1" s="116"/>
    </row>
    <row r="2" spans="2:10" ht="21" customHeight="1">
      <c r="B2" s="1249" t="str">
        <f>'Development Program'!B5</f>
        <v>King's Court</v>
      </c>
      <c r="C2" s="1250"/>
      <c r="D2" s="1250"/>
      <c r="E2" s="1250"/>
      <c r="F2" s="1251"/>
      <c r="G2" s="1242" t="s">
        <v>100</v>
      </c>
      <c r="H2" s="1244" t="s">
        <v>18</v>
      </c>
      <c r="I2" s="1244" t="s">
        <v>96</v>
      </c>
      <c r="J2" s="1246" t="s">
        <v>90</v>
      </c>
    </row>
    <row r="3" spans="2:10" ht="21" customHeight="1" thickBot="1">
      <c r="B3" s="87" t="s">
        <v>186</v>
      </c>
      <c r="C3" s="310" t="s">
        <v>83</v>
      </c>
      <c r="D3" s="311" t="s">
        <v>190</v>
      </c>
      <c r="E3" s="310" t="s">
        <v>191</v>
      </c>
      <c r="F3" s="114" t="s">
        <v>192</v>
      </c>
      <c r="G3" s="1243"/>
      <c r="H3" s="1245"/>
      <c r="I3" s="1245"/>
      <c r="J3" s="1247"/>
    </row>
    <row r="4" spans="2:10" ht="21" customHeight="1">
      <c r="B4" s="146" t="s">
        <v>85</v>
      </c>
      <c r="C4" s="147">
        <v>55</v>
      </c>
      <c r="D4" s="148">
        <f>Assumptions!C7*C4</f>
        <v>24750</v>
      </c>
      <c r="E4" s="149">
        <f>Assumptions!D8</f>
        <v>1350</v>
      </c>
      <c r="F4" s="150">
        <f>E4*D4</f>
        <v>33412500</v>
      </c>
      <c r="G4" s="120" t="str">
        <f>Assumptions!F19</f>
        <v>Residential Condominium Hard Costs for Construction</v>
      </c>
      <c r="H4" s="269">
        <f>'Market Research'!H116</f>
        <v>275</v>
      </c>
      <c r="I4" s="270">
        <f>H4*(D8+D15)</f>
        <v>74112500</v>
      </c>
      <c r="J4" s="289">
        <f>I4/($C$19+$C$8+$C$15)</f>
        <v>179884.70873786407</v>
      </c>
    </row>
    <row r="5" spans="2:10" ht="21" customHeight="1">
      <c r="B5" s="151" t="s">
        <v>187</v>
      </c>
      <c r="C5" s="152">
        <v>100</v>
      </c>
      <c r="D5" s="153">
        <f>Assumptions!C9*C5</f>
        <v>65000</v>
      </c>
      <c r="E5" s="154">
        <f>Assumptions!D10</f>
        <v>1300</v>
      </c>
      <c r="F5" s="155">
        <f>E5*D5</f>
        <v>84500000</v>
      </c>
      <c r="G5" s="120" t="s">
        <v>306</v>
      </c>
      <c r="H5" s="271">
        <f>'Market Research'!H122</f>
        <v>275</v>
      </c>
      <c r="I5" s="270">
        <f>H5*D18</f>
        <v>0</v>
      </c>
      <c r="J5" s="289">
        <f t="shared" ref="J5:J29" si="0">I5/($C$19+$C$8+$C$15)</f>
        <v>0</v>
      </c>
    </row>
    <row r="6" spans="2:10" ht="21" customHeight="1">
      <c r="B6" s="151" t="s">
        <v>188</v>
      </c>
      <c r="C6" s="152">
        <v>45</v>
      </c>
      <c r="D6" s="153">
        <f>Assumptions!C11*C6</f>
        <v>45000</v>
      </c>
      <c r="E6" s="154">
        <f>Assumptions!D12</f>
        <v>1250</v>
      </c>
      <c r="F6" s="155">
        <f>E6*D6</f>
        <v>56250000</v>
      </c>
      <c r="G6" s="120" t="s">
        <v>307</v>
      </c>
      <c r="H6" s="271">
        <f>'Market Research'!H122</f>
        <v>275</v>
      </c>
      <c r="I6" s="270">
        <f>H5*D17</f>
        <v>27880050</v>
      </c>
      <c r="J6" s="289">
        <f t="shared" si="0"/>
        <v>67670.024271844653</v>
      </c>
    </row>
    <row r="7" spans="2:10" ht="21" customHeight="1" thickBot="1">
      <c r="B7" s="156" t="s">
        <v>189</v>
      </c>
      <c r="C7" s="157">
        <v>0</v>
      </c>
      <c r="D7" s="158">
        <f>Assumptions!C13*C7</f>
        <v>0</v>
      </c>
      <c r="E7" s="159">
        <f>Assumptions!D14</f>
        <v>1200</v>
      </c>
      <c r="F7" s="160">
        <f>E7*D7</f>
        <v>0</v>
      </c>
      <c r="G7" s="120" t="s">
        <v>97</v>
      </c>
      <c r="H7" s="272" t="s">
        <v>154</v>
      </c>
      <c r="I7" s="270">
        <v>0</v>
      </c>
      <c r="J7" s="289">
        <f t="shared" si="0"/>
        <v>0</v>
      </c>
    </row>
    <row r="8" spans="2:10" ht="21" customHeight="1">
      <c r="B8" s="1218" t="s">
        <v>86</v>
      </c>
      <c r="C8" s="1220">
        <f>SUM(C4:C7)</f>
        <v>200</v>
      </c>
      <c r="D8" s="1253">
        <f>SUM(D4:D7)</f>
        <v>134750</v>
      </c>
      <c r="E8" s="1255">
        <f>F8/D8</f>
        <v>1292.4860853432283</v>
      </c>
      <c r="F8" s="1206">
        <f>SUM(F4:F7)</f>
        <v>174162500</v>
      </c>
      <c r="G8" s="120" t="s">
        <v>20</v>
      </c>
      <c r="H8" s="273">
        <v>0.1</v>
      </c>
      <c r="I8" s="270">
        <f>H8*SUM(I4:I7)</f>
        <v>10199255</v>
      </c>
      <c r="J8" s="289">
        <f t="shared" si="0"/>
        <v>24755.473300970873</v>
      </c>
    </row>
    <row r="9" spans="2:10" ht="21" customHeight="1">
      <c r="B9" s="1252"/>
      <c r="C9" s="1221"/>
      <c r="D9" s="1254"/>
      <c r="E9" s="1256"/>
      <c r="F9" s="1248"/>
      <c r="G9" s="120" t="s">
        <v>6</v>
      </c>
      <c r="H9" s="274" t="s">
        <v>154</v>
      </c>
      <c r="I9" s="270">
        <v>0</v>
      </c>
      <c r="J9" s="289">
        <f t="shared" si="0"/>
        <v>0</v>
      </c>
    </row>
    <row r="10" spans="2:10" ht="21" customHeight="1" thickBot="1">
      <c r="B10" s="87" t="s">
        <v>581</v>
      </c>
      <c r="C10" s="310" t="s">
        <v>83</v>
      </c>
      <c r="D10" s="311" t="s">
        <v>387</v>
      </c>
      <c r="E10" s="310" t="s">
        <v>582</v>
      </c>
      <c r="F10" s="114" t="s">
        <v>389</v>
      </c>
      <c r="G10" s="120" t="s">
        <v>308</v>
      </c>
      <c r="H10" s="275">
        <f>'Market Research'!C53</f>
        <v>45000000</v>
      </c>
      <c r="I10" s="270">
        <f>H10*C23</f>
        <v>58995867.76859504</v>
      </c>
      <c r="J10" s="289">
        <f t="shared" si="0"/>
        <v>143193.85380726951</v>
      </c>
    </row>
    <row r="11" spans="2:10" ht="21" customHeight="1">
      <c r="B11" s="146" t="s">
        <v>85</v>
      </c>
      <c r="C11" s="736">
        <v>55</v>
      </c>
      <c r="D11" s="148">
        <f>Assumptions!C7*C11</f>
        <v>24750</v>
      </c>
      <c r="E11" s="737">
        <v>1768</v>
      </c>
      <c r="F11" s="738">
        <f>E11*C11*12</f>
        <v>1166880</v>
      </c>
      <c r="G11" s="477" t="s">
        <v>21</v>
      </c>
      <c r="H11" s="573" t="s">
        <v>367</v>
      </c>
      <c r="I11" s="270">
        <v>450000</v>
      </c>
      <c r="J11" s="289">
        <f t="shared" si="0"/>
        <v>1092.2330097087379</v>
      </c>
    </row>
    <row r="12" spans="2:10" ht="21" customHeight="1">
      <c r="B12" s="151" t="s">
        <v>187</v>
      </c>
      <c r="C12" s="739">
        <v>100</v>
      </c>
      <c r="D12" s="153">
        <f>Assumptions!C9*C12</f>
        <v>65000</v>
      </c>
      <c r="E12" s="740">
        <v>1895</v>
      </c>
      <c r="F12" s="356">
        <f t="shared" ref="F12:F14" si="1">E12*C12*12</f>
        <v>2274000</v>
      </c>
      <c r="G12" s="477" t="s">
        <v>42</v>
      </c>
      <c r="H12" s="265" t="s">
        <v>368</v>
      </c>
      <c r="I12" s="270">
        <f>'Development Program'!G22</f>
        <v>7499999.9999999981</v>
      </c>
      <c r="J12" s="289">
        <f t="shared" si="0"/>
        <v>18203.883495145627</v>
      </c>
    </row>
    <row r="13" spans="2:10" ht="21" customHeight="1">
      <c r="B13" s="151" t="s">
        <v>188</v>
      </c>
      <c r="C13" s="739">
        <v>45</v>
      </c>
      <c r="D13" s="153">
        <f>Assumptions!C11*C13</f>
        <v>45000</v>
      </c>
      <c r="E13" s="740">
        <v>2274</v>
      </c>
      <c r="F13" s="356">
        <f t="shared" si="1"/>
        <v>1227960</v>
      </c>
      <c r="G13" s="574" t="s">
        <v>23</v>
      </c>
      <c r="H13" s="261" t="s">
        <v>24</v>
      </c>
      <c r="I13" s="262">
        <v>400000</v>
      </c>
      <c r="J13" s="289">
        <f t="shared" si="0"/>
        <v>970.87378640776694</v>
      </c>
    </row>
    <row r="14" spans="2:10" ht="21" customHeight="1" thickBot="1">
      <c r="B14" s="156" t="s">
        <v>189</v>
      </c>
      <c r="C14" s="741">
        <v>0</v>
      </c>
      <c r="D14" s="158">
        <f>Assumptions!C13*C14</f>
        <v>0</v>
      </c>
      <c r="E14" s="742">
        <v>2628</v>
      </c>
      <c r="F14" s="743">
        <f t="shared" si="1"/>
        <v>0</v>
      </c>
      <c r="G14" s="118" t="s">
        <v>361</v>
      </c>
      <c r="H14" s="285">
        <v>0.02</v>
      </c>
      <c r="I14" s="262">
        <f>H14*I10</f>
        <v>1179917.3553719008</v>
      </c>
      <c r="J14" s="289">
        <f t="shared" si="0"/>
        <v>2863.8770761453902</v>
      </c>
    </row>
    <row r="15" spans="2:10" ht="21" customHeight="1">
      <c r="B15" s="1218" t="s">
        <v>86</v>
      </c>
      <c r="C15" s="1220">
        <f>SUM(C11:C14)</f>
        <v>200</v>
      </c>
      <c r="D15" s="1253">
        <f>SUM(D11:D14)</f>
        <v>134750</v>
      </c>
      <c r="E15" s="1255">
        <f>F15/12/C15</f>
        <v>1945.35</v>
      </c>
      <c r="F15" s="1206">
        <f>SUM(F11:F14)</f>
        <v>4668840</v>
      </c>
      <c r="G15" s="118" t="s">
        <v>26</v>
      </c>
      <c r="H15" s="263">
        <v>0.04</v>
      </c>
      <c r="I15" s="262">
        <f>H15*SUM(I4:I7)</f>
        <v>4079702</v>
      </c>
      <c r="J15" s="289">
        <f t="shared" si="0"/>
        <v>9902.1893203883501</v>
      </c>
    </row>
    <row r="16" spans="2:10" ht="21" customHeight="1" thickBot="1">
      <c r="B16" s="1252"/>
      <c r="C16" s="1221"/>
      <c r="D16" s="1254"/>
      <c r="E16" s="1256"/>
      <c r="F16" s="1248"/>
      <c r="G16" s="118" t="s">
        <v>27</v>
      </c>
      <c r="H16" s="264">
        <v>0.03</v>
      </c>
      <c r="I16" s="262">
        <f>H16*SUM(I4:I15)</f>
        <v>5543918.7637190074</v>
      </c>
      <c r="J16" s="289">
        <f>I16/($C$19+$C$8+$C$15)</f>
        <v>13456.113504172348</v>
      </c>
    </row>
    <row r="17" spans="2:12" ht="21" customHeight="1">
      <c r="B17" s="161" t="s">
        <v>1</v>
      </c>
      <c r="C17" s="162">
        <v>12</v>
      </c>
      <c r="D17" s="163">
        <v>101382</v>
      </c>
      <c r="E17" s="164">
        <f>Assumptions!F7</f>
        <v>35</v>
      </c>
      <c r="F17" s="165">
        <f>D17*E17</f>
        <v>3548370</v>
      </c>
      <c r="G17" s="118" t="s">
        <v>28</v>
      </c>
      <c r="H17" s="263">
        <v>0.02</v>
      </c>
      <c r="I17" s="262">
        <f>H17*SUM(I4:I7)</f>
        <v>2039851</v>
      </c>
      <c r="J17" s="289">
        <f t="shared" si="0"/>
        <v>4951.094660194175</v>
      </c>
    </row>
    <row r="18" spans="2:12" ht="21" customHeight="1" thickBot="1">
      <c r="B18" s="166" t="s">
        <v>0</v>
      </c>
      <c r="C18" s="167">
        <v>0</v>
      </c>
      <c r="D18" s="168">
        <v>0</v>
      </c>
      <c r="E18" s="169">
        <f>Assumptions!G7</f>
        <v>45</v>
      </c>
      <c r="F18" s="170">
        <f>D18*E18</f>
        <v>0</v>
      </c>
      <c r="G18" s="486" t="s">
        <v>98</v>
      </c>
      <c r="H18" s="746">
        <v>8.8293999999999994E-3</v>
      </c>
      <c r="I18" s="262">
        <f>H18*I10</f>
        <v>520898.11487603298</v>
      </c>
      <c r="J18" s="289">
        <f t="shared" si="0"/>
        <v>1264.3158128059054</v>
      </c>
    </row>
    <row r="19" spans="2:12" ht="21" customHeight="1">
      <c r="B19" s="1218" t="s">
        <v>86</v>
      </c>
      <c r="C19" s="1220">
        <f>SUM(C17:C18)</f>
        <v>12</v>
      </c>
      <c r="D19" s="1222">
        <f>SUM(D17:D18)</f>
        <v>101382</v>
      </c>
      <c r="E19" s="1224">
        <f>IF(D19=0,0,F19/D19)</f>
        <v>35</v>
      </c>
      <c r="F19" s="1206">
        <f>SUM(F17:F18)</f>
        <v>3548370</v>
      </c>
      <c r="G19" s="118" t="s">
        <v>29</v>
      </c>
      <c r="H19" s="265">
        <v>6000</v>
      </c>
      <c r="I19" s="262">
        <f>H19*(C8+C19)</f>
        <v>1272000</v>
      </c>
      <c r="J19" s="289">
        <f t="shared" si="0"/>
        <v>3087.3786407766988</v>
      </c>
    </row>
    <row r="20" spans="2:12" ht="21" customHeight="1" thickBot="1">
      <c r="B20" s="1219"/>
      <c r="C20" s="1221"/>
      <c r="D20" s="1223"/>
      <c r="E20" s="1225"/>
      <c r="F20" s="1207"/>
      <c r="G20" s="118" t="s">
        <v>30</v>
      </c>
      <c r="H20" s="261" t="s">
        <v>24</v>
      </c>
      <c r="I20" s="262">
        <v>400000</v>
      </c>
      <c r="J20" s="289">
        <f t="shared" si="0"/>
        <v>970.87378640776694</v>
      </c>
    </row>
    <row r="21" spans="2:12" ht="21" customHeight="1">
      <c r="B21" s="1059" t="s">
        <v>371</v>
      </c>
      <c r="C21" s="1061"/>
      <c r="D21" s="1215" t="s">
        <v>203</v>
      </c>
      <c r="E21" s="1216"/>
      <c r="F21" s="1217"/>
      <c r="G21" s="118" t="s">
        <v>31</v>
      </c>
      <c r="H21" s="266" t="s">
        <v>363</v>
      </c>
      <c r="I21" s="262">
        <f>-SUM('Site 1 - Draw'!D37:F37,'Site 1 - Draw'!D46:F46,'Site 1 - Draw'!D55:F55)</f>
        <v>1318206.8900000001</v>
      </c>
      <c r="J21" s="289">
        <f t="shared" si="0"/>
        <v>3199.5312864077673</v>
      </c>
    </row>
    <row r="22" spans="2:12" ht="21" customHeight="1" thickBot="1">
      <c r="B22" s="134" t="s">
        <v>319</v>
      </c>
      <c r="C22" s="190" t="s">
        <v>375</v>
      </c>
      <c r="D22" s="134" t="s">
        <v>319</v>
      </c>
      <c r="E22" s="135" t="s">
        <v>103</v>
      </c>
      <c r="F22" s="190" t="s">
        <v>90</v>
      </c>
      <c r="G22" s="118" t="s">
        <v>364</v>
      </c>
      <c r="H22" s="267">
        <f>'Market Research'!H125</f>
        <v>150</v>
      </c>
      <c r="I22" s="262">
        <f>H22*D19</f>
        <v>15207300</v>
      </c>
      <c r="J22" s="289">
        <f t="shared" si="0"/>
        <v>36910.922330097084</v>
      </c>
      <c r="K22" s="171">
        <f>59976000+62244000+88746800+86553600+2520000+4473000+29736000+6994000</f>
        <v>341243400</v>
      </c>
      <c r="L22" s="48" t="s">
        <v>588</v>
      </c>
    </row>
    <row r="23" spans="2:12" ht="21" customHeight="1">
      <c r="B23" s="293" t="s">
        <v>372</v>
      </c>
      <c r="C23" s="294">
        <f>57108/43560</f>
        <v>1.3110192837465564</v>
      </c>
      <c r="D23" s="303">
        <f>Assumptions!I11</f>
        <v>0.55000000000000004</v>
      </c>
      <c r="E23" s="304">
        <f>D23*I$27</f>
        <v>125765187.84090909</v>
      </c>
      <c r="F23" s="305">
        <f>E23/($C$8+$C$19+$C$15)</f>
        <v>305255.31029346865</v>
      </c>
      <c r="G23" s="118" t="s">
        <v>365</v>
      </c>
      <c r="H23" s="268">
        <v>0.06</v>
      </c>
      <c r="I23" s="262">
        <f>H23*('Site 1 - Draw'!G40+'Site 1 - Draw'!G49)*5</f>
        <v>1064511</v>
      </c>
      <c r="J23" s="289">
        <f t="shared" si="0"/>
        <v>2583.7645631067962</v>
      </c>
      <c r="K23" s="292">
        <f>I10+'Site 2 - Financial'!I10+'Site 3 - Financial'!I10+'Site 4 - Financial'!I10+'Site 5 - Financial'!I10+'Site 6 - Financial'!I10+'Site 7 - Financial'!I10</f>
        <v>323679752.06611574</v>
      </c>
      <c r="L23" s="48" t="s">
        <v>115</v>
      </c>
    </row>
    <row r="24" spans="2:12" ht="21" customHeight="1">
      <c r="B24" s="295" t="s">
        <v>373</v>
      </c>
      <c r="C24" s="392">
        <f>209710+215250</f>
        <v>424960</v>
      </c>
      <c r="D24" s="306">
        <f>1-D23</f>
        <v>0.44999999999999996</v>
      </c>
      <c r="E24" s="301">
        <f>(D24*I27)-E25</f>
        <v>102898790.05165288</v>
      </c>
      <c r="F24" s="302">
        <f t="shared" ref="F24:F26" si="2">E24/($C$8+$C$19+$C$15)</f>
        <v>249754.34478556525</v>
      </c>
      <c r="G24" s="486" t="s">
        <v>33</v>
      </c>
      <c r="H24" s="487">
        <v>0.01</v>
      </c>
      <c r="I24" s="262">
        <v>2000000</v>
      </c>
      <c r="J24" s="289">
        <f t="shared" si="0"/>
        <v>4854.3689320388348</v>
      </c>
    </row>
    <row r="25" spans="2:12" ht="21" customHeight="1">
      <c r="B25" s="295" t="s">
        <v>374</v>
      </c>
      <c r="C25" s="296">
        <f>D8+D19+D15</f>
        <v>370882</v>
      </c>
      <c r="D25" s="295" t="s">
        <v>382</v>
      </c>
      <c r="E25" s="312">
        <v>0</v>
      </c>
      <c r="F25" s="313">
        <f t="shared" si="2"/>
        <v>0</v>
      </c>
      <c r="G25" s="488" t="s">
        <v>34</v>
      </c>
      <c r="H25" s="487">
        <f>Assumptions!$I$13</f>
        <v>5.2499999999999998E-2</v>
      </c>
      <c r="I25" s="262">
        <f>I24*H25*100</f>
        <v>10500000</v>
      </c>
      <c r="J25" s="289">
        <f t="shared" si="0"/>
        <v>25485.436893203885</v>
      </c>
    </row>
    <row r="26" spans="2:12" ht="21" customHeight="1" thickBot="1">
      <c r="B26" s="295" t="s">
        <v>376</v>
      </c>
      <c r="C26" s="297">
        <v>0</v>
      </c>
      <c r="D26" s="295" t="s">
        <v>383</v>
      </c>
      <c r="E26" s="307">
        <f>SUM(E23:E25)</f>
        <v>228663977.89256197</v>
      </c>
      <c r="F26" s="308">
        <f t="shared" si="2"/>
        <v>555009.65507903392</v>
      </c>
      <c r="G26" s="121" t="s">
        <v>99</v>
      </c>
      <c r="H26" s="259" t="s">
        <v>24</v>
      </c>
      <c r="I26" s="260">
        <v>4000000</v>
      </c>
      <c r="J26" s="289">
        <f t="shared" si="0"/>
        <v>9708.7378640776697</v>
      </c>
    </row>
    <row r="27" spans="2:12" ht="21" customHeight="1" thickBot="1">
      <c r="B27" s="295" t="s">
        <v>377</v>
      </c>
      <c r="C27" s="297">
        <v>0</v>
      </c>
      <c r="D27" s="299"/>
      <c r="E27" s="309"/>
      <c r="F27" s="300"/>
      <c r="G27" s="122" t="s">
        <v>100</v>
      </c>
      <c r="H27" s="319" t="s">
        <v>202</v>
      </c>
      <c r="I27" s="320">
        <f>SUM(I4:I26)</f>
        <v>228663977.89256197</v>
      </c>
      <c r="J27" s="321">
        <f t="shared" si="0"/>
        <v>555009.65507903392</v>
      </c>
    </row>
    <row r="28" spans="2:12" ht="21" customHeight="1">
      <c r="B28" s="298" t="s">
        <v>421</v>
      </c>
      <c r="C28" s="297">
        <v>0</v>
      </c>
      <c r="D28" s="1228" t="s">
        <v>104</v>
      </c>
      <c r="E28" s="1230">
        <f>E23+E24</f>
        <v>228663977.89256197</v>
      </c>
      <c r="F28" s="1210">
        <f>E28/($C$8+$C$19+$C$15)</f>
        <v>555009.65507903392</v>
      </c>
      <c r="G28" s="123" t="s">
        <v>382</v>
      </c>
      <c r="H28" s="322" t="s">
        <v>202</v>
      </c>
      <c r="I28" s="323">
        <f>IF(I27-I32&gt;0,I27-I32,0)</f>
        <v>0</v>
      </c>
      <c r="J28" s="324">
        <f t="shared" si="0"/>
        <v>0</v>
      </c>
    </row>
    <row r="29" spans="2:12" ht="21" customHeight="1" thickBot="1">
      <c r="B29" s="413" t="s">
        <v>420</v>
      </c>
      <c r="C29" s="412">
        <f>C24/(C23*43560)</f>
        <v>7.4413392169223229</v>
      </c>
      <c r="D29" s="1229"/>
      <c r="E29" s="1231"/>
      <c r="F29" s="1211">
        <f t="shared" ref="F29" si="3">E29/($C$8+$C$19+$C$15)</f>
        <v>0</v>
      </c>
      <c r="G29" s="123" t="s">
        <v>324</v>
      </c>
      <c r="H29" s="322" t="s">
        <v>202</v>
      </c>
      <c r="I29" s="323">
        <f>'Site 1 - Draw'!G37+'Site 1 - Draw'!G38+'Site 1 - Draw'!G46+'Site 1 - Draw'!G47+'Site 1 - Draw'!G58</f>
        <v>331072303.96136868</v>
      </c>
      <c r="J29" s="324">
        <f t="shared" si="0"/>
        <v>803573.55330429296</v>
      </c>
    </row>
    <row r="30" spans="2:12" ht="21" customHeight="1" thickBot="1">
      <c r="B30" s="391">
        <v>12</v>
      </c>
      <c r="C30" s="392">
        <f>C24/B30</f>
        <v>35413.333333333336</v>
      </c>
      <c r="D30" s="1208" t="s">
        <v>399</v>
      </c>
      <c r="E30" s="1209"/>
      <c r="F30" s="245" t="s">
        <v>370</v>
      </c>
      <c r="G30" s="123" t="s">
        <v>101</v>
      </c>
      <c r="H30" s="322" t="s">
        <v>202</v>
      </c>
      <c r="I30" s="355" t="s">
        <v>696</v>
      </c>
      <c r="J30" s="325" t="s">
        <v>202</v>
      </c>
      <c r="K30" s="251"/>
    </row>
    <row r="31" spans="2:12" ht="21" customHeight="1" thickBot="1">
      <c r="B31" s="299" t="s">
        <v>380</v>
      </c>
      <c r="C31" s="300" t="s">
        <v>381</v>
      </c>
      <c r="D31" s="1238" t="s">
        <v>321</v>
      </c>
      <c r="E31" s="1239"/>
      <c r="F31" s="314">
        <f>'Site 1 - Draw'!G58+'Site 1 - Draw'!G38</f>
        <v>248850941.2823019</v>
      </c>
      <c r="G31" s="123" t="s">
        <v>102</v>
      </c>
      <c r="H31" s="322" t="s">
        <v>202</v>
      </c>
      <c r="I31" s="507">
        <f>I29/(I27-I28)-1</f>
        <v>0.44785508855672651</v>
      </c>
      <c r="J31" s="326" t="s">
        <v>202</v>
      </c>
      <c r="K31" s="251"/>
    </row>
    <row r="32" spans="2:12" ht="21" customHeight="1" thickBot="1">
      <c r="B32" s="1208" t="s">
        <v>398</v>
      </c>
      <c r="C32" s="1212"/>
      <c r="D32" s="1213" t="s">
        <v>378</v>
      </c>
      <c r="E32" s="1214"/>
      <c r="F32" s="356">
        <f>F8/C8</f>
        <v>870812.5</v>
      </c>
      <c r="G32" s="886">
        <v>0.3</v>
      </c>
      <c r="H32" s="327" t="s">
        <v>202</v>
      </c>
      <c r="I32" s="887">
        <f>I29/(1+G32)</f>
        <v>254671003.04720667</v>
      </c>
      <c r="J32" s="345">
        <f>I32/($C$19+$C$8+$C$15)</f>
        <v>618133.50254176371</v>
      </c>
    </row>
    <row r="33" spans="2:11" ht="21" customHeight="1">
      <c r="B33" s="286" t="s">
        <v>133</v>
      </c>
      <c r="C33" s="882">
        <f>'Site 1 - Draw'!C59</f>
        <v>0.18195395997119435</v>
      </c>
      <c r="D33" s="1213" t="s">
        <v>379</v>
      </c>
      <c r="E33" s="1214"/>
      <c r="F33" s="315">
        <f>F32*0.98</f>
        <v>853396.25</v>
      </c>
      <c r="G33" s="747"/>
      <c r="H33" s="747"/>
      <c r="I33" s="747"/>
      <c r="J33" s="747"/>
      <c r="K33" s="251"/>
    </row>
    <row r="34" spans="2:11" ht="21" customHeight="1">
      <c r="B34" s="287" t="s">
        <v>40</v>
      </c>
      <c r="C34" s="883">
        <f>'Site 1 - Draw'!C63</f>
        <v>0.24482412232768502</v>
      </c>
      <c r="D34" s="1226" t="s">
        <v>322</v>
      </c>
      <c r="E34" s="1227"/>
      <c r="F34" s="316">
        <f>'Site 1 - Draw'!G56+'Site 1 - Draw'!G47</f>
        <v>75005366.961432934</v>
      </c>
      <c r="G34" s="747"/>
      <c r="H34" s="747"/>
      <c r="I34" s="747"/>
      <c r="J34" s="747"/>
    </row>
    <row r="35" spans="2:11" ht="21" customHeight="1">
      <c r="B35" s="287" t="s">
        <v>653</v>
      </c>
      <c r="C35" s="884">
        <f>Assumptions!I6</f>
        <v>0.05</v>
      </c>
      <c r="D35" s="1240" t="s">
        <v>323</v>
      </c>
      <c r="E35" s="1241"/>
      <c r="F35" s="317">
        <f>F31+F34</f>
        <v>323856308.24373484</v>
      </c>
      <c r="G35" s="747"/>
      <c r="H35" s="747"/>
      <c r="I35" s="747"/>
      <c r="J35" s="747"/>
    </row>
    <row r="36" spans="2:11" ht="21" customHeight="1">
      <c r="B36" s="287" t="s">
        <v>652</v>
      </c>
      <c r="C36" s="884">
        <f>Assumptions!$I$7</f>
        <v>4.7500000000000001E-2</v>
      </c>
      <c r="D36" s="1234" t="s">
        <v>519</v>
      </c>
      <c r="E36" s="1235"/>
      <c r="F36" s="316">
        <f>E23</f>
        <v>125765187.84090909</v>
      </c>
      <c r="G36" s="747"/>
      <c r="H36" s="747"/>
      <c r="I36" s="747"/>
      <c r="J36" s="747"/>
    </row>
    <row r="37" spans="2:11" ht="21" customHeight="1">
      <c r="B37" s="287" t="s">
        <v>384</v>
      </c>
      <c r="C37" s="884">
        <f>Assumptions!I9</f>
        <v>4.4999999999999998E-2</v>
      </c>
      <c r="D37" s="1234" t="s">
        <v>520</v>
      </c>
      <c r="E37" s="1235"/>
      <c r="F37" s="316">
        <f>E24</f>
        <v>102898790.05165288</v>
      </c>
      <c r="G37" s="747"/>
      <c r="H37" s="747"/>
      <c r="I37" s="747"/>
      <c r="J37" s="747"/>
    </row>
    <row r="38" spans="2:11" ht="21" customHeight="1" thickBot="1">
      <c r="B38" s="288" t="s">
        <v>385</v>
      </c>
      <c r="C38" s="885">
        <f>Assumptions!I8</f>
        <v>0.05</v>
      </c>
      <c r="D38" s="1236" t="s">
        <v>108</v>
      </c>
      <c r="E38" s="1237"/>
      <c r="F38" s="318">
        <f>F35-F36-F37</f>
        <v>95192330.351172864</v>
      </c>
      <c r="G38" s="747"/>
      <c r="H38" s="747"/>
      <c r="I38" s="747"/>
      <c r="J38" s="747"/>
    </row>
    <row r="39" spans="2:11" ht="15.95" customHeight="1">
      <c r="G39" s="247"/>
      <c r="H39" s="178"/>
      <c r="I39" s="178"/>
      <c r="J39" s="178"/>
    </row>
    <row r="40" spans="2:11" ht="15" customHeight="1">
      <c r="D40" s="136"/>
      <c r="E40" s="136"/>
      <c r="F40" s="136"/>
      <c r="G40" s="179"/>
      <c r="H40" s="180"/>
      <c r="I40" s="181"/>
      <c r="J40" s="180"/>
    </row>
    <row r="41" spans="2:11" ht="15" customHeight="1">
      <c r="D41" s="124"/>
      <c r="G41" s="182"/>
      <c r="H41" s="1232"/>
      <c r="I41" s="1232"/>
      <c r="J41" s="180"/>
    </row>
    <row r="42" spans="2:11" ht="15" customHeight="1">
      <c r="D42" s="124"/>
      <c r="G42" s="183"/>
      <c r="H42" s="1233"/>
      <c r="I42" s="1233"/>
      <c r="J42" s="184"/>
    </row>
    <row r="43" spans="2:11" ht="12.75">
      <c r="D43" s="124"/>
    </row>
    <row r="44" spans="2:11" ht="12.75">
      <c r="D44" s="171"/>
    </row>
    <row r="45" spans="2:11" s="136" customFormat="1" ht="12.75">
      <c r="B45" s="48"/>
      <c r="C45" s="48"/>
      <c r="D45" s="171"/>
      <c r="E45" s="48"/>
      <c r="F45" s="48"/>
    </row>
    <row r="46" spans="2:11" ht="12.75">
      <c r="B46" s="136"/>
      <c r="C46" s="136"/>
    </row>
    <row r="47" spans="2:11" ht="12.95" customHeight="1">
      <c r="B47" s="124"/>
      <c r="C47" s="124"/>
    </row>
    <row r="48" spans="2:11" ht="12.75">
      <c r="B48" s="124"/>
      <c r="C48" s="124"/>
    </row>
    <row r="49" spans="2:10" s="136" customFormat="1" ht="12.75">
      <c r="B49" s="119"/>
      <c r="C49" s="119"/>
      <c r="D49" s="48"/>
      <c r="E49" s="48"/>
      <c r="F49" s="48"/>
    </row>
    <row r="50" spans="2:10" s="124" customFormat="1" ht="12.75">
      <c r="D50" s="48"/>
      <c r="E50" s="48"/>
      <c r="F50" s="48"/>
    </row>
    <row r="51" spans="2:10" s="124" customFormat="1" ht="12.75">
      <c r="D51" s="48"/>
      <c r="E51" s="48"/>
      <c r="F51" s="48"/>
    </row>
    <row r="52" spans="2:10" s="119" customFormat="1" ht="12.75">
      <c r="D52" s="48"/>
      <c r="E52" s="48"/>
      <c r="F52" s="48"/>
    </row>
    <row r="53" spans="2:10" s="124" customFormat="1" ht="12.75">
      <c r="D53" s="48"/>
      <c r="E53" s="48"/>
      <c r="F53" s="48"/>
    </row>
    <row r="54" spans="2:10" s="124" customFormat="1" ht="12.75">
      <c r="D54" s="48"/>
      <c r="E54" s="48"/>
      <c r="F54" s="48"/>
    </row>
    <row r="55" spans="2:10" s="119" customFormat="1" ht="12.75">
      <c r="B55" s="124"/>
      <c r="C55" s="124"/>
      <c r="D55" s="48"/>
      <c r="E55" s="48"/>
      <c r="F55" s="48"/>
    </row>
    <row r="56" spans="2:10" s="124" customFormat="1" ht="12.75">
      <c r="B56" s="48"/>
      <c r="C56" s="171"/>
      <c r="D56" s="48"/>
      <c r="E56" s="48"/>
      <c r="F56" s="48"/>
    </row>
    <row r="57" spans="2:10" s="124" customFormat="1" ht="12.75">
      <c r="B57" s="48"/>
      <c r="C57" s="171"/>
      <c r="D57" s="48"/>
      <c r="E57" s="48"/>
      <c r="F57" s="48"/>
    </row>
    <row r="58" spans="2:10" s="124" customFormat="1" ht="12.75">
      <c r="B58" s="48"/>
      <c r="C58" s="48"/>
      <c r="D58" s="48"/>
      <c r="E58" s="48"/>
      <c r="F58" s="48"/>
    </row>
    <row r="59" spans="2:10" ht="12.75">
      <c r="G59" s="171"/>
      <c r="H59" s="171"/>
      <c r="I59" s="171"/>
      <c r="J59" s="171"/>
    </row>
    <row r="60" spans="2:10" ht="12.75">
      <c r="G60" s="171"/>
      <c r="H60" s="171"/>
      <c r="I60" s="171"/>
      <c r="J60" s="171"/>
    </row>
    <row r="61" spans="2:10" ht="12.75"/>
    <row r="62" spans="2:10" ht="15" customHeight="1"/>
    <row r="63" spans="2:10" ht="12.75"/>
    <row r="64" spans="2:10" ht="12.75">
      <c r="G64" s="171"/>
    </row>
    <row r="65" spans="7:7" ht="12.75">
      <c r="G65" s="171"/>
    </row>
    <row r="66" spans="7:7" ht="12.75"/>
    <row r="67" spans="7:7" ht="12.75"/>
    <row r="68" spans="7:7" ht="12.75">
      <c r="G68" s="171"/>
    </row>
    <row r="69" spans="7:7" ht="15" customHeight="1"/>
    <row r="70" spans="7:7" ht="15" customHeight="1"/>
    <row r="71" spans="7:7" ht="12.75"/>
    <row r="72" spans="7:7" ht="12.75"/>
    <row r="73" spans="7:7" ht="12.75"/>
    <row r="74" spans="7:7" ht="12.75"/>
    <row r="75" spans="7:7" ht="12.75"/>
    <row r="76" spans="7:7" ht="12.75"/>
    <row r="77" spans="7:7" ht="12.75"/>
    <row r="78" spans="7:7" ht="12.75"/>
    <row r="79" spans="7:7" ht="12.75"/>
    <row r="80" spans="7:7" ht="12.75"/>
    <row r="81" ht="12.75"/>
    <row r="82" ht="12.75"/>
    <row r="83" ht="12.75"/>
    <row r="84" ht="12.75"/>
    <row r="85" ht="12.75"/>
    <row r="86" ht="12.75"/>
    <row r="87" ht="12.75"/>
    <row r="88" ht="12.75"/>
    <row r="89" ht="12.75"/>
  </sheetData>
  <mergeCells count="37">
    <mergeCell ref="G2:G3"/>
    <mergeCell ref="H2:H3"/>
    <mergeCell ref="I2:I3"/>
    <mergeCell ref="J2:J3"/>
    <mergeCell ref="F15:F16"/>
    <mergeCell ref="B2:F2"/>
    <mergeCell ref="B8:B9"/>
    <mergeCell ref="C8:C9"/>
    <mergeCell ref="D8:D9"/>
    <mergeCell ref="E8:E9"/>
    <mergeCell ref="F8:F9"/>
    <mergeCell ref="B15:B16"/>
    <mergeCell ref="C15:C16"/>
    <mergeCell ref="D15:D16"/>
    <mergeCell ref="E15:E16"/>
    <mergeCell ref="D34:E34"/>
    <mergeCell ref="D28:D29"/>
    <mergeCell ref="E28:E29"/>
    <mergeCell ref="H41:I41"/>
    <mergeCell ref="H42:I42"/>
    <mergeCell ref="D37:E37"/>
    <mergeCell ref="D38:E38"/>
    <mergeCell ref="D31:E31"/>
    <mergeCell ref="D32:E32"/>
    <mergeCell ref="D36:E36"/>
    <mergeCell ref="D35:E35"/>
    <mergeCell ref="F19:F20"/>
    <mergeCell ref="D30:E30"/>
    <mergeCell ref="F28:F29"/>
    <mergeCell ref="B32:C32"/>
    <mergeCell ref="D33:E33"/>
    <mergeCell ref="B21:C21"/>
    <mergeCell ref="D21:F21"/>
    <mergeCell ref="B19:B20"/>
    <mergeCell ref="C19:C20"/>
    <mergeCell ref="D19:D20"/>
    <mergeCell ref="E19:E20"/>
  </mergeCells>
  <printOptions horizontalCentered="1" verticalCentered="1"/>
  <pageMargins left="0.7" right="0.7" top="0.75" bottom="0.75" header="0.3" footer="0.3"/>
  <pageSetup scale="91" fitToHeight="0" orientation="landscape" horizontalDpi="4294967292" verticalDpi="4294967292" r:id="rId1"/>
  <headerFooter>
    <oddHeader>&amp;C&amp;"Times New Roman Bold,Bold"&amp;14&amp;K000000INVESTOR SHEET</oddHeader>
    <oddFooter>&amp;CPage &amp;P of &amp;N</oddFooter>
  </headerFooter>
  <ignoredErrors>
    <ignoredError sqref="E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D4F41-2CAA-704D-89F4-9225C2AB4000}">
  <sheetPr>
    <tabColor rgb="FF92D050"/>
  </sheetPr>
  <dimension ref="A1:AS68"/>
  <sheetViews>
    <sheetView topLeftCell="A3" zoomScaleNormal="100" zoomScalePageLayoutView="125" workbookViewId="0">
      <selection activeCell="G45" sqref="G45"/>
    </sheetView>
  </sheetViews>
  <sheetFormatPr defaultColWidth="8.85546875" defaultRowHeight="15" outlineLevelRow="1"/>
  <cols>
    <col min="1" max="1" width="4" style="47" customWidth="1"/>
    <col min="2" max="2" width="49.140625" style="48" bestFit="1" customWidth="1"/>
    <col min="3" max="3" width="20.85546875" style="48" customWidth="1"/>
    <col min="4" max="15" width="15.140625" style="48" customWidth="1"/>
    <col min="16" max="38" width="17" style="48" customWidth="1"/>
    <col min="39" max="39" width="16.42578125" style="48" customWidth="1"/>
    <col min="40" max="40" width="15" style="89" customWidth="1"/>
    <col min="41" max="41" width="17.85546875" style="89" bestFit="1" customWidth="1"/>
    <col min="42" max="42" width="9.42578125" style="48" bestFit="1" customWidth="1"/>
    <col min="43" max="43" width="11.85546875" style="48" bestFit="1" customWidth="1"/>
    <col min="44" max="45" width="9.42578125" style="48" bestFit="1" customWidth="1"/>
    <col min="46" max="16384" width="8.85546875" style="48"/>
  </cols>
  <sheetData>
    <row r="1" spans="1:45" s="47" customFormat="1" ht="15.75" thickBot="1">
      <c r="AN1" s="125"/>
      <c r="AO1" s="125"/>
    </row>
    <row r="2" spans="1:45" s="89" customFormat="1" ht="15.75" thickBot="1">
      <c r="A2" s="125"/>
      <c r="B2" s="1257" t="str">
        <f>'Development Program'!G25</f>
        <v>King's Court</v>
      </c>
      <c r="C2" s="221" t="s">
        <v>330</v>
      </c>
      <c r="D2" s="117">
        <v>0</v>
      </c>
      <c r="E2" s="214">
        <f t="shared" ref="E2:O2" si="0">D2+1</f>
        <v>1</v>
      </c>
      <c r="F2" s="215">
        <f>E2+1</f>
        <v>2</v>
      </c>
      <c r="G2" s="374">
        <f t="shared" si="0"/>
        <v>3</v>
      </c>
      <c r="H2" s="129">
        <f t="shared" si="0"/>
        <v>4</v>
      </c>
      <c r="I2" s="129">
        <f t="shared" si="0"/>
        <v>5</v>
      </c>
      <c r="J2" s="129">
        <f t="shared" si="0"/>
        <v>6</v>
      </c>
      <c r="K2" s="129">
        <f t="shared" si="0"/>
        <v>7</v>
      </c>
      <c r="L2" s="129">
        <f>K2+1</f>
        <v>8</v>
      </c>
      <c r="M2" s="129">
        <f>L2+1</f>
        <v>9</v>
      </c>
      <c r="N2" s="129">
        <f t="shared" si="0"/>
        <v>10</v>
      </c>
      <c r="O2" s="246">
        <f t="shared" si="0"/>
        <v>11</v>
      </c>
      <c r="P2" s="48"/>
      <c r="Q2" s="48"/>
      <c r="R2" s="48"/>
      <c r="S2" s="48"/>
      <c r="T2" s="48"/>
      <c r="U2" s="48"/>
      <c r="V2" s="48"/>
      <c r="W2" s="48"/>
      <c r="X2" s="48"/>
      <c r="Y2" s="48"/>
      <c r="Z2" s="48"/>
      <c r="AA2" s="48"/>
      <c r="AB2" s="48"/>
      <c r="AC2" s="48"/>
      <c r="AD2" s="48"/>
      <c r="AE2" s="48"/>
      <c r="AF2" s="48"/>
      <c r="AG2" s="48"/>
      <c r="AH2" s="48"/>
      <c r="AI2" s="48"/>
      <c r="AJ2" s="48"/>
      <c r="AK2" s="48"/>
      <c r="AL2" s="48"/>
      <c r="AM2" s="48"/>
      <c r="AP2" s="48"/>
      <c r="AQ2" s="48"/>
      <c r="AR2" s="48"/>
      <c r="AS2" s="48"/>
    </row>
    <row r="3" spans="1:45" s="89" customFormat="1" ht="41.45" customHeight="1" thickBot="1">
      <c r="A3" s="125"/>
      <c r="B3" s="1203"/>
      <c r="C3" s="222" t="s">
        <v>103</v>
      </c>
      <c r="D3" s="276">
        <v>45413</v>
      </c>
      <c r="E3" s="277">
        <f>EDATE(D3,12)</f>
        <v>45778</v>
      </c>
      <c r="F3" s="278">
        <f>EDATE(E3,12)</f>
        <v>46143</v>
      </c>
      <c r="G3" s="375">
        <f>EDATE(F3,12)</f>
        <v>46508</v>
      </c>
      <c r="H3" s="211">
        <f t="shared" ref="H3:O3" si="1">EDATE(G3,12)</f>
        <v>46874</v>
      </c>
      <c r="I3" s="211">
        <f t="shared" si="1"/>
        <v>47239</v>
      </c>
      <c r="J3" s="211">
        <f t="shared" si="1"/>
        <v>47604</v>
      </c>
      <c r="K3" s="211">
        <f t="shared" si="1"/>
        <v>47969</v>
      </c>
      <c r="L3" s="211">
        <f>EDATE(J3,12)</f>
        <v>47969</v>
      </c>
      <c r="M3" s="211">
        <f>EDATE(K3,12)</f>
        <v>48335</v>
      </c>
      <c r="N3" s="211">
        <f t="shared" si="1"/>
        <v>48700</v>
      </c>
      <c r="O3" s="212">
        <f t="shared" si="1"/>
        <v>49065</v>
      </c>
      <c r="P3" s="48"/>
      <c r="Q3" s="48"/>
      <c r="R3" s="48"/>
      <c r="S3" s="48"/>
      <c r="T3" s="48"/>
      <c r="U3" s="48"/>
      <c r="V3" s="48"/>
      <c r="W3" s="48"/>
      <c r="X3" s="48"/>
      <c r="Y3" s="48"/>
      <c r="Z3" s="48"/>
      <c r="AA3" s="48"/>
      <c r="AB3" s="48"/>
      <c r="AC3" s="48"/>
      <c r="AD3" s="48"/>
      <c r="AE3" s="48"/>
      <c r="AF3" s="48"/>
      <c r="AG3" s="48"/>
      <c r="AH3" s="48"/>
      <c r="AI3" s="48"/>
      <c r="AJ3" s="48"/>
      <c r="AK3" s="48"/>
      <c r="AL3" s="48"/>
      <c r="AM3" s="48"/>
      <c r="AP3" s="48"/>
      <c r="AQ3" s="48"/>
      <c r="AR3" s="48"/>
      <c r="AS3" s="48"/>
    </row>
    <row r="4" spans="1:45" s="89" customFormat="1" ht="63.95" hidden="1" customHeight="1" thickBot="1">
      <c r="A4" s="125"/>
      <c r="B4" s="1258"/>
      <c r="C4" s="223" t="s">
        <v>45</v>
      </c>
      <c r="D4" s="200" t="e">
        <f>EOMONTH(#REF!,3)</f>
        <v>#REF!</v>
      </c>
      <c r="E4" s="201" t="e">
        <f t="shared" ref="E4:I4" si="2">EOMONTH(D4,3)</f>
        <v>#REF!</v>
      </c>
      <c r="F4" s="202" t="e">
        <f>EOMONTH(#REF!,3)</f>
        <v>#REF!</v>
      </c>
      <c r="G4" s="90" t="e">
        <f t="shared" si="2"/>
        <v>#REF!</v>
      </c>
      <c r="H4" s="91" t="e">
        <f t="shared" si="2"/>
        <v>#REF!</v>
      </c>
      <c r="I4" s="91" t="e">
        <f t="shared" si="2"/>
        <v>#REF!</v>
      </c>
      <c r="J4" s="91" t="e">
        <f>EOMONTH(#REF!,3)</f>
        <v>#REF!</v>
      </c>
      <c r="K4" s="91" t="e">
        <f t="shared" ref="K4" si="3">EOMONTH(J4,3)</f>
        <v>#REF!</v>
      </c>
      <c r="L4" s="91" t="e">
        <f>EOMONTH(J4,3)</f>
        <v>#REF!</v>
      </c>
      <c r="M4" s="91" t="e">
        <f>EOMONTH(K4,3)</f>
        <v>#REF!</v>
      </c>
      <c r="N4" s="91" t="e">
        <f t="shared" ref="N4" si="4">EOMONTH(M4,3)</f>
        <v>#REF!</v>
      </c>
      <c r="O4" s="98" t="e">
        <f>EOMONTH(I4,3)</f>
        <v>#REF!</v>
      </c>
      <c r="AP4" s="48"/>
      <c r="AQ4" s="48"/>
      <c r="AR4" s="48"/>
      <c r="AS4" s="48"/>
    </row>
    <row r="5" spans="1:45" s="89" customFormat="1">
      <c r="A5" s="125"/>
      <c r="B5" s="441" t="s">
        <v>110</v>
      </c>
      <c r="C5" s="529">
        <v>1</v>
      </c>
      <c r="D5" s="530">
        <f>D29/$C$29</f>
        <v>0.33148235057431047</v>
      </c>
      <c r="E5" s="525">
        <f>E29/$C$29</f>
        <v>0.51311824556231633</v>
      </c>
      <c r="F5" s="531">
        <f>F29/$C$29</f>
        <v>0.1553994038633732</v>
      </c>
      <c r="G5" s="532" t="s">
        <v>202</v>
      </c>
      <c r="H5" s="524" t="s">
        <v>202</v>
      </c>
      <c r="I5" s="524" t="s">
        <v>202</v>
      </c>
      <c r="J5" s="524" t="s">
        <v>202</v>
      </c>
      <c r="K5" s="524" t="s">
        <v>202</v>
      </c>
      <c r="L5" s="524" t="s">
        <v>202</v>
      </c>
      <c r="M5" s="524" t="s">
        <v>202</v>
      </c>
      <c r="N5" s="524" t="s">
        <v>202</v>
      </c>
      <c r="O5" s="527" t="s">
        <v>202</v>
      </c>
      <c r="AP5" s="48"/>
      <c r="AQ5" s="48"/>
      <c r="AR5" s="48"/>
      <c r="AS5" s="48"/>
    </row>
    <row r="6" spans="1:45" s="89" customFormat="1">
      <c r="A6" s="125"/>
      <c r="B6" s="199" t="str">
        <f>'Site 1 - Financial'!G4</f>
        <v>Residential Condominium Hard Costs for Construction</v>
      </c>
      <c r="C6" s="471">
        <f>'Site 1 - Financial'!I4</f>
        <v>74112500</v>
      </c>
      <c r="D6" s="483">
        <v>0</v>
      </c>
      <c r="E6" s="484">
        <f>0.9*C6</f>
        <v>66701250</v>
      </c>
      <c r="F6" s="518">
        <f>0.1*C6</f>
        <v>7411250</v>
      </c>
      <c r="G6" s="528" t="s">
        <v>202</v>
      </c>
      <c r="H6" s="512" t="s">
        <v>202</v>
      </c>
      <c r="I6" s="512" t="s">
        <v>202</v>
      </c>
      <c r="J6" s="512" t="s">
        <v>202</v>
      </c>
      <c r="K6" s="512" t="s">
        <v>202</v>
      </c>
      <c r="L6" s="512" t="s">
        <v>202</v>
      </c>
      <c r="M6" s="512" t="s">
        <v>202</v>
      </c>
      <c r="N6" s="512" t="s">
        <v>202</v>
      </c>
      <c r="O6" s="514" t="s">
        <v>202</v>
      </c>
      <c r="P6" s="867"/>
      <c r="AP6" s="48"/>
      <c r="AQ6" s="48"/>
      <c r="AR6" s="48"/>
      <c r="AS6" s="48"/>
    </row>
    <row r="7" spans="1:45" s="89" customFormat="1">
      <c r="A7" s="125"/>
      <c r="B7" s="258" t="str">
        <f>'Site 1 - Financial'!G5</f>
        <v>Office Shell &amp; Core Hard Costs for Construction</v>
      </c>
      <c r="C7" s="220">
        <f>'Site 1 - Financial'!I5</f>
        <v>0</v>
      </c>
      <c r="D7" s="203">
        <v>0</v>
      </c>
      <c r="E7" s="204">
        <f t="shared" ref="E7:E8" si="5">0.9*C7</f>
        <v>0</v>
      </c>
      <c r="F7" s="205">
        <f t="shared" ref="F7:F8" si="6">0.1*C7</f>
        <v>0</v>
      </c>
      <c r="G7" s="377" t="s">
        <v>202</v>
      </c>
      <c r="H7" s="253" t="s">
        <v>202</v>
      </c>
      <c r="I7" s="253" t="s">
        <v>202</v>
      </c>
      <c r="J7" s="253" t="s">
        <v>202</v>
      </c>
      <c r="K7" s="253" t="s">
        <v>202</v>
      </c>
      <c r="L7" s="253" t="s">
        <v>202</v>
      </c>
      <c r="M7" s="253" t="s">
        <v>202</v>
      </c>
      <c r="N7" s="253" t="s">
        <v>202</v>
      </c>
      <c r="O7" s="254" t="s">
        <v>202</v>
      </c>
      <c r="P7" s="867"/>
      <c r="AP7" s="48"/>
      <c r="AQ7" s="48"/>
      <c r="AR7" s="48"/>
      <c r="AS7" s="48"/>
    </row>
    <row r="8" spans="1:45" s="89" customFormat="1">
      <c r="A8" s="125"/>
      <c r="B8" s="258" t="str">
        <f>'Site 1 - Financial'!G6</f>
        <v>Retail Hard Costs for Construction</v>
      </c>
      <c r="C8" s="220">
        <f>'Site 1 - Financial'!I6</f>
        <v>27880050</v>
      </c>
      <c r="D8" s="203">
        <v>0</v>
      </c>
      <c r="E8" s="204">
        <f t="shared" si="5"/>
        <v>25092045</v>
      </c>
      <c r="F8" s="205">
        <f t="shared" si="6"/>
        <v>2788005</v>
      </c>
      <c r="G8" s="377" t="s">
        <v>202</v>
      </c>
      <c r="H8" s="253" t="s">
        <v>202</v>
      </c>
      <c r="I8" s="253" t="s">
        <v>202</v>
      </c>
      <c r="J8" s="253" t="s">
        <v>202</v>
      </c>
      <c r="K8" s="253" t="s">
        <v>202</v>
      </c>
      <c r="L8" s="253" t="s">
        <v>202</v>
      </c>
      <c r="M8" s="253" t="s">
        <v>202</v>
      </c>
      <c r="N8" s="253" t="s">
        <v>202</v>
      </c>
      <c r="O8" s="254" t="s">
        <v>202</v>
      </c>
      <c r="P8" s="867"/>
      <c r="AP8" s="48"/>
      <c r="AQ8" s="48"/>
      <c r="AR8" s="48"/>
      <c r="AS8" s="48"/>
    </row>
    <row r="9" spans="1:45" s="89" customFormat="1">
      <c r="A9" s="125"/>
      <c r="B9" s="258" t="str">
        <f>'Site 1 - Financial'!G7</f>
        <v>Parking stalls</v>
      </c>
      <c r="C9" s="220">
        <f>'Site 1 - Financial'!I7</f>
        <v>0</v>
      </c>
      <c r="D9" s="203">
        <v>0</v>
      </c>
      <c r="E9" s="204">
        <f>0.9*C9</f>
        <v>0</v>
      </c>
      <c r="F9" s="205">
        <f>0.1*C9</f>
        <v>0</v>
      </c>
      <c r="G9" s="377" t="s">
        <v>202</v>
      </c>
      <c r="H9" s="253" t="s">
        <v>202</v>
      </c>
      <c r="I9" s="253" t="s">
        <v>202</v>
      </c>
      <c r="J9" s="253" t="s">
        <v>202</v>
      </c>
      <c r="K9" s="253" t="s">
        <v>202</v>
      </c>
      <c r="L9" s="253" t="s">
        <v>202</v>
      </c>
      <c r="M9" s="253" t="s">
        <v>202</v>
      </c>
      <c r="N9" s="253" t="s">
        <v>202</v>
      </c>
      <c r="O9" s="254" t="s">
        <v>202</v>
      </c>
      <c r="P9" s="867"/>
      <c r="AP9" s="48"/>
      <c r="AQ9" s="48"/>
      <c r="AR9" s="48"/>
      <c r="AS9" s="48"/>
    </row>
    <row r="10" spans="1:45" s="89" customFormat="1">
      <c r="A10" s="125"/>
      <c r="B10" s="258" t="str">
        <f>'Site 1 - Financial'!G8</f>
        <v>Hard Cost Contingency</v>
      </c>
      <c r="C10" s="220">
        <f>'Site 1 - Financial'!I8</f>
        <v>10199255</v>
      </c>
      <c r="D10" s="203">
        <v>0</v>
      </c>
      <c r="E10" s="204">
        <v>0</v>
      </c>
      <c r="F10" s="205">
        <f>C10</f>
        <v>10199255</v>
      </c>
      <c r="G10" s="378" t="s">
        <v>202</v>
      </c>
      <c r="H10" s="256" t="s">
        <v>202</v>
      </c>
      <c r="I10" s="256" t="s">
        <v>202</v>
      </c>
      <c r="J10" s="256" t="s">
        <v>202</v>
      </c>
      <c r="K10" s="256" t="s">
        <v>202</v>
      </c>
      <c r="L10" s="256" t="s">
        <v>202</v>
      </c>
      <c r="M10" s="256" t="s">
        <v>202</v>
      </c>
      <c r="N10" s="256" t="s">
        <v>202</v>
      </c>
      <c r="O10" s="257" t="s">
        <v>202</v>
      </c>
      <c r="P10" s="867"/>
      <c r="AP10" s="48"/>
      <c r="AQ10" s="48"/>
      <c r="AR10" s="48"/>
      <c r="AS10" s="48"/>
    </row>
    <row r="11" spans="1:45" s="89" customFormat="1">
      <c r="A11" s="125"/>
      <c r="B11" s="258" t="str">
        <f>'Site 1 - Financial'!G9</f>
        <v>Demolition</v>
      </c>
      <c r="C11" s="220">
        <f>'Site 1 - Financial'!I9</f>
        <v>0</v>
      </c>
      <c r="D11" s="203">
        <v>0</v>
      </c>
      <c r="E11" s="204">
        <v>0</v>
      </c>
      <c r="F11" s="205">
        <v>0</v>
      </c>
      <c r="G11" s="378" t="s">
        <v>202</v>
      </c>
      <c r="H11" s="256" t="s">
        <v>202</v>
      </c>
      <c r="I11" s="256" t="s">
        <v>202</v>
      </c>
      <c r="J11" s="256" t="s">
        <v>202</v>
      </c>
      <c r="K11" s="256" t="s">
        <v>202</v>
      </c>
      <c r="L11" s="256" t="s">
        <v>202</v>
      </c>
      <c r="M11" s="256" t="s">
        <v>202</v>
      </c>
      <c r="N11" s="256" t="s">
        <v>202</v>
      </c>
      <c r="O11" s="257" t="s">
        <v>202</v>
      </c>
      <c r="P11" s="867"/>
      <c r="AP11" s="48"/>
      <c r="AQ11" s="48"/>
      <c r="AR11" s="48"/>
      <c r="AS11" s="48"/>
    </row>
    <row r="12" spans="1:45" s="89" customFormat="1" ht="18.95" customHeight="1">
      <c r="A12" s="125"/>
      <c r="B12" s="258" t="str">
        <f>'Site 1 - Financial'!G10</f>
        <v>Land</v>
      </c>
      <c r="C12" s="220">
        <f>'Site 1 - Financial'!I10</f>
        <v>58995867.76859504</v>
      </c>
      <c r="D12" s="203">
        <f>C12</f>
        <v>58995867.76859504</v>
      </c>
      <c r="E12" s="204">
        <v>0</v>
      </c>
      <c r="F12" s="205">
        <v>0</v>
      </c>
      <c r="G12" s="378" t="s">
        <v>202</v>
      </c>
      <c r="H12" s="256" t="s">
        <v>202</v>
      </c>
      <c r="I12" s="256" t="s">
        <v>202</v>
      </c>
      <c r="J12" s="256" t="s">
        <v>202</v>
      </c>
      <c r="K12" s="256" t="s">
        <v>202</v>
      </c>
      <c r="L12" s="256" t="s">
        <v>202</v>
      </c>
      <c r="M12" s="256" t="s">
        <v>202</v>
      </c>
      <c r="N12" s="253" t="s">
        <v>202</v>
      </c>
      <c r="O12" s="257" t="s">
        <v>202</v>
      </c>
      <c r="P12" s="867"/>
      <c r="AP12" s="48"/>
      <c r="AQ12" s="48"/>
      <c r="AR12" s="48"/>
      <c r="AS12" s="48"/>
    </row>
    <row r="13" spans="1:45" s="89" customFormat="1">
      <c r="A13" s="125"/>
      <c r="B13" s="258" t="str">
        <f>'Site 1 - Financial'!G11</f>
        <v>Municipal Fees and Allowances</v>
      </c>
      <c r="C13" s="220">
        <f>'Site 1 - Financial'!I11</f>
        <v>450000</v>
      </c>
      <c r="D13" s="203">
        <f>C13</f>
        <v>450000</v>
      </c>
      <c r="E13" s="204">
        <v>0</v>
      </c>
      <c r="F13" s="205">
        <v>0</v>
      </c>
      <c r="G13" s="378" t="s">
        <v>202</v>
      </c>
      <c r="H13" s="256" t="s">
        <v>202</v>
      </c>
      <c r="I13" s="256" t="s">
        <v>202</v>
      </c>
      <c r="J13" s="256" t="s">
        <v>202</v>
      </c>
      <c r="K13" s="256" t="s">
        <v>202</v>
      </c>
      <c r="L13" s="256" t="s">
        <v>202</v>
      </c>
      <c r="M13" s="256" t="s">
        <v>202</v>
      </c>
      <c r="N13" s="256" t="s">
        <v>202</v>
      </c>
      <c r="O13" s="257" t="s">
        <v>202</v>
      </c>
      <c r="P13" s="867"/>
      <c r="AP13" s="48"/>
      <c r="AQ13" s="48"/>
      <c r="AR13" s="48"/>
      <c r="AS13" s="48"/>
    </row>
    <row r="14" spans="1:45" s="89" customFormat="1">
      <c r="A14" s="125"/>
      <c r="B14" s="258" t="str">
        <f>'Site 1 - Financial'!G12</f>
        <v>Infrastructure Allocation</v>
      </c>
      <c r="C14" s="220">
        <f>'Site 1 - Financial'!I12</f>
        <v>7499999.9999999981</v>
      </c>
      <c r="D14" s="203">
        <f>0.25*C14</f>
        <v>1874999.9999999995</v>
      </c>
      <c r="E14" s="204">
        <f>0.5*C14</f>
        <v>3749999.9999999991</v>
      </c>
      <c r="F14" s="205">
        <f>0.25*C14</f>
        <v>1874999.9999999995</v>
      </c>
      <c r="G14" s="377" t="s">
        <v>202</v>
      </c>
      <c r="H14" s="253" t="s">
        <v>202</v>
      </c>
      <c r="I14" s="253" t="s">
        <v>202</v>
      </c>
      <c r="J14" s="253" t="s">
        <v>202</v>
      </c>
      <c r="K14" s="253" t="s">
        <v>202</v>
      </c>
      <c r="L14" s="253" t="s">
        <v>202</v>
      </c>
      <c r="M14" s="253" t="s">
        <v>202</v>
      </c>
      <c r="N14" s="253" t="s">
        <v>202</v>
      </c>
      <c r="O14" s="254" t="s">
        <v>202</v>
      </c>
      <c r="P14" s="867"/>
      <c r="AP14" s="48"/>
      <c r="AQ14" s="48"/>
      <c r="AR14" s="48"/>
      <c r="AS14" s="48"/>
    </row>
    <row r="15" spans="1:45" s="89" customFormat="1">
      <c r="A15" s="125"/>
      <c r="B15" s="258" t="str">
        <f>'Site 1 - Financial'!G13</f>
        <v>Legal</v>
      </c>
      <c r="C15" s="220">
        <f>'Site 1 - Financial'!I13</f>
        <v>400000</v>
      </c>
      <c r="D15" s="203">
        <f>1/2*C15</f>
        <v>200000</v>
      </c>
      <c r="E15" s="204">
        <v>0</v>
      </c>
      <c r="F15" s="205">
        <f>1/2*C15</f>
        <v>200000</v>
      </c>
      <c r="G15" s="377" t="s">
        <v>202</v>
      </c>
      <c r="H15" s="253" t="s">
        <v>202</v>
      </c>
      <c r="I15" s="253" t="s">
        <v>202</v>
      </c>
      <c r="J15" s="253" t="s">
        <v>202</v>
      </c>
      <c r="K15" s="253" t="s">
        <v>202</v>
      </c>
      <c r="L15" s="253" t="s">
        <v>202</v>
      </c>
      <c r="M15" s="253" t="s">
        <v>202</v>
      </c>
      <c r="N15" s="253" t="s">
        <v>202</v>
      </c>
      <c r="O15" s="254" t="s">
        <v>202</v>
      </c>
      <c r="P15" s="867"/>
      <c r="AP15" s="48"/>
      <c r="AQ15" s="48"/>
      <c r="AR15" s="48"/>
      <c r="AS15" s="48"/>
    </row>
    <row r="16" spans="1:45" s="89" customFormat="1">
      <c r="A16" s="125"/>
      <c r="B16" s="258" t="str">
        <f>'Site 1 - Financial'!G14</f>
        <v>Land Closing Costs/Commissions</v>
      </c>
      <c r="C16" s="220">
        <f>'Site 1 - Financial'!I14</f>
        <v>1179917.3553719008</v>
      </c>
      <c r="D16" s="203">
        <f>C16</f>
        <v>1179917.3553719008</v>
      </c>
      <c r="E16" s="204">
        <v>0</v>
      </c>
      <c r="F16" s="205">
        <v>0</v>
      </c>
      <c r="G16" s="378" t="s">
        <v>202</v>
      </c>
      <c r="H16" s="256" t="s">
        <v>202</v>
      </c>
      <c r="I16" s="256" t="s">
        <v>202</v>
      </c>
      <c r="J16" s="256" t="s">
        <v>202</v>
      </c>
      <c r="K16" s="256" t="s">
        <v>202</v>
      </c>
      <c r="L16" s="256" t="s">
        <v>202</v>
      </c>
      <c r="M16" s="256" t="s">
        <v>202</v>
      </c>
      <c r="N16" s="256" t="s">
        <v>202</v>
      </c>
      <c r="O16" s="257" t="s">
        <v>202</v>
      </c>
      <c r="P16" s="867"/>
      <c r="AP16" s="48"/>
      <c r="AQ16" s="48"/>
      <c r="AR16" s="48"/>
      <c r="AS16" s="48"/>
    </row>
    <row r="17" spans="1:45" s="89" customFormat="1">
      <c r="A17" s="125"/>
      <c r="B17" s="258" t="str">
        <f>'Site 1 - Financial'!G15</f>
        <v xml:space="preserve">Design </v>
      </c>
      <c r="C17" s="220">
        <f>'Site 1 - Financial'!I15</f>
        <v>4079702</v>
      </c>
      <c r="D17" s="203">
        <f>0.9*C17</f>
        <v>3671731.8000000003</v>
      </c>
      <c r="E17" s="204">
        <f>0.1*C17</f>
        <v>407970.2</v>
      </c>
      <c r="F17" s="205">
        <v>0</v>
      </c>
      <c r="G17" s="378" t="s">
        <v>202</v>
      </c>
      <c r="H17" s="256" t="s">
        <v>202</v>
      </c>
      <c r="I17" s="256" t="s">
        <v>202</v>
      </c>
      <c r="J17" s="256" t="s">
        <v>202</v>
      </c>
      <c r="K17" s="256" t="s">
        <v>202</v>
      </c>
      <c r="L17" s="256" t="s">
        <v>202</v>
      </c>
      <c r="M17" s="256" t="s">
        <v>202</v>
      </c>
      <c r="N17" s="256" t="s">
        <v>202</v>
      </c>
      <c r="O17" s="257" t="s">
        <v>202</v>
      </c>
      <c r="P17" s="867"/>
      <c r="AP17" s="48"/>
      <c r="AQ17" s="48"/>
      <c r="AR17" s="48"/>
      <c r="AS17" s="48"/>
    </row>
    <row r="18" spans="1:45" s="89" customFormat="1" ht="18.95" customHeight="1">
      <c r="A18" s="125"/>
      <c r="B18" s="258" t="str">
        <f>'Site 1 - Financial'!G16</f>
        <v>Developer Fee</v>
      </c>
      <c r="C18" s="220">
        <f>'Site 1 - Financial'!I16</f>
        <v>5543918.7637190074</v>
      </c>
      <c r="D18" s="203">
        <f>1/3*C18</f>
        <v>1847972.921239669</v>
      </c>
      <c r="E18" s="204">
        <f>1/3*C18</f>
        <v>1847972.921239669</v>
      </c>
      <c r="F18" s="205">
        <f>1/3*C18</f>
        <v>1847972.921239669</v>
      </c>
      <c r="G18" s="378" t="s">
        <v>202</v>
      </c>
      <c r="H18" s="256" t="s">
        <v>202</v>
      </c>
      <c r="I18" s="256" t="s">
        <v>202</v>
      </c>
      <c r="J18" s="256" t="s">
        <v>202</v>
      </c>
      <c r="K18" s="256" t="s">
        <v>202</v>
      </c>
      <c r="L18" s="256" t="s">
        <v>202</v>
      </c>
      <c r="M18" s="256" t="s">
        <v>202</v>
      </c>
      <c r="N18" s="253" t="s">
        <v>202</v>
      </c>
      <c r="O18" s="257" t="s">
        <v>202</v>
      </c>
      <c r="P18" s="867"/>
      <c r="AP18" s="48"/>
      <c r="AQ18" s="48"/>
      <c r="AR18" s="48"/>
      <c r="AS18" s="48"/>
    </row>
    <row r="19" spans="1:45" s="89" customFormat="1">
      <c r="A19" s="125"/>
      <c r="B19" s="258" t="str">
        <f>'Site 1 - Financial'!G17</f>
        <v>Construction Management Fee</v>
      </c>
      <c r="C19" s="220">
        <f>'Site 1 - Financial'!I17</f>
        <v>2039851</v>
      </c>
      <c r="D19" s="203">
        <f>1/3*C19</f>
        <v>679950.33333333326</v>
      </c>
      <c r="E19" s="204">
        <f>1/3*C19</f>
        <v>679950.33333333326</v>
      </c>
      <c r="F19" s="205">
        <f>1/3*C19</f>
        <v>679950.33333333326</v>
      </c>
      <c r="G19" s="378" t="s">
        <v>202</v>
      </c>
      <c r="H19" s="256" t="s">
        <v>202</v>
      </c>
      <c r="I19" s="256" t="s">
        <v>202</v>
      </c>
      <c r="J19" s="256" t="s">
        <v>202</v>
      </c>
      <c r="K19" s="256" t="s">
        <v>202</v>
      </c>
      <c r="L19" s="256" t="s">
        <v>202</v>
      </c>
      <c r="M19" s="256" t="s">
        <v>202</v>
      </c>
      <c r="N19" s="256" t="s">
        <v>202</v>
      </c>
      <c r="O19" s="257" t="s">
        <v>202</v>
      </c>
      <c r="P19" s="867"/>
      <c r="AP19" s="48"/>
      <c r="AQ19" s="48"/>
      <c r="AR19" s="48"/>
      <c r="AS19" s="48"/>
    </row>
    <row r="20" spans="1:45" s="89" customFormat="1">
      <c r="A20" s="125"/>
      <c r="B20" s="258" t="str">
        <f>'Site 1 - Financial'!G18</f>
        <v>Taxes</v>
      </c>
      <c r="C20" s="220">
        <f>'Site 1 - Financial'!I18</f>
        <v>520898.11487603298</v>
      </c>
      <c r="D20" s="203">
        <f>1/3*C20</f>
        <v>173632.70495867764</v>
      </c>
      <c r="E20" s="204">
        <f>D20</f>
        <v>173632.70495867764</v>
      </c>
      <c r="F20" s="205">
        <f>E20</f>
        <v>173632.70495867764</v>
      </c>
      <c r="G20" s="377" t="s">
        <v>202</v>
      </c>
      <c r="H20" s="253" t="s">
        <v>202</v>
      </c>
      <c r="I20" s="253" t="s">
        <v>202</v>
      </c>
      <c r="J20" s="253" t="s">
        <v>202</v>
      </c>
      <c r="K20" s="253" t="s">
        <v>202</v>
      </c>
      <c r="L20" s="253" t="s">
        <v>202</v>
      </c>
      <c r="M20" s="253" t="s">
        <v>202</v>
      </c>
      <c r="N20" s="253" t="s">
        <v>202</v>
      </c>
      <c r="O20" s="254" t="s">
        <v>202</v>
      </c>
      <c r="P20" s="867"/>
      <c r="AP20" s="48"/>
      <c r="AQ20" s="48"/>
      <c r="AR20" s="48"/>
      <c r="AS20" s="48"/>
    </row>
    <row r="21" spans="1:45" s="89" customFormat="1">
      <c r="A21" s="125"/>
      <c r="B21" s="258" t="str">
        <f>'Site 1 - Financial'!G19</f>
        <v>Insurance</v>
      </c>
      <c r="C21" s="220">
        <f>'Site 1 - Financial'!I19</f>
        <v>1272000</v>
      </c>
      <c r="D21" s="203">
        <f>1/3*C21</f>
        <v>424000</v>
      </c>
      <c r="E21" s="204">
        <f>1/3*C21</f>
        <v>424000</v>
      </c>
      <c r="F21" s="205">
        <f>1/3*C21</f>
        <v>424000</v>
      </c>
      <c r="G21" s="377" t="s">
        <v>202</v>
      </c>
      <c r="H21" s="253" t="s">
        <v>202</v>
      </c>
      <c r="I21" s="253" t="s">
        <v>202</v>
      </c>
      <c r="J21" s="253" t="s">
        <v>202</v>
      </c>
      <c r="K21" s="253" t="s">
        <v>202</v>
      </c>
      <c r="L21" s="253" t="s">
        <v>202</v>
      </c>
      <c r="M21" s="253" t="s">
        <v>202</v>
      </c>
      <c r="N21" s="253" t="s">
        <v>202</v>
      </c>
      <c r="O21" s="254" t="s">
        <v>202</v>
      </c>
      <c r="P21" s="867"/>
      <c r="AP21" s="48"/>
      <c r="AQ21" s="48"/>
      <c r="AR21" s="48"/>
      <c r="AS21" s="48"/>
    </row>
    <row r="22" spans="1:45" s="89" customFormat="1">
      <c r="A22" s="125"/>
      <c r="B22" s="258" t="str">
        <f>'Site 1 - Financial'!G20</f>
        <v>Marketing, FFE and Preleasing</v>
      </c>
      <c r="C22" s="220">
        <f>'Site 1 - Financial'!I20</f>
        <v>400000</v>
      </c>
      <c r="D22" s="203">
        <v>0</v>
      </c>
      <c r="E22" s="204">
        <f>0.75*C22</f>
        <v>300000</v>
      </c>
      <c r="F22" s="205">
        <f>0.25*C22</f>
        <v>100000</v>
      </c>
      <c r="G22" s="377" t="s">
        <v>202</v>
      </c>
      <c r="H22" s="253" t="s">
        <v>202</v>
      </c>
      <c r="I22" s="253" t="s">
        <v>202</v>
      </c>
      <c r="J22" s="253" t="s">
        <v>202</v>
      </c>
      <c r="K22" s="253" t="s">
        <v>202</v>
      </c>
      <c r="L22" s="253" t="s">
        <v>202</v>
      </c>
      <c r="M22" s="253" t="s">
        <v>202</v>
      </c>
      <c r="N22" s="253" t="s">
        <v>202</v>
      </c>
      <c r="O22" s="254" t="s">
        <v>202</v>
      </c>
      <c r="P22" s="867"/>
      <c r="AP22" s="48"/>
      <c r="AQ22" s="48"/>
      <c r="AR22" s="48"/>
      <c r="AS22" s="48"/>
    </row>
    <row r="23" spans="1:45" s="89" customFormat="1">
      <c r="A23" s="125"/>
      <c r="B23" s="258" t="str">
        <f>'Site 1 - Financial'!G21</f>
        <v>Operating Deficit</v>
      </c>
      <c r="C23" s="220">
        <f>'Site 1 - Financial'!I21</f>
        <v>1318206.8900000001</v>
      </c>
      <c r="D23" s="203">
        <f>-(D46+D55+D37)</f>
        <v>0</v>
      </c>
      <c r="E23" s="204">
        <f>-(E46+E55+E37)</f>
        <v>649363</v>
      </c>
      <c r="F23" s="205">
        <f>-(F46+F55+F37)</f>
        <v>668843.89</v>
      </c>
      <c r="G23" s="377" t="s">
        <v>202</v>
      </c>
      <c r="H23" s="253" t="s">
        <v>202</v>
      </c>
      <c r="I23" s="253" t="s">
        <v>202</v>
      </c>
      <c r="J23" s="253" t="s">
        <v>202</v>
      </c>
      <c r="K23" s="253" t="s">
        <v>202</v>
      </c>
      <c r="L23" s="253" t="s">
        <v>202</v>
      </c>
      <c r="M23" s="253" t="s">
        <v>202</v>
      </c>
      <c r="N23" s="253" t="s">
        <v>202</v>
      </c>
      <c r="O23" s="254" t="s">
        <v>202</v>
      </c>
      <c r="P23" s="867"/>
      <c r="AP23" s="48"/>
      <c r="AQ23" s="48"/>
      <c r="AR23" s="48"/>
      <c r="AS23" s="48"/>
    </row>
    <row r="24" spans="1:45" s="89" customFormat="1">
      <c r="A24" s="125"/>
      <c r="B24" s="258" t="str">
        <f>'Site 1 - Financial'!G22</f>
        <v>Commercial Interior Fitout Cost</v>
      </c>
      <c r="C24" s="220">
        <f>'Site 1 - Financial'!I22</f>
        <v>15207300</v>
      </c>
      <c r="D24" s="203">
        <v>0</v>
      </c>
      <c r="E24" s="204">
        <f>0.75*C24</f>
        <v>11405475</v>
      </c>
      <c r="F24" s="205">
        <f>0.25*C24</f>
        <v>3801825</v>
      </c>
      <c r="G24" s="377" t="s">
        <v>202</v>
      </c>
      <c r="H24" s="253" t="s">
        <v>202</v>
      </c>
      <c r="I24" s="253" t="s">
        <v>202</v>
      </c>
      <c r="J24" s="253" t="s">
        <v>202</v>
      </c>
      <c r="K24" s="253" t="s">
        <v>202</v>
      </c>
      <c r="L24" s="253" t="s">
        <v>202</v>
      </c>
      <c r="M24" s="253" t="s">
        <v>202</v>
      </c>
      <c r="N24" s="253" t="s">
        <v>202</v>
      </c>
      <c r="O24" s="254" t="s">
        <v>202</v>
      </c>
      <c r="P24" s="867"/>
      <c r="AP24" s="48"/>
      <c r="AQ24" s="48"/>
      <c r="AR24" s="48"/>
      <c r="AS24" s="48"/>
    </row>
    <row r="25" spans="1:45" s="89" customFormat="1">
      <c r="A25" s="125"/>
      <c r="B25" s="258" t="str">
        <f>'Site 1 - Financial'!G23</f>
        <v>Commercial Brokerage Commission</v>
      </c>
      <c r="C25" s="220">
        <f>'Site 1 - Financial'!I23</f>
        <v>1064511</v>
      </c>
      <c r="D25" s="203">
        <v>0</v>
      </c>
      <c r="E25" s="204">
        <v>0</v>
      </c>
      <c r="F25" s="205">
        <f>C25</f>
        <v>1064511</v>
      </c>
      <c r="G25" s="377" t="s">
        <v>202</v>
      </c>
      <c r="H25" s="253" t="s">
        <v>202</v>
      </c>
      <c r="I25" s="253" t="s">
        <v>202</v>
      </c>
      <c r="J25" s="253" t="s">
        <v>202</v>
      </c>
      <c r="K25" s="253" t="s">
        <v>202</v>
      </c>
      <c r="L25" s="253" t="s">
        <v>202</v>
      </c>
      <c r="M25" s="253" t="s">
        <v>202</v>
      </c>
      <c r="N25" s="253" t="s">
        <v>202</v>
      </c>
      <c r="O25" s="254" t="s">
        <v>202</v>
      </c>
      <c r="P25" s="867"/>
      <c r="AP25" s="48"/>
      <c r="AQ25" s="48"/>
      <c r="AR25" s="48"/>
      <c r="AS25" s="48"/>
    </row>
    <row r="26" spans="1:45" s="89" customFormat="1">
      <c r="A26" s="125"/>
      <c r="B26" s="258" t="str">
        <f>'Site 1 - Financial'!G24</f>
        <v>Construction Loan Origination</v>
      </c>
      <c r="C26" s="220">
        <f>'Site 1 - Financial'!I24</f>
        <v>2000000</v>
      </c>
      <c r="D26" s="203">
        <f>C26</f>
        <v>2000000</v>
      </c>
      <c r="E26" s="204">
        <v>0</v>
      </c>
      <c r="F26" s="205">
        <v>0</v>
      </c>
      <c r="G26" s="377" t="s">
        <v>202</v>
      </c>
      <c r="H26" s="253" t="s">
        <v>202</v>
      </c>
      <c r="I26" s="253" t="s">
        <v>202</v>
      </c>
      <c r="J26" s="253" t="s">
        <v>202</v>
      </c>
      <c r="K26" s="253" t="s">
        <v>202</v>
      </c>
      <c r="L26" s="253" t="s">
        <v>202</v>
      </c>
      <c r="M26" s="253" t="s">
        <v>202</v>
      </c>
      <c r="N26" s="253" t="s">
        <v>202</v>
      </c>
      <c r="O26" s="254" t="s">
        <v>202</v>
      </c>
      <c r="P26" s="867"/>
      <c r="AP26" s="48"/>
      <c r="AQ26" s="48"/>
      <c r="AR26" s="48"/>
      <c r="AS26" s="48"/>
    </row>
    <row r="27" spans="1:45" s="89" customFormat="1">
      <c r="A27" s="125"/>
      <c r="B27" s="258" t="str">
        <f>'Site 1 - Financial'!G25</f>
        <v>Construction Interest</v>
      </c>
      <c r="C27" s="220">
        <f>'Site 1 - Financial'!I25</f>
        <v>10500000</v>
      </c>
      <c r="D27" s="203">
        <f>1/3*C27</f>
        <v>3500000</v>
      </c>
      <c r="E27" s="204">
        <f>1/3*C27</f>
        <v>3500000</v>
      </c>
      <c r="F27" s="205">
        <f>1/3*C27</f>
        <v>3500000</v>
      </c>
      <c r="G27" s="377" t="s">
        <v>202</v>
      </c>
      <c r="H27" s="253" t="s">
        <v>202</v>
      </c>
      <c r="I27" s="253" t="s">
        <v>202</v>
      </c>
      <c r="J27" s="253" t="s">
        <v>202</v>
      </c>
      <c r="K27" s="253" t="s">
        <v>202</v>
      </c>
      <c r="L27" s="253" t="s">
        <v>202</v>
      </c>
      <c r="M27" s="253" t="s">
        <v>202</v>
      </c>
      <c r="N27" s="253" t="s">
        <v>202</v>
      </c>
      <c r="O27" s="254" t="s">
        <v>202</v>
      </c>
      <c r="P27" s="867"/>
      <c r="AP27" s="48"/>
      <c r="AQ27" s="48"/>
      <c r="AR27" s="48"/>
      <c r="AS27" s="48"/>
    </row>
    <row r="28" spans="1:45" s="89" customFormat="1" ht="15.75" thickBot="1">
      <c r="A28" s="125"/>
      <c r="B28" s="258" t="str">
        <f>'Site 1 - Financial'!G26</f>
        <v>Additional Contingency</v>
      </c>
      <c r="C28" s="220">
        <f>'Site 1 - Financial'!I26</f>
        <v>4000000</v>
      </c>
      <c r="D28" s="203">
        <f>1/5*C28</f>
        <v>800000</v>
      </c>
      <c r="E28" s="204">
        <f>3/5*C28</f>
        <v>2400000</v>
      </c>
      <c r="F28" s="205">
        <f>1/5*C28</f>
        <v>800000</v>
      </c>
      <c r="G28" s="377" t="s">
        <v>202</v>
      </c>
      <c r="H28" s="253" t="s">
        <v>202</v>
      </c>
      <c r="I28" s="253" t="s">
        <v>202</v>
      </c>
      <c r="J28" s="253" t="s">
        <v>202</v>
      </c>
      <c r="K28" s="253" t="s">
        <v>202</v>
      </c>
      <c r="L28" s="253" t="s">
        <v>202</v>
      </c>
      <c r="M28" s="253" t="s">
        <v>202</v>
      </c>
      <c r="N28" s="253" t="s">
        <v>202</v>
      </c>
      <c r="O28" s="254" t="s">
        <v>202</v>
      </c>
      <c r="P28" s="867"/>
      <c r="AP28" s="48"/>
      <c r="AQ28" s="48"/>
      <c r="AR28" s="48"/>
      <c r="AS28" s="48"/>
    </row>
    <row r="29" spans="1:45" s="89" customFormat="1" ht="15.75" thickBot="1">
      <c r="A29" s="125"/>
      <c r="B29" s="92" t="s">
        <v>38</v>
      </c>
      <c r="C29" s="240">
        <f t="shared" ref="C29:O29" si="7">SUM(C6:C28)</f>
        <v>228663977.89256197</v>
      </c>
      <c r="D29" s="241">
        <f t="shared" si="7"/>
        <v>75798072.883498609</v>
      </c>
      <c r="E29" s="242">
        <f t="shared" si="7"/>
        <v>117331659.15953168</v>
      </c>
      <c r="F29" s="362">
        <f t="shared" si="7"/>
        <v>35534245.84953168</v>
      </c>
      <c r="G29" s="241">
        <f t="shared" si="7"/>
        <v>0</v>
      </c>
      <c r="H29" s="242">
        <f t="shared" si="7"/>
        <v>0</v>
      </c>
      <c r="I29" s="242">
        <f t="shared" si="7"/>
        <v>0</v>
      </c>
      <c r="J29" s="242">
        <f t="shared" si="7"/>
        <v>0</v>
      </c>
      <c r="K29" s="242">
        <f t="shared" si="7"/>
        <v>0</v>
      </c>
      <c r="L29" s="242">
        <f t="shared" si="7"/>
        <v>0</v>
      </c>
      <c r="M29" s="242">
        <f t="shared" si="7"/>
        <v>0</v>
      </c>
      <c r="N29" s="242">
        <f t="shared" si="7"/>
        <v>0</v>
      </c>
      <c r="O29" s="243">
        <f t="shared" si="7"/>
        <v>0</v>
      </c>
      <c r="AP29" s="48"/>
      <c r="AQ29" s="48"/>
      <c r="AR29" s="48"/>
      <c r="AS29" s="48"/>
    </row>
    <row r="30" spans="1:45" s="125" customFormat="1">
      <c r="B30" s="185" t="s">
        <v>583</v>
      </c>
      <c r="C30" s="216"/>
      <c r="D30" s="236"/>
      <c r="E30" s="227"/>
      <c r="F30" s="363"/>
      <c r="G30" s="236"/>
      <c r="H30" s="227"/>
      <c r="I30" s="227"/>
      <c r="J30" s="227"/>
      <c r="K30" s="227"/>
      <c r="L30" s="227"/>
      <c r="M30" s="363"/>
      <c r="N30" s="236"/>
      <c r="O30" s="466"/>
      <c r="AO30" s="47"/>
      <c r="AP30" s="47"/>
      <c r="AQ30" s="47"/>
      <c r="AR30" s="47"/>
    </row>
    <row r="31" spans="1:45" s="125" customFormat="1">
      <c r="B31" s="186" t="s">
        <v>91</v>
      </c>
      <c r="C31" s="217" t="s">
        <v>202</v>
      </c>
      <c r="D31" s="237">
        <v>0</v>
      </c>
      <c r="E31" s="229">
        <v>0</v>
      </c>
      <c r="F31" s="364">
        <v>0</v>
      </c>
      <c r="G31" s="237">
        <f>'Site 1 - Financial'!F15</f>
        <v>4668840</v>
      </c>
      <c r="H31" s="229">
        <f>G31*(1+Assumptions!$F$8)</f>
        <v>4808905.2</v>
      </c>
      <c r="I31" s="229" t="s">
        <v>202</v>
      </c>
      <c r="J31" s="229" t="s">
        <v>202</v>
      </c>
      <c r="K31" s="744" t="s">
        <v>202</v>
      </c>
      <c r="L31" s="229" t="s">
        <v>202</v>
      </c>
      <c r="M31" s="364" t="s">
        <v>202</v>
      </c>
      <c r="N31" s="237" t="s">
        <v>202</v>
      </c>
      <c r="O31" s="230" t="s">
        <v>202</v>
      </c>
      <c r="AO31" s="47"/>
      <c r="AP31" s="47"/>
      <c r="AQ31" s="47"/>
      <c r="AR31" s="47"/>
    </row>
    <row r="32" spans="1:45" s="125" customFormat="1">
      <c r="B32" s="186" t="s">
        <v>521</v>
      </c>
      <c r="C32" s="217" t="s">
        <v>202</v>
      </c>
      <c r="D32" s="237">
        <v>0</v>
      </c>
      <c r="E32" s="229">
        <v>0</v>
      </c>
      <c r="F32" s="364">
        <v>0</v>
      </c>
      <c r="G32" s="237">
        <v>0</v>
      </c>
      <c r="H32" s="229">
        <v>0</v>
      </c>
      <c r="I32" s="229" t="s">
        <v>202</v>
      </c>
      <c r="J32" s="229" t="s">
        <v>202</v>
      </c>
      <c r="K32" s="229" t="s">
        <v>202</v>
      </c>
      <c r="L32" s="229" t="s">
        <v>202</v>
      </c>
      <c r="M32" s="364" t="s">
        <v>202</v>
      </c>
      <c r="N32" s="237" t="s">
        <v>202</v>
      </c>
      <c r="O32" s="230" t="s">
        <v>202</v>
      </c>
      <c r="AO32" s="47"/>
      <c r="AP32" s="47"/>
      <c r="AQ32" s="47"/>
      <c r="AR32" s="47"/>
    </row>
    <row r="33" spans="2:45" s="125" customFormat="1">
      <c r="B33" s="197" t="s">
        <v>309</v>
      </c>
      <c r="C33" s="217" t="s">
        <v>202</v>
      </c>
      <c r="D33" s="237">
        <v>0</v>
      </c>
      <c r="E33" s="229">
        <v>0</v>
      </c>
      <c r="F33" s="364">
        <v>0</v>
      </c>
      <c r="G33" s="237">
        <f>(Assumptions!D35+Assumptions!D37)*'Site 1 - Financial'!D15*(1+Assumptions!F8)^G2</f>
        <v>957092.26112499996</v>
      </c>
      <c r="H33" s="229">
        <f>G33*(1+Assumptions!$F$8)</f>
        <v>985805.02895874996</v>
      </c>
      <c r="I33" s="229" t="s">
        <v>202</v>
      </c>
      <c r="J33" s="229" t="s">
        <v>202</v>
      </c>
      <c r="K33" s="229" t="s">
        <v>202</v>
      </c>
      <c r="L33" s="229" t="s">
        <v>202</v>
      </c>
      <c r="M33" s="364" t="s">
        <v>202</v>
      </c>
      <c r="N33" s="237" t="s">
        <v>202</v>
      </c>
      <c r="O33" s="230" t="s">
        <v>202</v>
      </c>
      <c r="AO33" s="47"/>
      <c r="AP33" s="47"/>
      <c r="AQ33" s="47"/>
      <c r="AR33" s="47"/>
    </row>
    <row r="34" spans="2:45" s="125" customFormat="1">
      <c r="B34" s="225" t="s">
        <v>93</v>
      </c>
      <c r="C34" s="226" t="s">
        <v>202</v>
      </c>
      <c r="D34" s="109">
        <f>SUM(D31:D33)</f>
        <v>0</v>
      </c>
      <c r="E34" s="101">
        <f t="shared" ref="E34:G34" si="8">SUM(E31:E33)</f>
        <v>0</v>
      </c>
      <c r="F34" s="365">
        <f t="shared" si="8"/>
        <v>0</v>
      </c>
      <c r="G34" s="109">
        <f t="shared" si="8"/>
        <v>5625932.2611250002</v>
      </c>
      <c r="H34" s="101">
        <f>SUM(H31:H33)</f>
        <v>5794710.2289587501</v>
      </c>
      <c r="I34" s="101" t="s">
        <v>202</v>
      </c>
      <c r="J34" s="101" t="s">
        <v>202</v>
      </c>
      <c r="K34" s="101" t="s">
        <v>202</v>
      </c>
      <c r="L34" s="101" t="s">
        <v>202</v>
      </c>
      <c r="M34" s="365" t="s">
        <v>202</v>
      </c>
      <c r="N34" s="109" t="s">
        <v>202</v>
      </c>
      <c r="O34" s="467" t="s">
        <v>202</v>
      </c>
      <c r="AO34" s="47"/>
      <c r="AP34" s="47"/>
      <c r="AQ34" s="47"/>
      <c r="AR34" s="47"/>
    </row>
    <row r="35" spans="2:45" s="125" customFormat="1">
      <c r="B35" s="197" t="s">
        <v>525</v>
      </c>
      <c r="C35" s="217" t="s">
        <v>202</v>
      </c>
      <c r="D35" s="237">
        <v>0</v>
      </c>
      <c r="E35" s="229">
        <f>-(Assumptions!$D$26+Assumptions!$D$27)*'Site 1 - Financial'!$D$15</f>
        <v>-370562.5</v>
      </c>
      <c r="F35" s="364">
        <f>E35*(1+Assumptions!$F$8)</f>
        <v>-381679.375</v>
      </c>
      <c r="G35" s="237">
        <f>-(Assumptions!$D$38)*('Site 1 - Financial'!$D$15)*(1+Assumptions!F8)^$G$2</f>
        <v>-1472449.6325000001</v>
      </c>
      <c r="H35" s="229">
        <f>G35*(1+Assumptions!$F$8)</f>
        <v>-1516623.1214750002</v>
      </c>
      <c r="I35" s="229" t="s">
        <v>202</v>
      </c>
      <c r="J35" s="229" t="s">
        <v>202</v>
      </c>
      <c r="K35" s="229" t="s">
        <v>202</v>
      </c>
      <c r="L35" s="229" t="s">
        <v>202</v>
      </c>
      <c r="M35" s="364" t="s">
        <v>202</v>
      </c>
      <c r="N35" s="237" t="s">
        <v>202</v>
      </c>
      <c r="O35" s="315" t="s">
        <v>202</v>
      </c>
      <c r="AO35" s="47"/>
      <c r="AP35" s="47"/>
      <c r="AQ35" s="47"/>
      <c r="AR35" s="47"/>
    </row>
    <row r="36" spans="2:45" s="125" customFormat="1">
      <c r="B36" s="197" t="s">
        <v>316</v>
      </c>
      <c r="C36" s="217" t="s">
        <v>202</v>
      </c>
      <c r="D36" s="237">
        <f t="shared" ref="D36:H36" si="9">-5%*D34</f>
        <v>0</v>
      </c>
      <c r="E36" s="229">
        <f t="shared" si="9"/>
        <v>0</v>
      </c>
      <c r="F36" s="364">
        <f t="shared" si="9"/>
        <v>0</v>
      </c>
      <c r="G36" s="237">
        <f t="shared" si="9"/>
        <v>-281296.61305625003</v>
      </c>
      <c r="H36" s="229">
        <f t="shared" si="9"/>
        <v>-289735.51144793752</v>
      </c>
      <c r="I36" s="229" t="s">
        <v>202</v>
      </c>
      <c r="J36" s="229" t="s">
        <v>202</v>
      </c>
      <c r="K36" s="229" t="s">
        <v>202</v>
      </c>
      <c r="L36" s="229" t="s">
        <v>202</v>
      </c>
      <c r="M36" s="364" t="s">
        <v>202</v>
      </c>
      <c r="N36" s="237" t="s">
        <v>202</v>
      </c>
      <c r="O36" s="315" t="s">
        <v>202</v>
      </c>
      <c r="AO36" s="47"/>
      <c r="AP36" s="47"/>
      <c r="AQ36" s="47"/>
      <c r="AR36" s="47"/>
    </row>
    <row r="37" spans="2:45" s="125" customFormat="1">
      <c r="B37" s="225" t="s">
        <v>94</v>
      </c>
      <c r="C37" s="226" t="s">
        <v>202</v>
      </c>
      <c r="D37" s="109">
        <f t="shared" ref="D37:E37" si="10">SUM(D34:D36)</f>
        <v>0</v>
      </c>
      <c r="E37" s="101">
        <f t="shared" si="10"/>
        <v>-370562.5</v>
      </c>
      <c r="F37" s="365">
        <f t="shared" ref="F37:H37" si="11">SUM(F34:F36)</f>
        <v>-381679.375</v>
      </c>
      <c r="G37" s="109">
        <f t="shared" si="11"/>
        <v>3872186.01556875</v>
      </c>
      <c r="H37" s="101">
        <f t="shared" si="11"/>
        <v>3988351.5960358125</v>
      </c>
      <c r="I37" s="101" t="s">
        <v>202</v>
      </c>
      <c r="J37" s="101" t="s">
        <v>202</v>
      </c>
      <c r="K37" s="101" t="s">
        <v>202</v>
      </c>
      <c r="L37" s="101" t="s">
        <v>202</v>
      </c>
      <c r="M37" s="365" t="s">
        <v>202</v>
      </c>
      <c r="N37" s="109" t="s">
        <v>202</v>
      </c>
      <c r="O37" s="467" t="s">
        <v>202</v>
      </c>
      <c r="AO37" s="47"/>
      <c r="AP37" s="47"/>
      <c r="AQ37" s="47"/>
      <c r="AR37" s="47"/>
    </row>
    <row r="38" spans="2:45" s="125" customFormat="1" ht="15.75" thickBot="1">
      <c r="B38" s="209" t="s">
        <v>317</v>
      </c>
      <c r="C38" s="218" t="s">
        <v>202</v>
      </c>
      <c r="D38" s="238">
        <v>0</v>
      </c>
      <c r="E38" s="231">
        <v>0</v>
      </c>
      <c r="F38" s="366">
        <v>0</v>
      </c>
      <c r="G38" s="238">
        <f>(H37/Assumptions!$I$6)*0.98</f>
        <v>78171691.282301918</v>
      </c>
      <c r="H38" s="231">
        <v>0</v>
      </c>
      <c r="I38" s="231" t="s">
        <v>202</v>
      </c>
      <c r="J38" s="231" t="s">
        <v>202</v>
      </c>
      <c r="K38" s="231" t="s">
        <v>202</v>
      </c>
      <c r="L38" s="231" t="s">
        <v>202</v>
      </c>
      <c r="M38" s="366" t="s">
        <v>202</v>
      </c>
      <c r="N38" s="238" t="s">
        <v>202</v>
      </c>
      <c r="O38" s="468" t="s">
        <v>202</v>
      </c>
      <c r="AO38" s="47"/>
      <c r="AP38" s="47"/>
      <c r="AQ38" s="47"/>
      <c r="AR38" s="47"/>
    </row>
    <row r="39" spans="2:45" s="125" customFormat="1">
      <c r="B39" s="185" t="s">
        <v>325</v>
      </c>
      <c r="C39" s="216"/>
      <c r="D39" s="236"/>
      <c r="E39" s="227"/>
      <c r="F39" s="228"/>
      <c r="G39" s="380"/>
      <c r="H39" s="227"/>
      <c r="I39" s="227"/>
      <c r="J39" s="227"/>
      <c r="K39" s="227"/>
      <c r="L39" s="227"/>
      <c r="M39" s="227"/>
      <c r="N39" s="227"/>
      <c r="O39" s="228"/>
      <c r="AP39" s="47"/>
      <c r="AQ39" s="47"/>
      <c r="AR39" s="47"/>
      <c r="AS39" s="47"/>
    </row>
    <row r="40" spans="2:45" s="125" customFormat="1">
      <c r="B40" s="186" t="s">
        <v>91</v>
      </c>
      <c r="C40" s="217" t="s">
        <v>202</v>
      </c>
      <c r="D40" s="237">
        <v>0</v>
      </c>
      <c r="E40" s="229">
        <v>0</v>
      </c>
      <c r="F40" s="230">
        <v>0</v>
      </c>
      <c r="G40" s="381">
        <f>'Site 1 - Financial'!D17*'Site 1 - Financial'!E17</f>
        <v>3548370</v>
      </c>
      <c r="H40" s="229">
        <f>G40*(1+Assumptions!$F$8)</f>
        <v>3654821.1</v>
      </c>
      <c r="I40" s="229" t="s">
        <v>202</v>
      </c>
      <c r="J40" s="229" t="s">
        <v>202</v>
      </c>
      <c r="K40" s="229" t="s">
        <v>202</v>
      </c>
      <c r="L40" s="229" t="s">
        <v>202</v>
      </c>
      <c r="M40" s="229" t="s">
        <v>202</v>
      </c>
      <c r="N40" s="229" t="s">
        <v>202</v>
      </c>
      <c r="O40" s="230" t="s">
        <v>202</v>
      </c>
      <c r="AP40" s="47"/>
      <c r="AQ40" s="47"/>
      <c r="AR40" s="47"/>
      <c r="AS40" s="47"/>
    </row>
    <row r="41" spans="2:45" s="125" customFormat="1">
      <c r="B41" s="186" t="s">
        <v>369</v>
      </c>
      <c r="C41" s="217" t="s">
        <v>202</v>
      </c>
      <c r="D41" s="237">
        <v>0</v>
      </c>
      <c r="E41" s="229">
        <v>0</v>
      </c>
      <c r="F41" s="230">
        <v>0</v>
      </c>
      <c r="G41" s="381">
        <v>0</v>
      </c>
      <c r="H41" s="229">
        <v>0</v>
      </c>
      <c r="I41" s="229" t="s">
        <v>202</v>
      </c>
      <c r="J41" s="229" t="s">
        <v>202</v>
      </c>
      <c r="K41" s="229" t="s">
        <v>202</v>
      </c>
      <c r="L41" s="229" t="s">
        <v>202</v>
      </c>
      <c r="M41" s="229" t="s">
        <v>202</v>
      </c>
      <c r="N41" s="229" t="s">
        <v>202</v>
      </c>
      <c r="O41" s="230" t="s">
        <v>202</v>
      </c>
      <c r="AP41" s="47"/>
      <c r="AQ41" s="47"/>
      <c r="AR41" s="47"/>
      <c r="AS41" s="47"/>
    </row>
    <row r="42" spans="2:45" s="125" customFormat="1">
      <c r="B42" s="197" t="s">
        <v>309</v>
      </c>
      <c r="C42" s="217" t="s">
        <v>202</v>
      </c>
      <c r="D42" s="237">
        <v>0</v>
      </c>
      <c r="E42" s="229">
        <v>0</v>
      </c>
      <c r="F42" s="230">
        <v>0</v>
      </c>
      <c r="G42" s="381">
        <f>(Assumptions!D30*'Site 1 - Financial'!D17)*(1+Assumptions!$F$8)^G2</f>
        <v>542835.95869860006</v>
      </c>
      <c r="H42" s="229">
        <f>G42*(1+Assumptions!$F$8)</f>
        <v>559121.03745955811</v>
      </c>
      <c r="I42" s="229" t="s">
        <v>202</v>
      </c>
      <c r="J42" s="229" t="s">
        <v>202</v>
      </c>
      <c r="K42" s="229" t="s">
        <v>202</v>
      </c>
      <c r="L42" s="229" t="s">
        <v>202</v>
      </c>
      <c r="M42" s="229" t="s">
        <v>202</v>
      </c>
      <c r="N42" s="229" t="s">
        <v>202</v>
      </c>
      <c r="O42" s="230" t="s">
        <v>202</v>
      </c>
      <c r="AP42" s="47"/>
      <c r="AQ42" s="47"/>
      <c r="AR42" s="47"/>
      <c r="AS42" s="47"/>
    </row>
    <row r="43" spans="2:45" s="125" customFormat="1">
      <c r="B43" s="225" t="s">
        <v>93</v>
      </c>
      <c r="C43" s="226" t="s">
        <v>202</v>
      </c>
      <c r="D43" s="109">
        <f t="shared" ref="D43:H43" si="12">SUM(D40:D42)</f>
        <v>0</v>
      </c>
      <c r="E43" s="101">
        <f t="shared" si="12"/>
        <v>0</v>
      </c>
      <c r="F43" s="110">
        <f t="shared" si="12"/>
        <v>0</v>
      </c>
      <c r="G43" s="102">
        <f t="shared" si="12"/>
        <v>4091205.9586986001</v>
      </c>
      <c r="H43" s="101">
        <f t="shared" si="12"/>
        <v>4213942.1374595584</v>
      </c>
      <c r="I43" s="101" t="s">
        <v>202</v>
      </c>
      <c r="J43" s="101" t="s">
        <v>202</v>
      </c>
      <c r="K43" s="101" t="s">
        <v>202</v>
      </c>
      <c r="L43" s="101" t="s">
        <v>202</v>
      </c>
      <c r="M43" s="101" t="s">
        <v>202</v>
      </c>
      <c r="N43" s="101" t="s">
        <v>202</v>
      </c>
      <c r="O43" s="110" t="s">
        <v>202</v>
      </c>
      <c r="AP43" s="47"/>
      <c r="AQ43" s="47"/>
      <c r="AR43" s="47"/>
      <c r="AS43" s="47"/>
    </row>
    <row r="44" spans="2:45" s="125" customFormat="1">
      <c r="B44" s="197" t="s">
        <v>525</v>
      </c>
      <c r="C44" s="217" t="s">
        <v>202</v>
      </c>
      <c r="D44" s="237">
        <v>0</v>
      </c>
      <c r="E44" s="229">
        <f>-(Assumptions!D26+Assumptions!D27)*'Site 1 - Financial'!D17</f>
        <v>-278800.5</v>
      </c>
      <c r="F44" s="230">
        <f>E44*(1+Assumptions!$F$8)</f>
        <v>-287164.51500000001</v>
      </c>
      <c r="G44" s="381">
        <f>-(Assumptions!D30*'Site 1 - Financial'!D17)*(1+Assumptions!$F$8)^G2</f>
        <v>-542835.95869860006</v>
      </c>
      <c r="H44" s="229">
        <f>G44*(1+Assumptions!$F$8)</f>
        <v>-559121.03745955811</v>
      </c>
      <c r="I44" s="229" t="s">
        <v>202</v>
      </c>
      <c r="J44" s="229" t="s">
        <v>202</v>
      </c>
      <c r="K44" s="229" t="s">
        <v>202</v>
      </c>
      <c r="L44" s="229" t="s">
        <v>202</v>
      </c>
      <c r="M44" s="229" t="s">
        <v>202</v>
      </c>
      <c r="N44" s="229" t="s">
        <v>202</v>
      </c>
      <c r="O44" s="230" t="s">
        <v>202</v>
      </c>
      <c r="AP44" s="47"/>
      <c r="AQ44" s="47"/>
      <c r="AR44" s="47"/>
      <c r="AS44" s="47"/>
    </row>
    <row r="45" spans="2:45" s="125" customFormat="1">
      <c r="B45" s="197" t="s">
        <v>316</v>
      </c>
      <c r="C45" s="217" t="s">
        <v>202</v>
      </c>
      <c r="D45" s="237">
        <f t="shared" ref="D45:H45" si="13">-5%*D43</f>
        <v>0</v>
      </c>
      <c r="E45" s="229">
        <f t="shared" si="13"/>
        <v>0</v>
      </c>
      <c r="F45" s="230">
        <f t="shared" si="13"/>
        <v>0</v>
      </c>
      <c r="G45" s="381">
        <f t="shared" si="13"/>
        <v>-204560.29793493001</v>
      </c>
      <c r="H45" s="229">
        <f t="shared" si="13"/>
        <v>-210697.10687297792</v>
      </c>
      <c r="I45" s="229" t="s">
        <v>202</v>
      </c>
      <c r="J45" s="229" t="s">
        <v>202</v>
      </c>
      <c r="K45" s="229" t="s">
        <v>202</v>
      </c>
      <c r="L45" s="229" t="s">
        <v>202</v>
      </c>
      <c r="M45" s="229" t="s">
        <v>202</v>
      </c>
      <c r="N45" s="229" t="s">
        <v>202</v>
      </c>
      <c r="O45" s="230" t="s">
        <v>202</v>
      </c>
      <c r="AP45" s="47"/>
      <c r="AQ45" s="47"/>
      <c r="AR45" s="47"/>
      <c r="AS45" s="47"/>
    </row>
    <row r="46" spans="2:45" s="125" customFormat="1">
      <c r="B46" s="225" t="s">
        <v>94</v>
      </c>
      <c r="C46" s="226" t="s">
        <v>202</v>
      </c>
      <c r="D46" s="109">
        <f t="shared" ref="D46:H46" si="14">SUM(D43:D45)</f>
        <v>0</v>
      </c>
      <c r="E46" s="101">
        <f t="shared" si="14"/>
        <v>-278800.5</v>
      </c>
      <c r="F46" s="110">
        <f t="shared" si="14"/>
        <v>-287164.51500000001</v>
      </c>
      <c r="G46" s="102">
        <f t="shared" si="14"/>
        <v>3343809.7020650702</v>
      </c>
      <c r="H46" s="101">
        <f t="shared" si="14"/>
        <v>3444123.9931270229</v>
      </c>
      <c r="I46" s="101" t="s">
        <v>202</v>
      </c>
      <c r="J46" s="101" t="s">
        <v>202</v>
      </c>
      <c r="K46" s="101" t="s">
        <v>202</v>
      </c>
      <c r="L46" s="101" t="s">
        <v>202</v>
      </c>
      <c r="M46" s="101" t="s">
        <v>202</v>
      </c>
      <c r="N46" s="101" t="s">
        <v>202</v>
      </c>
      <c r="O46" s="110" t="s">
        <v>202</v>
      </c>
      <c r="AP46" s="47"/>
      <c r="AQ46" s="47"/>
      <c r="AR46" s="47"/>
      <c r="AS46" s="47"/>
    </row>
    <row r="47" spans="2:45" s="125" customFormat="1" ht="15.75" thickBot="1">
      <c r="B47" s="209" t="s">
        <v>317</v>
      </c>
      <c r="C47" s="218" t="s">
        <v>202</v>
      </c>
      <c r="D47" s="238">
        <v>0</v>
      </c>
      <c r="E47" s="231">
        <v>0</v>
      </c>
      <c r="F47" s="232">
        <v>0</v>
      </c>
      <c r="G47" s="382">
        <f>(H46/Assumptions!I9)*0.98</f>
        <v>75005366.961432934</v>
      </c>
      <c r="H47" s="231">
        <v>0</v>
      </c>
      <c r="I47" s="231" t="s">
        <v>202</v>
      </c>
      <c r="J47" s="231" t="s">
        <v>202</v>
      </c>
      <c r="K47" s="231" t="s">
        <v>202</v>
      </c>
      <c r="L47" s="231" t="s">
        <v>202</v>
      </c>
      <c r="M47" s="231" t="s">
        <v>202</v>
      </c>
      <c r="N47" s="231" t="s">
        <v>202</v>
      </c>
      <c r="O47" s="232" t="s">
        <v>202</v>
      </c>
      <c r="AP47" s="47"/>
      <c r="AQ47" s="47"/>
      <c r="AR47" s="47"/>
      <c r="AS47" s="47"/>
    </row>
    <row r="48" spans="2:45" s="125" customFormat="1">
      <c r="B48" s="185" t="s">
        <v>391</v>
      </c>
      <c r="C48" s="216"/>
      <c r="D48" s="236"/>
      <c r="E48" s="227"/>
      <c r="F48" s="228"/>
      <c r="G48" s="380"/>
      <c r="H48" s="227"/>
      <c r="I48" s="227"/>
      <c r="J48" s="227"/>
      <c r="K48" s="227"/>
      <c r="L48" s="227"/>
      <c r="M48" s="227"/>
      <c r="N48" s="227"/>
      <c r="O48" s="228"/>
      <c r="AP48" s="47"/>
      <c r="AQ48" s="47"/>
      <c r="AR48" s="47"/>
      <c r="AS48" s="47"/>
    </row>
    <row r="49" spans="1:45" s="125" customFormat="1">
      <c r="B49" s="186" t="s">
        <v>91</v>
      </c>
      <c r="C49" s="217" t="s">
        <v>202</v>
      </c>
      <c r="D49" s="237">
        <v>0</v>
      </c>
      <c r="E49" s="229">
        <v>0</v>
      </c>
      <c r="F49" s="230">
        <v>0</v>
      </c>
      <c r="G49" s="381">
        <f>'Site 1 - Financial'!D18*'Site 1 - Financial'!E18</f>
        <v>0</v>
      </c>
      <c r="H49" s="229">
        <f>G49*(1+Assumptions!$F$8)</f>
        <v>0</v>
      </c>
      <c r="I49" s="229" t="s">
        <v>202</v>
      </c>
      <c r="J49" s="229" t="s">
        <v>202</v>
      </c>
      <c r="K49" s="229" t="s">
        <v>202</v>
      </c>
      <c r="L49" s="229" t="s">
        <v>202</v>
      </c>
      <c r="M49" s="229" t="s">
        <v>202</v>
      </c>
      <c r="N49" s="229" t="s">
        <v>202</v>
      </c>
      <c r="O49" s="230" t="s">
        <v>202</v>
      </c>
      <c r="AP49" s="47"/>
      <c r="AQ49" s="47"/>
      <c r="AR49" s="47"/>
      <c r="AS49" s="47"/>
    </row>
    <row r="50" spans="1:45" s="125" customFormat="1">
      <c r="B50" s="186" t="s">
        <v>369</v>
      </c>
      <c r="C50" s="217" t="s">
        <v>202</v>
      </c>
      <c r="D50" s="237">
        <v>0</v>
      </c>
      <c r="E50" s="229">
        <v>0</v>
      </c>
      <c r="F50" s="230">
        <v>0</v>
      </c>
      <c r="G50" s="381">
        <v>0</v>
      </c>
      <c r="H50" s="229">
        <v>0</v>
      </c>
      <c r="I50" s="229" t="s">
        <v>202</v>
      </c>
      <c r="J50" s="229" t="s">
        <v>202</v>
      </c>
      <c r="K50" s="229" t="s">
        <v>202</v>
      </c>
      <c r="L50" s="229" t="s">
        <v>202</v>
      </c>
      <c r="M50" s="229" t="s">
        <v>202</v>
      </c>
      <c r="N50" s="229" t="s">
        <v>202</v>
      </c>
      <c r="O50" s="230" t="s">
        <v>202</v>
      </c>
      <c r="AP50" s="47"/>
      <c r="AQ50" s="47"/>
      <c r="AR50" s="47"/>
      <c r="AS50" s="47"/>
    </row>
    <row r="51" spans="1:45" s="125" customFormat="1">
      <c r="B51" s="186" t="s">
        <v>309</v>
      </c>
      <c r="C51" s="217" t="s">
        <v>202</v>
      </c>
      <c r="D51" s="237">
        <v>0</v>
      </c>
      <c r="E51" s="229">
        <v>0</v>
      </c>
      <c r="F51" s="230">
        <v>0</v>
      </c>
      <c r="G51" s="381">
        <f>(Assumptions!D30*'Site 1 - Financial'!D18)*(1+Assumptions!F8)^G2</f>
        <v>0</v>
      </c>
      <c r="H51" s="229">
        <f>G51*(1+Assumptions!$F$8)</f>
        <v>0</v>
      </c>
      <c r="I51" s="229" t="s">
        <v>202</v>
      </c>
      <c r="J51" s="229" t="s">
        <v>202</v>
      </c>
      <c r="K51" s="229" t="s">
        <v>202</v>
      </c>
      <c r="L51" s="229" t="s">
        <v>202</v>
      </c>
      <c r="M51" s="229" t="s">
        <v>202</v>
      </c>
      <c r="N51" s="229" t="s">
        <v>202</v>
      </c>
      <c r="O51" s="230" t="s">
        <v>202</v>
      </c>
      <c r="AP51" s="47"/>
      <c r="AQ51" s="47"/>
      <c r="AR51" s="47"/>
      <c r="AS51" s="47"/>
    </row>
    <row r="52" spans="1:45" s="125" customFormat="1">
      <c r="B52" s="225" t="s">
        <v>93</v>
      </c>
      <c r="C52" s="226" t="s">
        <v>202</v>
      </c>
      <c r="D52" s="109">
        <f t="shared" ref="D52:H52" si="15">SUM(D49:D51)</f>
        <v>0</v>
      </c>
      <c r="E52" s="101">
        <f t="shared" si="15"/>
        <v>0</v>
      </c>
      <c r="F52" s="110">
        <f t="shared" si="15"/>
        <v>0</v>
      </c>
      <c r="G52" s="102">
        <f t="shared" si="15"/>
        <v>0</v>
      </c>
      <c r="H52" s="101">
        <f t="shared" si="15"/>
        <v>0</v>
      </c>
      <c r="I52" s="101" t="s">
        <v>202</v>
      </c>
      <c r="J52" s="101" t="s">
        <v>202</v>
      </c>
      <c r="K52" s="101" t="s">
        <v>202</v>
      </c>
      <c r="L52" s="101" t="s">
        <v>202</v>
      </c>
      <c r="M52" s="101" t="s">
        <v>202</v>
      </c>
      <c r="N52" s="101" t="s">
        <v>202</v>
      </c>
      <c r="O52" s="110" t="s">
        <v>202</v>
      </c>
      <c r="AP52" s="47"/>
      <c r="AQ52" s="47"/>
      <c r="AR52" s="47"/>
      <c r="AS52" s="47"/>
    </row>
    <row r="53" spans="1:45" s="125" customFormat="1">
      <c r="B53" s="197" t="s">
        <v>525</v>
      </c>
      <c r="C53" s="217" t="s">
        <v>202</v>
      </c>
      <c r="D53" s="237">
        <v>0</v>
      </c>
      <c r="E53" s="229">
        <f>-(Assumptions!D26+Assumptions!D27)*'Site 1 - Financial'!D18</f>
        <v>0</v>
      </c>
      <c r="F53" s="230">
        <f>E53*(1+Assumptions!$F$8)</f>
        <v>0</v>
      </c>
      <c r="G53" s="381">
        <f>-(Assumptions!D30*'Site 1 - Financial'!D18)*(1+Assumptions!$F$8)^G2</f>
        <v>0</v>
      </c>
      <c r="H53" s="229">
        <f>G53*(1+Assumptions!$F$8)</f>
        <v>0</v>
      </c>
      <c r="I53" s="229" t="s">
        <v>202</v>
      </c>
      <c r="J53" s="229" t="s">
        <v>202</v>
      </c>
      <c r="K53" s="229" t="s">
        <v>202</v>
      </c>
      <c r="L53" s="229" t="s">
        <v>202</v>
      </c>
      <c r="M53" s="229" t="s">
        <v>202</v>
      </c>
      <c r="N53" s="229" t="s">
        <v>202</v>
      </c>
      <c r="O53" s="230" t="s">
        <v>202</v>
      </c>
      <c r="AP53" s="47"/>
      <c r="AQ53" s="47"/>
      <c r="AR53" s="47"/>
      <c r="AS53" s="47"/>
    </row>
    <row r="54" spans="1:45" s="125" customFormat="1">
      <c r="B54" s="186" t="s">
        <v>316</v>
      </c>
      <c r="C54" s="217" t="s">
        <v>202</v>
      </c>
      <c r="D54" s="237">
        <f t="shared" ref="D54:H54" si="16">-5%*D52</f>
        <v>0</v>
      </c>
      <c r="E54" s="229">
        <f t="shared" si="16"/>
        <v>0</v>
      </c>
      <c r="F54" s="230">
        <f t="shared" si="16"/>
        <v>0</v>
      </c>
      <c r="G54" s="381">
        <f t="shared" si="16"/>
        <v>0</v>
      </c>
      <c r="H54" s="229">
        <f t="shared" si="16"/>
        <v>0</v>
      </c>
      <c r="I54" s="229" t="s">
        <v>202</v>
      </c>
      <c r="J54" s="229" t="s">
        <v>202</v>
      </c>
      <c r="K54" s="229" t="s">
        <v>202</v>
      </c>
      <c r="L54" s="229" t="s">
        <v>202</v>
      </c>
      <c r="M54" s="229" t="s">
        <v>202</v>
      </c>
      <c r="N54" s="229" t="s">
        <v>202</v>
      </c>
      <c r="O54" s="230" t="s">
        <v>202</v>
      </c>
      <c r="AP54" s="47"/>
      <c r="AQ54" s="47"/>
      <c r="AR54" s="47"/>
      <c r="AS54" s="47"/>
    </row>
    <row r="55" spans="1:45" s="125" customFormat="1">
      <c r="B55" s="225" t="s">
        <v>94</v>
      </c>
      <c r="C55" s="226" t="s">
        <v>202</v>
      </c>
      <c r="D55" s="109">
        <f t="shared" ref="D55:H55" si="17">SUM(D52:D54)</f>
        <v>0</v>
      </c>
      <c r="E55" s="101">
        <f t="shared" si="17"/>
        <v>0</v>
      </c>
      <c r="F55" s="110">
        <f t="shared" si="17"/>
        <v>0</v>
      </c>
      <c r="G55" s="102">
        <f t="shared" si="17"/>
        <v>0</v>
      </c>
      <c r="H55" s="101">
        <f t="shared" si="17"/>
        <v>0</v>
      </c>
      <c r="I55" s="101" t="s">
        <v>202</v>
      </c>
      <c r="J55" s="101" t="s">
        <v>202</v>
      </c>
      <c r="K55" s="101" t="s">
        <v>202</v>
      </c>
      <c r="L55" s="101" t="s">
        <v>202</v>
      </c>
      <c r="M55" s="101" t="s">
        <v>202</v>
      </c>
      <c r="N55" s="101" t="s">
        <v>202</v>
      </c>
      <c r="O55" s="110" t="s">
        <v>202</v>
      </c>
      <c r="AP55" s="47"/>
      <c r="AQ55" s="47"/>
      <c r="AR55" s="47"/>
      <c r="AS55" s="47"/>
    </row>
    <row r="56" spans="1:45" s="125" customFormat="1" ht="15.75" thickBot="1">
      <c r="B56" s="189" t="s">
        <v>317</v>
      </c>
      <c r="C56" s="218" t="s">
        <v>202</v>
      </c>
      <c r="D56" s="238">
        <v>0</v>
      </c>
      <c r="E56" s="231">
        <v>0</v>
      </c>
      <c r="F56" s="232">
        <v>0</v>
      </c>
      <c r="G56" s="382">
        <f>H55/Assumptions!I8</f>
        <v>0</v>
      </c>
      <c r="H56" s="231">
        <v>0</v>
      </c>
      <c r="I56" s="231" t="s">
        <v>202</v>
      </c>
      <c r="J56" s="231" t="s">
        <v>202</v>
      </c>
      <c r="K56" s="231" t="s">
        <v>202</v>
      </c>
      <c r="L56" s="231" t="s">
        <v>202</v>
      </c>
      <c r="M56" s="231" t="s">
        <v>202</v>
      </c>
      <c r="N56" s="231" t="s">
        <v>202</v>
      </c>
      <c r="O56" s="232" t="s">
        <v>202</v>
      </c>
      <c r="AP56" s="47"/>
      <c r="AQ56" s="47"/>
      <c r="AR56" s="47"/>
      <c r="AS56" s="47"/>
    </row>
    <row r="57" spans="1:45" s="279" customFormat="1">
      <c r="B57" s="280" t="s">
        <v>326</v>
      </c>
      <c r="C57" s="281"/>
      <c r="D57" s="282"/>
      <c r="E57" s="233"/>
      <c r="F57" s="283"/>
      <c r="G57" s="383"/>
      <c r="H57" s="233"/>
      <c r="I57" s="233"/>
      <c r="J57" s="233"/>
      <c r="K57" s="233"/>
      <c r="L57" s="233"/>
      <c r="M57" s="233"/>
      <c r="N57" s="233"/>
      <c r="O57" s="283"/>
      <c r="AP57" s="284"/>
      <c r="AQ57" s="284"/>
      <c r="AR57" s="284"/>
      <c r="AS57" s="284"/>
    </row>
    <row r="58" spans="1:45" s="125" customFormat="1" ht="15.75" thickBot="1">
      <c r="B58" s="186" t="s">
        <v>327</v>
      </c>
      <c r="C58" s="219" t="s">
        <v>202</v>
      </c>
      <c r="D58" s="239">
        <v>0</v>
      </c>
      <c r="E58" s="234">
        <v>0</v>
      </c>
      <c r="F58" s="235">
        <v>0</v>
      </c>
      <c r="G58" s="384">
        <f>'Site 1 - Financial'!$F$8*0.98</f>
        <v>170679250</v>
      </c>
      <c r="H58" s="234" t="s">
        <v>202</v>
      </c>
      <c r="I58" s="234" t="s">
        <v>202</v>
      </c>
      <c r="J58" s="234" t="s">
        <v>202</v>
      </c>
      <c r="K58" s="234" t="s">
        <v>202</v>
      </c>
      <c r="L58" s="234" t="s">
        <v>202</v>
      </c>
      <c r="M58" s="234" t="s">
        <v>202</v>
      </c>
      <c r="N58" s="234" t="s">
        <v>202</v>
      </c>
      <c r="O58" s="235" t="s">
        <v>202</v>
      </c>
      <c r="AP58" s="47"/>
      <c r="AQ58" s="47"/>
      <c r="AR58" s="47"/>
      <c r="AS58" s="47"/>
    </row>
    <row r="59" spans="1:45" s="125" customFormat="1" ht="15.75" thickBot="1">
      <c r="B59" s="240" t="s">
        <v>328</v>
      </c>
      <c r="C59" s="336">
        <f>IRR(D59:G59)</f>
        <v>0.18195395997119435</v>
      </c>
      <c r="D59" s="241">
        <f>-D29</f>
        <v>-75798072.883498609</v>
      </c>
      <c r="E59" s="242">
        <f>-E29</f>
        <v>-117331659.15953168</v>
      </c>
      <c r="F59" s="243">
        <f>-F29</f>
        <v>-35534245.84953168</v>
      </c>
      <c r="G59" s="379">
        <f>SUM(G58,G55:G56,G46:G47,G29,G37:G38)</f>
        <v>331072303.96136868</v>
      </c>
      <c r="H59" s="242">
        <v>0</v>
      </c>
      <c r="I59" s="242">
        <v>0</v>
      </c>
      <c r="J59" s="242">
        <v>0</v>
      </c>
      <c r="K59" s="242">
        <v>0</v>
      </c>
      <c r="L59" s="242">
        <v>0</v>
      </c>
      <c r="M59" s="242">
        <v>0</v>
      </c>
      <c r="N59" s="242">
        <v>0</v>
      </c>
      <c r="O59" s="243">
        <v>0</v>
      </c>
      <c r="AP59" s="47"/>
      <c r="AQ59" s="47"/>
      <c r="AR59" s="47"/>
      <c r="AS59" s="47"/>
    </row>
    <row r="60" spans="1:45" s="125" customFormat="1">
      <c r="B60" s="186" t="s">
        <v>651</v>
      </c>
      <c r="C60" s="244">
        <f>Assumptions!I13</f>
        <v>5.2499999999999998E-2</v>
      </c>
      <c r="D60" s="239">
        <f>-C60*'Site 1 - Financial'!E23</f>
        <v>-6602672.361647727</v>
      </c>
      <c r="E60" s="234">
        <f t="shared" ref="E60:G60" si="18">D60</f>
        <v>-6602672.361647727</v>
      </c>
      <c r="F60" s="235">
        <f t="shared" si="18"/>
        <v>-6602672.361647727</v>
      </c>
      <c r="G60" s="384">
        <f t="shared" si="18"/>
        <v>-6602672.361647727</v>
      </c>
      <c r="H60" s="234" t="s">
        <v>202</v>
      </c>
      <c r="I60" s="234" t="s">
        <v>202</v>
      </c>
      <c r="J60" s="234" t="s">
        <v>202</v>
      </c>
      <c r="K60" s="234" t="s">
        <v>202</v>
      </c>
      <c r="L60" s="234" t="s">
        <v>202</v>
      </c>
      <c r="M60" s="234" t="s">
        <v>202</v>
      </c>
      <c r="N60" s="234" t="s">
        <v>202</v>
      </c>
      <c r="O60" s="207" t="s">
        <v>202</v>
      </c>
      <c r="AP60" s="47"/>
      <c r="AQ60" s="47"/>
      <c r="AR60" s="47"/>
      <c r="AS60" s="47"/>
    </row>
    <row r="61" spans="1:45" s="191" customFormat="1" outlineLevel="1">
      <c r="B61" s="337" t="s">
        <v>650</v>
      </c>
      <c r="C61" s="338"/>
      <c r="D61" s="339">
        <f>'Site 1 - Financial'!E23</f>
        <v>125765187.84090909</v>
      </c>
      <c r="E61" s="340">
        <f>D61</f>
        <v>125765187.84090909</v>
      </c>
      <c r="F61" s="386">
        <f>E61</f>
        <v>125765187.84090909</v>
      </c>
      <c r="G61" s="385">
        <f>-'Site 1 - Financial'!E23</f>
        <v>-125765187.84090909</v>
      </c>
      <c r="H61" s="340" t="s">
        <v>202</v>
      </c>
      <c r="I61" s="340" t="s">
        <v>202</v>
      </c>
      <c r="J61" s="340" t="s">
        <v>202</v>
      </c>
      <c r="K61" s="340" t="s">
        <v>202</v>
      </c>
      <c r="L61" s="340" t="s">
        <v>202</v>
      </c>
      <c r="M61" s="340" t="s">
        <v>202</v>
      </c>
      <c r="N61" s="340" t="s">
        <v>202</v>
      </c>
      <c r="O61" s="341"/>
      <c r="AP61" s="344"/>
      <c r="AQ61" s="344"/>
      <c r="AR61" s="344"/>
      <c r="AS61" s="344"/>
    </row>
    <row r="62" spans="1:45" s="125" customFormat="1" ht="15.75" thickBot="1">
      <c r="B62" s="186" t="s">
        <v>332</v>
      </c>
      <c r="C62" s="219"/>
      <c r="D62" s="239">
        <f>D59*Assumptions!$I$12</f>
        <v>-34109132.797574371</v>
      </c>
      <c r="E62" s="234">
        <f>E59*Assumptions!$I$12</f>
        <v>-52799246.621789254</v>
      </c>
      <c r="F62" s="235">
        <f>F59*Assumptions!$I$12</f>
        <v>-15990410.632289255</v>
      </c>
      <c r="G62" s="384">
        <v>0</v>
      </c>
      <c r="H62" s="234" t="s">
        <v>202</v>
      </c>
      <c r="I62" s="234" t="s">
        <v>202</v>
      </c>
      <c r="J62" s="234" t="s">
        <v>202</v>
      </c>
      <c r="K62" s="234" t="s">
        <v>202</v>
      </c>
      <c r="L62" s="234" t="s">
        <v>202</v>
      </c>
      <c r="M62" s="234" t="s">
        <v>202</v>
      </c>
      <c r="N62" s="234" t="s">
        <v>202</v>
      </c>
      <c r="O62" s="207" t="s">
        <v>202</v>
      </c>
      <c r="AP62" s="47"/>
      <c r="AQ62" s="47"/>
      <c r="AR62" s="47"/>
      <c r="AS62" s="47"/>
    </row>
    <row r="63" spans="1:45" s="137" customFormat="1" ht="15.75" thickBot="1">
      <c r="B63" s="240" t="s">
        <v>329</v>
      </c>
      <c r="C63" s="336">
        <f>IRR(D63:G63)</f>
        <v>0.24482412232768502</v>
      </c>
      <c r="D63" s="241">
        <f>D62+D60</f>
        <v>-40711805.159222096</v>
      </c>
      <c r="E63" s="242">
        <f>E62+E60</f>
        <v>-59401918.983436979</v>
      </c>
      <c r="F63" s="243">
        <f>F62+F60</f>
        <v>-22593082.993936982</v>
      </c>
      <c r="G63" s="379">
        <f>SUM(G59:G62)</f>
        <v>198704443.75881186</v>
      </c>
      <c r="H63" s="242">
        <v>0</v>
      </c>
      <c r="I63" s="242">
        <v>0</v>
      </c>
      <c r="J63" s="242">
        <v>0</v>
      </c>
      <c r="K63" s="242">
        <v>0</v>
      </c>
      <c r="L63" s="242">
        <v>0</v>
      </c>
      <c r="M63" s="242">
        <v>0</v>
      </c>
      <c r="N63" s="242">
        <v>0</v>
      </c>
      <c r="O63" s="243">
        <v>0</v>
      </c>
      <c r="AP63" s="248"/>
      <c r="AQ63" s="248"/>
      <c r="AR63" s="248"/>
      <c r="AS63" s="248"/>
    </row>
    <row r="64" spans="1:45" s="89" customFormat="1">
      <c r="A64" s="125"/>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P64" s="48"/>
      <c r="AQ64" s="48"/>
      <c r="AR64" s="48"/>
      <c r="AS64" s="48"/>
    </row>
    <row r="65" spans="1:45" s="89" customFormat="1">
      <c r="A65" s="125"/>
      <c r="B65" s="48"/>
      <c r="C65" s="171"/>
      <c r="D65" s="48"/>
      <c r="E65" s="48"/>
      <c r="F65" s="48"/>
      <c r="G65" s="48"/>
      <c r="H65" s="48"/>
      <c r="I65" s="48"/>
      <c r="J65" s="292"/>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P65" s="48"/>
      <c r="AQ65" s="48"/>
      <c r="AR65" s="48"/>
      <c r="AS65" s="48"/>
    </row>
    <row r="66" spans="1:45" s="89" customFormat="1">
      <c r="A66" s="125"/>
      <c r="B66" s="48"/>
      <c r="C66" s="171"/>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P66" s="48"/>
      <c r="AQ66" s="48"/>
      <c r="AR66" s="48"/>
      <c r="AS66" s="48"/>
    </row>
    <row r="67" spans="1:45" s="89" customFormat="1">
      <c r="A67" s="125"/>
      <c r="B67" s="136"/>
      <c r="C67" s="176"/>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P67" s="48"/>
      <c r="AQ67" s="48"/>
      <c r="AR67" s="48"/>
      <c r="AS67" s="48"/>
    </row>
    <row r="68" spans="1:45" s="89" customFormat="1">
      <c r="A68" s="125"/>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P68" s="48"/>
      <c r="AQ68" s="48"/>
      <c r="AR68" s="48"/>
      <c r="AS68" s="48"/>
    </row>
  </sheetData>
  <mergeCells count="1">
    <mergeCell ref="B2:B4"/>
  </mergeCells>
  <conditionalFormatting sqref="D4:O4">
    <cfRule type="cellIs" dxfId="35" priority="1" operator="equal">
      <formula>#REF!</formula>
    </cfRule>
    <cfRule type="cellIs" dxfId="34" priority="2" operator="equal">
      <formula>#REF!</formula>
    </cfRule>
    <cfRule type="cellIs" dxfId="33" priority="3" operator="equal">
      <formula>#REF!</formula>
    </cfRule>
    <cfRule type="cellIs" dxfId="32" priority="4"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ignoredErrors>
    <ignoredError sqref="H53 H51 G52:H52 G44 G49:H4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B3BCC-573C-C840-89EB-33884CCB122E}">
  <sheetPr>
    <tabColor rgb="FF92D050"/>
    <pageSetUpPr fitToPage="1"/>
  </sheetPr>
  <dimension ref="B1:K90"/>
  <sheetViews>
    <sheetView showGridLines="0" zoomScale="68" zoomScaleNormal="110" zoomScaleSheetLayoutView="90" workbookViewId="0">
      <selection activeCell="I30" sqref="I30"/>
    </sheetView>
  </sheetViews>
  <sheetFormatPr defaultColWidth="8.85546875" defaultRowHeight="23.25" customHeight="1"/>
  <cols>
    <col min="1" max="1" width="2" style="48" customWidth="1"/>
    <col min="2" max="2" width="36.42578125" style="48" bestFit="1" customWidth="1"/>
    <col min="3" max="3" width="32.140625" style="48" bestFit="1" customWidth="1"/>
    <col min="4" max="4" width="22.42578125" style="48" bestFit="1" customWidth="1"/>
    <col min="5" max="5" width="18.42578125" style="48" customWidth="1"/>
    <col min="6" max="6" width="18.140625" style="48" bestFit="1" customWidth="1"/>
    <col min="7" max="7" width="44.85546875" style="48" customWidth="1"/>
    <col min="8" max="11" width="26.140625" style="48" customWidth="1"/>
    <col min="12" max="12" width="13.140625" style="48" bestFit="1" customWidth="1"/>
    <col min="13" max="13" width="24.42578125" style="48" customWidth="1"/>
    <col min="14" max="14" width="32.42578125" style="48" customWidth="1"/>
    <col min="15" max="15" width="20.140625" style="48" customWidth="1"/>
    <col min="16" max="16384" width="8.85546875" style="48"/>
  </cols>
  <sheetData>
    <row r="1" spans="2:11" ht="12" customHeight="1" thickBot="1">
      <c r="B1" s="115"/>
      <c r="C1" s="115"/>
      <c r="D1" s="113"/>
      <c r="E1" s="116"/>
    </row>
    <row r="2" spans="2:11" ht="21" customHeight="1">
      <c r="B2" s="1249" t="str">
        <f>'Development Program'!B6</f>
        <v>Hawk's Nest</v>
      </c>
      <c r="C2" s="1250"/>
      <c r="D2" s="1250"/>
      <c r="E2" s="1250"/>
      <c r="F2" s="1251"/>
      <c r="G2" s="1268" t="s">
        <v>100</v>
      </c>
      <c r="H2" s="1244" t="s">
        <v>18</v>
      </c>
      <c r="I2" s="1244" t="s">
        <v>96</v>
      </c>
      <c r="J2" s="1074" t="s">
        <v>90</v>
      </c>
    </row>
    <row r="3" spans="2:11" ht="21" customHeight="1" thickBot="1">
      <c r="B3" s="87" t="s">
        <v>186</v>
      </c>
      <c r="C3" s="310" t="s">
        <v>83</v>
      </c>
      <c r="D3" s="311" t="s">
        <v>190</v>
      </c>
      <c r="E3" s="310" t="s">
        <v>191</v>
      </c>
      <c r="F3" s="114" t="s">
        <v>192</v>
      </c>
      <c r="G3" s="1269"/>
      <c r="H3" s="1245"/>
      <c r="I3" s="1245"/>
      <c r="J3" s="1270"/>
    </row>
    <row r="4" spans="2:11" ht="21" customHeight="1">
      <c r="B4" s="146" t="s">
        <v>85</v>
      </c>
      <c r="C4" s="147">
        <v>40</v>
      </c>
      <c r="D4" s="148">
        <f>C4*Assumptions!$C$8</f>
        <v>18000</v>
      </c>
      <c r="E4" s="149">
        <f>Assumptions!D8</f>
        <v>1350</v>
      </c>
      <c r="F4" s="150">
        <f>E4*D4</f>
        <v>24300000</v>
      </c>
      <c r="G4" s="120" t="str">
        <f>Assumptions!F19</f>
        <v>Residential Condominium Hard Costs for Construction</v>
      </c>
      <c r="H4" s="269">
        <f>'Market Research'!H118</f>
        <v>305</v>
      </c>
      <c r="I4" s="270">
        <f>H4*(D8+D15)</f>
        <v>166072500</v>
      </c>
      <c r="J4" s="289">
        <f>I4/($C$20+$C$8+$C$15)</f>
        <v>254712.42331288345</v>
      </c>
    </row>
    <row r="5" spans="2:11" ht="21" customHeight="1">
      <c r="B5" s="151" t="s">
        <v>187</v>
      </c>
      <c r="C5" s="152">
        <v>105</v>
      </c>
      <c r="D5" s="153">
        <f>C5*Assumptions!$C$10</f>
        <v>68250</v>
      </c>
      <c r="E5" s="154">
        <f>Assumptions!D10</f>
        <v>1300</v>
      </c>
      <c r="F5" s="155">
        <f t="shared" ref="F5:F7" si="0">E5*D5</f>
        <v>88725000</v>
      </c>
      <c r="G5" s="120" t="s">
        <v>306</v>
      </c>
      <c r="H5" s="269">
        <f>'Market Research'!H122</f>
        <v>275</v>
      </c>
      <c r="I5" s="270">
        <f>H5*D19</f>
        <v>0</v>
      </c>
      <c r="J5" s="290">
        <f t="shared" ref="J5:J29" si="1">I5/($C$20+$C$8+$C$15)</f>
        <v>0</v>
      </c>
    </row>
    <row r="6" spans="2:11" ht="21" customHeight="1">
      <c r="B6" s="151" t="s">
        <v>188</v>
      </c>
      <c r="C6" s="152">
        <v>150</v>
      </c>
      <c r="D6" s="153">
        <f>C6*Assumptions!$C$12</f>
        <v>150000</v>
      </c>
      <c r="E6" s="154">
        <f>Assumptions!D12</f>
        <v>1250</v>
      </c>
      <c r="F6" s="155">
        <f t="shared" si="0"/>
        <v>187500000</v>
      </c>
      <c r="G6" s="120" t="s">
        <v>307</v>
      </c>
      <c r="H6" s="269">
        <f>'Market Research'!H122</f>
        <v>275</v>
      </c>
      <c r="I6" s="270">
        <f>H5*D18</f>
        <v>16428500</v>
      </c>
      <c r="J6" s="290">
        <f t="shared" si="1"/>
        <v>25197.085889570553</v>
      </c>
      <c r="K6" s="427"/>
    </row>
    <row r="7" spans="2:11" ht="21" customHeight="1" thickBot="1">
      <c r="B7" s="156" t="s">
        <v>189</v>
      </c>
      <c r="C7" s="157">
        <v>30</v>
      </c>
      <c r="D7" s="158">
        <f>C7*Assumptions!$C$14</f>
        <v>36000</v>
      </c>
      <c r="E7" s="159">
        <f>Assumptions!D14</f>
        <v>1200</v>
      </c>
      <c r="F7" s="160">
        <f t="shared" si="0"/>
        <v>43200000</v>
      </c>
      <c r="G7" s="120" t="s">
        <v>97</v>
      </c>
      <c r="H7" s="269">
        <f>'Market Research'!H135</f>
        <v>160</v>
      </c>
      <c r="I7" s="270">
        <f>H7*C29</f>
        <v>20511360</v>
      </c>
      <c r="J7" s="290">
        <f t="shared" si="1"/>
        <v>31459.141104294478</v>
      </c>
      <c r="K7" s="427"/>
    </row>
    <row r="8" spans="2:11" ht="21" customHeight="1">
      <c r="B8" s="1218" t="s">
        <v>86</v>
      </c>
      <c r="C8" s="1220">
        <f>SUM(C4:C7)</f>
        <v>325</v>
      </c>
      <c r="D8" s="1253">
        <f>SUM(D4:D7)</f>
        <v>272250</v>
      </c>
      <c r="E8" s="1255">
        <f>F8/C8/12</f>
        <v>88134.615384615376</v>
      </c>
      <c r="F8" s="1206">
        <f>SUM(F4:F7)</f>
        <v>343725000</v>
      </c>
      <c r="G8" s="120" t="s">
        <v>20</v>
      </c>
      <c r="H8" s="273">
        <v>0.1</v>
      </c>
      <c r="I8" s="270">
        <f>H8*SUM(I4:I7)</f>
        <v>20301236</v>
      </c>
      <c r="J8" s="290">
        <f t="shared" si="1"/>
        <v>31136.865030674846</v>
      </c>
    </row>
    <row r="9" spans="2:11" ht="21" customHeight="1">
      <c r="B9" s="1252"/>
      <c r="C9" s="1221"/>
      <c r="D9" s="1254"/>
      <c r="E9" s="1256"/>
      <c r="F9" s="1248"/>
      <c r="G9" s="120" t="s">
        <v>6</v>
      </c>
      <c r="H9" s="274" t="s">
        <v>24</v>
      </c>
      <c r="I9" s="270">
        <v>500000</v>
      </c>
      <c r="J9" s="290">
        <f t="shared" si="1"/>
        <v>766.87116564417181</v>
      </c>
    </row>
    <row r="10" spans="2:11" ht="21" customHeight="1" thickBot="1">
      <c r="B10" s="87" t="s">
        <v>581</v>
      </c>
      <c r="C10" s="310" t="s">
        <v>83</v>
      </c>
      <c r="D10" s="311" t="s">
        <v>387</v>
      </c>
      <c r="E10" s="310" t="s">
        <v>582</v>
      </c>
      <c r="F10" s="114" t="s">
        <v>389</v>
      </c>
      <c r="G10" s="477" t="s">
        <v>308</v>
      </c>
      <c r="H10" s="275">
        <f>'Market Research'!C53</f>
        <v>45000000</v>
      </c>
      <c r="I10" s="270">
        <f>H10*C24</f>
        <v>59705578.512396693</v>
      </c>
      <c r="J10" s="290">
        <f t="shared" si="1"/>
        <v>91572.97317852253</v>
      </c>
    </row>
    <row r="11" spans="2:11" ht="21" customHeight="1">
      <c r="B11" s="146" t="s">
        <v>85</v>
      </c>
      <c r="C11" s="147">
        <v>40</v>
      </c>
      <c r="D11" s="148">
        <f>C11*Assumptions!$C$8</f>
        <v>18000</v>
      </c>
      <c r="E11" s="149">
        <f>'Site 1 - Financial'!E11</f>
        <v>1768</v>
      </c>
      <c r="F11" s="150">
        <f>E11*C11*12</f>
        <v>848640</v>
      </c>
      <c r="G11" s="477" t="s">
        <v>21</v>
      </c>
      <c r="H11" s="573" t="s">
        <v>367</v>
      </c>
      <c r="I11" s="270">
        <v>630000</v>
      </c>
      <c r="J11" s="289">
        <f t="shared" si="1"/>
        <v>966.25766871165649</v>
      </c>
    </row>
    <row r="12" spans="2:11" ht="21" customHeight="1">
      <c r="B12" s="151" t="s">
        <v>187</v>
      </c>
      <c r="C12" s="152">
        <v>105</v>
      </c>
      <c r="D12" s="153">
        <f>C12*Assumptions!$C$10</f>
        <v>68250</v>
      </c>
      <c r="E12" s="154">
        <f>'Site 1 - Financial'!E12</f>
        <v>1895</v>
      </c>
      <c r="F12" s="155">
        <f t="shared" ref="F12:F14" si="2">E12*C12*12</f>
        <v>2387700</v>
      </c>
      <c r="G12" s="477" t="s">
        <v>42</v>
      </c>
      <c r="H12" s="265" t="s">
        <v>368</v>
      </c>
      <c r="I12" s="270">
        <f>'Development Program'!I22</f>
        <v>14999999.999999996</v>
      </c>
      <c r="J12" s="290">
        <f t="shared" si="1"/>
        <v>23006.134969325147</v>
      </c>
    </row>
    <row r="13" spans="2:11" ht="21" customHeight="1">
      <c r="B13" s="151" t="s">
        <v>188</v>
      </c>
      <c r="C13" s="152">
        <v>150</v>
      </c>
      <c r="D13" s="153">
        <f>C13*Assumptions!$C$12</f>
        <v>150000</v>
      </c>
      <c r="E13" s="154">
        <f>'Site 1 - Financial'!E13</f>
        <v>2274</v>
      </c>
      <c r="F13" s="155">
        <f t="shared" si="2"/>
        <v>4093200</v>
      </c>
      <c r="G13" s="118" t="s">
        <v>23</v>
      </c>
      <c r="H13" s="261" t="s">
        <v>24</v>
      </c>
      <c r="I13" s="262">
        <v>400000</v>
      </c>
      <c r="J13" s="290">
        <f t="shared" si="1"/>
        <v>613.49693251533745</v>
      </c>
    </row>
    <row r="14" spans="2:11" ht="21" customHeight="1" thickBot="1">
      <c r="B14" s="156" t="s">
        <v>189</v>
      </c>
      <c r="C14" s="157">
        <v>30</v>
      </c>
      <c r="D14" s="158">
        <f>C14*Assumptions!$C$14</f>
        <v>36000</v>
      </c>
      <c r="E14" s="159">
        <f>'Site 1 - Financial'!E14</f>
        <v>2628</v>
      </c>
      <c r="F14" s="160">
        <f t="shared" si="2"/>
        <v>946080</v>
      </c>
      <c r="G14" s="118" t="s">
        <v>361</v>
      </c>
      <c r="H14" s="285">
        <v>0.02</v>
      </c>
      <c r="I14" s="262">
        <f>H14*I10</f>
        <v>1194111.570247934</v>
      </c>
      <c r="J14" s="290">
        <f t="shared" si="1"/>
        <v>1831.4594635704509</v>
      </c>
    </row>
    <row r="15" spans="2:11" ht="21" customHeight="1">
      <c r="B15" s="1218" t="s">
        <v>86</v>
      </c>
      <c r="C15" s="1220">
        <f>SUM(C11:C14)</f>
        <v>325</v>
      </c>
      <c r="D15" s="1253">
        <f>SUM(D11:D14)</f>
        <v>272250</v>
      </c>
      <c r="E15" s="1255">
        <f>F15/12/C15</f>
        <v>2121.9538461538464</v>
      </c>
      <c r="F15" s="1206">
        <f>SUM(F11:F14)</f>
        <v>8275620</v>
      </c>
      <c r="G15" s="118" t="s">
        <v>26</v>
      </c>
      <c r="H15" s="263">
        <v>0.04</v>
      </c>
      <c r="I15" s="262">
        <f>H15*SUM(I4:I7)</f>
        <v>8120494.4000000004</v>
      </c>
      <c r="J15" s="290">
        <f t="shared" si="1"/>
        <v>12454.746012269939</v>
      </c>
    </row>
    <row r="16" spans="2:11" ht="21" customHeight="1">
      <c r="B16" s="1252"/>
      <c r="C16" s="1221"/>
      <c r="D16" s="1254"/>
      <c r="E16" s="1256"/>
      <c r="F16" s="1248"/>
      <c r="G16" s="118" t="s">
        <v>27</v>
      </c>
      <c r="H16" s="264">
        <v>0.03</v>
      </c>
      <c r="I16" s="262">
        <f>H16*SUM(I4:I15)</f>
        <v>9265913.4144793376</v>
      </c>
      <c r="J16" s="290">
        <f t="shared" si="1"/>
        <v>14211.523641839474</v>
      </c>
    </row>
    <row r="17" spans="2:11" ht="21" customHeight="1" thickBot="1">
      <c r="B17" s="177" t="s">
        <v>87</v>
      </c>
      <c r="C17" s="310" t="s">
        <v>83</v>
      </c>
      <c r="D17" s="310" t="s">
        <v>387</v>
      </c>
      <c r="E17" s="310" t="s">
        <v>88</v>
      </c>
      <c r="F17" s="114" t="s">
        <v>84</v>
      </c>
      <c r="G17" s="118" t="s">
        <v>28</v>
      </c>
      <c r="H17" s="263">
        <v>0.02</v>
      </c>
      <c r="I17" s="262">
        <f>H17*SUM(I4:I7)</f>
        <v>4060247.2</v>
      </c>
      <c r="J17" s="290">
        <f t="shared" si="1"/>
        <v>6227.3730061349697</v>
      </c>
    </row>
    <row r="18" spans="2:11" ht="21" customHeight="1">
      <c r="B18" s="161" t="s">
        <v>1</v>
      </c>
      <c r="C18" s="162">
        <v>2</v>
      </c>
      <c r="D18" s="163">
        <v>59740</v>
      </c>
      <c r="E18" s="164">
        <f>Assumptions!F7</f>
        <v>35</v>
      </c>
      <c r="F18" s="165">
        <f>D18*E18</f>
        <v>2090900</v>
      </c>
      <c r="G18" s="486" t="s">
        <v>98</v>
      </c>
      <c r="H18" s="746">
        <v>8.8293999999999994E-3</v>
      </c>
      <c r="I18" s="262">
        <f>H18*I10</f>
        <v>527164.43491735531</v>
      </c>
      <c r="J18" s="290">
        <f t="shared" si="1"/>
        <v>808.53440938244682</v>
      </c>
    </row>
    <row r="19" spans="2:11" ht="21" customHeight="1" thickBot="1">
      <c r="B19" s="166" t="s">
        <v>0</v>
      </c>
      <c r="C19" s="167">
        <v>0</v>
      </c>
      <c r="D19" s="168">
        <v>0</v>
      </c>
      <c r="E19" s="169">
        <f>Assumptions!G7</f>
        <v>45</v>
      </c>
      <c r="F19" s="170">
        <f>D19*E19</f>
        <v>0</v>
      </c>
      <c r="G19" s="118" t="s">
        <v>29</v>
      </c>
      <c r="H19" s="265">
        <v>6000</v>
      </c>
      <c r="I19" s="262">
        <f>H19*(C8+C20)</f>
        <v>1962000</v>
      </c>
      <c r="J19" s="290">
        <f t="shared" si="1"/>
        <v>3009.2024539877302</v>
      </c>
    </row>
    <row r="20" spans="2:11" ht="21" customHeight="1">
      <c r="B20" s="1218" t="s">
        <v>86</v>
      </c>
      <c r="C20" s="1220">
        <f>SUM(C18:C19)</f>
        <v>2</v>
      </c>
      <c r="D20" s="1253">
        <f>SUM(D18:D19)</f>
        <v>59740</v>
      </c>
      <c r="E20" s="1224">
        <f>IF(D20=0,0,F20/D20)</f>
        <v>35</v>
      </c>
      <c r="F20" s="1206">
        <f>SUM(F18:F19)</f>
        <v>2090900</v>
      </c>
      <c r="G20" s="118" t="s">
        <v>30</v>
      </c>
      <c r="H20" s="261" t="s">
        <v>24</v>
      </c>
      <c r="I20" s="262">
        <v>400000</v>
      </c>
      <c r="J20" s="290">
        <f t="shared" si="1"/>
        <v>613.49693251533745</v>
      </c>
    </row>
    <row r="21" spans="2:11" ht="21" customHeight="1" thickBot="1">
      <c r="B21" s="1219"/>
      <c r="C21" s="1221"/>
      <c r="D21" s="1254"/>
      <c r="E21" s="1225"/>
      <c r="F21" s="1207"/>
      <c r="G21" s="118" t="s">
        <v>31</v>
      </c>
      <c r="H21" s="266" t="s">
        <v>363</v>
      </c>
      <c r="I21" s="262">
        <f>-SUM('Site 2 - Draw'!H38:K38,'Site 2 - Draw'!H47:K47,'Site 2 - Draw'!H56:K56)</f>
        <v>5346399.2752499999</v>
      </c>
      <c r="J21" s="290">
        <f t="shared" si="1"/>
        <v>8199.9988884202448</v>
      </c>
    </row>
    <row r="22" spans="2:11" ht="21" customHeight="1">
      <c r="B22" s="1059" t="s">
        <v>371</v>
      </c>
      <c r="C22" s="1061"/>
      <c r="D22" s="1215" t="s">
        <v>203</v>
      </c>
      <c r="E22" s="1216"/>
      <c r="F22" s="1217"/>
      <c r="G22" s="118" t="s">
        <v>364</v>
      </c>
      <c r="H22" s="267">
        <f>'Market Research'!H125</f>
        <v>150</v>
      </c>
      <c r="I22" s="262">
        <f>H22*D20</f>
        <v>8961000</v>
      </c>
      <c r="J22" s="290">
        <f t="shared" si="1"/>
        <v>13743.865030674846</v>
      </c>
    </row>
    <row r="23" spans="2:11" ht="21" customHeight="1" thickBot="1">
      <c r="B23" s="134" t="s">
        <v>319</v>
      </c>
      <c r="C23" s="190" t="s">
        <v>375</v>
      </c>
      <c r="D23" s="134" t="s">
        <v>319</v>
      </c>
      <c r="E23" s="135" t="s">
        <v>103</v>
      </c>
      <c r="F23" s="190" t="s">
        <v>90</v>
      </c>
      <c r="G23" s="118" t="s">
        <v>365</v>
      </c>
      <c r="H23" s="268">
        <v>0.06</v>
      </c>
      <c r="I23" s="262">
        <f>H23*('Site 2 - Draw'!L41)*5</f>
        <v>627270</v>
      </c>
      <c r="J23" s="290">
        <f t="shared" si="1"/>
        <v>962.07055214723925</v>
      </c>
    </row>
    <row r="24" spans="2:11" ht="21" customHeight="1">
      <c r="B24" s="293" t="s">
        <v>372</v>
      </c>
      <c r="C24" s="294">
        <f>57795/43560</f>
        <v>1.3267906336088153</v>
      </c>
      <c r="D24" s="303">
        <f>Assumptions!I11</f>
        <v>0.55000000000000004</v>
      </c>
      <c r="E24" s="304">
        <f>D24*I27</f>
        <v>202132576.14401022</v>
      </c>
      <c r="F24" s="305">
        <f>E24/($C$8+$C$20+$C$15)</f>
        <v>310019.28856443282</v>
      </c>
      <c r="G24" s="486" t="s">
        <v>33</v>
      </c>
      <c r="H24" s="487">
        <v>0.01</v>
      </c>
      <c r="I24" s="262">
        <v>3600000</v>
      </c>
      <c r="J24" s="290">
        <f t="shared" si="1"/>
        <v>5521.4723926380366</v>
      </c>
    </row>
    <row r="25" spans="2:11" ht="21" customHeight="1">
      <c r="B25" s="295" t="s">
        <v>373</v>
      </c>
      <c r="C25" s="392">
        <v>705685</v>
      </c>
      <c r="D25" s="306">
        <f>1-D24</f>
        <v>0.44999999999999996</v>
      </c>
      <c r="E25" s="301">
        <f>(D25*I27)-E26</f>
        <v>165381198.66328105</v>
      </c>
      <c r="F25" s="302">
        <f t="shared" ref="F25:F27" si="3">E25/($C$8+$C$20+$C$15)</f>
        <v>253652.14518908138</v>
      </c>
      <c r="G25" s="488" t="s">
        <v>34</v>
      </c>
      <c r="H25" s="489">
        <f>Assumptions!$I$13</f>
        <v>5.2499999999999998E-2</v>
      </c>
      <c r="I25" s="262">
        <f>I24*100*H25</f>
        <v>18900000</v>
      </c>
      <c r="J25" s="290">
        <f t="shared" si="1"/>
        <v>28987.730061349692</v>
      </c>
    </row>
    <row r="26" spans="2:11" ht="21" customHeight="1" thickBot="1">
      <c r="B26" s="295" t="s">
        <v>374</v>
      </c>
      <c r="C26" s="296">
        <f>D8+D20+D15</f>
        <v>604240</v>
      </c>
      <c r="D26" s="295" t="s">
        <v>382</v>
      </c>
      <c r="E26" s="312">
        <f>I28</f>
        <v>0</v>
      </c>
      <c r="F26" s="313">
        <f t="shared" si="3"/>
        <v>0</v>
      </c>
      <c r="G26" s="121" t="s">
        <v>99</v>
      </c>
      <c r="H26" s="259" t="s">
        <v>24</v>
      </c>
      <c r="I26" s="260">
        <v>5000000</v>
      </c>
      <c r="J26" s="291">
        <f t="shared" si="1"/>
        <v>7668.7116564417174</v>
      </c>
    </row>
    <row r="27" spans="2:11" ht="21" customHeight="1">
      <c r="B27" s="295" t="s">
        <v>376</v>
      </c>
      <c r="C27" s="297">
        <v>230</v>
      </c>
      <c r="D27" s="295" t="s">
        <v>383</v>
      </c>
      <c r="E27" s="307">
        <f>SUM(E24:E26)</f>
        <v>367513774.80729127</v>
      </c>
      <c r="F27" s="308">
        <f t="shared" si="3"/>
        <v>563671.4337535142</v>
      </c>
      <c r="G27" s="122" t="s">
        <v>100</v>
      </c>
      <c r="H27" s="319" t="s">
        <v>202</v>
      </c>
      <c r="I27" s="320">
        <f>SUM(I4:I26)</f>
        <v>367513774.80729127</v>
      </c>
      <c r="J27" s="321">
        <f t="shared" si="1"/>
        <v>563671.4337535142</v>
      </c>
    </row>
    <row r="28" spans="2:11" ht="21" customHeight="1" thickBot="1">
      <c r="B28" s="295" t="s">
        <v>377</v>
      </c>
      <c r="C28" s="297">
        <v>160</v>
      </c>
      <c r="D28" s="299"/>
      <c r="E28" s="309"/>
      <c r="F28" s="300"/>
      <c r="G28" s="123" t="s">
        <v>382</v>
      </c>
      <c r="H28" s="322" t="s">
        <v>202</v>
      </c>
      <c r="I28" s="323">
        <f>IF(I27-I32&gt;0,I27-I32,0)</f>
        <v>0</v>
      </c>
      <c r="J28" s="324">
        <f t="shared" si="1"/>
        <v>0</v>
      </c>
    </row>
    <row r="29" spans="2:11" ht="21" customHeight="1">
      <c r="B29" s="298" t="s">
        <v>421</v>
      </c>
      <c r="C29" s="296">
        <v>128196</v>
      </c>
      <c r="D29" s="1228" t="s">
        <v>104</v>
      </c>
      <c r="E29" s="1230">
        <f>E27</f>
        <v>367513774.80729127</v>
      </c>
      <c r="F29" s="1210">
        <f t="shared" ref="F29:F30" si="4">E29/($C$8+$C$20+$C$15)</f>
        <v>563671.4337535142</v>
      </c>
      <c r="G29" s="123" t="s">
        <v>324</v>
      </c>
      <c r="H29" s="322" t="s">
        <v>202</v>
      </c>
      <c r="I29" s="323">
        <f>'Site 2 - Draw'!L38+'Site 2 - Draw'!L39+'Site 2 - Draw'!L47+'Site 2 - Draw'!L48+'Site 2 - Draw'!L59</f>
        <v>545641927.60197234</v>
      </c>
      <c r="J29" s="324">
        <f t="shared" si="1"/>
        <v>836874.12208891462</v>
      </c>
    </row>
    <row r="30" spans="2:11" ht="21" customHeight="1" thickBot="1">
      <c r="B30" s="413" t="s">
        <v>420</v>
      </c>
      <c r="C30" s="412">
        <f>C25/(C24*43560)</f>
        <v>12.210139285405313</v>
      </c>
      <c r="D30" s="1229"/>
      <c r="E30" s="1231"/>
      <c r="F30" s="1211">
        <f t="shared" si="4"/>
        <v>0</v>
      </c>
      <c r="G30" s="123" t="s">
        <v>101</v>
      </c>
      <c r="H30" s="322" t="s">
        <v>202</v>
      </c>
      <c r="I30" s="355" t="s">
        <v>696</v>
      </c>
      <c r="J30" s="325" t="s">
        <v>202</v>
      </c>
    </row>
    <row r="31" spans="2:11" ht="21" customHeight="1" thickBot="1">
      <c r="B31" s="391">
        <v>27</v>
      </c>
      <c r="C31" s="392">
        <f>C25/B31</f>
        <v>26136.481481481482</v>
      </c>
      <c r="D31" s="1208" t="s">
        <v>105</v>
      </c>
      <c r="E31" s="1209"/>
      <c r="F31" s="245" t="s">
        <v>370</v>
      </c>
      <c r="G31" s="123" t="s">
        <v>102</v>
      </c>
      <c r="H31" s="322" t="s">
        <v>202</v>
      </c>
      <c r="I31" s="507">
        <f>I29/(I27-I28)-1</f>
        <v>0.48468428942040065</v>
      </c>
      <c r="J31" s="326" t="s">
        <v>202</v>
      </c>
      <c r="K31" s="251"/>
    </row>
    <row r="32" spans="2:11" ht="21" customHeight="1" thickBot="1">
      <c r="B32" s="299" t="s">
        <v>380</v>
      </c>
      <c r="C32" s="300" t="s">
        <v>6</v>
      </c>
      <c r="D32" s="1238" t="s">
        <v>321</v>
      </c>
      <c r="E32" s="1239"/>
      <c r="F32" s="314">
        <f>'Site 2 - Draw'!L39+'Site 2 - Draw'!L59</f>
        <v>476874065.41966552</v>
      </c>
      <c r="G32" s="886">
        <v>0.3</v>
      </c>
      <c r="H32" s="327" t="s">
        <v>202</v>
      </c>
      <c r="I32" s="887">
        <f>I29/(1+G32)</f>
        <v>419724559.69382489</v>
      </c>
      <c r="J32" s="345">
        <f t="shared" ref="J32" si="5">I32/($C$20+$C$8+$C$15)</f>
        <v>643749.32468378055</v>
      </c>
      <c r="K32" s="251"/>
    </row>
    <row r="33" spans="2:11" ht="21" customHeight="1" thickBot="1">
      <c r="B33" s="1208" t="s">
        <v>109</v>
      </c>
      <c r="C33" s="1212"/>
      <c r="D33" s="1213" t="s">
        <v>378</v>
      </c>
      <c r="E33" s="1214"/>
      <c r="F33" s="356" t="s">
        <v>154</v>
      </c>
      <c r="G33" s="1259"/>
      <c r="H33" s="1260"/>
      <c r="I33" s="1260"/>
      <c r="J33" s="1261"/>
    </row>
    <row r="34" spans="2:11" ht="21" customHeight="1">
      <c r="B34" s="286" t="s">
        <v>133</v>
      </c>
      <c r="C34" s="882">
        <f>'Site 2 - Draw'!C60</f>
        <v>0.14881184455258256</v>
      </c>
      <c r="D34" s="1213" t="s">
        <v>379</v>
      </c>
      <c r="E34" s="1214"/>
      <c r="F34" s="315" t="s">
        <v>154</v>
      </c>
      <c r="G34" s="1262"/>
      <c r="H34" s="1263"/>
      <c r="I34" s="1263"/>
      <c r="J34" s="1264"/>
      <c r="K34" s="251"/>
    </row>
    <row r="35" spans="2:11" ht="21" customHeight="1">
      <c r="B35" s="287" t="s">
        <v>40</v>
      </c>
      <c r="C35" s="883">
        <f>'Site 2 - Draw'!C64</f>
        <v>0.18220213394345497</v>
      </c>
      <c r="D35" s="1226" t="s">
        <v>322</v>
      </c>
      <c r="E35" s="1227"/>
      <c r="F35" s="316">
        <f>'Site 2 - Draw'!L48</f>
        <v>59193002.480877437</v>
      </c>
      <c r="G35" s="1262"/>
      <c r="H35" s="1263"/>
      <c r="I35" s="1263"/>
      <c r="J35" s="1264"/>
    </row>
    <row r="36" spans="2:11" ht="21" customHeight="1">
      <c r="B36" s="287" t="s">
        <v>653</v>
      </c>
      <c r="C36" s="884">
        <f>Assumptions!I6</f>
        <v>0.05</v>
      </c>
      <c r="D36" s="1240" t="s">
        <v>323</v>
      </c>
      <c r="E36" s="1241"/>
      <c r="F36" s="317">
        <f>F32+F35</f>
        <v>536067067.90054297</v>
      </c>
      <c r="G36" s="1262"/>
      <c r="H36" s="1263"/>
      <c r="I36" s="1263"/>
      <c r="J36" s="1264"/>
    </row>
    <row r="37" spans="2:11" ht="21" customHeight="1">
      <c r="B37" s="287" t="s">
        <v>652</v>
      </c>
      <c r="C37" s="884">
        <f>Assumptions!$I$7</f>
        <v>4.7500000000000001E-2</v>
      </c>
      <c r="D37" s="1234" t="s">
        <v>106</v>
      </c>
      <c r="E37" s="1235"/>
      <c r="F37" s="316">
        <f>E24</f>
        <v>202132576.14401022</v>
      </c>
      <c r="G37" s="1262"/>
      <c r="H37" s="1263"/>
      <c r="I37" s="1263"/>
      <c r="J37" s="1264"/>
    </row>
    <row r="38" spans="2:11" ht="21" customHeight="1">
      <c r="B38" s="287" t="s">
        <v>384</v>
      </c>
      <c r="C38" s="884">
        <f>Assumptions!I9</f>
        <v>4.4999999999999998E-2</v>
      </c>
      <c r="D38" s="1234" t="s">
        <v>107</v>
      </c>
      <c r="E38" s="1235"/>
      <c r="F38" s="316">
        <f>E25</f>
        <v>165381198.66328105</v>
      </c>
      <c r="G38" s="1262"/>
      <c r="H38" s="1263"/>
      <c r="I38" s="1263"/>
      <c r="J38" s="1264"/>
    </row>
    <row r="39" spans="2:11" ht="21" customHeight="1" thickBot="1">
      <c r="B39" s="288" t="s">
        <v>385</v>
      </c>
      <c r="C39" s="885">
        <f>Assumptions!I8</f>
        <v>0.05</v>
      </c>
      <c r="D39" s="1236" t="s">
        <v>108</v>
      </c>
      <c r="E39" s="1237"/>
      <c r="F39" s="318">
        <f>F36-F37-F38</f>
        <v>168553293.09325173</v>
      </c>
      <c r="G39" s="1265"/>
      <c r="H39" s="1266"/>
      <c r="I39" s="1266"/>
      <c r="J39" s="1267"/>
    </row>
    <row r="40" spans="2:11" ht="15.95" customHeight="1"/>
    <row r="41" spans="2:11" ht="15" customHeight="1">
      <c r="D41" s="136"/>
      <c r="E41" s="136"/>
      <c r="F41" s="136"/>
    </row>
    <row r="42" spans="2:11" ht="15" customHeight="1">
      <c r="D42" s="124"/>
    </row>
    <row r="43" spans="2:11" ht="15" customHeight="1">
      <c r="D43" s="124"/>
      <c r="G43" s="136"/>
      <c r="H43" s="136"/>
      <c r="I43" s="136"/>
      <c r="J43" s="136"/>
    </row>
    <row r="44" spans="2:11" ht="12.75">
      <c r="D44" s="124"/>
      <c r="G44" s="124"/>
      <c r="H44" s="124"/>
      <c r="I44" s="124"/>
      <c r="J44" s="124"/>
    </row>
    <row r="45" spans="2:11" ht="12.75">
      <c r="D45" s="171"/>
      <c r="G45" s="124"/>
      <c r="H45" s="124"/>
      <c r="I45" s="124"/>
      <c r="J45" s="124"/>
    </row>
    <row r="46" spans="2:11" s="136" customFormat="1" ht="12.75">
      <c r="B46" s="48"/>
      <c r="C46" s="48"/>
      <c r="D46" s="171"/>
      <c r="E46" s="48"/>
      <c r="F46" s="48"/>
      <c r="G46" s="119"/>
      <c r="H46" s="119"/>
      <c r="I46" s="119"/>
      <c r="J46" s="119"/>
    </row>
    <row r="47" spans="2:11" ht="12.75">
      <c r="B47" s="136"/>
      <c r="C47" s="136"/>
      <c r="G47" s="124"/>
      <c r="H47" s="124"/>
      <c r="I47" s="124"/>
      <c r="J47" s="124"/>
    </row>
    <row r="48" spans="2:11" ht="12.95" customHeight="1">
      <c r="B48" s="124"/>
      <c r="C48" s="124"/>
      <c r="G48" s="124"/>
      <c r="H48" s="124"/>
      <c r="I48" s="124"/>
      <c r="J48" s="124"/>
    </row>
    <row r="49" spans="2:10" ht="12.75">
      <c r="B49" s="124"/>
      <c r="C49" s="124"/>
      <c r="G49" s="119"/>
      <c r="H49" s="119"/>
      <c r="I49" s="119"/>
      <c r="J49" s="119"/>
    </row>
    <row r="50" spans="2:10" s="136" customFormat="1" ht="12.75">
      <c r="B50" s="119"/>
      <c r="C50" s="119"/>
      <c r="D50" s="48"/>
      <c r="E50" s="48"/>
      <c r="F50" s="48"/>
      <c r="G50" s="124"/>
      <c r="H50" s="124"/>
      <c r="I50" s="124"/>
      <c r="J50" s="124"/>
    </row>
    <row r="51" spans="2:10" s="124" customFormat="1" ht="12.75">
      <c r="D51" s="48"/>
      <c r="E51" s="48"/>
      <c r="F51" s="48"/>
    </row>
    <row r="52" spans="2:10" s="124" customFormat="1" ht="12.75">
      <c r="D52" s="48"/>
      <c r="E52" s="48"/>
      <c r="F52" s="48"/>
    </row>
    <row r="53" spans="2:10" s="119" customFormat="1" ht="12.75">
      <c r="D53" s="48"/>
      <c r="E53" s="48"/>
      <c r="F53" s="48"/>
      <c r="G53" s="171"/>
      <c r="H53" s="171"/>
      <c r="I53" s="171"/>
      <c r="J53" s="171"/>
    </row>
    <row r="54" spans="2:10" s="124" customFormat="1" ht="12.75">
      <c r="D54" s="48"/>
      <c r="E54" s="48"/>
      <c r="F54" s="48"/>
      <c r="G54" s="171"/>
      <c r="H54" s="171"/>
      <c r="I54" s="171"/>
      <c r="J54" s="171"/>
    </row>
    <row r="55" spans="2:10" s="124" customFormat="1" ht="12.75">
      <c r="D55" s="48"/>
      <c r="E55" s="48"/>
      <c r="F55" s="48"/>
      <c r="G55" s="48"/>
      <c r="H55" s="48"/>
      <c r="I55" s="48"/>
      <c r="J55" s="48"/>
    </row>
    <row r="56" spans="2:10" s="119" customFormat="1" ht="12.75">
      <c r="B56" s="124"/>
      <c r="C56" s="124"/>
      <c r="D56" s="48"/>
      <c r="E56" s="48"/>
      <c r="F56" s="48"/>
      <c r="G56" s="48"/>
      <c r="H56" s="48"/>
      <c r="I56" s="48"/>
      <c r="J56" s="48"/>
    </row>
    <row r="57" spans="2:10" s="124" customFormat="1" ht="12.75">
      <c r="B57" s="48"/>
      <c r="C57" s="171"/>
      <c r="D57" s="48"/>
      <c r="E57" s="48"/>
      <c r="F57" s="48"/>
      <c r="G57" s="48"/>
      <c r="H57" s="48"/>
      <c r="I57" s="48"/>
      <c r="J57" s="48"/>
    </row>
    <row r="58" spans="2:10" s="124" customFormat="1" ht="12.75">
      <c r="B58" s="48"/>
      <c r="C58" s="171"/>
      <c r="D58" s="48"/>
      <c r="E58" s="48"/>
      <c r="F58" s="48"/>
      <c r="G58" s="171"/>
      <c r="H58" s="48"/>
      <c r="I58" s="48"/>
      <c r="J58" s="48"/>
    </row>
    <row r="59" spans="2:10" s="124" customFormat="1" ht="12.75">
      <c r="B59" s="48"/>
      <c r="C59" s="48"/>
      <c r="D59" s="48"/>
      <c r="E59" s="48"/>
      <c r="F59" s="48"/>
      <c r="G59" s="171"/>
      <c r="H59" s="48"/>
      <c r="I59" s="48"/>
      <c r="J59" s="48"/>
    </row>
    <row r="60" spans="2:10" ht="12.75"/>
    <row r="61" spans="2:10" ht="12.75"/>
    <row r="62" spans="2:10" ht="12.75">
      <c r="G62" s="171"/>
    </row>
    <row r="63" spans="2:10" ht="15" customHeight="1"/>
    <row r="64" spans="2:10" ht="12.75"/>
    <row r="65" ht="12.75"/>
    <row r="66" ht="12.75"/>
    <row r="67" ht="12.75"/>
    <row r="68" ht="12.75"/>
    <row r="69" ht="12.75"/>
    <row r="70" ht="15" customHeight="1"/>
    <row r="71" ht="15" customHeight="1"/>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sheetData>
  <mergeCells count="36">
    <mergeCell ref="H2:H3"/>
    <mergeCell ref="I2:I3"/>
    <mergeCell ref="J2:J3"/>
    <mergeCell ref="B8:B9"/>
    <mergeCell ref="C8:C9"/>
    <mergeCell ref="D8:D9"/>
    <mergeCell ref="E8:E9"/>
    <mergeCell ref="F8:F9"/>
    <mergeCell ref="F20:F21"/>
    <mergeCell ref="B22:C22"/>
    <mergeCell ref="D22:F22"/>
    <mergeCell ref="B2:F2"/>
    <mergeCell ref="G2:G3"/>
    <mergeCell ref="B15:B16"/>
    <mergeCell ref="C15:C16"/>
    <mergeCell ref="D15:D16"/>
    <mergeCell ref="E15:E16"/>
    <mergeCell ref="F15:F16"/>
    <mergeCell ref="B33:C33"/>
    <mergeCell ref="D33:E33"/>
    <mergeCell ref="B20:B21"/>
    <mergeCell ref="C20:C21"/>
    <mergeCell ref="D20:D21"/>
    <mergeCell ref="E20:E21"/>
    <mergeCell ref="D29:D30"/>
    <mergeCell ref="E29:E30"/>
    <mergeCell ref="D36:E36"/>
    <mergeCell ref="D37:E37"/>
    <mergeCell ref="D38:E38"/>
    <mergeCell ref="D39:E39"/>
    <mergeCell ref="G33:J39"/>
    <mergeCell ref="F29:F30"/>
    <mergeCell ref="D31:E31"/>
    <mergeCell ref="D32:E32"/>
    <mergeCell ref="D34:E34"/>
    <mergeCell ref="D35:E35"/>
  </mergeCells>
  <printOptions horizontalCentered="1" verticalCentered="1"/>
  <pageMargins left="0.7" right="0.7" top="0.75" bottom="0.75" header="0.3" footer="0.3"/>
  <pageSetup scale="89" fitToHeight="0" orientation="landscape" horizontalDpi="4294967292" verticalDpi="4294967292" r:id="rId1"/>
  <headerFooter>
    <oddHeader>&amp;C&amp;"Times New Roman Bold,Bold"&amp;14&amp;K000000INVESTOR SHEET</oddHeader>
    <oddFooter>&amp;CPage &amp;P of &amp;N</oddFooter>
  </headerFooter>
  <ignoredErrors>
    <ignoredError sqref="E20 E8 E15"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750C-C35D-6546-A03F-562A55F574A8}">
  <sheetPr>
    <tabColor rgb="FF92D050"/>
  </sheetPr>
  <dimension ref="A1:AS69"/>
  <sheetViews>
    <sheetView zoomScale="75" zoomScaleNormal="100" zoomScalePageLayoutView="125" workbookViewId="0">
      <selection activeCell="L36" sqref="L36"/>
    </sheetView>
  </sheetViews>
  <sheetFormatPr defaultColWidth="8.85546875" defaultRowHeight="15" outlineLevelRow="1"/>
  <cols>
    <col min="1" max="1" width="4" style="47" customWidth="1"/>
    <col min="2" max="2" width="49.140625" style="48" bestFit="1" customWidth="1"/>
    <col min="3" max="3" width="20.85546875" style="48" customWidth="1"/>
    <col min="4" max="15" width="15.140625" style="48" customWidth="1"/>
    <col min="16" max="37" width="17" style="48" customWidth="1"/>
    <col min="38" max="38" width="16.42578125" style="48" customWidth="1"/>
    <col min="39" max="39" width="15" style="89" customWidth="1"/>
    <col min="40" max="40" width="17.85546875" style="89" bestFit="1" customWidth="1"/>
    <col min="41" max="41" width="9.42578125" style="48" bestFit="1" customWidth="1"/>
    <col min="42" max="42" width="11.85546875" style="48" bestFit="1" customWidth="1"/>
    <col min="43" max="44" width="9.42578125" style="48" bestFit="1" customWidth="1"/>
    <col min="45" max="16384" width="8.85546875" style="48"/>
  </cols>
  <sheetData>
    <row r="1" spans="1:44" s="47" customFormat="1" ht="15.75" thickBot="1">
      <c r="AM1" s="125"/>
      <c r="AN1" s="125"/>
    </row>
    <row r="2" spans="1:44" s="89" customFormat="1" ht="15.75" thickBot="1">
      <c r="A2" s="125"/>
      <c r="B2" s="1257" t="s">
        <v>415</v>
      </c>
      <c r="C2" s="221" t="s">
        <v>330</v>
      </c>
      <c r="D2" s="478">
        <v>0</v>
      </c>
      <c r="E2" s="479">
        <f t="shared" ref="E2:O2" si="0">D2+1</f>
        <v>1</v>
      </c>
      <c r="F2" s="479">
        <f>E2+1</f>
        <v>2</v>
      </c>
      <c r="G2" s="479">
        <f>F2+1</f>
        <v>3</v>
      </c>
      <c r="H2" s="865">
        <f t="shared" si="0"/>
        <v>4</v>
      </c>
      <c r="I2" s="465">
        <f t="shared" si="0"/>
        <v>5</v>
      </c>
      <c r="J2" s="465">
        <f t="shared" si="0"/>
        <v>6</v>
      </c>
      <c r="K2" s="469">
        <f>J2+1</f>
        <v>7</v>
      </c>
      <c r="L2" s="128">
        <f>K2+1</f>
        <v>8</v>
      </c>
      <c r="M2" s="129">
        <f>L2+1</f>
        <v>9</v>
      </c>
      <c r="N2" s="129">
        <f t="shared" si="0"/>
        <v>10</v>
      </c>
      <c r="O2" s="246">
        <f t="shared" si="0"/>
        <v>11</v>
      </c>
      <c r="P2" s="48"/>
      <c r="Q2" s="48"/>
      <c r="R2" s="48"/>
      <c r="S2" s="48"/>
      <c r="T2" s="48"/>
      <c r="U2" s="48"/>
      <c r="V2" s="48"/>
      <c r="W2" s="48"/>
      <c r="X2" s="48"/>
      <c r="Y2" s="48"/>
      <c r="Z2" s="48"/>
      <c r="AA2" s="48"/>
      <c r="AB2" s="48"/>
      <c r="AC2" s="48"/>
      <c r="AD2" s="48"/>
      <c r="AE2" s="48"/>
      <c r="AF2" s="48"/>
      <c r="AG2" s="48"/>
      <c r="AH2" s="48"/>
      <c r="AI2" s="48"/>
      <c r="AJ2" s="48"/>
      <c r="AK2" s="48"/>
      <c r="AL2" s="48"/>
      <c r="AO2" s="48"/>
      <c r="AP2" s="48"/>
      <c r="AQ2" s="48"/>
      <c r="AR2" s="48"/>
    </row>
    <row r="3" spans="1:44" s="89" customFormat="1" ht="41.45" customHeight="1" thickBot="1">
      <c r="A3" s="125"/>
      <c r="B3" s="1203"/>
      <c r="C3" s="222" t="s">
        <v>103</v>
      </c>
      <c r="D3" s="480">
        <v>45413</v>
      </c>
      <c r="E3" s="481">
        <f>EDATE(D3,12)</f>
        <v>45778</v>
      </c>
      <c r="F3" s="481">
        <f>EDATE(E3,12)</f>
        <v>46143</v>
      </c>
      <c r="G3" s="481">
        <f>EDATE(F3,12)</f>
        <v>46508</v>
      </c>
      <c r="H3" s="276">
        <f>EDATE(G3,12)</f>
        <v>46874</v>
      </c>
      <c r="I3" s="277">
        <f t="shared" ref="I3:O3" si="1">EDATE(H3,12)</f>
        <v>47239</v>
      </c>
      <c r="J3" s="277">
        <f t="shared" si="1"/>
        <v>47604</v>
      </c>
      <c r="K3" s="359">
        <f t="shared" si="1"/>
        <v>47969</v>
      </c>
      <c r="L3" s="210">
        <f t="shared" si="1"/>
        <v>48335</v>
      </c>
      <c r="M3" s="211">
        <f t="shared" si="1"/>
        <v>48700</v>
      </c>
      <c r="N3" s="211">
        <f t="shared" si="1"/>
        <v>49065</v>
      </c>
      <c r="O3" s="212">
        <f t="shared" si="1"/>
        <v>49430</v>
      </c>
      <c r="P3" s="48"/>
      <c r="Q3" s="48"/>
      <c r="R3" s="48"/>
      <c r="S3" s="48"/>
      <c r="T3" s="48"/>
      <c r="U3" s="48"/>
      <c r="V3" s="48"/>
      <c r="W3" s="48"/>
      <c r="X3" s="48"/>
      <c r="Y3" s="48"/>
      <c r="Z3" s="48"/>
      <c r="AA3" s="48"/>
      <c r="AB3" s="48"/>
      <c r="AC3" s="48"/>
      <c r="AD3" s="48"/>
      <c r="AE3" s="48"/>
      <c r="AF3" s="48"/>
      <c r="AG3" s="48"/>
      <c r="AH3" s="48"/>
      <c r="AI3" s="48"/>
      <c r="AJ3" s="48"/>
      <c r="AK3" s="48"/>
      <c r="AL3" s="48"/>
      <c r="AO3" s="48"/>
      <c r="AP3" s="48"/>
      <c r="AQ3" s="48"/>
      <c r="AR3" s="48"/>
    </row>
    <row r="4" spans="1:44" s="89" customFormat="1" ht="63.95" hidden="1" customHeight="1" thickBot="1">
      <c r="A4" s="125"/>
      <c r="B4" s="1258"/>
      <c r="C4" s="223" t="s">
        <v>45</v>
      </c>
      <c r="D4" s="108" t="e">
        <f>EOMONTH(#REF!,3)</f>
        <v>#REF!</v>
      </c>
      <c r="E4" s="91" t="e">
        <f t="shared" ref="E4:J4" si="2">EOMONTH(D4,3)</f>
        <v>#REF!</v>
      </c>
      <c r="F4" s="91" t="e">
        <f>EOMONTH(#REF!,3)</f>
        <v>#REF!</v>
      </c>
      <c r="G4" s="91" t="e">
        <f>EOMONTH(#REF!,3)</f>
        <v>#REF!</v>
      </c>
      <c r="H4" s="200" t="e">
        <f t="shared" si="2"/>
        <v>#REF!</v>
      </c>
      <c r="I4" s="201" t="e">
        <f t="shared" si="2"/>
        <v>#REF!</v>
      </c>
      <c r="J4" s="201" t="e">
        <f t="shared" si="2"/>
        <v>#REF!</v>
      </c>
      <c r="K4" s="360" t="e">
        <f>EOMONTH(#REF!,3)</f>
        <v>#REF!</v>
      </c>
      <c r="L4" s="108" t="e">
        <f>EOMONTH(#REF!,3)</f>
        <v>#REF!</v>
      </c>
      <c r="M4" s="91" t="e">
        <f>EOMONTH(K4,3)</f>
        <v>#REF!</v>
      </c>
      <c r="N4" s="91" t="e">
        <f t="shared" ref="N4" si="3">EOMONTH(M4,3)</f>
        <v>#REF!</v>
      </c>
      <c r="O4" s="98" t="e">
        <f>EOMONTH(J4,3)</f>
        <v>#REF!</v>
      </c>
      <c r="AO4" s="48"/>
      <c r="AP4" s="48"/>
      <c r="AQ4" s="48"/>
      <c r="AR4" s="48"/>
    </row>
    <row r="5" spans="1:44" s="89" customFormat="1">
      <c r="A5" s="125"/>
      <c r="B5" s="441" t="s">
        <v>110</v>
      </c>
      <c r="C5" s="522">
        <v>1</v>
      </c>
      <c r="D5" s="523" t="s">
        <v>202</v>
      </c>
      <c r="E5" s="524" t="s">
        <v>202</v>
      </c>
      <c r="F5" s="524" t="s">
        <v>202</v>
      </c>
      <c r="G5" s="524" t="s">
        <v>202</v>
      </c>
      <c r="H5" s="530">
        <f t="shared" ref="H5:N5" si="4">H30/$C$30</f>
        <v>0.38482174231197808</v>
      </c>
      <c r="I5" s="525">
        <f t="shared" si="4"/>
        <v>0.19567609585987444</v>
      </c>
      <c r="J5" s="525">
        <f t="shared" si="4"/>
        <v>0.20940626604913043</v>
      </c>
      <c r="K5" s="526">
        <f t="shared" si="4"/>
        <v>0.21009589577901713</v>
      </c>
      <c r="L5" s="523">
        <f t="shared" si="4"/>
        <v>0</v>
      </c>
      <c r="M5" s="524">
        <f t="shared" si="4"/>
        <v>0</v>
      </c>
      <c r="N5" s="524">
        <f t="shared" si="4"/>
        <v>0</v>
      </c>
      <c r="O5" s="527" t="s">
        <v>202</v>
      </c>
      <c r="AO5" s="48"/>
      <c r="AP5" s="48"/>
      <c r="AQ5" s="48"/>
      <c r="AR5" s="48"/>
    </row>
    <row r="6" spans="1:44" s="89" customFormat="1">
      <c r="A6" s="125"/>
      <c r="B6" s="199" t="str">
        <f>'Site 2 - Financial'!G4</f>
        <v>Residential Condominium Hard Costs for Construction</v>
      </c>
      <c r="C6" s="471">
        <f>'Site 2 - Financial'!I4</f>
        <v>166072500</v>
      </c>
      <c r="D6" s="520" t="s">
        <v>202</v>
      </c>
      <c r="E6" s="512" t="s">
        <v>202</v>
      </c>
      <c r="F6" s="512" t="s">
        <v>202</v>
      </c>
      <c r="G6" s="512" t="s">
        <v>202</v>
      </c>
      <c r="H6" s="203">
        <f>$C6/4</f>
        <v>41518125</v>
      </c>
      <c r="I6" s="204">
        <f t="shared" ref="I6:K10" si="5">$C6/4</f>
        <v>41518125</v>
      </c>
      <c r="J6" s="204">
        <f t="shared" si="5"/>
        <v>41518125</v>
      </c>
      <c r="K6" s="205">
        <f t="shared" si="5"/>
        <v>41518125</v>
      </c>
      <c r="L6" s="520" t="s">
        <v>202</v>
      </c>
      <c r="M6" s="512" t="s">
        <v>202</v>
      </c>
      <c r="N6" s="512" t="s">
        <v>202</v>
      </c>
      <c r="O6" s="514" t="s">
        <v>202</v>
      </c>
      <c r="P6" s="868"/>
      <c r="AO6" s="48"/>
      <c r="AP6" s="48"/>
      <c r="AQ6" s="48"/>
      <c r="AR6" s="48"/>
    </row>
    <row r="7" spans="1:44" s="89" customFormat="1">
      <c r="A7" s="125"/>
      <c r="B7" s="258" t="str">
        <f>'Site 2 - Financial'!G5</f>
        <v>Office Shell &amp; Core Hard Costs for Construction</v>
      </c>
      <c r="C7" s="220">
        <f>'Site 2 - Financial'!I5</f>
        <v>0</v>
      </c>
      <c r="D7" s="252" t="s">
        <v>202</v>
      </c>
      <c r="E7" s="253" t="s">
        <v>202</v>
      </c>
      <c r="F7" s="253" t="s">
        <v>202</v>
      </c>
      <c r="G7" s="253" t="s">
        <v>202</v>
      </c>
      <c r="H7" s="483">
        <f t="shared" ref="H7:H10" si="6">$C7/4</f>
        <v>0</v>
      </c>
      <c r="I7" s="484">
        <f t="shared" si="5"/>
        <v>0</v>
      </c>
      <c r="J7" s="484">
        <f t="shared" si="5"/>
        <v>0</v>
      </c>
      <c r="K7" s="518">
        <f t="shared" si="5"/>
        <v>0</v>
      </c>
      <c r="L7" s="252" t="s">
        <v>202</v>
      </c>
      <c r="M7" s="253" t="s">
        <v>202</v>
      </c>
      <c r="N7" s="253" t="s">
        <v>202</v>
      </c>
      <c r="O7" s="254" t="s">
        <v>202</v>
      </c>
      <c r="P7" s="868"/>
      <c r="AO7" s="48"/>
      <c r="AP7" s="48"/>
      <c r="AQ7" s="48"/>
      <c r="AR7" s="48"/>
    </row>
    <row r="8" spans="1:44" s="89" customFormat="1">
      <c r="A8" s="125"/>
      <c r="B8" s="258" t="str">
        <f>'Site 2 - Financial'!G6</f>
        <v>Retail Hard Costs for Construction</v>
      </c>
      <c r="C8" s="220">
        <f>'Site 2 - Financial'!I6</f>
        <v>16428500</v>
      </c>
      <c r="D8" s="252" t="s">
        <v>202</v>
      </c>
      <c r="E8" s="253" t="s">
        <v>202</v>
      </c>
      <c r="F8" s="253" t="s">
        <v>202</v>
      </c>
      <c r="G8" s="253" t="s">
        <v>202</v>
      </c>
      <c r="H8" s="483">
        <f t="shared" si="6"/>
        <v>4107125</v>
      </c>
      <c r="I8" s="484">
        <f t="shared" si="5"/>
        <v>4107125</v>
      </c>
      <c r="J8" s="484">
        <f t="shared" si="5"/>
        <v>4107125</v>
      </c>
      <c r="K8" s="518">
        <f t="shared" si="5"/>
        <v>4107125</v>
      </c>
      <c r="L8" s="252" t="s">
        <v>202</v>
      </c>
      <c r="M8" s="253" t="s">
        <v>202</v>
      </c>
      <c r="N8" s="253" t="s">
        <v>202</v>
      </c>
      <c r="O8" s="254" t="s">
        <v>202</v>
      </c>
      <c r="P8" s="868"/>
      <c r="AO8" s="48"/>
      <c r="AP8" s="48"/>
      <c r="AQ8" s="48"/>
      <c r="AR8" s="48"/>
    </row>
    <row r="9" spans="1:44" s="89" customFormat="1">
      <c r="A9" s="125"/>
      <c r="B9" s="258" t="str">
        <f>'Site 2 - Financial'!G7</f>
        <v>Parking stalls</v>
      </c>
      <c r="C9" s="220">
        <f>'Site 2 - Financial'!I7</f>
        <v>20511360</v>
      </c>
      <c r="D9" s="252" t="s">
        <v>202</v>
      </c>
      <c r="E9" s="253" t="s">
        <v>202</v>
      </c>
      <c r="F9" s="253" t="s">
        <v>202</v>
      </c>
      <c r="G9" s="253" t="s">
        <v>202</v>
      </c>
      <c r="H9" s="483">
        <f t="shared" si="6"/>
        <v>5127840</v>
      </c>
      <c r="I9" s="484">
        <f t="shared" si="5"/>
        <v>5127840</v>
      </c>
      <c r="J9" s="484">
        <f t="shared" si="5"/>
        <v>5127840</v>
      </c>
      <c r="K9" s="518">
        <f t="shared" si="5"/>
        <v>5127840</v>
      </c>
      <c r="L9" s="252" t="s">
        <v>202</v>
      </c>
      <c r="M9" s="253" t="s">
        <v>202</v>
      </c>
      <c r="N9" s="253" t="s">
        <v>202</v>
      </c>
      <c r="O9" s="254" t="s">
        <v>202</v>
      </c>
      <c r="P9" s="868"/>
      <c r="AO9" s="48"/>
      <c r="AP9" s="48"/>
      <c r="AQ9" s="48"/>
      <c r="AR9" s="48"/>
    </row>
    <row r="10" spans="1:44" s="89" customFormat="1">
      <c r="A10" s="125"/>
      <c r="B10" s="258" t="str">
        <f>'Site 2 - Financial'!G8</f>
        <v>Hard Cost Contingency</v>
      </c>
      <c r="C10" s="220">
        <f>'Site 2 - Financial'!I8</f>
        <v>20301236</v>
      </c>
      <c r="D10" s="255" t="s">
        <v>202</v>
      </c>
      <c r="E10" s="256" t="s">
        <v>202</v>
      </c>
      <c r="F10" s="253" t="s">
        <v>202</v>
      </c>
      <c r="G10" s="253" t="s">
        <v>202</v>
      </c>
      <c r="H10" s="483">
        <f t="shared" si="6"/>
        <v>5075309</v>
      </c>
      <c r="I10" s="484">
        <f t="shared" si="5"/>
        <v>5075309</v>
      </c>
      <c r="J10" s="484">
        <f t="shared" si="5"/>
        <v>5075309</v>
      </c>
      <c r="K10" s="518">
        <f t="shared" si="5"/>
        <v>5075309</v>
      </c>
      <c r="L10" s="255" t="s">
        <v>202</v>
      </c>
      <c r="M10" s="256" t="s">
        <v>202</v>
      </c>
      <c r="N10" s="256" t="s">
        <v>202</v>
      </c>
      <c r="O10" s="257" t="s">
        <v>202</v>
      </c>
      <c r="P10" s="868"/>
      <c r="AO10" s="48"/>
      <c r="AP10" s="48"/>
      <c r="AQ10" s="48"/>
      <c r="AR10" s="48"/>
    </row>
    <row r="11" spans="1:44" s="89" customFormat="1">
      <c r="A11" s="125"/>
      <c r="B11" s="258" t="str">
        <f>'Site 2 - Financial'!G9</f>
        <v>Demolition</v>
      </c>
      <c r="C11" s="220">
        <f>'Site 2 - Financial'!I9</f>
        <v>500000</v>
      </c>
      <c r="D11" s="255" t="s">
        <v>202</v>
      </c>
      <c r="E11" s="256" t="s">
        <v>202</v>
      </c>
      <c r="F11" s="253" t="s">
        <v>202</v>
      </c>
      <c r="G11" s="253" t="s">
        <v>202</v>
      </c>
      <c r="H11" s="203">
        <f>C11</f>
        <v>500000</v>
      </c>
      <c r="I11" s="204">
        <v>0</v>
      </c>
      <c r="J11" s="204">
        <v>0</v>
      </c>
      <c r="K11" s="361">
        <v>0</v>
      </c>
      <c r="L11" s="255" t="s">
        <v>202</v>
      </c>
      <c r="M11" s="256" t="s">
        <v>202</v>
      </c>
      <c r="N11" s="256" t="s">
        <v>202</v>
      </c>
      <c r="O11" s="257" t="s">
        <v>202</v>
      </c>
      <c r="P11" s="868"/>
      <c r="AO11" s="48"/>
      <c r="AP11" s="48"/>
      <c r="AQ11" s="48"/>
      <c r="AR11" s="48"/>
    </row>
    <row r="12" spans="1:44" s="89" customFormat="1" ht="18.95" customHeight="1">
      <c r="A12" s="125"/>
      <c r="B12" s="258" t="str">
        <f>'Site 2 - Financial'!G10</f>
        <v>Land</v>
      </c>
      <c r="C12" s="220">
        <f>'Site 2 - Financial'!I10</f>
        <v>59705578.512396693</v>
      </c>
      <c r="D12" s="255" t="s">
        <v>202</v>
      </c>
      <c r="E12" s="256" t="s">
        <v>202</v>
      </c>
      <c r="F12" s="253" t="s">
        <v>202</v>
      </c>
      <c r="G12" s="253" t="s">
        <v>202</v>
      </c>
      <c r="H12" s="203">
        <f>C12</f>
        <v>59705578.512396693</v>
      </c>
      <c r="I12" s="204">
        <v>0</v>
      </c>
      <c r="J12" s="204">
        <v>0</v>
      </c>
      <c r="K12" s="361">
        <v>0</v>
      </c>
      <c r="L12" s="255" t="s">
        <v>202</v>
      </c>
      <c r="M12" s="256" t="s">
        <v>202</v>
      </c>
      <c r="N12" s="256" t="s">
        <v>202</v>
      </c>
      <c r="O12" s="257" t="s">
        <v>202</v>
      </c>
      <c r="P12" s="868"/>
      <c r="AO12" s="48"/>
      <c r="AP12" s="48"/>
      <c r="AQ12" s="48"/>
      <c r="AR12" s="48"/>
    </row>
    <row r="13" spans="1:44" s="89" customFormat="1">
      <c r="A13" s="125"/>
      <c r="B13" s="258" t="str">
        <f>'Site 2 - Financial'!G11</f>
        <v>Municipal Fees and Allowances</v>
      </c>
      <c r="C13" s="220">
        <f>'Site 2 - Financial'!I11</f>
        <v>630000</v>
      </c>
      <c r="D13" s="255" t="s">
        <v>202</v>
      </c>
      <c r="E13" s="256" t="s">
        <v>202</v>
      </c>
      <c r="F13" s="253" t="s">
        <v>202</v>
      </c>
      <c r="G13" s="253" t="s">
        <v>202</v>
      </c>
      <c r="H13" s="203">
        <f>C13</f>
        <v>630000</v>
      </c>
      <c r="I13" s="204">
        <v>0</v>
      </c>
      <c r="J13" s="204">
        <v>0</v>
      </c>
      <c r="K13" s="361">
        <v>0</v>
      </c>
      <c r="L13" s="255" t="s">
        <v>202</v>
      </c>
      <c r="M13" s="256" t="s">
        <v>202</v>
      </c>
      <c r="N13" s="256" t="s">
        <v>202</v>
      </c>
      <c r="O13" s="257" t="s">
        <v>202</v>
      </c>
      <c r="P13" s="868"/>
      <c r="AO13" s="48"/>
      <c r="AP13" s="48"/>
      <c r="AQ13" s="48"/>
      <c r="AR13" s="48"/>
    </row>
    <row r="14" spans="1:44" s="89" customFormat="1">
      <c r="A14" s="125"/>
      <c r="B14" s="258" t="str">
        <f>'Site 2 - Financial'!G12</f>
        <v>Infrastructure Allocation</v>
      </c>
      <c r="C14" s="220">
        <f>'Site 2 - Financial'!I12</f>
        <v>14999999.999999996</v>
      </c>
      <c r="D14" s="252" t="s">
        <v>202</v>
      </c>
      <c r="E14" s="253" t="s">
        <v>202</v>
      </c>
      <c r="F14" s="253" t="s">
        <v>202</v>
      </c>
      <c r="G14" s="253" t="s">
        <v>202</v>
      </c>
      <c r="H14" s="203">
        <f>C14/4</f>
        <v>3749999.9999999991</v>
      </c>
      <c r="I14" s="204">
        <f>H14</f>
        <v>3749999.9999999991</v>
      </c>
      <c r="J14" s="204">
        <f>I14</f>
        <v>3749999.9999999991</v>
      </c>
      <c r="K14" s="361">
        <f>J14</f>
        <v>3749999.9999999991</v>
      </c>
      <c r="L14" s="252" t="s">
        <v>202</v>
      </c>
      <c r="M14" s="253" t="s">
        <v>202</v>
      </c>
      <c r="N14" s="253" t="s">
        <v>202</v>
      </c>
      <c r="O14" s="254" t="s">
        <v>202</v>
      </c>
      <c r="P14" s="868"/>
      <c r="AO14" s="48"/>
      <c r="AP14" s="48"/>
      <c r="AQ14" s="48"/>
      <c r="AR14" s="48"/>
    </row>
    <row r="15" spans="1:44" s="89" customFormat="1">
      <c r="A15" s="125"/>
      <c r="B15" s="258" t="str">
        <f>'Site 2 - Financial'!G13</f>
        <v>Legal</v>
      </c>
      <c r="C15" s="220">
        <f>'Site 2 - Financial'!I13</f>
        <v>400000</v>
      </c>
      <c r="D15" s="252" t="s">
        <v>202</v>
      </c>
      <c r="E15" s="253" t="s">
        <v>202</v>
      </c>
      <c r="F15" s="253" t="s">
        <v>202</v>
      </c>
      <c r="G15" s="253" t="s">
        <v>202</v>
      </c>
      <c r="H15" s="203">
        <f>C15/2</f>
        <v>200000</v>
      </c>
      <c r="I15" s="204">
        <v>0</v>
      </c>
      <c r="J15" s="204">
        <v>0</v>
      </c>
      <c r="K15" s="361">
        <f>H15</f>
        <v>200000</v>
      </c>
      <c r="L15" s="252" t="s">
        <v>202</v>
      </c>
      <c r="M15" s="253" t="s">
        <v>202</v>
      </c>
      <c r="N15" s="253" t="s">
        <v>202</v>
      </c>
      <c r="O15" s="254" t="s">
        <v>202</v>
      </c>
      <c r="P15" s="868"/>
      <c r="AO15" s="48"/>
      <c r="AP15" s="48"/>
      <c r="AQ15" s="48"/>
      <c r="AR15" s="48"/>
    </row>
    <row r="16" spans="1:44" s="89" customFormat="1">
      <c r="A16" s="125"/>
      <c r="B16" s="258" t="str">
        <f>'Site 2 - Financial'!G14</f>
        <v>Land Closing Costs/Commissions</v>
      </c>
      <c r="C16" s="220">
        <f>'Site 2 - Financial'!I14</f>
        <v>1194111.570247934</v>
      </c>
      <c r="D16" s="255" t="s">
        <v>202</v>
      </c>
      <c r="E16" s="378" t="s">
        <v>202</v>
      </c>
      <c r="F16" s="377" t="s">
        <v>202</v>
      </c>
      <c r="G16" s="377" t="s">
        <v>202</v>
      </c>
      <c r="H16" s="203">
        <f>C16</f>
        <v>1194111.570247934</v>
      </c>
      <c r="I16" s="204">
        <v>0</v>
      </c>
      <c r="J16" s="204">
        <v>0</v>
      </c>
      <c r="K16" s="361">
        <v>0</v>
      </c>
      <c r="L16" s="255" t="s">
        <v>202</v>
      </c>
      <c r="M16" s="256" t="s">
        <v>202</v>
      </c>
      <c r="N16" s="256" t="s">
        <v>202</v>
      </c>
      <c r="O16" s="463" t="s">
        <v>202</v>
      </c>
      <c r="P16" s="868"/>
      <c r="AO16" s="48"/>
      <c r="AP16" s="48"/>
      <c r="AQ16" s="48"/>
      <c r="AR16" s="48"/>
    </row>
    <row r="17" spans="1:44" s="89" customFormat="1">
      <c r="A17" s="125"/>
      <c r="B17" s="258" t="str">
        <f>'Site 2 - Financial'!G15</f>
        <v xml:space="preserve">Design </v>
      </c>
      <c r="C17" s="220">
        <f>'Site 2 - Financial'!I15</f>
        <v>8120494.4000000004</v>
      </c>
      <c r="D17" s="255" t="s">
        <v>202</v>
      </c>
      <c r="E17" s="378" t="s">
        <v>202</v>
      </c>
      <c r="F17" s="377" t="s">
        <v>202</v>
      </c>
      <c r="G17" s="377" t="s">
        <v>202</v>
      </c>
      <c r="H17" s="203">
        <f>$C$17*0.75</f>
        <v>6090370.8000000007</v>
      </c>
      <c r="I17" s="204">
        <f>$C$17*0.25*(1/3)</f>
        <v>676707.8666666667</v>
      </c>
      <c r="J17" s="204">
        <f>$C$17*0.25*(1/3)</f>
        <v>676707.8666666667</v>
      </c>
      <c r="K17" s="361">
        <f>$C$17*0.25*(1/3)</f>
        <v>676707.8666666667</v>
      </c>
      <c r="L17" s="255" t="s">
        <v>202</v>
      </c>
      <c r="M17" s="256" t="s">
        <v>202</v>
      </c>
      <c r="N17" s="256" t="s">
        <v>202</v>
      </c>
      <c r="O17" s="463" t="s">
        <v>202</v>
      </c>
      <c r="P17" s="868"/>
      <c r="AO17" s="48"/>
      <c r="AP17" s="48"/>
      <c r="AQ17" s="48"/>
      <c r="AR17" s="48"/>
    </row>
    <row r="18" spans="1:44" s="89" customFormat="1" ht="18.95" customHeight="1">
      <c r="A18" s="125"/>
      <c r="B18" s="258" t="str">
        <f>'Site 2 - Financial'!G16</f>
        <v>Developer Fee</v>
      </c>
      <c r="C18" s="220">
        <f>'Site 2 - Financial'!I16</f>
        <v>9265913.4144793376</v>
      </c>
      <c r="D18" s="255" t="s">
        <v>202</v>
      </c>
      <c r="E18" s="378" t="s">
        <v>202</v>
      </c>
      <c r="F18" s="377" t="s">
        <v>202</v>
      </c>
      <c r="G18" s="377" t="s">
        <v>202</v>
      </c>
      <c r="H18" s="203">
        <f>C18/4</f>
        <v>2316478.3536198344</v>
      </c>
      <c r="I18" s="204">
        <f t="shared" ref="I18:K21" si="7">H18</f>
        <v>2316478.3536198344</v>
      </c>
      <c r="J18" s="204">
        <f t="shared" si="7"/>
        <v>2316478.3536198344</v>
      </c>
      <c r="K18" s="361">
        <f t="shared" si="7"/>
        <v>2316478.3536198344</v>
      </c>
      <c r="L18" s="255" t="s">
        <v>202</v>
      </c>
      <c r="M18" s="256" t="s">
        <v>202</v>
      </c>
      <c r="N18" s="256" t="s">
        <v>202</v>
      </c>
      <c r="O18" s="463" t="s">
        <v>202</v>
      </c>
      <c r="P18" s="868"/>
      <c r="AO18" s="48"/>
      <c r="AP18" s="48"/>
      <c r="AQ18" s="48"/>
      <c r="AR18" s="48"/>
    </row>
    <row r="19" spans="1:44" s="89" customFormat="1">
      <c r="A19" s="125"/>
      <c r="B19" s="258" t="str">
        <f>'Site 2 - Financial'!G17</f>
        <v>Construction Management Fee</v>
      </c>
      <c r="C19" s="220">
        <f>'Site 2 - Financial'!I17</f>
        <v>4060247.2</v>
      </c>
      <c r="D19" s="255" t="s">
        <v>202</v>
      </c>
      <c r="E19" s="378" t="s">
        <v>202</v>
      </c>
      <c r="F19" s="377" t="s">
        <v>202</v>
      </c>
      <c r="G19" s="377" t="s">
        <v>202</v>
      </c>
      <c r="H19" s="203">
        <f>C19/4</f>
        <v>1015061.8</v>
      </c>
      <c r="I19" s="204">
        <f t="shared" si="7"/>
        <v>1015061.8</v>
      </c>
      <c r="J19" s="204">
        <f t="shared" si="7"/>
        <v>1015061.8</v>
      </c>
      <c r="K19" s="361">
        <f t="shared" si="7"/>
        <v>1015061.8</v>
      </c>
      <c r="L19" s="255" t="s">
        <v>202</v>
      </c>
      <c r="M19" s="256" t="s">
        <v>202</v>
      </c>
      <c r="N19" s="256" t="s">
        <v>202</v>
      </c>
      <c r="O19" s="463" t="s">
        <v>202</v>
      </c>
      <c r="P19" s="868"/>
      <c r="AO19" s="48"/>
      <c r="AP19" s="48"/>
      <c r="AQ19" s="48"/>
      <c r="AR19" s="48"/>
    </row>
    <row r="20" spans="1:44" s="89" customFormat="1">
      <c r="A20" s="125"/>
      <c r="B20" s="258" t="str">
        <f>'Site 2 - Financial'!G18</f>
        <v>Taxes</v>
      </c>
      <c r="C20" s="220">
        <f>'Site 2 - Financial'!I18</f>
        <v>527164.43491735531</v>
      </c>
      <c r="D20" s="252" t="s">
        <v>202</v>
      </c>
      <c r="E20" s="377" t="s">
        <v>202</v>
      </c>
      <c r="F20" s="377" t="s">
        <v>202</v>
      </c>
      <c r="G20" s="377" t="s">
        <v>202</v>
      </c>
      <c r="H20" s="203">
        <f>C20/4</f>
        <v>131791.10872933883</v>
      </c>
      <c r="I20" s="204">
        <f t="shared" si="7"/>
        <v>131791.10872933883</v>
      </c>
      <c r="J20" s="204">
        <f t="shared" si="7"/>
        <v>131791.10872933883</v>
      </c>
      <c r="K20" s="361">
        <f t="shared" si="7"/>
        <v>131791.10872933883</v>
      </c>
      <c r="L20" s="252" t="s">
        <v>202</v>
      </c>
      <c r="M20" s="253" t="s">
        <v>202</v>
      </c>
      <c r="N20" s="253" t="s">
        <v>202</v>
      </c>
      <c r="O20" s="462" t="s">
        <v>202</v>
      </c>
      <c r="P20" s="868"/>
      <c r="AO20" s="48"/>
      <c r="AP20" s="48"/>
      <c r="AQ20" s="48"/>
      <c r="AR20" s="48"/>
    </row>
    <row r="21" spans="1:44" s="89" customFormat="1">
      <c r="A21" s="125"/>
      <c r="B21" s="258" t="str">
        <f>'Site 2 - Financial'!G19</f>
        <v>Insurance</v>
      </c>
      <c r="C21" s="220">
        <f>'Site 2 - Financial'!I19</f>
        <v>1962000</v>
      </c>
      <c r="D21" s="255" t="s">
        <v>202</v>
      </c>
      <c r="E21" s="378" t="s">
        <v>202</v>
      </c>
      <c r="F21" s="377" t="s">
        <v>202</v>
      </c>
      <c r="G21" s="377" t="s">
        <v>202</v>
      </c>
      <c r="H21" s="203">
        <f>C21/4</f>
        <v>490500</v>
      </c>
      <c r="I21" s="204">
        <f t="shared" si="7"/>
        <v>490500</v>
      </c>
      <c r="J21" s="204">
        <f t="shared" si="7"/>
        <v>490500</v>
      </c>
      <c r="K21" s="361">
        <f t="shared" si="7"/>
        <v>490500</v>
      </c>
      <c r="L21" s="255" t="s">
        <v>202</v>
      </c>
      <c r="M21" s="256" t="s">
        <v>202</v>
      </c>
      <c r="N21" s="256" t="s">
        <v>202</v>
      </c>
      <c r="O21" s="463" t="s">
        <v>202</v>
      </c>
      <c r="P21" s="868"/>
      <c r="AO21" s="48"/>
      <c r="AP21" s="48"/>
      <c r="AQ21" s="48"/>
      <c r="AR21" s="48"/>
    </row>
    <row r="22" spans="1:44" s="89" customFormat="1">
      <c r="A22" s="125"/>
      <c r="B22" s="258" t="str">
        <f>'Site 2 - Financial'!G20</f>
        <v>Marketing, FFE and Preleasing</v>
      </c>
      <c r="C22" s="220">
        <f>'Site 2 - Financial'!I20</f>
        <v>400000</v>
      </c>
      <c r="D22" s="252" t="s">
        <v>202</v>
      </c>
      <c r="E22" s="377" t="s">
        <v>202</v>
      </c>
      <c r="F22" s="377" t="s">
        <v>202</v>
      </c>
      <c r="G22" s="377" t="s">
        <v>202</v>
      </c>
      <c r="H22" s="203">
        <v>0</v>
      </c>
      <c r="I22" s="204">
        <v>0</v>
      </c>
      <c r="J22" s="204">
        <f>C22/2</f>
        <v>200000</v>
      </c>
      <c r="K22" s="361">
        <f>J22</f>
        <v>200000</v>
      </c>
      <c r="L22" s="252" t="s">
        <v>202</v>
      </c>
      <c r="M22" s="253" t="s">
        <v>202</v>
      </c>
      <c r="N22" s="253" t="s">
        <v>202</v>
      </c>
      <c r="O22" s="462" t="s">
        <v>202</v>
      </c>
      <c r="P22" s="868"/>
      <c r="AO22" s="48"/>
      <c r="AP22" s="48"/>
      <c r="AQ22" s="48"/>
      <c r="AR22" s="48"/>
    </row>
    <row r="23" spans="1:44" s="89" customFormat="1">
      <c r="A23" s="125"/>
      <c r="B23" s="258" t="str">
        <f>'Site 2 - Financial'!G21</f>
        <v>Operating Deficit</v>
      </c>
      <c r="C23" s="220">
        <f>'Site 2 - Financial'!I21</f>
        <v>5346399.2752499999</v>
      </c>
      <c r="D23" s="252" t="s">
        <v>202</v>
      </c>
      <c r="E23" s="377" t="s">
        <v>202</v>
      </c>
      <c r="F23" s="377" t="s">
        <v>202</v>
      </c>
      <c r="G23" s="377" t="s">
        <v>202</v>
      </c>
      <c r="H23" s="203">
        <f>-(H36+H47+H56)</f>
        <v>0</v>
      </c>
      <c r="I23" s="204">
        <f>-(I36+I47+I56)</f>
        <v>1729722.5</v>
      </c>
      <c r="J23" s="204">
        <f>-(J36+J47+J56)</f>
        <v>1781614.175</v>
      </c>
      <c r="K23" s="361">
        <f>-(K36+K47+K56)</f>
        <v>1835062.6002500001</v>
      </c>
      <c r="L23" s="252" t="s">
        <v>202</v>
      </c>
      <c r="M23" s="253" t="s">
        <v>202</v>
      </c>
      <c r="N23" s="253" t="s">
        <v>202</v>
      </c>
      <c r="O23" s="462" t="s">
        <v>202</v>
      </c>
      <c r="P23" s="868"/>
      <c r="AO23" s="48"/>
      <c r="AP23" s="48"/>
      <c r="AQ23" s="48"/>
      <c r="AR23" s="48"/>
    </row>
    <row r="24" spans="1:44" s="89" customFormat="1">
      <c r="A24" s="125"/>
      <c r="B24" s="258" t="str">
        <f>'Site 2 - Financial'!G22</f>
        <v>Commercial Interior Fitout Cost</v>
      </c>
      <c r="C24" s="220">
        <f>'Site 2 - Financial'!I22</f>
        <v>8961000</v>
      </c>
      <c r="D24" s="252" t="s">
        <v>202</v>
      </c>
      <c r="E24" s="377" t="s">
        <v>202</v>
      </c>
      <c r="F24" s="377" t="s">
        <v>202</v>
      </c>
      <c r="G24" s="377" t="s">
        <v>202</v>
      </c>
      <c r="H24" s="203">
        <v>0</v>
      </c>
      <c r="I24" s="204">
        <v>0</v>
      </c>
      <c r="J24" s="204">
        <f>1/2*$C24</f>
        <v>4480500</v>
      </c>
      <c r="K24" s="361">
        <f>1/2*$C24</f>
        <v>4480500</v>
      </c>
      <c r="L24" s="252" t="s">
        <v>202</v>
      </c>
      <c r="M24" s="253" t="s">
        <v>202</v>
      </c>
      <c r="N24" s="253" t="s">
        <v>202</v>
      </c>
      <c r="O24" s="462" t="s">
        <v>202</v>
      </c>
      <c r="P24" s="868"/>
      <c r="AO24" s="48"/>
      <c r="AP24" s="48"/>
      <c r="AQ24" s="48"/>
      <c r="AR24" s="48"/>
    </row>
    <row r="25" spans="1:44" s="89" customFormat="1">
      <c r="A25" s="125"/>
      <c r="B25" s="258" t="str">
        <f>'Site 2 - Financial'!G23</f>
        <v>Commercial Brokerage Commission</v>
      </c>
      <c r="C25" s="220">
        <f>'Site 2 - Financial'!I23</f>
        <v>627270</v>
      </c>
      <c r="D25" s="252" t="s">
        <v>202</v>
      </c>
      <c r="E25" s="377" t="s">
        <v>202</v>
      </c>
      <c r="F25" s="377" t="s">
        <v>202</v>
      </c>
      <c r="G25" s="377" t="s">
        <v>202</v>
      </c>
      <c r="H25" s="203">
        <v>0</v>
      </c>
      <c r="I25" s="204">
        <v>0</v>
      </c>
      <c r="J25" s="204">
        <f>C25/2</f>
        <v>313635</v>
      </c>
      <c r="K25" s="361">
        <f>J25</f>
        <v>313635</v>
      </c>
      <c r="L25" s="252" t="s">
        <v>202</v>
      </c>
      <c r="M25" s="253" t="s">
        <v>202</v>
      </c>
      <c r="N25" s="253" t="s">
        <v>202</v>
      </c>
      <c r="O25" s="462" t="s">
        <v>202</v>
      </c>
      <c r="P25" s="868"/>
      <c r="AO25" s="48"/>
      <c r="AP25" s="48"/>
      <c r="AQ25" s="48"/>
      <c r="AR25" s="48"/>
    </row>
    <row r="26" spans="1:44" s="89" customFormat="1">
      <c r="A26" s="125"/>
      <c r="B26" s="258" t="str">
        <f>'Site 2 - Financial'!G24</f>
        <v>Construction Loan Origination</v>
      </c>
      <c r="C26" s="220">
        <f>'Site 2 - Financial'!I24</f>
        <v>3600000</v>
      </c>
      <c r="D26" s="252" t="s">
        <v>202</v>
      </c>
      <c r="E26" s="377" t="s">
        <v>202</v>
      </c>
      <c r="F26" s="377" t="s">
        <v>202</v>
      </c>
      <c r="G26" s="377" t="s">
        <v>202</v>
      </c>
      <c r="H26" s="203">
        <f>C26</f>
        <v>3600000</v>
      </c>
      <c r="I26" s="204">
        <v>0</v>
      </c>
      <c r="J26" s="204">
        <v>0</v>
      </c>
      <c r="K26" s="361">
        <v>0</v>
      </c>
      <c r="L26" s="252" t="s">
        <v>202</v>
      </c>
      <c r="M26" s="253" t="s">
        <v>202</v>
      </c>
      <c r="N26" s="253" t="s">
        <v>202</v>
      </c>
      <c r="O26" s="462" t="s">
        <v>202</v>
      </c>
      <c r="P26" s="868"/>
      <c r="AO26" s="48"/>
      <c r="AP26" s="48"/>
      <c r="AQ26" s="48"/>
      <c r="AR26" s="48"/>
    </row>
    <row r="27" spans="1:44" s="89" customFormat="1">
      <c r="A27" s="125"/>
      <c r="B27" s="258" t="str">
        <f>'Site 2 - Financial'!G25</f>
        <v>Construction Interest</v>
      </c>
      <c r="C27" s="220">
        <f>'Site 2 - Financial'!I25</f>
        <v>18900000</v>
      </c>
      <c r="D27" s="252" t="s">
        <v>202</v>
      </c>
      <c r="E27" s="377" t="s">
        <v>202</v>
      </c>
      <c r="F27" s="377" t="s">
        <v>202</v>
      </c>
      <c r="G27" s="377" t="s">
        <v>202</v>
      </c>
      <c r="H27" s="203">
        <f>1/4*$C27</f>
        <v>4725000</v>
      </c>
      <c r="I27" s="204">
        <f t="shared" ref="I27:K28" si="8">H27</f>
        <v>4725000</v>
      </c>
      <c r="J27" s="204">
        <f t="shared" si="8"/>
        <v>4725000</v>
      </c>
      <c r="K27" s="361">
        <f t="shared" si="8"/>
        <v>4725000</v>
      </c>
      <c r="L27" s="252" t="s">
        <v>202</v>
      </c>
      <c r="M27" s="253" t="s">
        <v>202</v>
      </c>
      <c r="N27" s="253" t="s">
        <v>202</v>
      </c>
      <c r="O27" s="462" t="s">
        <v>202</v>
      </c>
      <c r="P27" s="868"/>
      <c r="AO27" s="48"/>
      <c r="AP27" s="48"/>
      <c r="AQ27" s="48"/>
      <c r="AR27" s="48"/>
    </row>
    <row r="28" spans="1:44" s="89" customFormat="1">
      <c r="A28" s="125"/>
      <c r="B28" s="258" t="str">
        <f>'Site 2 - Financial'!G26</f>
        <v>Additional Contingency</v>
      </c>
      <c r="C28" s="220">
        <f>'Site 2 - Financial'!I26</f>
        <v>5000000</v>
      </c>
      <c r="D28" s="252" t="s">
        <v>202</v>
      </c>
      <c r="E28" s="377" t="s">
        <v>202</v>
      </c>
      <c r="F28" s="377" t="s">
        <v>202</v>
      </c>
      <c r="G28" s="377" t="s">
        <v>202</v>
      </c>
      <c r="H28" s="203">
        <f>C28/4</f>
        <v>1250000</v>
      </c>
      <c r="I28" s="204">
        <f t="shared" si="8"/>
        <v>1250000</v>
      </c>
      <c r="J28" s="204">
        <f t="shared" si="8"/>
        <v>1250000</v>
      </c>
      <c r="K28" s="361">
        <f t="shared" si="8"/>
        <v>1250000</v>
      </c>
      <c r="L28" s="252" t="s">
        <v>202</v>
      </c>
      <c r="M28" s="253" t="s">
        <v>202</v>
      </c>
      <c r="N28" s="253" t="s">
        <v>202</v>
      </c>
      <c r="O28" s="462" t="s">
        <v>202</v>
      </c>
      <c r="P28" s="868"/>
      <c r="AO28" s="48"/>
      <c r="AP28" s="48"/>
      <c r="AQ28" s="48"/>
      <c r="AR28" s="48"/>
    </row>
    <row r="29" spans="1:44" s="89" customFormat="1" ht="15.75" thickBot="1">
      <c r="A29" s="125"/>
      <c r="B29" s="199" t="s">
        <v>590</v>
      </c>
      <c r="C29" s="771">
        <f>-'Site 2 - Financial'!I28</f>
        <v>0</v>
      </c>
      <c r="D29" s="239" t="s">
        <v>202</v>
      </c>
      <c r="E29" s="769" t="s">
        <v>202</v>
      </c>
      <c r="F29" s="769" t="s">
        <v>202</v>
      </c>
      <c r="G29" s="769" t="s">
        <v>202</v>
      </c>
      <c r="H29" s="766">
        <f>C29</f>
        <v>0</v>
      </c>
      <c r="I29" s="767">
        <v>0</v>
      </c>
      <c r="J29" s="767">
        <v>0</v>
      </c>
      <c r="K29" s="872">
        <v>0</v>
      </c>
      <c r="L29" s="239"/>
      <c r="M29" s="234"/>
      <c r="N29" s="234"/>
      <c r="O29" s="188"/>
      <c r="P29" s="868"/>
      <c r="AO29" s="48"/>
      <c r="AP29" s="48"/>
      <c r="AQ29" s="48"/>
      <c r="AR29" s="48"/>
    </row>
    <row r="30" spans="1:44" s="89" customFormat="1" ht="15.75" thickBot="1">
      <c r="A30" s="125"/>
      <c r="B30" s="92" t="s">
        <v>38</v>
      </c>
      <c r="C30" s="240">
        <f>SUM(C6:C29)</f>
        <v>367513774.80729127</v>
      </c>
      <c r="D30" s="241">
        <f t="shared" ref="D30:O30" si="9">SUM(D6:D29)</f>
        <v>0</v>
      </c>
      <c r="E30" s="242">
        <f t="shared" si="9"/>
        <v>0</v>
      </c>
      <c r="F30" s="242">
        <f t="shared" si="9"/>
        <v>0</v>
      </c>
      <c r="G30" s="242">
        <f t="shared" si="9"/>
        <v>0</v>
      </c>
      <c r="H30" s="241">
        <f t="shared" si="9"/>
        <v>141427291.14499378</v>
      </c>
      <c r="I30" s="242">
        <f t="shared" si="9"/>
        <v>71913660.629015833</v>
      </c>
      <c r="J30" s="242">
        <f t="shared" si="9"/>
        <v>76959687.304015845</v>
      </c>
      <c r="K30" s="362">
        <f t="shared" si="9"/>
        <v>77213135.729265839</v>
      </c>
      <c r="L30" s="241">
        <f t="shared" si="9"/>
        <v>0</v>
      </c>
      <c r="M30" s="242">
        <f t="shared" si="9"/>
        <v>0</v>
      </c>
      <c r="N30" s="242">
        <f t="shared" si="9"/>
        <v>0</v>
      </c>
      <c r="O30" s="464">
        <f t="shared" si="9"/>
        <v>0</v>
      </c>
      <c r="P30" s="868"/>
      <c r="AO30" s="48"/>
      <c r="AP30" s="48"/>
      <c r="AQ30" s="48"/>
      <c r="AR30" s="48"/>
    </row>
    <row r="31" spans="1:44" s="125" customFormat="1">
      <c r="B31" s="185" t="s">
        <v>583</v>
      </c>
      <c r="C31" s="216"/>
      <c r="D31" s="236"/>
      <c r="E31" s="227"/>
      <c r="F31" s="227"/>
      <c r="G31" s="363"/>
      <c r="H31" s="236"/>
      <c r="I31" s="227"/>
      <c r="J31" s="227"/>
      <c r="K31" s="363"/>
      <c r="L31" s="236"/>
      <c r="M31" s="227"/>
      <c r="N31" s="227"/>
      <c r="O31" s="466"/>
      <c r="AO31" s="47"/>
      <c r="AP31" s="47"/>
      <c r="AQ31" s="47"/>
      <c r="AR31" s="47"/>
    </row>
    <row r="32" spans="1:44" s="125" customFormat="1">
      <c r="B32" s="186" t="s">
        <v>91</v>
      </c>
      <c r="C32" s="217" t="s">
        <v>202</v>
      </c>
      <c r="D32" s="237">
        <v>0</v>
      </c>
      <c r="E32" s="229">
        <v>0</v>
      </c>
      <c r="F32" s="229">
        <v>0</v>
      </c>
      <c r="G32" s="364">
        <v>0</v>
      </c>
      <c r="H32" s="237">
        <v>0</v>
      </c>
      <c r="I32" s="229">
        <v>0</v>
      </c>
      <c r="J32" s="229">
        <v>0</v>
      </c>
      <c r="K32" s="364">
        <v>0</v>
      </c>
      <c r="L32" s="237">
        <f>'Site 2 - Financial'!F15</f>
        <v>8275620</v>
      </c>
      <c r="M32" s="364">
        <f>L32*(1+Assumptions!$F$8)</f>
        <v>8523888.5999999996</v>
      </c>
      <c r="N32" s="229" t="s">
        <v>202</v>
      </c>
      <c r="O32" s="230" t="s">
        <v>202</v>
      </c>
      <c r="AO32" s="47"/>
      <c r="AP32" s="47"/>
      <c r="AQ32" s="47"/>
      <c r="AR32" s="47"/>
    </row>
    <row r="33" spans="2:44" s="125" customFormat="1">
      <c r="B33" s="186" t="s">
        <v>521</v>
      </c>
      <c r="C33" s="217" t="s">
        <v>202</v>
      </c>
      <c r="D33" s="237">
        <v>0</v>
      </c>
      <c r="E33" s="229">
        <v>0</v>
      </c>
      <c r="F33" s="229">
        <v>0</v>
      </c>
      <c r="G33" s="364">
        <v>0</v>
      </c>
      <c r="H33" s="237">
        <v>0</v>
      </c>
      <c r="I33" s="229">
        <v>0</v>
      </c>
      <c r="J33" s="229">
        <v>0</v>
      </c>
      <c r="K33" s="364">
        <v>0</v>
      </c>
      <c r="L33" s="237">
        <f>12*'Site 2 - Financial'!$C$27*Assumptions!$D$22</f>
        <v>414000</v>
      </c>
      <c r="M33" s="229">
        <f>L33*(1+Assumptions!$F$8)</f>
        <v>426420</v>
      </c>
      <c r="N33" s="869" t="s">
        <v>202</v>
      </c>
      <c r="O33" s="230" t="s">
        <v>202</v>
      </c>
      <c r="AO33" s="47"/>
      <c r="AP33" s="47"/>
      <c r="AQ33" s="47"/>
      <c r="AR33" s="47"/>
    </row>
    <row r="34" spans="2:44" s="125" customFormat="1">
      <c r="B34" s="197" t="s">
        <v>309</v>
      </c>
      <c r="C34" s="217" t="s">
        <v>202</v>
      </c>
      <c r="D34" s="237">
        <v>0</v>
      </c>
      <c r="E34" s="229">
        <v>0</v>
      </c>
      <c r="F34" s="229">
        <v>0</v>
      </c>
      <c r="G34" s="364">
        <v>0</v>
      </c>
      <c r="H34" s="237">
        <v>0</v>
      </c>
      <c r="I34" s="229">
        <v>0</v>
      </c>
      <c r="J34" s="229">
        <v>0</v>
      </c>
      <c r="K34" s="364">
        <v>0</v>
      </c>
      <c r="L34" s="237">
        <f>(SUM(Assumptions!D35,Assumptions!D37)*'Site 2 - Financial'!D8)*((1+Assumptions!$F$8)^'Site 2 - Draw'!L2)</f>
        <v>2241708.0052755596</v>
      </c>
      <c r="M34" s="567">
        <f>L34*(1+Assumptions!$F$8)</f>
        <v>2308959.2454338265</v>
      </c>
      <c r="N34" s="869" t="s">
        <v>202</v>
      </c>
      <c r="O34" s="230" t="s">
        <v>202</v>
      </c>
      <c r="AO34" s="47"/>
      <c r="AP34" s="47"/>
      <c r="AQ34" s="47"/>
      <c r="AR34" s="47"/>
    </row>
    <row r="35" spans="2:44" s="125" customFormat="1">
      <c r="B35" s="225" t="s">
        <v>93</v>
      </c>
      <c r="C35" s="226" t="s">
        <v>202</v>
      </c>
      <c r="D35" s="109">
        <f>SUM(D32:D34)</f>
        <v>0</v>
      </c>
      <c r="E35" s="101">
        <f t="shared" ref="E35:L35" si="10">SUM(E32:E34)</f>
        <v>0</v>
      </c>
      <c r="F35" s="101">
        <f t="shared" si="10"/>
        <v>0</v>
      </c>
      <c r="G35" s="365">
        <f t="shared" si="10"/>
        <v>0</v>
      </c>
      <c r="H35" s="109">
        <f>SUM(H32:H34)</f>
        <v>0</v>
      </c>
      <c r="I35" s="101">
        <f>SUM(I32:I34)</f>
        <v>0</v>
      </c>
      <c r="J35" s="101">
        <f>SUM(J32:J34)</f>
        <v>0</v>
      </c>
      <c r="K35" s="365">
        <f>SUM(K32:K34)</f>
        <v>0</v>
      </c>
      <c r="L35" s="109">
        <f t="shared" si="10"/>
        <v>10931328.005275559</v>
      </c>
      <c r="M35" s="101">
        <f>SUM(M32:M34)</f>
        <v>11259267.845433826</v>
      </c>
      <c r="N35" s="101" t="s">
        <v>202</v>
      </c>
      <c r="O35" s="467" t="s">
        <v>202</v>
      </c>
      <c r="AO35" s="47"/>
      <c r="AP35" s="47"/>
      <c r="AQ35" s="47"/>
      <c r="AR35" s="47"/>
    </row>
    <row r="36" spans="2:44" s="125" customFormat="1">
      <c r="B36" s="197" t="s">
        <v>525</v>
      </c>
      <c r="C36" s="217" t="s">
        <v>202</v>
      </c>
      <c r="D36" s="237">
        <v>0</v>
      </c>
      <c r="E36" s="229">
        <v>0</v>
      </c>
      <c r="F36" s="229">
        <v>0</v>
      </c>
      <c r="G36" s="364">
        <v>0</v>
      </c>
      <c r="H36" s="237">
        <v>0</v>
      </c>
      <c r="I36" s="229">
        <f>-(Assumptions!D34+Assumptions!D35)*'Site 2 - Financial'!D8</f>
        <v>-1565437.5</v>
      </c>
      <c r="J36" s="229">
        <f>I36*(1+Assumptions!$F$8)</f>
        <v>-1612400.625</v>
      </c>
      <c r="K36" s="364">
        <f>J36*(1+Assumptions!$F$8)</f>
        <v>-1660772.64375</v>
      </c>
      <c r="L36" s="237">
        <f>-(Assumptions!D38*'Site 2 - Financial'!D8)*((1+Assumptions!$F$8)^'Site 2 - Draw'!L2)</f>
        <v>-3448781.5465777842</v>
      </c>
      <c r="M36" s="229">
        <f>L36*(1+Assumptions!$F$8)</f>
        <v>-3552244.9929751176</v>
      </c>
      <c r="N36" s="229" t="s">
        <v>202</v>
      </c>
      <c r="O36" s="870" t="s">
        <v>202</v>
      </c>
      <c r="AO36" s="47"/>
      <c r="AP36" s="47"/>
      <c r="AQ36" s="47"/>
      <c r="AR36" s="47"/>
    </row>
    <row r="37" spans="2:44" s="125" customFormat="1">
      <c r="B37" s="197" t="s">
        <v>316</v>
      </c>
      <c r="C37" s="217" t="s">
        <v>202</v>
      </c>
      <c r="D37" s="237">
        <f t="shared" ref="D37:M37" si="11">-5%*D35</f>
        <v>0</v>
      </c>
      <c r="E37" s="229">
        <f t="shared" si="11"/>
        <v>0</v>
      </c>
      <c r="F37" s="229">
        <f t="shared" si="11"/>
        <v>0</v>
      </c>
      <c r="G37" s="364">
        <f t="shared" si="11"/>
        <v>0</v>
      </c>
      <c r="H37" s="237">
        <f t="shared" si="11"/>
        <v>0</v>
      </c>
      <c r="I37" s="229">
        <f t="shared" si="11"/>
        <v>0</v>
      </c>
      <c r="J37" s="229">
        <f t="shared" si="11"/>
        <v>0</v>
      </c>
      <c r="K37" s="364">
        <f t="shared" si="11"/>
        <v>0</v>
      </c>
      <c r="L37" s="237">
        <f t="shared" si="11"/>
        <v>-546566.40026377793</v>
      </c>
      <c r="M37" s="229">
        <f t="shared" si="11"/>
        <v>-562963.39227169135</v>
      </c>
      <c r="N37" s="229" t="s">
        <v>202</v>
      </c>
      <c r="O37" s="315" t="s">
        <v>202</v>
      </c>
      <c r="AO37" s="47"/>
      <c r="AP37" s="47"/>
      <c r="AQ37" s="47"/>
      <c r="AR37" s="47"/>
    </row>
    <row r="38" spans="2:44" s="125" customFormat="1">
      <c r="B38" s="225" t="s">
        <v>94</v>
      </c>
      <c r="C38" s="226" t="s">
        <v>202</v>
      </c>
      <c r="D38" s="109">
        <f t="shared" ref="D38:E38" si="12">SUM(D35:D37)</f>
        <v>0</v>
      </c>
      <c r="E38" s="101">
        <f t="shared" si="12"/>
        <v>0</v>
      </c>
      <c r="F38" s="101">
        <f t="shared" ref="F38:M38" si="13">SUM(F35:F37)</f>
        <v>0</v>
      </c>
      <c r="G38" s="365">
        <f t="shared" si="13"/>
        <v>0</v>
      </c>
      <c r="H38" s="109">
        <f t="shared" si="13"/>
        <v>0</v>
      </c>
      <c r="I38" s="101">
        <f t="shared" si="13"/>
        <v>-1565437.5</v>
      </c>
      <c r="J38" s="101">
        <f t="shared" si="13"/>
        <v>-1612400.625</v>
      </c>
      <c r="K38" s="365">
        <f t="shared" si="13"/>
        <v>-1660772.64375</v>
      </c>
      <c r="L38" s="109">
        <f t="shared" si="13"/>
        <v>6935980.0584339965</v>
      </c>
      <c r="M38" s="101">
        <f t="shared" si="13"/>
        <v>7144059.460187017</v>
      </c>
      <c r="N38" s="101" t="s">
        <v>202</v>
      </c>
      <c r="O38" s="467" t="s">
        <v>202</v>
      </c>
      <c r="AO38" s="47"/>
      <c r="AP38" s="47"/>
      <c r="AQ38" s="47"/>
      <c r="AR38" s="47"/>
    </row>
    <row r="39" spans="2:44" s="125" customFormat="1" ht="15.75" thickBot="1">
      <c r="B39" s="209" t="s">
        <v>317</v>
      </c>
      <c r="C39" s="218" t="s">
        <v>202</v>
      </c>
      <c r="D39" s="238">
        <v>0</v>
      </c>
      <c r="E39" s="231">
        <v>0</v>
      </c>
      <c r="F39" s="231">
        <v>0</v>
      </c>
      <c r="G39" s="861">
        <v>0</v>
      </c>
      <c r="H39" s="863">
        <v>0</v>
      </c>
      <c r="I39" s="231">
        <v>0</v>
      </c>
      <c r="J39" s="231">
        <v>0</v>
      </c>
      <c r="K39" s="861">
        <v>0</v>
      </c>
      <c r="L39" s="569">
        <f>(M38/Assumptions!$I$6)*0.98</f>
        <v>140023565.41966552</v>
      </c>
      <c r="M39" s="866" t="s">
        <v>202</v>
      </c>
      <c r="N39" s="866" t="s">
        <v>202</v>
      </c>
      <c r="O39" s="468" t="s">
        <v>202</v>
      </c>
      <c r="AO39" s="47"/>
      <c r="AP39" s="47"/>
      <c r="AQ39" s="47"/>
      <c r="AR39" s="47"/>
    </row>
    <row r="40" spans="2:44" s="125" customFormat="1">
      <c r="B40" s="185" t="s">
        <v>325</v>
      </c>
      <c r="C40" s="216"/>
      <c r="D40" s="236"/>
      <c r="E40" s="227"/>
      <c r="F40" s="227"/>
      <c r="G40" s="363"/>
      <c r="H40" s="236"/>
      <c r="I40" s="227"/>
      <c r="J40" s="227"/>
      <c r="K40" s="363"/>
      <c r="L40" s="236"/>
      <c r="M40" s="227"/>
      <c r="N40" s="227"/>
      <c r="O40" s="466"/>
      <c r="AO40" s="47"/>
      <c r="AP40" s="47"/>
      <c r="AQ40" s="47"/>
      <c r="AR40" s="47"/>
    </row>
    <row r="41" spans="2:44" s="125" customFormat="1">
      <c r="B41" s="186" t="s">
        <v>91</v>
      </c>
      <c r="C41" s="217" t="s">
        <v>202</v>
      </c>
      <c r="D41" s="237">
        <v>0</v>
      </c>
      <c r="E41" s="229">
        <v>0</v>
      </c>
      <c r="F41" s="229">
        <v>0</v>
      </c>
      <c r="G41" s="364">
        <v>0</v>
      </c>
      <c r="H41" s="237">
        <v>0</v>
      </c>
      <c r="I41" s="229">
        <v>0</v>
      </c>
      <c r="J41" s="229">
        <v>0</v>
      </c>
      <c r="K41" s="364">
        <v>0</v>
      </c>
      <c r="L41" s="237">
        <f>'Site 2 - Financial'!D18*'Site 2 - Financial'!E18</f>
        <v>2090900</v>
      </c>
      <c r="M41" s="364">
        <f>L41*(1+Assumptions!$F$8)</f>
        <v>2153627</v>
      </c>
      <c r="N41" s="229" t="s">
        <v>202</v>
      </c>
      <c r="O41" s="230" t="s">
        <v>202</v>
      </c>
      <c r="AO41" s="47"/>
      <c r="AP41" s="47"/>
      <c r="AQ41" s="47"/>
      <c r="AR41" s="47"/>
    </row>
    <row r="42" spans="2:44" s="125" customFormat="1">
      <c r="B42" s="186" t="s">
        <v>521</v>
      </c>
      <c r="C42" s="217" t="s">
        <v>202</v>
      </c>
      <c r="D42" s="237">
        <v>0</v>
      </c>
      <c r="E42" s="229">
        <v>0</v>
      </c>
      <c r="F42" s="229">
        <v>0</v>
      </c>
      <c r="G42" s="364">
        <v>0</v>
      </c>
      <c r="H42" s="237">
        <v>0</v>
      </c>
      <c r="I42" s="229">
        <v>0</v>
      </c>
      <c r="J42" s="229">
        <v>0</v>
      </c>
      <c r="K42" s="364">
        <v>0</v>
      </c>
      <c r="L42" s="237">
        <f>12*'Site 2 - Financial'!$C$28*Assumptions!$D$21</f>
        <v>672000</v>
      </c>
      <c r="M42" s="229">
        <f>L42*(1+Assumptions!$F$8)</f>
        <v>692160</v>
      </c>
      <c r="N42" s="229" t="s">
        <v>202</v>
      </c>
      <c r="O42" s="230" t="s">
        <v>202</v>
      </c>
      <c r="AO42" s="47"/>
      <c r="AP42" s="47"/>
      <c r="AQ42" s="47"/>
      <c r="AR42" s="47"/>
    </row>
    <row r="43" spans="2:44" s="125" customFormat="1">
      <c r="B43" s="197" t="s">
        <v>309</v>
      </c>
      <c r="C43" s="217" t="s">
        <v>202</v>
      </c>
      <c r="D43" s="237">
        <v>0</v>
      </c>
      <c r="E43" s="229">
        <v>0</v>
      </c>
      <c r="F43" s="229">
        <v>0</v>
      </c>
      <c r="G43" s="364">
        <v>0</v>
      </c>
      <c r="H43" s="237">
        <v>0</v>
      </c>
      <c r="I43" s="229">
        <v>0</v>
      </c>
      <c r="J43" s="229">
        <v>0</v>
      </c>
      <c r="K43" s="364">
        <v>0</v>
      </c>
      <c r="L43" s="237">
        <f>(Assumptions!D30*'Site 2 - Financial'!D18)*(1+Assumptions!$F$8)^O2</f>
        <v>405201.24404168403</v>
      </c>
      <c r="M43" s="567">
        <f>L43*(1+Assumptions!$F$8)</f>
        <v>417357.28136293456</v>
      </c>
      <c r="N43" s="229" t="s">
        <v>202</v>
      </c>
      <c r="O43" s="230" t="s">
        <v>202</v>
      </c>
      <c r="AO43" s="47"/>
      <c r="AP43" s="47"/>
      <c r="AQ43" s="47"/>
      <c r="AR43" s="47"/>
    </row>
    <row r="44" spans="2:44" s="125" customFormat="1">
      <c r="B44" s="225" t="s">
        <v>93</v>
      </c>
      <c r="C44" s="226" t="s">
        <v>202</v>
      </c>
      <c r="D44" s="109">
        <f>SUM(D41:D43)</f>
        <v>0</v>
      </c>
      <c r="E44" s="101">
        <f>SUM(E41:E43)</f>
        <v>0</v>
      </c>
      <c r="F44" s="101">
        <f>SUM(F41:F43)</f>
        <v>0</v>
      </c>
      <c r="G44" s="365">
        <f>SUM(G41:G43)</f>
        <v>0</v>
      </c>
      <c r="H44" s="109">
        <f>SUM(H41:H43)</f>
        <v>0</v>
      </c>
      <c r="I44" s="101">
        <f t="shared" ref="I44:M44" si="14">SUM(I41:I43)</f>
        <v>0</v>
      </c>
      <c r="J44" s="101">
        <f t="shared" si="14"/>
        <v>0</v>
      </c>
      <c r="K44" s="365">
        <f t="shared" si="14"/>
        <v>0</v>
      </c>
      <c r="L44" s="109">
        <f t="shared" si="14"/>
        <v>3168101.2440416841</v>
      </c>
      <c r="M44" s="101">
        <f t="shared" si="14"/>
        <v>3263144.2813629345</v>
      </c>
      <c r="N44" s="101" t="s">
        <v>202</v>
      </c>
      <c r="O44" s="467" t="s">
        <v>202</v>
      </c>
      <c r="AO44" s="47"/>
      <c r="AP44" s="47"/>
      <c r="AQ44" s="47"/>
      <c r="AR44" s="47"/>
    </row>
    <row r="45" spans="2:44" s="125" customFormat="1">
      <c r="B45" s="197" t="s">
        <v>525</v>
      </c>
      <c r="C45" s="217" t="s">
        <v>202</v>
      </c>
      <c r="D45" s="237">
        <v>0</v>
      </c>
      <c r="E45" s="229">
        <v>0</v>
      </c>
      <c r="F45" s="229">
        <v>0</v>
      </c>
      <c r="G45" s="364">
        <v>0</v>
      </c>
      <c r="H45" s="237">
        <v>0</v>
      </c>
      <c r="I45" s="229">
        <f>-(Assumptions!D26+Assumptions!D27)*'Site 2 - Financial'!D18</f>
        <v>-164285</v>
      </c>
      <c r="J45" s="229">
        <f>I45*(1+Assumptions!$F$8)</f>
        <v>-169213.55000000002</v>
      </c>
      <c r="K45" s="364">
        <f>J45*(1+Assumptions!$F$8)</f>
        <v>-174289.95650000003</v>
      </c>
      <c r="L45" s="237">
        <f>-(Assumptions!D30*'Site 2 - Financial'!D18)*(1+Assumptions!$F$8)^L2</f>
        <v>-370816.53884427127</v>
      </c>
      <c r="M45" s="229">
        <f>L45*(1+Assumptions!$F$8)</f>
        <v>-381941.03500959941</v>
      </c>
      <c r="N45" s="229" t="s">
        <v>202</v>
      </c>
      <c r="O45" s="470" t="s">
        <v>202</v>
      </c>
      <c r="AO45" s="47"/>
      <c r="AP45" s="47"/>
      <c r="AQ45" s="47"/>
      <c r="AR45" s="47"/>
    </row>
    <row r="46" spans="2:44" s="125" customFormat="1">
      <c r="B46" s="197" t="s">
        <v>316</v>
      </c>
      <c r="C46" s="217" t="s">
        <v>202</v>
      </c>
      <c r="D46" s="237">
        <f t="shared" ref="D46:M46" si="15">-5%*D44</f>
        <v>0</v>
      </c>
      <c r="E46" s="229">
        <f t="shared" si="15"/>
        <v>0</v>
      </c>
      <c r="F46" s="229">
        <f t="shared" ref="F46" si="16">-5%*F44</f>
        <v>0</v>
      </c>
      <c r="G46" s="364">
        <f t="shared" si="15"/>
        <v>0</v>
      </c>
      <c r="H46" s="237">
        <f t="shared" si="15"/>
        <v>0</v>
      </c>
      <c r="I46" s="229">
        <f t="shared" si="15"/>
        <v>0</v>
      </c>
      <c r="J46" s="229">
        <f t="shared" si="15"/>
        <v>0</v>
      </c>
      <c r="K46" s="364">
        <f t="shared" si="15"/>
        <v>0</v>
      </c>
      <c r="L46" s="237">
        <f t="shared" si="15"/>
        <v>-158405.06220208423</v>
      </c>
      <c r="M46" s="229">
        <f t="shared" si="15"/>
        <v>-163157.21406814674</v>
      </c>
      <c r="N46" s="229" t="s">
        <v>202</v>
      </c>
      <c r="O46" s="315" t="s">
        <v>202</v>
      </c>
      <c r="AO46" s="47"/>
      <c r="AP46" s="47"/>
      <c r="AQ46" s="47"/>
      <c r="AR46" s="47"/>
    </row>
    <row r="47" spans="2:44" s="125" customFormat="1">
      <c r="B47" s="225" t="s">
        <v>94</v>
      </c>
      <c r="C47" s="226" t="s">
        <v>202</v>
      </c>
      <c r="D47" s="109">
        <f t="shared" ref="D47:M47" si="17">SUM(D44:D46)</f>
        <v>0</v>
      </c>
      <c r="E47" s="101">
        <f t="shared" si="17"/>
        <v>0</v>
      </c>
      <c r="F47" s="101">
        <f t="shared" ref="F47" si="18">SUM(F44:F46)</f>
        <v>0</v>
      </c>
      <c r="G47" s="365">
        <f t="shared" si="17"/>
        <v>0</v>
      </c>
      <c r="H47" s="109">
        <f t="shared" si="17"/>
        <v>0</v>
      </c>
      <c r="I47" s="101">
        <f t="shared" si="17"/>
        <v>-164285</v>
      </c>
      <c r="J47" s="101">
        <f t="shared" si="17"/>
        <v>-169213.55000000002</v>
      </c>
      <c r="K47" s="365">
        <f t="shared" si="17"/>
        <v>-174289.95650000003</v>
      </c>
      <c r="L47" s="109">
        <f t="shared" si="17"/>
        <v>2638879.6429953286</v>
      </c>
      <c r="M47" s="101">
        <f t="shared" si="17"/>
        <v>2718046.0322851883</v>
      </c>
      <c r="N47" s="101" t="s">
        <v>202</v>
      </c>
      <c r="O47" s="467" t="s">
        <v>202</v>
      </c>
      <c r="AO47" s="47"/>
      <c r="AP47" s="47"/>
      <c r="AQ47" s="47"/>
      <c r="AR47" s="47"/>
    </row>
    <row r="48" spans="2:44" s="125" customFormat="1" ht="15.75" thickBot="1">
      <c r="B48" s="209" t="s">
        <v>317</v>
      </c>
      <c r="C48" s="218" t="s">
        <v>202</v>
      </c>
      <c r="D48" s="238">
        <v>0</v>
      </c>
      <c r="E48" s="231">
        <v>0</v>
      </c>
      <c r="F48" s="231">
        <v>0</v>
      </c>
      <c r="G48" s="861">
        <v>0</v>
      </c>
      <c r="H48" s="863">
        <v>0</v>
      </c>
      <c r="I48" s="231">
        <v>0</v>
      </c>
      <c r="J48" s="231">
        <v>0</v>
      </c>
      <c r="K48" s="861">
        <v>0</v>
      </c>
      <c r="L48" s="863">
        <f>(M47/Assumptions!I9)*0.98</f>
        <v>59193002.480877437</v>
      </c>
      <c r="M48" s="866" t="s">
        <v>202</v>
      </c>
      <c r="N48" s="871" t="s">
        <v>202</v>
      </c>
      <c r="O48" s="468" t="s">
        <v>202</v>
      </c>
      <c r="AO48" s="47"/>
      <c r="AP48" s="47"/>
      <c r="AQ48" s="47"/>
      <c r="AR48" s="47"/>
    </row>
    <row r="49" spans="2:45" s="125" customFormat="1">
      <c r="B49" s="185" t="s">
        <v>391</v>
      </c>
      <c r="C49" s="216"/>
      <c r="D49" s="236"/>
      <c r="E49" s="227"/>
      <c r="F49" s="227"/>
      <c r="G49" s="363"/>
      <c r="H49" s="236"/>
      <c r="I49" s="227"/>
      <c r="J49" s="227"/>
      <c r="K49" s="363"/>
      <c r="L49" s="236"/>
      <c r="M49" s="227"/>
      <c r="N49" s="227"/>
      <c r="O49" s="466"/>
      <c r="AO49" s="47"/>
      <c r="AP49" s="47"/>
      <c r="AQ49" s="47"/>
      <c r="AR49" s="47"/>
    </row>
    <row r="50" spans="2:45" s="125" customFormat="1">
      <c r="B50" s="186" t="s">
        <v>91</v>
      </c>
      <c r="C50" s="217" t="s">
        <v>202</v>
      </c>
      <c r="D50" s="237">
        <v>0</v>
      </c>
      <c r="E50" s="229">
        <v>0</v>
      </c>
      <c r="F50" s="229">
        <v>0</v>
      </c>
      <c r="G50" s="364">
        <v>0</v>
      </c>
      <c r="H50" s="237">
        <v>0</v>
      </c>
      <c r="I50" s="229">
        <v>0</v>
      </c>
      <c r="J50" s="229">
        <v>0</v>
      </c>
      <c r="K50" s="364">
        <v>0</v>
      </c>
      <c r="L50" s="237" t="s">
        <v>202</v>
      </c>
      <c r="M50" s="364" t="s">
        <v>202</v>
      </c>
      <c r="N50" s="229" t="s">
        <v>202</v>
      </c>
      <c r="O50" s="230" t="s">
        <v>202</v>
      </c>
      <c r="AO50" s="47"/>
      <c r="AP50" s="47"/>
      <c r="AQ50" s="47"/>
      <c r="AR50" s="47"/>
    </row>
    <row r="51" spans="2:45" s="125" customFormat="1">
      <c r="B51" s="186" t="s">
        <v>521</v>
      </c>
      <c r="C51" s="217" t="s">
        <v>202</v>
      </c>
      <c r="D51" s="237">
        <v>0</v>
      </c>
      <c r="E51" s="229">
        <v>0</v>
      </c>
      <c r="F51" s="229">
        <v>0</v>
      </c>
      <c r="G51" s="364">
        <v>0</v>
      </c>
      <c r="H51" s="237">
        <v>0</v>
      </c>
      <c r="I51" s="229">
        <v>0</v>
      </c>
      <c r="J51" s="229">
        <v>0</v>
      </c>
      <c r="K51" s="364">
        <v>0</v>
      </c>
      <c r="L51" s="237" t="s">
        <v>202</v>
      </c>
      <c r="M51" s="229" t="s">
        <v>202</v>
      </c>
      <c r="N51" s="229" t="s">
        <v>202</v>
      </c>
      <c r="O51" s="230" t="s">
        <v>202</v>
      </c>
      <c r="AO51" s="47"/>
      <c r="AP51" s="47"/>
      <c r="AQ51" s="47"/>
      <c r="AR51" s="47"/>
    </row>
    <row r="52" spans="2:45" s="125" customFormat="1">
      <c r="B52" s="186" t="s">
        <v>309</v>
      </c>
      <c r="C52" s="217" t="s">
        <v>202</v>
      </c>
      <c r="D52" s="237">
        <v>0</v>
      </c>
      <c r="E52" s="229">
        <v>0</v>
      </c>
      <c r="F52" s="229">
        <v>0</v>
      </c>
      <c r="G52" s="364">
        <v>0</v>
      </c>
      <c r="H52" s="237">
        <v>0</v>
      </c>
      <c r="I52" s="229">
        <v>0</v>
      </c>
      <c r="J52" s="229">
        <v>0</v>
      </c>
      <c r="K52" s="364">
        <v>0</v>
      </c>
      <c r="L52" s="237" t="s">
        <v>202</v>
      </c>
      <c r="M52" s="567" t="s">
        <v>202</v>
      </c>
      <c r="N52" s="229" t="s">
        <v>202</v>
      </c>
      <c r="O52" s="230" t="s">
        <v>202</v>
      </c>
      <c r="AO52" s="47"/>
      <c r="AP52" s="47"/>
      <c r="AQ52" s="47"/>
      <c r="AR52" s="47"/>
    </row>
    <row r="53" spans="2:45" s="125" customFormat="1">
      <c r="B53" s="225" t="s">
        <v>93</v>
      </c>
      <c r="C53" s="226" t="s">
        <v>202</v>
      </c>
      <c r="D53" s="109">
        <f t="shared" ref="D53:K53" si="19">SUM(D50:D52)</f>
        <v>0</v>
      </c>
      <c r="E53" s="101">
        <f t="shared" si="19"/>
        <v>0</v>
      </c>
      <c r="F53" s="101">
        <f t="shared" ref="F53" si="20">SUM(F50:F52)</f>
        <v>0</v>
      </c>
      <c r="G53" s="365">
        <f t="shared" si="19"/>
        <v>0</v>
      </c>
      <c r="H53" s="109">
        <f t="shared" si="19"/>
        <v>0</v>
      </c>
      <c r="I53" s="101">
        <f>SUM(I50:I52)</f>
        <v>0</v>
      </c>
      <c r="J53" s="101">
        <f>SUM(J50:J52)</f>
        <v>0</v>
      </c>
      <c r="K53" s="365">
        <f t="shared" si="19"/>
        <v>0</v>
      </c>
      <c r="L53" s="109" t="s">
        <v>202</v>
      </c>
      <c r="M53" s="101" t="s">
        <v>202</v>
      </c>
      <c r="N53" s="101" t="s">
        <v>202</v>
      </c>
      <c r="O53" s="467" t="s">
        <v>202</v>
      </c>
      <c r="AO53" s="47"/>
      <c r="AP53" s="47"/>
      <c r="AQ53" s="47"/>
      <c r="AR53" s="47"/>
    </row>
    <row r="54" spans="2:45" s="125" customFormat="1">
      <c r="B54" s="197" t="s">
        <v>525</v>
      </c>
      <c r="C54" s="217" t="s">
        <v>202</v>
      </c>
      <c r="D54" s="237">
        <v>0</v>
      </c>
      <c r="E54" s="229">
        <v>0</v>
      </c>
      <c r="F54" s="229">
        <v>0</v>
      </c>
      <c r="G54" s="364">
        <v>0</v>
      </c>
      <c r="H54" s="237">
        <f>-(Assumptions!D26+Assumptions!D27)*'Site 2 - Financial'!D19</f>
        <v>0</v>
      </c>
      <c r="I54" s="229">
        <f>H54*(1+Assumptions!$F$8)</f>
        <v>0</v>
      </c>
      <c r="J54" s="229">
        <f>I54*(1+Assumptions!$F$8)</f>
        <v>0</v>
      </c>
      <c r="K54" s="364">
        <f>J54*(1+Assumptions!$F$8)</f>
        <v>0</v>
      </c>
      <c r="L54" s="237" t="s">
        <v>202</v>
      </c>
      <c r="M54" s="229" t="s">
        <v>202</v>
      </c>
      <c r="N54" s="229" t="s">
        <v>202</v>
      </c>
      <c r="O54" s="230" t="s">
        <v>202</v>
      </c>
      <c r="AO54" s="47"/>
      <c r="AP54" s="47"/>
      <c r="AQ54" s="47"/>
      <c r="AR54" s="47"/>
    </row>
    <row r="55" spans="2:45" s="125" customFormat="1">
      <c r="B55" s="186" t="s">
        <v>316</v>
      </c>
      <c r="C55" s="217" t="s">
        <v>202</v>
      </c>
      <c r="D55" s="237">
        <f t="shared" ref="D55:K55" si="21">-5%*D53</f>
        <v>0</v>
      </c>
      <c r="E55" s="229">
        <f t="shared" si="21"/>
        <v>0</v>
      </c>
      <c r="F55" s="229">
        <f t="shared" ref="F55" si="22">-5%*F53</f>
        <v>0</v>
      </c>
      <c r="G55" s="364">
        <f t="shared" si="21"/>
        <v>0</v>
      </c>
      <c r="H55" s="237">
        <f t="shared" si="21"/>
        <v>0</v>
      </c>
      <c r="I55" s="229">
        <f t="shared" si="21"/>
        <v>0</v>
      </c>
      <c r="J55" s="229">
        <f t="shared" si="21"/>
        <v>0</v>
      </c>
      <c r="K55" s="364">
        <f t="shared" si="21"/>
        <v>0</v>
      </c>
      <c r="L55" s="237" t="s">
        <v>202</v>
      </c>
      <c r="M55" s="229" t="s">
        <v>202</v>
      </c>
      <c r="N55" s="229" t="s">
        <v>202</v>
      </c>
      <c r="O55" s="315" t="s">
        <v>202</v>
      </c>
      <c r="AO55" s="47"/>
      <c r="AP55" s="47"/>
      <c r="AQ55" s="47"/>
      <c r="AR55" s="47"/>
    </row>
    <row r="56" spans="2:45" s="125" customFormat="1">
      <c r="B56" s="225" t="s">
        <v>94</v>
      </c>
      <c r="C56" s="226" t="s">
        <v>202</v>
      </c>
      <c r="D56" s="109">
        <f t="shared" ref="D56:K56" si="23">SUM(D53:D55)</f>
        <v>0</v>
      </c>
      <c r="E56" s="101">
        <f t="shared" si="23"/>
        <v>0</v>
      </c>
      <c r="F56" s="101">
        <f t="shared" ref="F56" si="24">SUM(F53:F55)</f>
        <v>0</v>
      </c>
      <c r="G56" s="365">
        <f t="shared" si="23"/>
        <v>0</v>
      </c>
      <c r="H56" s="109">
        <f t="shared" si="23"/>
        <v>0</v>
      </c>
      <c r="I56" s="101">
        <f t="shared" si="23"/>
        <v>0</v>
      </c>
      <c r="J56" s="101">
        <f t="shared" si="23"/>
        <v>0</v>
      </c>
      <c r="K56" s="365">
        <f t="shared" si="23"/>
        <v>0</v>
      </c>
      <c r="L56" s="109" t="s">
        <v>202</v>
      </c>
      <c r="M56" s="101" t="s">
        <v>202</v>
      </c>
      <c r="N56" s="101" t="s">
        <v>202</v>
      </c>
      <c r="O56" s="467" t="s">
        <v>202</v>
      </c>
      <c r="AO56" s="47"/>
      <c r="AP56" s="47"/>
      <c r="AQ56" s="47"/>
      <c r="AR56" s="47"/>
    </row>
    <row r="57" spans="2:45" s="125" customFormat="1" ht="15.75" thickBot="1">
      <c r="B57" s="189" t="s">
        <v>317</v>
      </c>
      <c r="C57" s="218" t="s">
        <v>202</v>
      </c>
      <c r="D57" s="238">
        <v>0</v>
      </c>
      <c r="E57" s="231">
        <v>0</v>
      </c>
      <c r="F57" s="231">
        <v>0</v>
      </c>
      <c r="G57" s="572">
        <v>0</v>
      </c>
      <c r="H57" s="382">
        <v>0</v>
      </c>
      <c r="I57" s="231">
        <v>0</v>
      </c>
      <c r="J57" s="231">
        <v>0</v>
      </c>
      <c r="K57" s="861">
        <v>0</v>
      </c>
      <c r="L57" s="569" t="s">
        <v>202</v>
      </c>
      <c r="M57" s="866" t="s">
        <v>202</v>
      </c>
      <c r="N57" s="866" t="s">
        <v>202</v>
      </c>
      <c r="O57" s="468" t="s">
        <v>202</v>
      </c>
      <c r="AO57" s="47"/>
      <c r="AP57" s="47"/>
      <c r="AQ57" s="47"/>
      <c r="AR57" s="47"/>
    </row>
    <row r="58" spans="2:45" s="279" customFormat="1">
      <c r="B58" s="280" t="s">
        <v>326</v>
      </c>
      <c r="C58" s="281"/>
      <c r="D58" s="282"/>
      <c r="E58" s="233"/>
      <c r="F58" s="876"/>
      <c r="G58" s="283"/>
      <c r="H58" s="383"/>
      <c r="I58" s="233"/>
      <c r="J58" s="233"/>
      <c r="K58" s="876"/>
      <c r="L58" s="282"/>
      <c r="M58" s="233"/>
      <c r="N58" s="233"/>
      <c r="O58" s="283"/>
      <c r="AP58" s="284"/>
      <c r="AQ58" s="284"/>
      <c r="AR58" s="284"/>
      <c r="AS58" s="284"/>
    </row>
    <row r="59" spans="2:45" s="125" customFormat="1" ht="15.75" thickBot="1">
      <c r="B59" s="186" t="s">
        <v>327</v>
      </c>
      <c r="C59" s="219" t="s">
        <v>202</v>
      </c>
      <c r="D59" s="239">
        <v>0</v>
      </c>
      <c r="E59" s="234">
        <v>0</v>
      </c>
      <c r="F59" s="367">
        <v>0</v>
      </c>
      <c r="G59" s="877">
        <v>0</v>
      </c>
      <c r="H59" s="769" t="s">
        <v>202</v>
      </c>
      <c r="I59" s="234" t="s">
        <v>202</v>
      </c>
      <c r="J59" s="234" t="s">
        <v>202</v>
      </c>
      <c r="K59" s="367" t="s">
        <v>202</v>
      </c>
      <c r="L59" s="239">
        <f>'Site 2 - Financial'!F8*0.98</f>
        <v>336850500</v>
      </c>
      <c r="M59" s="234" t="s">
        <v>202</v>
      </c>
      <c r="N59" s="234" t="s">
        <v>202</v>
      </c>
      <c r="O59" s="235" t="s">
        <v>202</v>
      </c>
      <c r="AP59" s="47"/>
      <c r="AQ59" s="47"/>
      <c r="AR59" s="47"/>
      <c r="AS59" s="47"/>
    </row>
    <row r="60" spans="2:45" s="125" customFormat="1" ht="15.75" thickBot="1">
      <c r="B60" s="240" t="s">
        <v>328</v>
      </c>
      <c r="C60" s="336">
        <f>IRR(H60:L60)</f>
        <v>0.14881184455258256</v>
      </c>
      <c r="D60" s="241">
        <f t="shared" ref="D60:K60" si="25">-D30</f>
        <v>0</v>
      </c>
      <c r="E60" s="242">
        <f t="shared" si="25"/>
        <v>0</v>
      </c>
      <c r="F60" s="362">
        <f t="shared" si="25"/>
        <v>0</v>
      </c>
      <c r="G60" s="243">
        <f t="shared" si="25"/>
        <v>0</v>
      </c>
      <c r="H60" s="379">
        <f t="shared" si="25"/>
        <v>-141427291.14499378</v>
      </c>
      <c r="I60" s="242">
        <f t="shared" si="25"/>
        <v>-71913660.629015833</v>
      </c>
      <c r="J60" s="242">
        <f t="shared" si="25"/>
        <v>-76959687.304015845</v>
      </c>
      <c r="K60" s="362">
        <f t="shared" si="25"/>
        <v>-77213135.729265839</v>
      </c>
      <c r="L60" s="241">
        <f>SUM(L38:L39,L47:L48,L56:L57,L59)</f>
        <v>545641927.60197234</v>
      </c>
      <c r="M60" s="242">
        <f>-M30</f>
        <v>0</v>
      </c>
      <c r="N60" s="242">
        <f>SUM(N38:N39,N56:N57,N47:N48,N30)</f>
        <v>0</v>
      </c>
      <c r="O60" s="464">
        <v>0</v>
      </c>
      <c r="AO60" s="47"/>
      <c r="AP60" s="47"/>
      <c r="AQ60" s="47"/>
      <c r="AR60" s="47"/>
    </row>
    <row r="61" spans="2:45" s="125" customFormat="1">
      <c r="B61" s="186" t="s">
        <v>651</v>
      </c>
      <c r="C61" s="244">
        <f>Assumptions!I13</f>
        <v>5.2499999999999998E-2</v>
      </c>
      <c r="D61" s="239">
        <v>0</v>
      </c>
      <c r="E61" s="234">
        <v>0</v>
      </c>
      <c r="F61" s="367">
        <v>0</v>
      </c>
      <c r="G61" s="235">
        <v>0</v>
      </c>
      <c r="H61" s="769">
        <f>-C61*'Site 2 - Financial'!E24</f>
        <v>-10611960.247560536</v>
      </c>
      <c r="I61" s="234">
        <f>H61</f>
        <v>-10611960.247560536</v>
      </c>
      <c r="J61" s="234">
        <f>I61</f>
        <v>-10611960.247560536</v>
      </c>
      <c r="K61" s="367">
        <f>J61</f>
        <v>-10611960.247560536</v>
      </c>
      <c r="L61" s="239">
        <f>K61</f>
        <v>-10611960.247560536</v>
      </c>
      <c r="M61" s="234" t="s">
        <v>202</v>
      </c>
      <c r="N61" s="234" t="s">
        <v>202</v>
      </c>
      <c r="O61" s="207" t="s">
        <v>202</v>
      </c>
      <c r="AP61" s="47"/>
      <c r="AQ61" s="47"/>
      <c r="AR61" s="47"/>
      <c r="AS61" s="47"/>
    </row>
    <row r="62" spans="2:45" s="191" customFormat="1" outlineLevel="1">
      <c r="B62" s="337" t="s">
        <v>650</v>
      </c>
      <c r="C62" s="338"/>
      <c r="D62" s="339">
        <v>0</v>
      </c>
      <c r="E62" s="340">
        <v>0</v>
      </c>
      <c r="F62" s="368">
        <v>0</v>
      </c>
      <c r="G62" s="386">
        <v>0</v>
      </c>
      <c r="H62" s="875">
        <f>'Site 2 - Financial'!E24</f>
        <v>202132576.14401022</v>
      </c>
      <c r="I62" s="340">
        <f>H62</f>
        <v>202132576.14401022</v>
      </c>
      <c r="J62" s="340">
        <f>I62</f>
        <v>202132576.14401022</v>
      </c>
      <c r="K62" s="368">
        <f>J62</f>
        <v>202132576.14401022</v>
      </c>
      <c r="L62" s="339">
        <f>-'Site 2 - Financial'!E24</f>
        <v>-202132576.14401022</v>
      </c>
      <c r="M62" s="340" t="s">
        <v>202</v>
      </c>
      <c r="N62" s="340" t="s">
        <v>202</v>
      </c>
      <c r="O62" s="341"/>
      <c r="AP62" s="344"/>
      <c r="AQ62" s="344"/>
      <c r="AR62" s="344"/>
      <c r="AS62" s="344"/>
    </row>
    <row r="63" spans="2:45" s="125" customFormat="1" ht="15.75" thickBot="1">
      <c r="B63" s="186" t="s">
        <v>332</v>
      </c>
      <c r="C63" s="219"/>
      <c r="D63" s="239">
        <f>D60*0.4</f>
        <v>0</v>
      </c>
      <c r="E63" s="234">
        <f>E60*0.4</f>
        <v>0</v>
      </c>
      <c r="F63" s="367">
        <f>F60*0.4</f>
        <v>0</v>
      </c>
      <c r="G63" s="235">
        <v>0</v>
      </c>
      <c r="H63" s="769">
        <f>H60*'Site 2 - Financial'!$D$25</f>
        <v>-63642281.015247196</v>
      </c>
      <c r="I63" s="234">
        <f>I60*'Site 2 - Financial'!$D$25</f>
        <v>-32361147.283057123</v>
      </c>
      <c r="J63" s="234">
        <f>J60*'Site 2 - Financial'!$D$25</f>
        <v>-34631859.286807127</v>
      </c>
      <c r="K63" s="367">
        <f>K60*'Site 2 - Financial'!$D$25</f>
        <v>-34745911.078169622</v>
      </c>
      <c r="L63" s="239" t="s">
        <v>202</v>
      </c>
      <c r="M63" s="234" t="s">
        <v>202</v>
      </c>
      <c r="N63" s="234" t="s">
        <v>202</v>
      </c>
      <c r="O63" s="207" t="s">
        <v>202</v>
      </c>
      <c r="AP63" s="47"/>
      <c r="AQ63" s="47"/>
      <c r="AR63" s="47"/>
      <c r="AS63" s="47"/>
    </row>
    <row r="64" spans="2:45" s="137" customFormat="1" ht="15.75" thickBot="1">
      <c r="B64" s="240" t="s">
        <v>329</v>
      </c>
      <c r="C64" s="336">
        <f>IRR(H64:L64)</f>
        <v>0.18220213394345497</v>
      </c>
      <c r="D64" s="241">
        <v>0</v>
      </c>
      <c r="E64" s="242">
        <v>0</v>
      </c>
      <c r="F64" s="362">
        <v>0</v>
      </c>
      <c r="G64" s="243">
        <v>0</v>
      </c>
      <c r="H64" s="241">
        <f>H63+H61</f>
        <v>-74254241.262807727</v>
      </c>
      <c r="I64" s="242">
        <f>I63+I61</f>
        <v>-42973107.530617662</v>
      </c>
      <c r="J64" s="242">
        <f t="shared" ref="J64:K64" si="26">J63+J61</f>
        <v>-45243819.534367666</v>
      </c>
      <c r="K64" s="243">
        <f t="shared" si="26"/>
        <v>-45357871.32573016</v>
      </c>
      <c r="L64" s="241">
        <f>SUM(L60:L63)</f>
        <v>332897391.21040154</v>
      </c>
      <c r="M64" s="242">
        <v>0</v>
      </c>
      <c r="N64" s="242">
        <v>0</v>
      </c>
      <c r="O64" s="464">
        <v>0</v>
      </c>
      <c r="AO64" s="248"/>
      <c r="AP64" s="248"/>
      <c r="AQ64" s="248"/>
      <c r="AR64" s="248"/>
    </row>
    <row r="65" spans="1:44" s="89" customFormat="1">
      <c r="A65" s="125"/>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O65" s="48"/>
      <c r="AP65" s="48"/>
      <c r="AQ65" s="48"/>
      <c r="AR65" s="48"/>
    </row>
    <row r="66" spans="1:44" s="89" customFormat="1">
      <c r="A66" s="125"/>
      <c r="B66" s="48"/>
      <c r="C66" s="171"/>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O66" s="48"/>
      <c r="AP66" s="48"/>
      <c r="AQ66" s="48"/>
      <c r="AR66" s="48"/>
    </row>
    <row r="67" spans="1:44" s="89" customFormat="1">
      <c r="A67" s="125"/>
      <c r="B67" s="48"/>
      <c r="C67" s="171"/>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O67" s="48"/>
      <c r="AP67" s="48"/>
      <c r="AQ67" s="48"/>
      <c r="AR67" s="48"/>
    </row>
    <row r="68" spans="1:44" s="89" customFormat="1">
      <c r="A68" s="125"/>
      <c r="B68" s="136"/>
      <c r="C68" s="176"/>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O68" s="48"/>
      <c r="AP68" s="48"/>
      <c r="AQ68" s="48"/>
      <c r="AR68" s="48"/>
    </row>
    <row r="69" spans="1:44" s="89" customFormat="1">
      <c r="A69" s="12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O69" s="48"/>
      <c r="AP69" s="48"/>
      <c r="AQ69" s="48"/>
      <c r="AR69" s="48"/>
    </row>
  </sheetData>
  <mergeCells count="1">
    <mergeCell ref="B2:B4"/>
  </mergeCells>
  <conditionalFormatting sqref="D4:O4">
    <cfRule type="cellIs" dxfId="31" priority="1" operator="equal">
      <formula>#REF!</formula>
    </cfRule>
    <cfRule type="cellIs" dxfId="30" priority="2" operator="equal">
      <formula>#REF!</formula>
    </cfRule>
    <cfRule type="cellIs" dxfId="29" priority="3" operator="equal">
      <formula>#REF!</formula>
    </cfRule>
    <cfRule type="cellIs" dxfId="28" priority="4" operator="equal">
      <formula>#REF!</formula>
    </cfRule>
  </conditionalFormatting>
  <pageMargins left="0.7" right="0.7" top="0.75" bottom="0.75" header="0.3" footer="0.3"/>
  <pageSetup paperSize="3" orientation="landscape" horizontalDpi="1200" verticalDpi="1200" r:id="rId1"/>
  <headerFooter>
    <oddHeader>&amp;C&amp;"Calibri,Regular"&amp;K000000OVERALL DRAW</oddHeader>
    <oddFooter>&amp;C&amp;"Calibri,Regular"&amp;K000000PAGE &amp;P OF &amp;N</oddFooter>
  </headerFooter>
  <ignoredErrors>
    <ignoredError sqref="H1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D0D48330F6CE4FB6B3AE62FA39CE46" ma:contentTypeVersion="19" ma:contentTypeDescription="Create a new document." ma:contentTypeScope="" ma:versionID="8cdfc8d213607a8f13a74f250c58771c">
  <xsd:schema xmlns:xsd="http://www.w3.org/2001/XMLSchema" xmlns:xs="http://www.w3.org/2001/XMLSchema" xmlns:p="http://schemas.microsoft.com/office/2006/metadata/properties" xmlns:ns1="http://schemas.microsoft.com/sharepoint/v3" xmlns:ns2="07832773-9414-42b9-95c3-36a558d8f74c" xmlns:ns3="9f6012f1-210b-47d8-98a5-79507b18255d" targetNamespace="http://schemas.microsoft.com/office/2006/metadata/properties" ma:root="true" ma:fieldsID="f2c9d8002140b2ae07bcb72fed75c4c3" ns1:_="" ns2:_="" ns3:_="">
    <xsd:import namespace="http://schemas.microsoft.com/sharepoint/v3"/>
    <xsd:import namespace="07832773-9414-42b9-95c3-36a558d8f74c"/>
    <xsd:import namespace="9f6012f1-210b-47d8-98a5-79507b18255d"/>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32773-9414-42b9-95c3-36a558d8f7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44f5b13-403a-4dd3-b9ce-b7b6c8a660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6012f1-210b-47d8-98a5-79507b18255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396aa7e-ad57-49d2-b18b-708832d3d098}" ma:internalName="TaxCatchAll" ma:showField="CatchAllData" ma:web="9f6012f1-210b-47d8-98a5-79507b1825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832773-9414-42b9-95c3-36a558d8f74c">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TaxCatchAll xmlns="9f6012f1-210b-47d8-98a5-79507b18255d" xsi:nil="true"/>
  </documentManagement>
</p:properties>
</file>

<file path=customXml/itemProps1.xml><?xml version="1.0" encoding="utf-8"?>
<ds:datastoreItem xmlns:ds="http://schemas.openxmlformats.org/officeDocument/2006/customXml" ds:itemID="{3D2DD288-7197-49A5-9A33-60D2521EA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832773-9414-42b9-95c3-36a558d8f74c"/>
    <ds:schemaRef ds:uri="9f6012f1-210b-47d8-98a5-79507b1825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663C87-CDAA-4A2F-9CA6-018325680FDA}">
  <ds:schemaRefs>
    <ds:schemaRef ds:uri="http://schemas.microsoft.com/sharepoint/v3/contenttype/forms"/>
  </ds:schemaRefs>
</ds:datastoreItem>
</file>

<file path=customXml/itemProps3.xml><?xml version="1.0" encoding="utf-8"?>
<ds:datastoreItem xmlns:ds="http://schemas.openxmlformats.org/officeDocument/2006/customXml" ds:itemID="{8EA958F3-F430-43FD-B3C6-6C4F0E201786}">
  <ds:schemaRefs>
    <ds:schemaRef ds:uri="http://schemas.microsoft.com/office/2006/metadata/properties"/>
    <ds:schemaRef ds:uri="http://schemas.microsoft.com/office/infopath/2007/PartnerControls"/>
    <ds:schemaRef ds:uri="07832773-9414-42b9-95c3-36a558d8f74c"/>
    <ds:schemaRef ds:uri="http://schemas.microsoft.com/sharepoint/v3"/>
    <ds:schemaRef ds:uri="9f6012f1-210b-47d8-98a5-79507b18255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Development Program</vt:lpstr>
      <vt:lpstr>Assumptions</vt:lpstr>
      <vt:lpstr>Market Research</vt:lpstr>
      <vt:lpstr>Sources, Uses, Phasing</vt:lpstr>
      <vt:lpstr>All Components Draw</vt:lpstr>
      <vt:lpstr>Site 1 - Financial</vt:lpstr>
      <vt:lpstr>Site 1 - Draw</vt:lpstr>
      <vt:lpstr>Site 2 - Financial</vt:lpstr>
      <vt:lpstr>Site 2 - Draw</vt:lpstr>
      <vt:lpstr>Site 3 - Financial</vt:lpstr>
      <vt:lpstr>Site 3 - Draw</vt:lpstr>
      <vt:lpstr>Site 4 - Financial</vt:lpstr>
      <vt:lpstr>Site 4 - Draw</vt:lpstr>
      <vt:lpstr>Site 5 - Financial</vt:lpstr>
      <vt:lpstr>Site 5 - Draw</vt:lpstr>
      <vt:lpstr>Site 6 - Financial</vt:lpstr>
      <vt:lpstr>Site 6 - Draw</vt:lpstr>
      <vt:lpstr>Site 7 - Financial</vt:lpstr>
      <vt:lpstr>Site 7 - Draw</vt:lpstr>
      <vt:lpstr>Market Comparables - Hospitalit</vt:lpstr>
      <vt:lpstr>Types of Development</vt:lpstr>
      <vt:lpstr>'Development Program'!Print_Area</vt:lpstr>
      <vt:lpstr>'Market Comparables - Hospitalit'!Print_Area</vt:lpstr>
      <vt:lpstr>'Site 1 - Draw'!Print_Area</vt:lpstr>
      <vt:lpstr>'Site 1 - Financial'!Print_Area</vt:lpstr>
      <vt:lpstr>'Site 2 - Draw'!Print_Area</vt:lpstr>
      <vt:lpstr>'Site 2 - Financial'!Print_Area</vt:lpstr>
      <vt:lpstr>'Site 3 - Draw'!Print_Area</vt:lpstr>
      <vt:lpstr>'Site 3 - Financial'!Print_Area</vt:lpstr>
      <vt:lpstr>'Site 4 - Draw'!Print_Area</vt:lpstr>
      <vt:lpstr>'Site 4 - Financial'!Print_Area</vt:lpstr>
      <vt:lpstr>'Site 5 - Draw'!Print_Area</vt:lpstr>
      <vt:lpstr>'Site 5 - Financial'!Print_Area</vt:lpstr>
      <vt:lpstr>'Site 6 - Draw'!Print_Area</vt:lpstr>
      <vt:lpstr>'Site 6 - Financial'!Print_Area</vt:lpstr>
      <vt:lpstr>'Site 7 - Draw'!Print_Area</vt:lpstr>
      <vt:lpstr>'Site 7 - Financial'!Print_Area</vt:lpstr>
    </vt:vector>
  </TitlesOfParts>
  <Manager/>
  <Company>Charles A. Long Properties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Charles A. Long</dc:creator>
  <cp:keywords/>
  <dc:description/>
  <cp:lastModifiedBy>Flores-Mendoza, Edwin A</cp:lastModifiedBy>
  <cp:revision/>
  <dcterms:created xsi:type="dcterms:W3CDTF">2011-07-11T21:17:46Z</dcterms:created>
  <dcterms:modified xsi:type="dcterms:W3CDTF">2024-04-01T06:05:25Z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388465-aeed-4329-a493-dfb4cee22503_Enabled">
    <vt:lpwstr>true</vt:lpwstr>
  </property>
  <property fmtid="{D5CDD505-2E9C-101B-9397-08002B2CF9AE}" pid="3" name="MSIP_Label_70388465-aeed-4329-a493-dfb4cee22503_SetDate">
    <vt:lpwstr>2022-12-01T14:29:01Z</vt:lpwstr>
  </property>
  <property fmtid="{D5CDD505-2E9C-101B-9397-08002B2CF9AE}" pid="4" name="MSIP_Label_70388465-aeed-4329-a493-dfb4cee22503_Method">
    <vt:lpwstr>Standard</vt:lpwstr>
  </property>
  <property fmtid="{D5CDD505-2E9C-101B-9397-08002B2CF9AE}" pid="5" name="MSIP_Label_70388465-aeed-4329-a493-dfb4cee22503_Name">
    <vt:lpwstr>defa4170-0d19-0005-0004-bc88714345d2</vt:lpwstr>
  </property>
  <property fmtid="{D5CDD505-2E9C-101B-9397-08002B2CF9AE}" pid="6" name="MSIP_Label_70388465-aeed-4329-a493-dfb4cee22503_SiteId">
    <vt:lpwstr>c733f279-2e57-447e-b549-b435d7bcf45e</vt:lpwstr>
  </property>
  <property fmtid="{D5CDD505-2E9C-101B-9397-08002B2CF9AE}" pid="7" name="MSIP_Label_70388465-aeed-4329-a493-dfb4cee22503_ActionId">
    <vt:lpwstr>c09dddd2-dd9a-4658-94bd-9604302b5a94</vt:lpwstr>
  </property>
  <property fmtid="{D5CDD505-2E9C-101B-9397-08002B2CF9AE}" pid="8" name="MSIP_Label_70388465-aeed-4329-a493-dfb4cee22503_ContentBits">
    <vt:lpwstr>0</vt:lpwstr>
  </property>
  <property fmtid="{D5CDD505-2E9C-101B-9397-08002B2CF9AE}" pid="9" name="ContentTypeId">
    <vt:lpwstr>0x01010007D0D48330F6CE4FB6B3AE62FA39CE46</vt:lpwstr>
  </property>
  <property fmtid="{D5CDD505-2E9C-101B-9397-08002B2CF9AE}" pid="10" name="MediaServiceImageTags">
    <vt:lpwstr/>
  </property>
</Properties>
</file>