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autoCompressPictures="0"/>
  <mc:AlternateContent xmlns:mc="http://schemas.openxmlformats.org/markup-compatibility/2006">
    <mc:Choice Requires="x15">
      <x15ac:absPath xmlns:x15ac="http://schemas.microsoft.com/office/spreadsheetml/2010/11/ac" url="C:\Users\bridg\Desktop\ULI 2024\Final Submissions\"/>
    </mc:Choice>
  </mc:AlternateContent>
  <xr:revisionPtr revIDLastSave="0" documentId="13_ncr:1_{006EAE21-B6F6-4638-984D-0A33919E6B76}" xr6:coauthVersionLast="47" xr6:coauthVersionMax="47" xr10:uidLastSave="{00000000-0000-0000-0000-000000000000}"/>
  <bookViews>
    <workbookView xWindow="23880" yWindow="-120" windowWidth="29040" windowHeight="15720" tabRatio="963" firstSheet="2" activeTab="4" xr2:uid="{00000000-000D-0000-FFFF-FFFF00000000}"/>
  </bookViews>
  <sheets>
    <sheet name="Types of Development" sheetId="163" r:id="rId1"/>
    <sheet name="Market Research" sheetId="141" r:id="rId2"/>
    <sheet name="Subsidies" sheetId="175" r:id="rId3"/>
    <sheet name="Parking Analysis" sheetId="174" r:id="rId4"/>
    <sheet name="Assumptions" sheetId="142" r:id="rId5"/>
    <sheet name="Development Program" sheetId="140" r:id="rId6"/>
    <sheet name="King Condominiums Financial " sheetId="149" r:id="rId7"/>
    <sheet name="King Condominiums DRAW " sheetId="105" r:id="rId8"/>
    <sheet name="Yesler Financial" sheetId="164" r:id="rId9"/>
    <sheet name="Yesler DRAW" sheetId="165" r:id="rId10"/>
    <sheet name="Glacier Peak Financial" sheetId="150" r:id="rId11"/>
    <sheet name="Glacier Peak Draw " sheetId="154" r:id="rId12"/>
    <sheet name="Chinook Financial" sheetId="153" r:id="rId13"/>
    <sheet name="Chinook Draw" sheetId="156" r:id="rId14"/>
    <sheet name="4th Street Financial " sheetId="169" r:id="rId15"/>
    <sheet name="4th Street Draw" sheetId="170" r:id="rId16"/>
    <sheet name="Baker Tower Financial" sheetId="171" r:id="rId17"/>
    <sheet name="Baker Tower Draw " sheetId="172" r:id="rId18"/>
    <sheet name="Rainier Tower Financial " sheetId="152" r:id="rId19"/>
    <sheet name="Rainier Tower Draw" sheetId="162" r:id="rId20"/>
    <sheet name="All Components Draw" sheetId="159" r:id="rId21"/>
    <sheet name="G Financial" sheetId="160" state="hidden" r:id="rId22"/>
    <sheet name="G Draw" sheetId="155" state="hidden" r:id="rId23"/>
    <sheet name="F Draw" sheetId="158" state="hidden" r:id="rId24"/>
    <sheet name="F Financial" sheetId="157" state="hidden" r:id="rId25"/>
  </sheets>
  <definedNames>
    <definedName name="___a1" hidden="1">{"Assump",#N/A,TRUE,"Proforma";"first",#N/A,TRUE,"Proforma";"second",#N/A,TRUE,"Proforma";"lease1",#N/A,TRUE,"Proforma";"lease2",#N/A,TRUE,"Proforma"}</definedName>
    <definedName name="__a1" hidden="1">{"Assump",#N/A,TRUE,"Proforma";"first",#N/A,TRUE,"Proforma";"second",#N/A,TRUE,"Proforma";"lease1",#N/A,TRUE,"Proforma";"lease2",#N/A,TRUE,"Proforma"}</definedName>
    <definedName name="_Fill" localSheetId="16" hidden="1">#REF!</definedName>
    <definedName name="_Fill" localSheetId="12" hidden="1">#REF!</definedName>
    <definedName name="_Fill" localSheetId="5" hidden="1">#REF!</definedName>
    <definedName name="_Fill" localSheetId="24" hidden="1">#REF!</definedName>
    <definedName name="_Fill" localSheetId="21" hidden="1">#REF!</definedName>
    <definedName name="_Fill" localSheetId="10" hidden="1">#REF!</definedName>
    <definedName name="_Fill" localSheetId="6" hidden="1">#REF!</definedName>
    <definedName name="_Fill" localSheetId="18" hidden="1">#REF!</definedName>
    <definedName name="_Fill" localSheetId="8" hidden="1">#REF!</definedName>
    <definedName name="_Fill" hidden="1">#REF!</definedName>
    <definedName name="_Key1" localSheetId="16" hidden="1">#REF!</definedName>
    <definedName name="_Key1" localSheetId="12" hidden="1">#REF!</definedName>
    <definedName name="_Key1" localSheetId="5" hidden="1">#REF!</definedName>
    <definedName name="_Key1" localSheetId="24" hidden="1">#REF!</definedName>
    <definedName name="_Key1" localSheetId="21" hidden="1">#REF!</definedName>
    <definedName name="_Key1" localSheetId="10" hidden="1">#REF!</definedName>
    <definedName name="_Key1" localSheetId="6" hidden="1">#REF!</definedName>
    <definedName name="_Key1" localSheetId="18" hidden="1">#REF!</definedName>
    <definedName name="_Key1" localSheetId="8" hidden="1">#REF!</definedName>
    <definedName name="_Key1" hidden="1">#REF!</definedName>
    <definedName name="_Key2" localSheetId="16" hidden="1">#REF!</definedName>
    <definedName name="_Key2" localSheetId="12" hidden="1">#REF!</definedName>
    <definedName name="_Key2" localSheetId="5" hidden="1">#REF!</definedName>
    <definedName name="_Key2" localSheetId="24" hidden="1">#REF!</definedName>
    <definedName name="_Key2" localSheetId="21" hidden="1">#REF!</definedName>
    <definedName name="_Key2" localSheetId="10" hidden="1">#REF!</definedName>
    <definedName name="_Key2" localSheetId="6" hidden="1">#REF!</definedName>
    <definedName name="_Key2" localSheetId="18" hidden="1">#REF!</definedName>
    <definedName name="_Key2" localSheetId="8" hidden="1">#REF!</definedName>
    <definedName name="_Key2" hidden="1">#REF!</definedName>
    <definedName name="_Order1" hidden="1">255</definedName>
    <definedName name="_Order2" hidden="1">255</definedName>
    <definedName name="_Sort" localSheetId="16" hidden="1">#REF!</definedName>
    <definedName name="_Sort" localSheetId="12" hidden="1">#REF!</definedName>
    <definedName name="_Sort" localSheetId="5" hidden="1">#REF!</definedName>
    <definedName name="_Sort" localSheetId="24" hidden="1">#REF!</definedName>
    <definedName name="_Sort" localSheetId="21" hidden="1">#REF!</definedName>
    <definedName name="_Sort" localSheetId="10" hidden="1">#REF!</definedName>
    <definedName name="_Sort" localSheetId="6" hidden="1">#REF!</definedName>
    <definedName name="_Sort" localSheetId="18" hidden="1">#REF!</definedName>
    <definedName name="_Sort" localSheetId="8" hidden="1">#REF!</definedName>
    <definedName name="_Sort" hidden="1">#REF!</definedName>
    <definedName name="_Table1_In1" localSheetId="16" hidden="1">#REF!</definedName>
    <definedName name="_Table1_In1" localSheetId="12" hidden="1">#REF!</definedName>
    <definedName name="_Table1_In1" localSheetId="5" hidden="1">#REF!</definedName>
    <definedName name="_Table1_In1" localSheetId="24" hidden="1">#REF!</definedName>
    <definedName name="_Table1_In1" localSheetId="21" hidden="1">#REF!</definedName>
    <definedName name="_Table1_In1" localSheetId="10" hidden="1">#REF!</definedName>
    <definedName name="_Table1_In1" localSheetId="6" hidden="1">#REF!</definedName>
    <definedName name="_Table1_In1" localSheetId="18" hidden="1">#REF!</definedName>
    <definedName name="_Table1_In1" localSheetId="8" hidden="1">#REF!</definedName>
    <definedName name="_Table1_In1" hidden="1">#REF!</definedName>
    <definedName name="_Table1_Out" localSheetId="16" hidden="1">#REF!</definedName>
    <definedName name="_Table1_Out" localSheetId="12" hidden="1">#REF!</definedName>
    <definedName name="_Table1_Out" localSheetId="5" hidden="1">#REF!</definedName>
    <definedName name="_Table1_Out" localSheetId="24" hidden="1">#REF!</definedName>
    <definedName name="_Table1_Out" localSheetId="21" hidden="1">#REF!</definedName>
    <definedName name="_Table1_Out" localSheetId="10" hidden="1">#REF!</definedName>
    <definedName name="_Table1_Out" localSheetId="6" hidden="1">#REF!</definedName>
    <definedName name="_Table1_Out" localSheetId="18" hidden="1">#REF!</definedName>
    <definedName name="_Table1_Out" localSheetId="8" hidden="1">#REF!</definedName>
    <definedName name="_Table1_Out" hidden="1">#REF!</definedName>
    <definedName name="_Table2_Out" localSheetId="16" hidden="1">#REF!</definedName>
    <definedName name="_Table2_Out" localSheetId="12" hidden="1">#REF!</definedName>
    <definedName name="_Table2_Out" localSheetId="5" hidden="1">#REF!</definedName>
    <definedName name="_Table2_Out" localSheetId="24" hidden="1">#REF!</definedName>
    <definedName name="_Table2_Out" localSheetId="21" hidden="1">#REF!</definedName>
    <definedName name="_Table2_Out" localSheetId="10" hidden="1">#REF!</definedName>
    <definedName name="_Table2_Out" localSheetId="6" hidden="1">#REF!</definedName>
    <definedName name="_Table2_Out" localSheetId="18" hidden="1">#REF!</definedName>
    <definedName name="_Table2_Out" localSheetId="8" hidden="1">#REF!</definedName>
    <definedName name="_Table2_Out" hidden="1">#REF!</definedName>
    <definedName name="_x1" hidden="1">{#N/A,#N/A,FALSE,"WATCHDSC";#N/A,#N/A,FALSE,"2LOSSMOD";#N/A,#N/A,FALSE,"2LOSS";#N/A,#N/A,FALSE,"DSC";#N/A,#N/A,FALSE,"OPERAT";#N/A,#N/A,FALSE,"ADJUST";#N/A,#N/A,FALSE,"LEASE EXPIRE"}</definedName>
    <definedName name="_x2" hidden="1">{#N/A,#N/A,FALSE,"WATCHDSC";#N/A,#N/A,FALSE,"2LOSSMOD";#N/A,#N/A,FALSE,"2LOSS";#N/A,#N/A,FALSE,"DSC";#N/A,#N/A,FALSE,"OPERAT";#N/A,#N/A,FALSE,"ADJUST";#N/A,#N/A,FALSE,"LEASE EXPIRE"}</definedName>
    <definedName name="_x3" hidden="1">{#N/A,#N/A,FALSE,"WATCHDSC";#N/A,#N/A,FALSE,"2LOSSMOD";#N/A,#N/A,FALSE,"2LOSS";#N/A,#N/A,FALSE,"DSC";#N/A,#N/A,FALSE,"OPERAT";#N/A,#N/A,FALSE,"ADJUST";#N/A,#N/A,FALSE,"LEASE EXPIRE"}</definedName>
    <definedName name="a" hidden="1">{"Assump",#N/A,TRUE,"Proforma";"first",#N/A,TRUE,"Proforma";"second",#N/A,TRUE,"Proforma";"lease1",#N/A,TRUE,"Proforma";"lease2",#N/A,TRUE,"Proforma"}</definedName>
    <definedName name="aa" hidden="1">{#N/A,#N/A,FALSE,"Exec Sum";#N/A,#N/A,FALSE,"Rent Rate Comp";#N/A,#N/A,FALSE,"Rate, NPV Comp";#N/A,#N/A,FALSE,"Opt A NNN";#N/A,#N/A,FALSE,"15-yr Opt. A Sum";#N/A,#N/A,FALSE,"15-yr Opt A Other Costs";#N/A,#N/A,FALSE,"10-yr Opt. A Sum";#N/A,#N/A,FALSE,"10-yr Opt A Other Costs";#N/A,#N/A,FALSE,"NPV Calc"}</definedName>
    <definedName name="AADSFD" localSheetId="16">#REF!</definedName>
    <definedName name="AADSFD" localSheetId="12">#REF!</definedName>
    <definedName name="AADSFD" localSheetId="5">#REF!</definedName>
    <definedName name="AADSFD" localSheetId="24">#REF!</definedName>
    <definedName name="AADSFD" localSheetId="21">#REF!</definedName>
    <definedName name="AADSFD" localSheetId="10">#REF!</definedName>
    <definedName name="AADSFD" localSheetId="6">#REF!</definedName>
    <definedName name="AADSFD" localSheetId="18">#REF!</definedName>
    <definedName name="AADSFD" localSheetId="8">#REF!</definedName>
    <definedName name="AADSFD">#REF!</definedName>
    <definedName name="ac" localSheetId="16">#REF!</definedName>
    <definedName name="ac" localSheetId="12">#REF!</definedName>
    <definedName name="ac" localSheetId="5">#REF!</definedName>
    <definedName name="ac" localSheetId="24">#REF!</definedName>
    <definedName name="ac" localSheetId="21">#REF!</definedName>
    <definedName name="ac" localSheetId="10">#REF!</definedName>
    <definedName name="ac" localSheetId="6">#REF!</definedName>
    <definedName name="ac" localSheetId="18">#REF!</definedName>
    <definedName name="ac" localSheetId="8">#REF!</definedName>
    <definedName name="ac">#REF!</definedName>
    <definedName name="alt" localSheetId="16">#REF!</definedName>
    <definedName name="alt" localSheetId="12">#REF!</definedName>
    <definedName name="alt" localSheetId="5">#REF!</definedName>
    <definedName name="alt" localSheetId="24">#REF!</definedName>
    <definedName name="alt" localSheetId="21">#REF!</definedName>
    <definedName name="alt" localSheetId="10">#REF!</definedName>
    <definedName name="alt" localSheetId="6">#REF!</definedName>
    <definedName name="alt" localSheetId="18">#REF!</definedName>
    <definedName name="alt" localSheetId="8">#REF!</definedName>
    <definedName name="alt">#REF!</definedName>
    <definedName name="anscount" hidden="1">1</definedName>
    <definedName name="ASA" localSheetId="16">#REF!</definedName>
    <definedName name="ASA" localSheetId="12">#REF!</definedName>
    <definedName name="ASA" localSheetId="5">#REF!</definedName>
    <definedName name="ASA" localSheetId="24">#REF!</definedName>
    <definedName name="ASA" localSheetId="21">#REF!</definedName>
    <definedName name="ASA" localSheetId="10">#REF!</definedName>
    <definedName name="ASA" localSheetId="6">#REF!</definedName>
    <definedName name="ASA" localSheetId="18">#REF!</definedName>
    <definedName name="ASA" localSheetId="8">#REF!</definedName>
    <definedName name="ASA">#REF!</definedName>
    <definedName name="aw" localSheetId="16">#REF!</definedName>
    <definedName name="aw" localSheetId="12">#REF!</definedName>
    <definedName name="aw" localSheetId="5">#REF!</definedName>
    <definedName name="aw" localSheetId="24">#REF!</definedName>
    <definedName name="aw" localSheetId="21">#REF!</definedName>
    <definedName name="aw" localSheetId="10">#REF!</definedName>
    <definedName name="aw" localSheetId="6">#REF!</definedName>
    <definedName name="aw" localSheetId="18">#REF!</definedName>
    <definedName name="aw" localSheetId="8">#REF!</definedName>
    <definedName name="aw">#REF!</definedName>
    <definedName name="b" hidden="1">{"Assump",#N/A,TRUE,"Proforma";"first",#N/A,TRUE,"Proforma";"second",#N/A,TRUE,"Proforma";"lease1",#N/A,TRUE,"Proforma";"lease2",#N/A,TRUE,"Proforma"}</definedName>
    <definedName name="Body">#REF!</definedName>
    <definedName name="costcode">#REF!</definedName>
    <definedName name="cs" localSheetId="16">#REF!</definedName>
    <definedName name="cs" localSheetId="12">#REF!</definedName>
    <definedName name="cs" localSheetId="5">#REF!</definedName>
    <definedName name="cs" localSheetId="24">#REF!</definedName>
    <definedName name="cs" localSheetId="21">#REF!</definedName>
    <definedName name="cs" localSheetId="10">#REF!</definedName>
    <definedName name="cs" localSheetId="6">#REF!</definedName>
    <definedName name="cs" localSheetId="18">#REF!</definedName>
    <definedName name="cs" localSheetId="8">#REF!</definedName>
    <definedName name="cs">#REF!</definedName>
    <definedName name="ct" localSheetId="16">#REF!</definedName>
    <definedName name="ct" localSheetId="12">#REF!</definedName>
    <definedName name="ct" localSheetId="5">#REF!</definedName>
    <definedName name="ct" localSheetId="24">#REF!</definedName>
    <definedName name="ct" localSheetId="21">#REF!</definedName>
    <definedName name="ct" localSheetId="10">#REF!</definedName>
    <definedName name="ct" localSheetId="6">#REF!</definedName>
    <definedName name="ct" localSheetId="18">#REF!</definedName>
    <definedName name="ct" localSheetId="8">#REF!</definedName>
    <definedName name="ct">#REF!</definedName>
    <definedName name="ddgfeerew" localSheetId="16">#REF!</definedName>
    <definedName name="ddgfeerew" localSheetId="12">#REF!</definedName>
    <definedName name="ddgfeerew" localSheetId="5">#REF!</definedName>
    <definedName name="ddgfeerew" localSheetId="24">#REF!</definedName>
    <definedName name="ddgfeerew" localSheetId="21">#REF!</definedName>
    <definedName name="ddgfeerew" localSheetId="10">#REF!</definedName>
    <definedName name="ddgfeerew" localSheetId="6">#REF!</definedName>
    <definedName name="ddgfeerew" localSheetId="18">#REF!</definedName>
    <definedName name="ddgfeerew" localSheetId="8">#REF!</definedName>
    <definedName name="ddgfeerew">#REF!</definedName>
    <definedName name="dflt1">#REF!</definedName>
    <definedName name="dflt5">#REF!</definedName>
    <definedName name="dflt6">#REF!</definedName>
    <definedName name="dfsdf" localSheetId="16">#REF!</definedName>
    <definedName name="dfsdf" localSheetId="12">#REF!</definedName>
    <definedName name="dfsdf" localSheetId="5">#REF!</definedName>
    <definedName name="dfsdf" localSheetId="24">#REF!</definedName>
    <definedName name="dfsdf" localSheetId="21">#REF!</definedName>
    <definedName name="dfsdf" localSheetId="10">#REF!</definedName>
    <definedName name="dfsdf" localSheetId="6">#REF!</definedName>
    <definedName name="dfsdf" localSheetId="18">#REF!</definedName>
    <definedName name="dfsdf" localSheetId="8">#REF!</definedName>
    <definedName name="dfsdf">#REF!</definedName>
    <definedName name="dw" localSheetId="16">#REF!</definedName>
    <definedName name="dw" localSheetId="12">#REF!</definedName>
    <definedName name="dw" localSheetId="5">#REF!</definedName>
    <definedName name="dw" localSheetId="24">#REF!</definedName>
    <definedName name="dw" localSheetId="21">#REF!</definedName>
    <definedName name="dw" localSheetId="10">#REF!</definedName>
    <definedName name="dw" localSheetId="6">#REF!</definedName>
    <definedName name="dw" localSheetId="18">#REF!</definedName>
    <definedName name="dw" localSheetId="8">#REF!</definedName>
    <definedName name="dw">#REF!</definedName>
    <definedName name="ee" hidden="1">{"Assump",#N/A,TRUE,"Proforma";"first",#N/A,TRUE,"Proforma";"second",#N/A,TRUE,"Proforma";"lease1",#N/A,TRUE,"Proforma";"lease2",#N/A,TRUE,"Proforma"}</definedName>
    <definedName name="el" localSheetId="16">#REF!</definedName>
    <definedName name="el" localSheetId="12">#REF!</definedName>
    <definedName name="el" localSheetId="5">#REF!</definedName>
    <definedName name="el" localSheetId="24">#REF!</definedName>
    <definedName name="el" localSheetId="21">#REF!</definedName>
    <definedName name="el" localSheetId="10">#REF!</definedName>
    <definedName name="el" localSheetId="6">#REF!</definedName>
    <definedName name="el" localSheetId="18">#REF!</definedName>
    <definedName name="el" localSheetId="8">#REF!</definedName>
    <definedName name="el">#REF!</definedName>
    <definedName name="ellen" hidden="1">{#N/A,#N/A,FALSE,"WATCHDSC";#N/A,#N/A,FALSE,"2LOSSMOD";#N/A,#N/A,FALSE,"2LOSS";#N/A,#N/A,FALSE,"DSC";#N/A,#N/A,FALSE,"OPERAT";#N/A,#N/A,FALSE,"ADJUST";#N/A,#N/A,FALSE,"LEASE EXPIRE"}</definedName>
    <definedName name="erasdf" hidden="1">{"Assump",#N/A,TRUE,"Proforma";"first",#N/A,TRUE,"Proforma";"second",#N/A,TRUE,"Proforma";"lease1",#N/A,TRUE,"Proforma";"lease2",#N/A,TRUE,"Proforma"}</definedName>
    <definedName name="EW" localSheetId="16">#REF!</definedName>
    <definedName name="EW" localSheetId="12">#REF!</definedName>
    <definedName name="EW" localSheetId="5">#REF!</definedName>
    <definedName name="EW" localSheetId="24">#REF!</definedName>
    <definedName name="EW" localSheetId="21">#REF!</definedName>
    <definedName name="EW" localSheetId="10">#REF!</definedName>
    <definedName name="EW" localSheetId="6">#REF!</definedName>
    <definedName name="EW" localSheetId="18">#REF!</definedName>
    <definedName name="EW" localSheetId="8">#REF!</definedName>
    <definedName name="EW">#REF!</definedName>
    <definedName name="f" localSheetId="16">#REF!</definedName>
    <definedName name="f" localSheetId="12">#REF!</definedName>
    <definedName name="f" localSheetId="5">#REF!</definedName>
    <definedName name="f" localSheetId="24">#REF!</definedName>
    <definedName name="f" localSheetId="21">#REF!</definedName>
    <definedName name="f" localSheetId="10">#REF!</definedName>
    <definedName name="f" localSheetId="6">#REF!</definedName>
    <definedName name="f" localSheetId="18">#REF!</definedName>
    <definedName name="f" localSheetId="8">#REF!</definedName>
    <definedName name="f">#REF!</definedName>
    <definedName name="fe" localSheetId="16">#REF!</definedName>
    <definedName name="fe" localSheetId="12">#REF!</definedName>
    <definedName name="fe" localSheetId="5">#REF!</definedName>
    <definedName name="fe" localSheetId="24">#REF!</definedName>
    <definedName name="fe" localSheetId="21">#REF!</definedName>
    <definedName name="fe" localSheetId="10">#REF!</definedName>
    <definedName name="fe" localSheetId="6">#REF!</definedName>
    <definedName name="fe" localSheetId="18">#REF!</definedName>
    <definedName name="fe" localSheetId="8">#REF!</definedName>
    <definedName name="fe">#REF!</definedName>
    <definedName name="FFFFF" localSheetId="16">#REF!</definedName>
    <definedName name="FFFFF" localSheetId="12">#REF!</definedName>
    <definedName name="FFFFF" localSheetId="5">#REF!</definedName>
    <definedName name="FFFFF" localSheetId="24">#REF!</definedName>
    <definedName name="FFFFF" localSheetId="21">#REF!</definedName>
    <definedName name="FFFFF" localSheetId="10">#REF!</definedName>
    <definedName name="FFFFF" localSheetId="6">#REF!</definedName>
    <definedName name="FFFFF" localSheetId="18">#REF!</definedName>
    <definedName name="FFFFF" localSheetId="8">#REF!</definedName>
    <definedName name="FFFFF">#REF!</definedName>
    <definedName name="FJHJ" localSheetId="16">#REF!</definedName>
    <definedName name="FJHJ" localSheetId="12">#REF!</definedName>
    <definedName name="FJHJ" localSheetId="5">#REF!</definedName>
    <definedName name="FJHJ" localSheetId="24">#REF!</definedName>
    <definedName name="FJHJ" localSheetId="21">#REF!</definedName>
    <definedName name="FJHJ" localSheetId="10">#REF!</definedName>
    <definedName name="FJHJ" localSheetId="6">#REF!</definedName>
    <definedName name="FJHJ" localSheetId="18">#REF!</definedName>
    <definedName name="FJHJ" localSheetId="8">#REF!</definedName>
    <definedName name="FJHJ">#REF!</definedName>
    <definedName name="fo" localSheetId="16">#REF!</definedName>
    <definedName name="fo" localSheetId="12">#REF!</definedName>
    <definedName name="fo" localSheetId="5">#REF!</definedName>
    <definedName name="fo" localSheetId="24">#REF!</definedName>
    <definedName name="fo" localSheetId="21">#REF!</definedName>
    <definedName name="fo" localSheetId="10">#REF!</definedName>
    <definedName name="fo" localSheetId="6">#REF!</definedName>
    <definedName name="fo" localSheetId="18">#REF!</definedName>
    <definedName name="fo" localSheetId="8">#REF!</definedName>
    <definedName name="fo">#REF!</definedName>
    <definedName name="FORM" localSheetId="16">#REF!</definedName>
    <definedName name="FORM" localSheetId="12">#REF!</definedName>
    <definedName name="FORM" localSheetId="5">#REF!</definedName>
    <definedName name="FORM" localSheetId="24">#REF!</definedName>
    <definedName name="FORM" localSheetId="21">#REF!</definedName>
    <definedName name="FORM" localSheetId="10">#REF!</definedName>
    <definedName name="FORM" localSheetId="6">#REF!</definedName>
    <definedName name="FORM" localSheetId="18">#REF!</definedName>
    <definedName name="FORM" localSheetId="8">#REF!</definedName>
    <definedName name="FORM">#REF!</definedName>
    <definedName name="FURYUR" localSheetId="16">#REF!</definedName>
    <definedName name="FURYUR" localSheetId="12">#REF!</definedName>
    <definedName name="FURYUR" localSheetId="5">#REF!</definedName>
    <definedName name="FURYUR" localSheetId="24">#REF!</definedName>
    <definedName name="FURYUR" localSheetId="21">#REF!</definedName>
    <definedName name="FURYUR" localSheetId="10">#REF!</definedName>
    <definedName name="FURYUR" localSheetId="6">#REF!</definedName>
    <definedName name="FURYUR" localSheetId="18">#REF!</definedName>
    <definedName name="FURYUR" localSheetId="8">#REF!</definedName>
    <definedName name="FURYUR">#REF!</definedName>
    <definedName name="gl" localSheetId="16">#REF!</definedName>
    <definedName name="gl" localSheetId="12">#REF!</definedName>
    <definedName name="gl" localSheetId="5">#REF!</definedName>
    <definedName name="gl" localSheetId="24">#REF!</definedName>
    <definedName name="gl" localSheetId="21">#REF!</definedName>
    <definedName name="gl" localSheetId="10">#REF!</definedName>
    <definedName name="gl" localSheetId="6">#REF!</definedName>
    <definedName name="gl" localSheetId="18">#REF!</definedName>
    <definedName name="gl" localSheetId="8">#REF!</definedName>
    <definedName name="gl">#REF!</definedName>
    <definedName name="h" localSheetId="16">#REF!</definedName>
    <definedName name="h" localSheetId="12">#REF!</definedName>
    <definedName name="h" localSheetId="5">#REF!</definedName>
    <definedName name="h" localSheetId="24">#REF!</definedName>
    <definedName name="h" localSheetId="21">#REF!</definedName>
    <definedName name="h" localSheetId="10">#REF!</definedName>
    <definedName name="h" localSheetId="6">#REF!</definedName>
    <definedName name="h" localSheetId="18">#REF!</definedName>
    <definedName name="h" localSheetId="8">#REF!</definedName>
    <definedName name="h">#REF!</definedName>
    <definedName name="hjkhjlkgg" localSheetId="16">#REF!</definedName>
    <definedName name="hjkhjlkgg" localSheetId="12">#REF!</definedName>
    <definedName name="hjkhjlkgg" localSheetId="5">#REF!</definedName>
    <definedName name="hjkhjlkgg" localSheetId="24">#REF!</definedName>
    <definedName name="hjkhjlkgg" localSheetId="21">#REF!</definedName>
    <definedName name="hjkhjlkgg" localSheetId="10">#REF!</definedName>
    <definedName name="hjkhjlkgg" localSheetId="6">#REF!</definedName>
    <definedName name="hjkhjlkgg" localSheetId="18">#REF!</definedName>
    <definedName name="hjkhjlkgg" localSheetId="8">#REF!</definedName>
    <definedName name="hjkhjlkgg">#REF!</definedName>
    <definedName name="jkjkl" localSheetId="16">#REF!</definedName>
    <definedName name="jkjkl" localSheetId="12">#REF!</definedName>
    <definedName name="jkjkl" localSheetId="5">#REF!</definedName>
    <definedName name="jkjkl" localSheetId="24">#REF!</definedName>
    <definedName name="jkjkl" localSheetId="21">#REF!</definedName>
    <definedName name="jkjkl" localSheetId="10">#REF!</definedName>
    <definedName name="jkjkl" localSheetId="6">#REF!</definedName>
    <definedName name="jkjkl" localSheetId="18">#REF!</definedName>
    <definedName name="jkjkl" localSheetId="8">#REF!</definedName>
    <definedName name="jkjkl">#REF!</definedName>
    <definedName name="kb" localSheetId="16">#REF!</definedName>
    <definedName name="kb" localSheetId="12">#REF!</definedName>
    <definedName name="kb" localSheetId="5">#REF!</definedName>
    <definedName name="kb" localSheetId="24">#REF!</definedName>
    <definedName name="kb" localSheetId="21">#REF!</definedName>
    <definedName name="kb" localSheetId="10">#REF!</definedName>
    <definedName name="kb" localSheetId="6">#REF!</definedName>
    <definedName name="kb" localSheetId="18">#REF!</definedName>
    <definedName name="kb" localSheetId="8">#REF!</definedName>
    <definedName name="kb">#REF!</definedName>
    <definedName name="ke" localSheetId="16">#REF!</definedName>
    <definedName name="ke" localSheetId="12">#REF!</definedName>
    <definedName name="ke" localSheetId="5">#REF!</definedName>
    <definedName name="ke" localSheetId="24">#REF!</definedName>
    <definedName name="ke" localSheetId="21">#REF!</definedName>
    <definedName name="ke" localSheetId="10">#REF!</definedName>
    <definedName name="ke" localSheetId="6">#REF!</definedName>
    <definedName name="ke" localSheetId="18">#REF!</definedName>
    <definedName name="ke" localSheetId="8">#REF!</definedName>
    <definedName name="ke">#REF!</definedName>
    <definedName name="lk" localSheetId="16">#REF!</definedName>
    <definedName name="lk" localSheetId="12">#REF!</definedName>
    <definedName name="lk" localSheetId="5">#REF!</definedName>
    <definedName name="lk" localSheetId="24">#REF!</definedName>
    <definedName name="lk" localSheetId="21">#REF!</definedName>
    <definedName name="lk" localSheetId="10">#REF!</definedName>
    <definedName name="lk" localSheetId="6">#REF!</definedName>
    <definedName name="lk" localSheetId="18">#REF!</definedName>
    <definedName name="lk" localSheetId="8">#REF!</definedName>
    <definedName name="lk">#REF!</definedName>
    <definedName name="memo_description">#REF!</definedName>
    <definedName name="ml" localSheetId="16">#REF!</definedName>
    <definedName name="ml" localSheetId="12">#REF!</definedName>
    <definedName name="ml" localSheetId="5">#REF!</definedName>
    <definedName name="ml" localSheetId="24">#REF!</definedName>
    <definedName name="ml" localSheetId="21">#REF!</definedName>
    <definedName name="ml" localSheetId="10">#REF!</definedName>
    <definedName name="ml" localSheetId="6">#REF!</definedName>
    <definedName name="ml" localSheetId="18">#REF!</definedName>
    <definedName name="ml" localSheetId="8">#REF!</definedName>
    <definedName name="ml">#REF!</definedName>
    <definedName name="mw" localSheetId="16">#REF!</definedName>
    <definedName name="mw" localSheetId="12">#REF!</definedName>
    <definedName name="mw" localSheetId="5">#REF!</definedName>
    <definedName name="mw" localSheetId="24">#REF!</definedName>
    <definedName name="mw" localSheetId="21">#REF!</definedName>
    <definedName name="mw" localSheetId="10">#REF!</definedName>
    <definedName name="mw" localSheetId="6">#REF!</definedName>
    <definedName name="mw" localSheetId="18">#REF!</definedName>
    <definedName name="mw" localSheetId="8">#REF!</definedName>
    <definedName name="mw">#REF!</definedName>
    <definedName name="NEWDRAW" localSheetId="16">#REF!</definedName>
    <definedName name="NEWDRAW" localSheetId="12">#REF!</definedName>
    <definedName name="NEWDRAW" localSheetId="5">#REF!</definedName>
    <definedName name="NEWDRAW" localSheetId="24">#REF!</definedName>
    <definedName name="NEWDRAW" localSheetId="21">#REF!</definedName>
    <definedName name="NEWDRAW" localSheetId="10">#REF!</definedName>
    <definedName name="NEWDRAW" localSheetId="6">#REF!</definedName>
    <definedName name="NEWDRAW" localSheetId="18">#REF!</definedName>
    <definedName name="NEWDRAW" localSheetId="8">#REF!</definedName>
    <definedName name="NEWDRAW">#REF!</definedName>
    <definedName name="NvsEndTime">36465.4707604167</definedName>
    <definedName name="os" localSheetId="16">#REF!</definedName>
    <definedName name="os" localSheetId="12">#REF!</definedName>
    <definedName name="os" localSheetId="5">#REF!</definedName>
    <definedName name="os" localSheetId="24">#REF!</definedName>
    <definedName name="os" localSheetId="21">#REF!</definedName>
    <definedName name="os" localSheetId="10">#REF!</definedName>
    <definedName name="os" localSheetId="6">#REF!</definedName>
    <definedName name="os" localSheetId="18">#REF!</definedName>
    <definedName name="os" localSheetId="8">#REF!</definedName>
    <definedName name="os">#REF!</definedName>
    <definedName name="p" localSheetId="16">#REF!</definedName>
    <definedName name="p" localSheetId="12">#REF!</definedName>
    <definedName name="p" localSheetId="5">#REF!</definedName>
    <definedName name="p" localSheetId="24">#REF!</definedName>
    <definedName name="p" localSheetId="21">#REF!</definedName>
    <definedName name="p" localSheetId="10">#REF!</definedName>
    <definedName name="p" localSheetId="6">#REF!</definedName>
    <definedName name="p" localSheetId="18">#REF!</definedName>
    <definedName name="p" localSheetId="8">#REF!</definedName>
    <definedName name="p">#REF!</definedName>
    <definedName name="pa" localSheetId="16">#REF!</definedName>
    <definedName name="pa" localSheetId="12">#REF!</definedName>
    <definedName name="pa" localSheetId="5">#REF!</definedName>
    <definedName name="pa" localSheetId="24">#REF!</definedName>
    <definedName name="pa" localSheetId="21">#REF!</definedName>
    <definedName name="pa" localSheetId="10">#REF!</definedName>
    <definedName name="pa" localSheetId="6">#REF!</definedName>
    <definedName name="pa" localSheetId="18">#REF!</definedName>
    <definedName name="pa" localSheetId="8">#REF!</definedName>
    <definedName name="pa">#REF!</definedName>
    <definedName name="PD" localSheetId="16">#REF!</definedName>
    <definedName name="PD" localSheetId="12">#REF!</definedName>
    <definedName name="PD" localSheetId="5">#REF!</definedName>
    <definedName name="PD" localSheetId="24">#REF!</definedName>
    <definedName name="PD" localSheetId="21">#REF!</definedName>
    <definedName name="PD" localSheetId="10">#REF!</definedName>
    <definedName name="PD" localSheetId="6">#REF!</definedName>
    <definedName name="PD" localSheetId="18">#REF!</definedName>
    <definedName name="PD" localSheetId="8">#REF!</definedName>
    <definedName name="PD">#REF!</definedName>
    <definedName name="pipeline_status">#REF!</definedName>
    <definedName name="pp" localSheetId="16">#REF!</definedName>
    <definedName name="pp" localSheetId="12">#REF!</definedName>
    <definedName name="pp" localSheetId="5">#REF!</definedName>
    <definedName name="pp" localSheetId="24">#REF!</definedName>
    <definedName name="pp" localSheetId="21">#REF!</definedName>
    <definedName name="pp" localSheetId="10">#REF!</definedName>
    <definedName name="pp" localSheetId="6">#REF!</definedName>
    <definedName name="pp" localSheetId="18">#REF!</definedName>
    <definedName name="pp" localSheetId="8">#REF!</definedName>
    <definedName name="pp">#REF!</definedName>
    <definedName name="_xlnm.Print_Area" localSheetId="16">'Baker Tower Financial'!$B$2:$F$126</definedName>
    <definedName name="_xlnm.Print_Area" localSheetId="12">'Chinook Financial'!$B$1:$F$106</definedName>
    <definedName name="_xlnm.Print_Area" localSheetId="5">'Development Program'!$B$2:$N$30</definedName>
    <definedName name="_xlnm.Print_Area" localSheetId="24">'F Financial'!$A$1:$E$109</definedName>
    <definedName name="_xlnm.Print_Area" localSheetId="21">'G Financial'!$A$1:$E$109</definedName>
    <definedName name="_xlnm.Print_Area" localSheetId="10">'Glacier Peak Financial'!$B$2:$F$125</definedName>
    <definedName name="_xlnm.Print_Area" localSheetId="7">'King Condominiums DRAW '!$A$1:$BY$53</definedName>
    <definedName name="_xlnm.Print_Area" localSheetId="6">'King Condominiums Financial '!$B$1:$F$98</definedName>
    <definedName name="_xlnm.Print_Area" localSheetId="18">'Rainier Tower Financial '!$B$2:$F$113</definedName>
    <definedName name="_xlnm.Print_Area" localSheetId="9">'Yesler DRAW'!$A$1:$AV$53</definedName>
    <definedName name="_xlnm.Print_Area" localSheetId="8">'Yesler Financial'!$B$1:$F$91</definedName>
    <definedName name="_xlnm.Print_Area">#REF!</definedName>
    <definedName name="print_area2" localSheetId="16">#REF!</definedName>
    <definedName name="print_area2" localSheetId="12">#REF!</definedName>
    <definedName name="print_area2" localSheetId="5">#REF!</definedName>
    <definedName name="print_area2" localSheetId="24">#REF!</definedName>
    <definedName name="print_area2" localSheetId="21">#REF!</definedName>
    <definedName name="print_area2" localSheetId="10">#REF!</definedName>
    <definedName name="print_area2" localSheetId="6">#REF!</definedName>
    <definedName name="print_area2" localSheetId="18">#REF!</definedName>
    <definedName name="print_area2" localSheetId="8">#REF!</definedName>
    <definedName name="print_area2">#REF!</definedName>
    <definedName name="print_area3" localSheetId="16">#REF!</definedName>
    <definedName name="print_area3" localSheetId="12">#REF!</definedName>
    <definedName name="print_area3" localSheetId="5">#REF!</definedName>
    <definedName name="print_area3" localSheetId="24">#REF!</definedName>
    <definedName name="print_area3" localSheetId="21">#REF!</definedName>
    <definedName name="print_area3" localSheetId="10">#REF!</definedName>
    <definedName name="print_area3" localSheetId="6">#REF!</definedName>
    <definedName name="print_area3" localSheetId="18">#REF!</definedName>
    <definedName name="print_area3" localSheetId="8">#REF!</definedName>
    <definedName name="print_area3">#REF!</definedName>
    <definedName name="print_area4" localSheetId="16">#REF!</definedName>
    <definedName name="print_area4" localSheetId="12">#REF!</definedName>
    <definedName name="print_area4" localSheetId="5">#REF!</definedName>
    <definedName name="print_area4" localSheetId="24">#REF!</definedName>
    <definedName name="print_area4" localSheetId="21">#REF!</definedName>
    <definedName name="print_area4" localSheetId="10">#REF!</definedName>
    <definedName name="print_area4" localSheetId="6">#REF!</definedName>
    <definedName name="print_area4" localSheetId="18">#REF!</definedName>
    <definedName name="print_area4" localSheetId="8">#REF!</definedName>
    <definedName name="print_area4">#REF!</definedName>
    <definedName name="_xlnm.Print_Titles">#N/A</definedName>
    <definedName name="PROFORMA" localSheetId="16">#REF!</definedName>
    <definedName name="PROFORMA" localSheetId="12">#REF!</definedName>
    <definedName name="PROFORMA" localSheetId="5">#REF!</definedName>
    <definedName name="PROFORMA" localSheetId="24">#REF!</definedName>
    <definedName name="PROFORMA" localSheetId="21">#REF!</definedName>
    <definedName name="PROFORMA" localSheetId="10">#REF!</definedName>
    <definedName name="PROFORMA" localSheetId="6">#REF!</definedName>
    <definedName name="PROFORMA" localSheetId="18">#REF!</definedName>
    <definedName name="PROFORMA" localSheetId="8">#REF!</definedName>
    <definedName name="PROFORMA">#REF!</definedName>
    <definedName name="Promote_dev_1">#REF!</definedName>
    <definedName name="Property_Types">#REF!</definedName>
    <definedName name="pt" localSheetId="16">#REF!</definedName>
    <definedName name="pt" localSheetId="12">#REF!</definedName>
    <definedName name="pt" localSheetId="5">#REF!</definedName>
    <definedName name="pt" localSheetId="24">#REF!</definedName>
    <definedName name="pt" localSheetId="21">#REF!</definedName>
    <definedName name="pt" localSheetId="10">#REF!</definedName>
    <definedName name="pt" localSheetId="6">#REF!</definedName>
    <definedName name="pt" localSheetId="18">#REF!</definedName>
    <definedName name="pt" localSheetId="8">#REF!</definedName>
    <definedName name="pt">#REF!</definedName>
    <definedName name="qq" localSheetId="16">#REF!</definedName>
    <definedName name="qq" localSheetId="12">#REF!</definedName>
    <definedName name="qq" localSheetId="5">#REF!</definedName>
    <definedName name="qq" localSheetId="24">#REF!</definedName>
    <definedName name="qq" localSheetId="21">#REF!</definedName>
    <definedName name="qq" localSheetId="10">#REF!</definedName>
    <definedName name="qq" localSheetId="6">#REF!</definedName>
    <definedName name="qq" localSheetId="18">#REF!</definedName>
    <definedName name="qq" localSheetId="8">#REF!</definedName>
    <definedName name="qq">#REF!</definedName>
    <definedName name="report" hidden="1">{#N/A,#N/A,FALSE,"Summary";#N/A,#N/A,FALSE,"Assumptions";#N/A,#N/A,FALSE,"Cash Flow";#N/A,#N/A,FALSE,"Residual Calculation";#N/A,#N/A,FALSE,"Pricing Matrix";#N/A,#N/A,FALSE,"Pricing Matrix II";#N/A,#N/A,FALSE,"Expiration Schedule"}</definedName>
    <definedName name="rf" localSheetId="16">#REF!</definedName>
    <definedName name="rf" localSheetId="12">#REF!</definedName>
    <definedName name="rf" localSheetId="5">#REF!</definedName>
    <definedName name="rf" localSheetId="24">#REF!</definedName>
    <definedName name="rf" localSheetId="21">#REF!</definedName>
    <definedName name="rf" localSheetId="10">#REF!</definedName>
    <definedName name="rf" localSheetId="6">#REF!</definedName>
    <definedName name="rf" localSheetId="18">#REF!</definedName>
    <definedName name="rf" localSheetId="8">#REF!</definedName>
    <definedName name="rf">#REF!</definedName>
    <definedName name="S_U" localSheetId="16">#REF!</definedName>
    <definedName name="S_U" localSheetId="12">#REF!</definedName>
    <definedName name="S_U" localSheetId="5">#REF!</definedName>
    <definedName name="S_U" localSheetId="24">#REF!</definedName>
    <definedName name="S_U" localSheetId="21">#REF!</definedName>
    <definedName name="S_U" localSheetId="10">#REF!</definedName>
    <definedName name="S_U" localSheetId="6">#REF!</definedName>
    <definedName name="S_U" localSheetId="18">#REF!</definedName>
    <definedName name="S_U" localSheetId="8">#REF!</definedName>
    <definedName name="S_U">#REF!</definedName>
    <definedName name="Sample1" localSheetId="16">#REF!</definedName>
    <definedName name="Sample1" localSheetId="12">#REF!</definedName>
    <definedName name="Sample1" localSheetId="5">#REF!</definedName>
    <definedName name="Sample1" localSheetId="24">#REF!</definedName>
    <definedName name="Sample1" localSheetId="21">#REF!</definedName>
    <definedName name="Sample1" localSheetId="10">#REF!</definedName>
    <definedName name="Sample1" localSheetId="6">#REF!</definedName>
    <definedName name="Sample1" localSheetId="18">#REF!</definedName>
    <definedName name="Sample1" localSheetId="8">#REF!</definedName>
    <definedName name="Sample1">#REF!</definedName>
    <definedName name="sample2" localSheetId="16">#REF!</definedName>
    <definedName name="sample2" localSheetId="12">#REF!</definedName>
    <definedName name="sample2" localSheetId="5">#REF!</definedName>
    <definedName name="sample2" localSheetId="24">#REF!</definedName>
    <definedName name="sample2" localSheetId="21">#REF!</definedName>
    <definedName name="sample2" localSheetId="10">#REF!</definedName>
    <definedName name="sample2" localSheetId="6">#REF!</definedName>
    <definedName name="sample2" localSheetId="18">#REF!</definedName>
    <definedName name="sample2" localSheetId="8">#REF!</definedName>
    <definedName name="sample2">#REF!</definedName>
    <definedName name="sample3" localSheetId="16">#REF!</definedName>
    <definedName name="sample3" localSheetId="12">#REF!</definedName>
    <definedName name="sample3" localSheetId="5">#REF!</definedName>
    <definedName name="sample3" localSheetId="24">#REF!</definedName>
    <definedName name="sample3" localSheetId="21">#REF!</definedName>
    <definedName name="sample3" localSheetId="10">#REF!</definedName>
    <definedName name="sample3" localSheetId="6">#REF!</definedName>
    <definedName name="sample3" localSheetId="18">#REF!</definedName>
    <definedName name="sample3" localSheetId="8">#REF!</definedName>
    <definedName name="sample3">#REF!</definedName>
    <definedName name="sdf" hidden="1">{"Assump",#N/A,TRUE,"Proforma";"first",#N/A,TRUE,"Proforma";"second",#N/A,TRUE,"Proforma";"lease1",#N/A,TRUE,"Proforma";"lease2",#N/A,TRUE,"Proforma"}</definedName>
    <definedName name="sdfgsfgdsfg" localSheetId="16">#REF!</definedName>
    <definedName name="sdfgsfgdsfg" localSheetId="12">#REF!</definedName>
    <definedName name="sdfgsfgdsfg" localSheetId="5">#REF!</definedName>
    <definedName name="sdfgsfgdsfg" localSheetId="24">#REF!</definedName>
    <definedName name="sdfgsfgdsfg" localSheetId="21">#REF!</definedName>
    <definedName name="sdfgsfgdsfg" localSheetId="10">#REF!</definedName>
    <definedName name="sdfgsfgdsfg" localSheetId="6">#REF!</definedName>
    <definedName name="sdfgsfgdsfg" localSheetId="18">#REF!</definedName>
    <definedName name="sdfgsfgdsfg" localSheetId="8">#REF!</definedName>
    <definedName name="sdfgsfgdsfg">#REF!</definedName>
    <definedName name="SF">#REF!</definedName>
    <definedName name="sg" localSheetId="16">#REF!</definedName>
    <definedName name="sg" localSheetId="12">#REF!</definedName>
    <definedName name="sg" localSheetId="5">#REF!</definedName>
    <definedName name="sg" localSheetId="24">#REF!</definedName>
    <definedName name="sg" localSheetId="21">#REF!</definedName>
    <definedName name="sg" localSheetId="10">#REF!</definedName>
    <definedName name="sg" localSheetId="6">#REF!</definedName>
    <definedName name="sg" localSheetId="18">#REF!</definedName>
    <definedName name="sg" localSheetId="8">#REF!</definedName>
    <definedName name="sg">#REF!</definedName>
    <definedName name="si" localSheetId="16">#REF!</definedName>
    <definedName name="si" localSheetId="12">#REF!</definedName>
    <definedName name="si" localSheetId="5">#REF!</definedName>
    <definedName name="si" localSheetId="24">#REF!</definedName>
    <definedName name="si" localSheetId="21">#REF!</definedName>
    <definedName name="si" localSheetId="10">#REF!</definedName>
    <definedName name="si" localSheetId="6">#REF!</definedName>
    <definedName name="si" localSheetId="18">#REF!</definedName>
    <definedName name="si" localSheetId="8">#REF!</definedName>
    <definedName name="si">#REF!</definedName>
    <definedName name="tp" localSheetId="16">#REF!</definedName>
    <definedName name="tp" localSheetId="12">#REF!</definedName>
    <definedName name="tp" localSheetId="5">#REF!</definedName>
    <definedName name="tp" localSheetId="24">#REF!</definedName>
    <definedName name="tp" localSheetId="21">#REF!</definedName>
    <definedName name="tp" localSheetId="10">#REF!</definedName>
    <definedName name="tp" localSheetId="6">#REF!</definedName>
    <definedName name="tp" localSheetId="18">#REF!</definedName>
    <definedName name="tp" localSheetId="8">#REF!</definedName>
    <definedName name="tp">#REF!</definedName>
    <definedName name="Trended_hard_cost">#REF!</definedName>
    <definedName name="trended_partner_contributions" localSheetId="16">#REF!</definedName>
    <definedName name="trended_partner_contributions" localSheetId="12">#REF!</definedName>
    <definedName name="trended_partner_contributions" localSheetId="5">#REF!</definedName>
    <definedName name="trended_partner_contributions" localSheetId="24">#REF!</definedName>
    <definedName name="trended_partner_contributions" localSheetId="21">#REF!</definedName>
    <definedName name="trended_partner_contributions" localSheetId="10">#REF!</definedName>
    <definedName name="trended_partner_contributions" localSheetId="6">#REF!</definedName>
    <definedName name="trended_partner_contributions" localSheetId="18">#REF!</definedName>
    <definedName name="trended_partner_contributions" localSheetId="8">#REF!</definedName>
    <definedName name="trended_partner_contributions">#REF!</definedName>
    <definedName name="TT" localSheetId="16">#REF!</definedName>
    <definedName name="TT" localSheetId="12">#REF!</definedName>
    <definedName name="TT" localSheetId="5">#REF!</definedName>
    <definedName name="TT" localSheetId="24">#REF!</definedName>
    <definedName name="TT" localSheetId="21">#REF!</definedName>
    <definedName name="TT" localSheetId="10">#REF!</definedName>
    <definedName name="TT" localSheetId="6">#REF!</definedName>
    <definedName name="TT" localSheetId="18">#REF!</definedName>
    <definedName name="TT" localSheetId="8">#REF!</definedName>
    <definedName name="TT">#REF!</definedName>
    <definedName name="units">#REF!</definedName>
    <definedName name="untrended_dates">#REF!</definedName>
    <definedName name="untrended_partner_contributions">#REF!</definedName>
    <definedName name="vital5">#REF!</definedName>
    <definedName name="wetadf" hidden="1">{"Assump",#N/A,TRUE,"Proforma";"first",#N/A,TRUE,"Proforma";"second",#N/A,TRUE,"Proforma";"lease1",#N/A,TRUE,"Proforma";"lease2",#N/A,TRUE,"Proforma"}</definedName>
    <definedName name="wrn.BlackWhite." hidden="1">{#N/A,#N/A,FALSE,"NNN sum";#N/A,#N/A,FALSE,"10-yr Opt. A Sum";#N/A,#N/A,FALSE,"10-yr Opt A Other Costs";#N/A,#N/A,FALSE,"Purchase Sum";#N/A,#N/A,FALSE,"Purchase Other Costs"}</definedName>
    <definedName name="wrn.Complete._.Review." hidden="1">{#N/A,#N/A,FALSE,"Occ and Rate";#N/A,#N/A,FALSE,"PF Input";#N/A,#N/A,FALSE,"Capital Input";#N/A,#N/A,FALSE,"Proforma Five Yr";#N/A,#N/A,FALSE,"Calculations";#N/A,#N/A,FALSE,"Transaction Summary-DTW"}</definedName>
    <definedName name="wrn.cssa." hidden="1">{#N/A,#N/A,FALSE,"WATCHDSC";#N/A,#N/A,FALSE,"2LOSSMOD";#N/A,#N/A,FALSE,"2LOSS";#N/A,#N/A,FALSE,"DSC";#N/A,#N/A,FALSE,"OPERAT";#N/A,#N/A,FALSE,"ADJUST";#N/A,#N/A,FALSE,"LEASE EXPIRE"}</definedName>
    <definedName name="wrn.data." hidden="1">{"data",#N/A,FALSE,"INPUT"}</definedName>
    <definedName name="wrn.GSA._.PRINT." hidden="1">{#N/A,#N/A,FALSE,"DEV COSTS";#N/A,#N/A,FALSE,"10-YR C. F."}</definedName>
    <definedName name="wrn.Investment._.Review." hidden="1">{#N/A,#N/A,FALSE,"Proforma Five Yr";#N/A,#N/A,FALSE,"Capital Input";#N/A,#N/A,FALSE,"Calculations";#N/A,#N/A,FALSE,"Transaction Summary-DTW"}</definedName>
    <definedName name="wrn.MODEL." hidden="1">{"IS",#N/A,FALSE,"Income Statement";"ISR",#N/A,FALSE,"Income Statement Ratios";"BS",#N/A,FALSE,"Balance Sheet";"BSR",#N/A,FALSE,"Balance Sheet Ratios";"CF",#N/A,FALSE,"Cash Flow";"SALES",#N/A,FALSE,"Sales Analysis";"RR",#N/A,FALSE,"Recent Results"}</definedName>
    <definedName name="wrn.Operations._.Review." hidden="1">{#N/A,#N/A,FALSE,"Proforma Five Yr";#N/A,#N/A,FALSE,"Occ and Rate";#N/A,#N/A,FALSE,"PF Input";#N/A,#N/A,FALSE,"Hotcomps"}</definedName>
    <definedName name="wrn.Phase._.I." hidden="1">{#N/A,#N/A,FALSE,"Transaction Summary-DTW";#N/A,#N/A,FALSE,"Proforma Five Yr";#N/A,#N/A,FALSE,"Occ and Rate"}</definedName>
    <definedName name="wrn.print." hidden="1">{"Assump",#N/A,TRUE,"Proforma";"first",#N/A,TRUE,"Proforma";"second",#N/A,TRUE,"Proforma";"lease1",#N/A,TRUE,"Proforma";"lease2",#N/A,TRUE,"Proforma"}</definedName>
    <definedName name="wrn.Proforma._.Review." hidden="1">{#N/A,#N/A,FALSE,"Occ and Rate";#N/A,#N/A,FALSE,"PF Input";#N/A,#N/A,FALSE,"Proforma Five Yr";#N/A,#N/A,FALSE,"Hotcomps"}</definedName>
    <definedName name="wrn.Report." hidden="1">{#N/A,#N/A,FALSE,"Summary";#N/A,#N/A,FALSE,"Assumptions";#N/A,#N/A,FALSE,"Cash Flow";#N/A,#N/A,FALSE,"Residual Calculation";#N/A,#N/A,FALSE,"Pricing Matrix";#N/A,#N/A,FALSE,"Pricing Matrix II";#N/A,#N/A,FALSE,"Expiration Schedule"}</definedName>
    <definedName name="wrn.Total." hidden="1">{#N/A,#N/A,FALSE,"Exec Sum";#N/A,#N/A,FALSE,"Rent Rate Comp";#N/A,#N/A,FALSE,"Rate, NPV Comp";#N/A,#N/A,FALSE,"Opt A NNN";#N/A,#N/A,FALSE,"15-yr Opt. A Sum";#N/A,#N/A,FALSE,"15-yr Opt A Other Costs";#N/A,#N/A,FALSE,"10-yr Opt. A Sum";#N/A,#N/A,FALSE,"10-yr Opt A Other Costs";#N/A,#N/A,FALSE,"NPV Calc"}</definedName>
    <definedName name="wrn.TOTAL._.SHEETS." hidden="1">{#N/A,#N/A,FALSE,"DEV COSTS";#N/A,#N/A,FALSE,"10-YR C. F."}</definedName>
    <definedName name="wrn.WeeklyStatus." hidden="1">{#N/A,#N/A,FALSE,"StatusReport"}</definedName>
    <definedName name="wrn.YTD.Clsngs.Subdiv.Dte." hidden="1">{"Smry.sbtl.subdiv.clsdte",#N/A,FALSE,"97clsngs.612"}</definedName>
    <definedName name="x" hidden="1">{#N/A,#N/A,FALSE,"WATCHDSC";#N/A,#N/A,FALSE,"2LOSSMOD";#N/A,#N/A,FALSE,"2LOSS";#N/A,#N/A,FALSE,"DSC";#N/A,#N/A,FALSE,"OPERAT";#N/A,#N/A,FALSE,"ADJUST";#N/A,#N/A,FALSE,"LEASE EXPIRE"}</definedName>
  </definedNames>
  <calcPr calcId="191028" iterate="1"/>
  <fileRecoveryPr autoRecover="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10" i="162" l="1"/>
  <c r="F6" i="169"/>
  <c r="B5" i="105"/>
  <c r="A21" i="105"/>
  <c r="D67" i="150"/>
  <c r="D75" i="150"/>
  <c r="D53" i="169"/>
  <c r="D12" i="175" l="1"/>
  <c r="D91" i="171"/>
  <c r="D90" i="150"/>
  <c r="K8" i="175" l="1"/>
  <c r="K12" i="175"/>
  <c r="C43" i="142" l="1"/>
  <c r="L13" i="175" l="1"/>
  <c r="L14" i="175"/>
  <c r="E76" i="141"/>
  <c r="E75" i="141"/>
  <c r="E74" i="141"/>
  <c r="C63" i="152"/>
  <c r="C61" i="171"/>
  <c r="C49" i="169"/>
  <c r="C54" i="153"/>
  <c r="C59" i="150"/>
  <c r="C39" i="164"/>
  <c r="C47" i="149"/>
  <c r="B92" i="171"/>
  <c r="B93" i="152"/>
  <c r="D25" i="171"/>
  <c r="B91" i="150"/>
  <c r="D62" i="152"/>
  <c r="B78" i="149"/>
  <c r="D21" i="149"/>
  <c r="Q8" i="175"/>
  <c r="Q9" i="175" s="1"/>
  <c r="Q11" i="175" s="1"/>
  <c r="Q12" i="175" s="1"/>
  <c r="O8" i="175"/>
  <c r="O12" i="175" s="1"/>
  <c r="O13" i="175" s="1"/>
  <c r="O14" i="175" s="1"/>
  <c r="E13" i="175"/>
  <c r="E14" i="175" s="1"/>
  <c r="E10" i="175"/>
  <c r="E62" i="152"/>
  <c r="D60" i="171"/>
  <c r="D46" i="149"/>
  <c r="I14" i="175"/>
  <c r="H14" i="175"/>
  <c r="G14" i="175"/>
  <c r="F14" i="175"/>
  <c r="I13" i="175"/>
  <c r="H13" i="175"/>
  <c r="G13" i="175"/>
  <c r="F13" i="175"/>
  <c r="I12" i="175"/>
  <c r="H12" i="175"/>
  <c r="G12" i="175"/>
  <c r="F12" i="175"/>
  <c r="I11" i="175"/>
  <c r="H11" i="175"/>
  <c r="G11" i="175"/>
  <c r="F11" i="175"/>
  <c r="H10" i="175"/>
  <c r="G10" i="175"/>
  <c r="D10" i="175" s="1"/>
  <c r="D9" i="175"/>
  <c r="I8" i="175"/>
  <c r="H8" i="175"/>
  <c r="G8" i="175"/>
  <c r="F8" i="175"/>
  <c r="I7" i="175"/>
  <c r="H7" i="175"/>
  <c r="G7" i="175"/>
  <c r="F7" i="175"/>
  <c r="D7" i="175" l="1"/>
  <c r="D13" i="175"/>
  <c r="D8" i="175"/>
  <c r="D14" i="175"/>
  <c r="D11" i="175"/>
  <c r="B81" i="169" l="1"/>
  <c r="B85" i="153"/>
  <c r="B70" i="164"/>
  <c r="F7" i="141"/>
  <c r="F8" i="141"/>
  <c r="F9" i="141"/>
  <c r="F10" i="141"/>
  <c r="F11" i="141"/>
  <c r="F12" i="141"/>
  <c r="F13" i="141"/>
  <c r="F14" i="141"/>
  <c r="F15" i="141"/>
  <c r="F16" i="141"/>
  <c r="F17" i="141"/>
  <c r="F18" i="141"/>
  <c r="F19" i="141"/>
  <c r="F20" i="141"/>
  <c r="F21" i="141"/>
  <c r="F22" i="141"/>
  <c r="F23" i="141"/>
  <c r="F24" i="141"/>
  <c r="F25" i="141"/>
  <c r="F26" i="141"/>
  <c r="F27" i="141"/>
  <c r="F28" i="141"/>
  <c r="F29" i="141"/>
  <c r="D30" i="141"/>
  <c r="E30" i="141"/>
  <c r="D31" i="141"/>
  <c r="E31" i="141"/>
  <c r="D32" i="141"/>
  <c r="E32" i="141"/>
  <c r="F32" i="141" s="1"/>
  <c r="E38" i="141"/>
  <c r="E39" i="141"/>
  <c r="E40" i="141"/>
  <c r="E41" i="141"/>
  <c r="E42" i="141"/>
  <c r="E43" i="141"/>
  <c r="E44" i="141"/>
  <c r="E45" i="141"/>
  <c r="E46" i="141"/>
  <c r="E47" i="141"/>
  <c r="E48" i="141"/>
  <c r="E49" i="141"/>
  <c r="E50" i="141"/>
  <c r="E51" i="141"/>
  <c r="E57" i="141"/>
  <c r="E58" i="141"/>
  <c r="E59" i="141"/>
  <c r="E60" i="141"/>
  <c r="E61" i="141"/>
  <c r="E62" i="141"/>
  <c r="E63" i="141"/>
  <c r="E64" i="141"/>
  <c r="E65" i="141"/>
  <c r="E66" i="141"/>
  <c r="B56" i="152"/>
  <c r="B54" i="171"/>
  <c r="B48" i="153"/>
  <c r="B53" i="150"/>
  <c r="B40" i="169"/>
  <c r="B46" i="152"/>
  <c r="B45" i="171"/>
  <c r="B32" i="169"/>
  <c r="B40" i="153"/>
  <c r="B44" i="150"/>
  <c r="B100" i="152"/>
  <c r="B99" i="171"/>
  <c r="B88" i="169"/>
  <c r="B92" i="153"/>
  <c r="B98" i="150"/>
  <c r="B77" i="164"/>
  <c r="B85" i="149"/>
  <c r="B35" i="153"/>
  <c r="B39" i="149"/>
  <c r="D58" i="152"/>
  <c r="D56" i="171"/>
  <c r="D42" i="169"/>
  <c r="D50" i="153"/>
  <c r="D55" i="150"/>
  <c r="D35" i="164"/>
  <c r="D42" i="149"/>
  <c r="F31" i="141" l="1"/>
  <c r="F30" i="141"/>
  <c r="D33" i="164"/>
  <c r="D25" i="152"/>
  <c r="D11" i="169"/>
  <c r="D10" i="169"/>
  <c r="D12" i="164"/>
  <c r="D26" i="150"/>
  <c r="E26" i="150" s="1"/>
  <c r="D25" i="150"/>
  <c r="D13" i="169"/>
  <c r="D12" i="169"/>
  <c r="D16" i="153"/>
  <c r="C51" i="152"/>
  <c r="E51" i="152" s="1"/>
  <c r="C50" i="152"/>
  <c r="C49" i="152"/>
  <c r="C49" i="171"/>
  <c r="C48" i="171"/>
  <c r="C36" i="169"/>
  <c r="C35" i="169"/>
  <c r="C44" i="153"/>
  <c r="C43" i="153"/>
  <c r="C48" i="150"/>
  <c r="C47" i="150"/>
  <c r="C30" i="164"/>
  <c r="E30" i="164" s="1"/>
  <c r="D19" i="152"/>
  <c r="D18" i="152"/>
  <c r="D17" i="152"/>
  <c r="D16" i="152"/>
  <c r="D15" i="152"/>
  <c r="E15" i="152" s="1"/>
  <c r="F15" i="152" s="1"/>
  <c r="D14" i="152"/>
  <c r="D13" i="152"/>
  <c r="D12" i="152"/>
  <c r="D19" i="171"/>
  <c r="D18" i="171"/>
  <c r="D17" i="171"/>
  <c r="E17" i="171" s="1"/>
  <c r="F17" i="171" s="1"/>
  <c r="D16" i="171"/>
  <c r="F16" i="171" s="1"/>
  <c r="D15" i="171"/>
  <c r="E15" i="171" s="1"/>
  <c r="F15" i="171" s="1"/>
  <c r="D14" i="171"/>
  <c r="E14" i="171" s="1"/>
  <c r="F14" i="171" s="1"/>
  <c r="D13" i="171"/>
  <c r="E13" i="171" s="1"/>
  <c r="F13" i="171" s="1"/>
  <c r="D12" i="171"/>
  <c r="D19" i="150"/>
  <c r="E19" i="150" s="1"/>
  <c r="F19" i="150" s="1"/>
  <c r="D18" i="150"/>
  <c r="E18" i="150" s="1"/>
  <c r="D17" i="150"/>
  <c r="E17" i="150" s="1"/>
  <c r="F17" i="150" s="1"/>
  <c r="D16" i="150"/>
  <c r="F16" i="150" s="1"/>
  <c r="D15" i="150"/>
  <c r="E15" i="150" s="1"/>
  <c r="F15" i="150" s="1"/>
  <c r="D14" i="150"/>
  <c r="E14" i="150" s="1"/>
  <c r="F14" i="150" s="1"/>
  <c r="D6" i="150"/>
  <c r="D12" i="150" s="1"/>
  <c r="E12" i="150" s="1"/>
  <c r="D9" i="149"/>
  <c r="D15" i="149" s="1"/>
  <c r="D8" i="149"/>
  <c r="D14" i="149" s="1"/>
  <c r="D7" i="149"/>
  <c r="D13" i="149" s="1"/>
  <c r="D6" i="149"/>
  <c r="D12" i="149" s="1"/>
  <c r="D41" i="142"/>
  <c r="E41" i="142"/>
  <c r="F41" i="142"/>
  <c r="D43" i="142"/>
  <c r="E43" i="142"/>
  <c r="F43" i="142"/>
  <c r="C41" i="142"/>
  <c r="C38" i="142"/>
  <c r="C39" i="142" s="1"/>
  <c r="C40" i="142" s="1"/>
  <c r="G18" i="174"/>
  <c r="C16" i="174"/>
  <c r="K15" i="174"/>
  <c r="G9" i="174" s="1"/>
  <c r="K17" i="174" s="1"/>
  <c r="C9" i="174"/>
  <c r="G8" i="174"/>
  <c r="AE8" i="174"/>
  <c r="AD8" i="174"/>
  <c r="O8" i="174"/>
  <c r="O9" i="174"/>
  <c r="O10" i="174"/>
  <c r="O11" i="174"/>
  <c r="O12" i="174"/>
  <c r="O13" i="174"/>
  <c r="O7" i="174"/>
  <c r="D62" i="150"/>
  <c r="D70" i="150" s="1"/>
  <c r="D74" i="152"/>
  <c r="D60" i="169"/>
  <c r="D65" i="153"/>
  <c r="D50" i="164"/>
  <c r="C27" i="150"/>
  <c r="F16" i="152"/>
  <c r="E18" i="152"/>
  <c r="F18" i="152" s="1"/>
  <c r="E13" i="152"/>
  <c r="F13" i="152" s="1"/>
  <c r="E18" i="171"/>
  <c r="F18" i="171" s="1"/>
  <c r="C20" i="150"/>
  <c r="E10" i="142"/>
  <c r="E12" i="142" s="1"/>
  <c r="E13" i="142" s="1"/>
  <c r="D10" i="142"/>
  <c r="D12" i="142" s="1"/>
  <c r="D13" i="142" s="1"/>
  <c r="C10" i="142"/>
  <c r="C12" i="142" s="1"/>
  <c r="C13" i="142" s="1"/>
  <c r="F10" i="142"/>
  <c r="F12" i="142" s="1"/>
  <c r="F13" i="142" s="1"/>
  <c r="D15" i="140"/>
  <c r="H15" i="140"/>
  <c r="I15" i="140"/>
  <c r="J15" i="140"/>
  <c r="G15" i="140"/>
  <c r="F15" i="140"/>
  <c r="E15" i="140"/>
  <c r="C7" i="171"/>
  <c r="C9" i="171"/>
  <c r="C6" i="171"/>
  <c r="A22" i="156"/>
  <c r="A21" i="154"/>
  <c r="E6" i="153"/>
  <c r="G6" i="153" s="1"/>
  <c r="E5" i="153"/>
  <c r="G5" i="153" s="1"/>
  <c r="D12" i="153"/>
  <c r="C7" i="153"/>
  <c r="C11" i="153"/>
  <c r="D11" i="153" s="1"/>
  <c r="D61" i="150"/>
  <c r="C7" i="150"/>
  <c r="C6" i="150"/>
  <c r="A21" i="165"/>
  <c r="C16" i="164"/>
  <c r="C15" i="149"/>
  <c r="I6" i="175" s="1"/>
  <c r="C12" i="149"/>
  <c r="F6" i="175" s="1"/>
  <c r="F15" i="175" s="1"/>
  <c r="C13" i="149"/>
  <c r="G6" i="175" s="1"/>
  <c r="G15" i="175" s="1"/>
  <c r="C7" i="149"/>
  <c r="C9" i="149"/>
  <c r="C14" i="149"/>
  <c r="H6" i="175" s="1"/>
  <c r="H15" i="175" s="1"/>
  <c r="C8" i="149"/>
  <c r="C6" i="149"/>
  <c r="H5" i="140"/>
  <c r="C16" i="140"/>
  <c r="C17" i="140"/>
  <c r="C18" i="140"/>
  <c r="C19" i="140"/>
  <c r="D20" i="140"/>
  <c r="E20" i="140"/>
  <c r="F20" i="140"/>
  <c r="D66" i="171" s="1"/>
  <c r="G20" i="140"/>
  <c r="D68" i="152" s="1"/>
  <c r="H20" i="140"/>
  <c r="I20" i="140"/>
  <c r="J20" i="140"/>
  <c r="B24" i="140"/>
  <c r="B6" i="175" s="1"/>
  <c r="B25" i="140"/>
  <c r="B26" i="140"/>
  <c r="B7" i="175" s="1"/>
  <c r="B27" i="140"/>
  <c r="B9" i="175" s="1"/>
  <c r="B28" i="140"/>
  <c r="B10" i="175" s="1"/>
  <c r="B29" i="140"/>
  <c r="B11" i="175" s="1"/>
  <c r="B30" i="140"/>
  <c r="B13" i="175" s="1"/>
  <c r="B36" i="150"/>
  <c r="F10" i="140"/>
  <c r="AU23" i="159"/>
  <c r="AU12" i="159"/>
  <c r="AQ24" i="159"/>
  <c r="AR24" i="159"/>
  <c r="AS24" i="159"/>
  <c r="AT24" i="159"/>
  <c r="AU24" i="159"/>
  <c r="AQ13" i="159"/>
  <c r="AR13" i="159"/>
  <c r="AS13" i="159"/>
  <c r="AT13" i="159"/>
  <c r="AU13" i="159"/>
  <c r="AF21" i="159"/>
  <c r="AG21" i="159"/>
  <c r="AH21" i="159"/>
  <c r="AI21" i="159"/>
  <c r="AJ21" i="159"/>
  <c r="AK21" i="159"/>
  <c r="AL21" i="159"/>
  <c r="AM21" i="159"/>
  <c r="AN21" i="159"/>
  <c r="AO21" i="159"/>
  <c r="AP21" i="159"/>
  <c r="AQ21" i="159"/>
  <c r="AR21" i="159"/>
  <c r="AS21" i="159"/>
  <c r="AT21" i="159"/>
  <c r="AU21" i="159"/>
  <c r="AF10" i="159"/>
  <c r="AG10" i="159"/>
  <c r="AH10" i="159"/>
  <c r="AI10" i="159"/>
  <c r="AJ10" i="159"/>
  <c r="AK10" i="159"/>
  <c r="AL10" i="159"/>
  <c r="AM10" i="159"/>
  <c r="AN10" i="159"/>
  <c r="AO10" i="159"/>
  <c r="AP10" i="159"/>
  <c r="AQ10" i="159"/>
  <c r="AR10" i="159"/>
  <c r="AS10" i="159"/>
  <c r="AT10" i="159"/>
  <c r="AU10" i="159"/>
  <c r="AD22" i="159"/>
  <c r="AE22" i="159"/>
  <c r="AF22" i="159"/>
  <c r="AG22" i="159"/>
  <c r="AH22" i="159"/>
  <c r="AI22" i="159"/>
  <c r="AJ22" i="159"/>
  <c r="AK22" i="159"/>
  <c r="AL22" i="159"/>
  <c r="AM22" i="159"/>
  <c r="AN22" i="159"/>
  <c r="AO22" i="159"/>
  <c r="AP22" i="159"/>
  <c r="AQ22" i="159"/>
  <c r="AR22" i="159"/>
  <c r="AS22" i="159"/>
  <c r="AT22" i="159"/>
  <c r="AU22" i="159"/>
  <c r="AC22" i="159"/>
  <c r="AF11" i="159"/>
  <c r="AG11" i="159"/>
  <c r="AH11" i="159"/>
  <c r="AI11" i="159"/>
  <c r="AJ11" i="159"/>
  <c r="AK11" i="159"/>
  <c r="AL11" i="159"/>
  <c r="AM11" i="159"/>
  <c r="AN11" i="159"/>
  <c r="AO11" i="159"/>
  <c r="AP11" i="159"/>
  <c r="AQ11" i="159"/>
  <c r="AR11" i="159"/>
  <c r="AS11" i="159"/>
  <c r="AT11" i="159"/>
  <c r="AU11" i="159"/>
  <c r="AC11" i="159"/>
  <c r="AD11" i="159"/>
  <c r="AE11" i="159"/>
  <c r="AO9" i="159"/>
  <c r="AP9" i="159"/>
  <c r="AQ9" i="159"/>
  <c r="AR9" i="159"/>
  <c r="AS9" i="159"/>
  <c r="AT9" i="159"/>
  <c r="AU9" i="159"/>
  <c r="AO7" i="159"/>
  <c r="AP7" i="159"/>
  <c r="AQ7" i="159"/>
  <c r="AR7" i="159"/>
  <c r="AS7" i="159"/>
  <c r="AT7" i="159"/>
  <c r="AU7" i="159"/>
  <c r="AU4" i="159" s="1"/>
  <c r="AJ7" i="159"/>
  <c r="AK7" i="159"/>
  <c r="AL7" i="159"/>
  <c r="AM7" i="159"/>
  <c r="AN7" i="159"/>
  <c r="AK8" i="159"/>
  <c r="AL8" i="159"/>
  <c r="AM8" i="159"/>
  <c r="AN8" i="159"/>
  <c r="AO8" i="159"/>
  <c r="AP8" i="159"/>
  <c r="AQ8" i="159"/>
  <c r="AR8" i="159"/>
  <c r="AS8" i="159"/>
  <c r="AT8" i="159"/>
  <c r="AU8" i="159"/>
  <c r="AK19" i="159"/>
  <c r="AL19" i="159"/>
  <c r="AR19" i="159"/>
  <c r="AS19" i="159"/>
  <c r="AT19" i="159"/>
  <c r="AU19" i="159"/>
  <c r="AA18" i="159"/>
  <c r="AB18" i="159"/>
  <c r="AC18" i="159"/>
  <c r="AD18" i="159"/>
  <c r="AE18" i="159"/>
  <c r="AF18" i="159"/>
  <c r="AG18" i="159"/>
  <c r="AH18" i="159"/>
  <c r="AI18" i="159"/>
  <c r="AJ18" i="159"/>
  <c r="AK18" i="159"/>
  <c r="AL18" i="159"/>
  <c r="AM18" i="159"/>
  <c r="AN18" i="159"/>
  <c r="AO18" i="159"/>
  <c r="AP18" i="159"/>
  <c r="AQ18" i="159"/>
  <c r="AR18" i="159"/>
  <c r="AS18" i="159"/>
  <c r="AT18" i="159"/>
  <c r="AU18" i="159"/>
  <c r="D76" i="171"/>
  <c r="B16" i="170"/>
  <c r="A31" i="170"/>
  <c r="A7" i="170"/>
  <c r="A8" i="170"/>
  <c r="A9" i="170"/>
  <c r="A10" i="170"/>
  <c r="A11" i="170"/>
  <c r="A12" i="170"/>
  <c r="A13" i="170"/>
  <c r="A14" i="170"/>
  <c r="A15" i="170"/>
  <c r="A16" i="170"/>
  <c r="A17" i="170"/>
  <c r="A18" i="170"/>
  <c r="A19" i="170"/>
  <c r="A20" i="170"/>
  <c r="A21" i="170"/>
  <c r="A22" i="170"/>
  <c r="A23" i="170"/>
  <c r="A24" i="170"/>
  <c r="A25" i="170"/>
  <c r="A26" i="170"/>
  <c r="A27" i="170"/>
  <c r="A28" i="170"/>
  <c r="A29" i="170"/>
  <c r="A30" i="170"/>
  <c r="A6" i="170"/>
  <c r="D70" i="153"/>
  <c r="D44" i="164"/>
  <c r="B29" i="164"/>
  <c r="E7" i="164"/>
  <c r="E6" i="164"/>
  <c r="E5" i="164"/>
  <c r="D6" i="175" l="1"/>
  <c r="I15" i="175"/>
  <c r="E33" i="164"/>
  <c r="S8" i="174"/>
  <c r="T8" i="174" s="1"/>
  <c r="D13" i="150"/>
  <c r="E13" i="150" s="1"/>
  <c r="F13" i="150" s="1"/>
  <c r="F18" i="150"/>
  <c r="AF8" i="174"/>
  <c r="G7" i="153"/>
  <c r="F7" i="153" s="1"/>
  <c r="C12" i="153"/>
  <c r="B9" i="153" s="1"/>
  <c r="D7" i="153"/>
  <c r="C16" i="149"/>
  <c r="C10" i="149"/>
  <c r="C20" i="140"/>
  <c r="A27" i="162"/>
  <c r="C20" i="152"/>
  <c r="A28" i="156"/>
  <c r="AB7" i="159"/>
  <c r="AC7" i="159"/>
  <c r="AD7" i="159"/>
  <c r="AE7" i="159"/>
  <c r="AF7" i="159"/>
  <c r="AG7" i="159"/>
  <c r="AH7" i="159"/>
  <c r="AI7" i="159"/>
  <c r="AA7" i="159"/>
  <c r="A8" i="159"/>
  <c r="A19" i="159" s="1"/>
  <c r="A9" i="159"/>
  <c r="A20" i="159" s="1"/>
  <c r="A10" i="159"/>
  <c r="A21" i="159" s="1"/>
  <c r="A11" i="159"/>
  <c r="A22" i="159" s="1"/>
  <c r="A12" i="159"/>
  <c r="A23" i="159" s="1"/>
  <c r="A13" i="159"/>
  <c r="A24" i="159" s="1"/>
  <c r="A7" i="159"/>
  <c r="A18" i="159" s="1"/>
  <c r="D16" i="149" l="1"/>
  <c r="E6" i="175" s="1"/>
  <c r="D15" i="175"/>
  <c r="C25" i="175" s="1"/>
  <c r="C27" i="175" s="1"/>
  <c r="C17" i="149"/>
  <c r="D51" i="149" s="1"/>
  <c r="B10" i="153"/>
  <c r="D13" i="153"/>
  <c r="C20" i="153"/>
  <c r="C114" i="152"/>
  <c r="D65" i="152"/>
  <c r="C25" i="152"/>
  <c r="A22" i="172"/>
  <c r="D63" i="171"/>
  <c r="C26" i="171"/>
  <c r="E25" i="171"/>
  <c r="E26" i="171" s="1"/>
  <c r="E44" i="171" s="1"/>
  <c r="D77" i="171" s="1"/>
  <c r="D2" i="156"/>
  <c r="E2" i="156"/>
  <c r="F2" i="156"/>
  <c r="C2" i="156"/>
  <c r="D61" i="153"/>
  <c r="B30" i="153"/>
  <c r="C25" i="153"/>
  <c r="C17" i="153"/>
  <c r="C21" i="153" s="1"/>
  <c r="E44" i="153" s="1"/>
  <c r="D44" i="153" s="1"/>
  <c r="E16" i="153"/>
  <c r="E17" i="153" s="1"/>
  <c r="E39" i="153" s="1"/>
  <c r="D2" i="170"/>
  <c r="E2" i="170"/>
  <c r="F2" i="170"/>
  <c r="C2" i="170"/>
  <c r="D51" i="169"/>
  <c r="B12" i="170" s="1"/>
  <c r="B13" i="170"/>
  <c r="E13" i="170" s="1"/>
  <c r="D48" i="169"/>
  <c r="B9" i="170" s="1"/>
  <c r="D46" i="169"/>
  <c r="B7" i="170" s="1"/>
  <c r="D6" i="169"/>
  <c r="C31" i="150"/>
  <c r="E48" i="150" s="1"/>
  <c r="D47" i="150"/>
  <c r="AM25" i="141"/>
  <c r="AL25" i="141"/>
  <c r="AN22" i="141"/>
  <c r="AN25" i="141" s="1"/>
  <c r="AO15" i="141"/>
  <c r="AN15" i="141"/>
  <c r="AK15" i="141"/>
  <c r="AJ15" i="141"/>
  <c r="AP14" i="141"/>
  <c r="AL14" i="141"/>
  <c r="AP13" i="141"/>
  <c r="AL13" i="141"/>
  <c r="AP12" i="141"/>
  <c r="AL12" i="141"/>
  <c r="AP10" i="141"/>
  <c r="AL10" i="141"/>
  <c r="AP9" i="141"/>
  <c r="AL9" i="141"/>
  <c r="AP8" i="141"/>
  <c r="AL8" i="141"/>
  <c r="B43" i="150"/>
  <c r="E25" i="150"/>
  <c r="D46" i="164"/>
  <c r="D59" i="153"/>
  <c r="D54" i="169"/>
  <c r="B15" i="170" s="1"/>
  <c r="D64" i="150"/>
  <c r="D52" i="149"/>
  <c r="E36" i="169"/>
  <c r="E43" i="153" l="1"/>
  <c r="D43" i="153" s="1"/>
  <c r="G15" i="174"/>
  <c r="C26" i="149"/>
  <c r="E46" i="149"/>
  <c r="B15" i="149"/>
  <c r="B13" i="149"/>
  <c r="B14" i="149"/>
  <c r="B12" i="149"/>
  <c r="E40" i="153"/>
  <c r="E41" i="153" s="1"/>
  <c r="E14" i="152"/>
  <c r="F14" i="152" s="1"/>
  <c r="E19" i="152"/>
  <c r="F19" i="152" s="1"/>
  <c r="E27" i="150"/>
  <c r="D48" i="150"/>
  <c r="AL15" i="141"/>
  <c r="AP15" i="141"/>
  <c r="C26" i="152"/>
  <c r="C30" i="152" s="1"/>
  <c r="E50" i="152" s="1"/>
  <c r="D50" i="152" s="1"/>
  <c r="C9" i="170"/>
  <c r="P9" i="170" s="1"/>
  <c r="D46" i="153"/>
  <c r="E65" i="153"/>
  <c r="E57" i="153"/>
  <c r="D67" i="153"/>
  <c r="E67" i="153" s="1"/>
  <c r="E59" i="153"/>
  <c r="G8" i="140"/>
  <c r="E60" i="153"/>
  <c r="D66" i="153"/>
  <c r="E66" i="153" s="1"/>
  <c r="D58" i="153"/>
  <c r="E58" i="153" s="1"/>
  <c r="E70" i="153"/>
  <c r="H8" i="140"/>
  <c r="E61" i="153"/>
  <c r="C30" i="171"/>
  <c r="E49" i="171" s="1"/>
  <c r="D49" i="171" s="1"/>
  <c r="B22" i="172"/>
  <c r="I22" i="172" s="1"/>
  <c r="B44" i="171"/>
  <c r="H11" i="140"/>
  <c r="H7" i="140"/>
  <c r="D56" i="169"/>
  <c r="B17" i="170" s="1"/>
  <c r="D70" i="152"/>
  <c r="E25" i="152"/>
  <c r="E26" i="152" s="1"/>
  <c r="E45" i="152" s="1"/>
  <c r="D79" i="152" s="1"/>
  <c r="E12" i="152"/>
  <c r="E12" i="171"/>
  <c r="D26" i="171"/>
  <c r="B39" i="153"/>
  <c r="B6" i="153"/>
  <c r="B5" i="153"/>
  <c r="C22" i="153"/>
  <c r="C27" i="153"/>
  <c r="D17" i="153"/>
  <c r="B21" i="170"/>
  <c r="D45" i="169"/>
  <c r="D47" i="169"/>
  <c r="B8" i="170" s="1"/>
  <c r="H13" i="170"/>
  <c r="L13" i="170"/>
  <c r="D13" i="170"/>
  <c r="K13" i="170"/>
  <c r="C13" i="170"/>
  <c r="J13" i="170"/>
  <c r="I13" i="170"/>
  <c r="O13" i="170"/>
  <c r="G13" i="170"/>
  <c r="N13" i="170"/>
  <c r="F13" i="170"/>
  <c r="M13" i="170"/>
  <c r="C14" i="169"/>
  <c r="D36" i="169" s="1"/>
  <c r="E10" i="169"/>
  <c r="E11" i="169"/>
  <c r="C6" i="169"/>
  <c r="B6" i="170" l="1"/>
  <c r="E51" i="169"/>
  <c r="L9" i="175"/>
  <c r="E43" i="150"/>
  <c r="D76" i="150"/>
  <c r="D56" i="153"/>
  <c r="E56" i="153" s="1"/>
  <c r="C22" i="174"/>
  <c r="C17" i="174" s="1"/>
  <c r="C32" i="149"/>
  <c r="Q10" i="174"/>
  <c r="D27" i="150"/>
  <c r="E17" i="152"/>
  <c r="F17" i="152" s="1"/>
  <c r="E19" i="171"/>
  <c r="F19" i="171" s="1"/>
  <c r="D7" i="169"/>
  <c r="E9" i="175" s="1"/>
  <c r="B45" i="152"/>
  <c r="H10" i="140"/>
  <c r="D78" i="152"/>
  <c r="J22" i="172"/>
  <c r="D22" i="172"/>
  <c r="T22" i="172"/>
  <c r="U22" i="172"/>
  <c r="O22" i="172"/>
  <c r="E22" i="172"/>
  <c r="E56" i="169"/>
  <c r="E54" i="169"/>
  <c r="E46" i="169"/>
  <c r="G9" i="140"/>
  <c r="E55" i="169"/>
  <c r="E52" i="169"/>
  <c r="E47" i="169"/>
  <c r="E48" i="169"/>
  <c r="K22" i="172"/>
  <c r="R22" i="172"/>
  <c r="S22" i="172"/>
  <c r="H22" i="172"/>
  <c r="L22" i="172"/>
  <c r="C22" i="172"/>
  <c r="M22" i="172"/>
  <c r="N22" i="172"/>
  <c r="P22" i="172"/>
  <c r="Q22" i="172"/>
  <c r="V22" i="172"/>
  <c r="X22" i="172"/>
  <c r="H9" i="140"/>
  <c r="D65" i="169"/>
  <c r="B26" i="170" s="1"/>
  <c r="D62" i="169"/>
  <c r="B23" i="170" s="1"/>
  <c r="D61" i="169"/>
  <c r="B22" i="170" s="1"/>
  <c r="D26" i="152"/>
  <c r="F8" i="171"/>
  <c r="E45" i="153"/>
  <c r="C23" i="153"/>
  <c r="C28" i="153" s="1"/>
  <c r="D57" i="169"/>
  <c r="B18" i="170" s="1"/>
  <c r="I18" i="170" s="1"/>
  <c r="E45" i="169"/>
  <c r="P13" i="170"/>
  <c r="A28" i="154"/>
  <c r="A6" i="165"/>
  <c r="A7" i="165"/>
  <c r="A8" i="165"/>
  <c r="A9" i="165"/>
  <c r="A10" i="165"/>
  <c r="A11" i="165"/>
  <c r="A12" i="165"/>
  <c r="A13" i="165"/>
  <c r="A14" i="165"/>
  <c r="A15" i="165"/>
  <c r="A16" i="165"/>
  <c r="A17" i="165"/>
  <c r="A18" i="165"/>
  <c r="A19" i="165"/>
  <c r="A20" i="165"/>
  <c r="A22" i="165"/>
  <c r="A23" i="165"/>
  <c r="A24" i="165"/>
  <c r="A25" i="165"/>
  <c r="A26" i="165"/>
  <c r="A27" i="165"/>
  <c r="A5" i="165"/>
  <c r="B9" i="172"/>
  <c r="C9" i="172" s="1"/>
  <c r="B13" i="172"/>
  <c r="I13" i="172" s="1"/>
  <c r="A27" i="172"/>
  <c r="A7" i="172"/>
  <c r="A8" i="172"/>
  <c r="A9" i="172"/>
  <c r="A10" i="172"/>
  <c r="A11" i="172"/>
  <c r="A12" i="172"/>
  <c r="A13" i="172"/>
  <c r="A14" i="172"/>
  <c r="A15" i="172"/>
  <c r="A16" i="172"/>
  <c r="A17" i="172"/>
  <c r="A18" i="172"/>
  <c r="A19" i="172"/>
  <c r="A20" i="172"/>
  <c r="A23" i="172"/>
  <c r="A24" i="172"/>
  <c r="A25" i="172"/>
  <c r="A26" i="172"/>
  <c r="A6" i="172"/>
  <c r="F2" i="172"/>
  <c r="E2" i="172"/>
  <c r="D2" i="172"/>
  <c r="C2" i="172"/>
  <c r="AT27" i="105"/>
  <c r="AS27" i="105"/>
  <c r="AR27" i="105"/>
  <c r="AQ27" i="105"/>
  <c r="AP27" i="105"/>
  <c r="AO27" i="105"/>
  <c r="AN27" i="105"/>
  <c r="AM27" i="105"/>
  <c r="AL27" i="105"/>
  <c r="AK27" i="105"/>
  <c r="AJ27" i="105"/>
  <c r="AI27" i="105"/>
  <c r="AH27" i="105"/>
  <c r="AG27" i="105"/>
  <c r="AF27" i="105"/>
  <c r="AE27" i="105"/>
  <c r="AD27" i="105"/>
  <c r="AC27" i="105"/>
  <c r="AB27" i="105"/>
  <c r="AA27" i="105"/>
  <c r="Z27" i="105"/>
  <c r="Y27" i="105"/>
  <c r="X27" i="105"/>
  <c r="W27" i="105"/>
  <c r="B12" i="105"/>
  <c r="G12" i="105" s="1"/>
  <c r="A5" i="105"/>
  <c r="A6" i="105"/>
  <c r="A7" i="105"/>
  <c r="A8" i="105"/>
  <c r="A9" i="105"/>
  <c r="A10" i="105"/>
  <c r="A11" i="105"/>
  <c r="A12" i="105"/>
  <c r="A13" i="105"/>
  <c r="A14" i="105"/>
  <c r="AE7" i="174" l="1"/>
  <c r="E46" i="153"/>
  <c r="E48" i="153"/>
  <c r="C29" i="153"/>
  <c r="C30" i="153" s="1"/>
  <c r="AE10" i="174"/>
  <c r="AD10" i="174"/>
  <c r="C23" i="174"/>
  <c r="S10" i="174"/>
  <c r="V10" i="174" s="1"/>
  <c r="M26" i="170"/>
  <c r="H26" i="170"/>
  <c r="D26" i="170"/>
  <c r="L26" i="170"/>
  <c r="I26" i="170"/>
  <c r="O26" i="170"/>
  <c r="K26" i="170"/>
  <c r="J26" i="170"/>
  <c r="N26" i="170"/>
  <c r="G26" i="170"/>
  <c r="F26" i="170"/>
  <c r="E26" i="170"/>
  <c r="C26" i="170"/>
  <c r="G18" i="170"/>
  <c r="K18" i="170"/>
  <c r="L18" i="170"/>
  <c r="F18" i="170"/>
  <c r="C18" i="170"/>
  <c r="M18" i="170"/>
  <c r="D18" i="170"/>
  <c r="J18" i="170"/>
  <c r="H18" i="170"/>
  <c r="O18" i="170"/>
  <c r="N18" i="170"/>
  <c r="E18" i="170"/>
  <c r="D8" i="140"/>
  <c r="F9" i="150"/>
  <c r="F7" i="171"/>
  <c r="F7" i="152"/>
  <c r="F8" i="152"/>
  <c r="F9" i="152"/>
  <c r="F9" i="171"/>
  <c r="C20" i="171"/>
  <c r="F12" i="171"/>
  <c r="F6" i="171"/>
  <c r="H13" i="172"/>
  <c r="V13" i="172"/>
  <c r="P13" i="172"/>
  <c r="N13" i="172"/>
  <c r="F12" i="105"/>
  <c r="V12" i="105"/>
  <c r="N12" i="105"/>
  <c r="U12" i="105"/>
  <c r="T12" i="105"/>
  <c r="L12" i="105"/>
  <c r="D12" i="105"/>
  <c r="M12" i="105"/>
  <c r="S12" i="105"/>
  <c r="K12" i="105"/>
  <c r="C12" i="105"/>
  <c r="R12" i="105"/>
  <c r="J12" i="105"/>
  <c r="Q12" i="105"/>
  <c r="I12" i="105"/>
  <c r="E12" i="105"/>
  <c r="P12" i="105"/>
  <c r="H12" i="105"/>
  <c r="AV12" i="105"/>
  <c r="O12" i="105"/>
  <c r="O13" i="172"/>
  <c r="U13" i="172"/>
  <c r="M13" i="172"/>
  <c r="E13" i="172"/>
  <c r="T13" i="172"/>
  <c r="L13" i="172"/>
  <c r="D13" i="172"/>
  <c r="S13" i="172"/>
  <c r="K13" i="172"/>
  <c r="C13" i="172"/>
  <c r="R13" i="172"/>
  <c r="J13" i="172"/>
  <c r="Q13" i="172"/>
  <c r="AF10" i="174" l="1"/>
  <c r="T10" i="174"/>
  <c r="F20" i="171"/>
  <c r="F10" i="171"/>
  <c r="D20" i="171"/>
  <c r="E11" i="175" s="1"/>
  <c r="E12" i="175" s="1"/>
  <c r="P18" i="170"/>
  <c r="F7" i="150"/>
  <c r="F8" i="150"/>
  <c r="D21" i="171"/>
  <c r="C10" i="171"/>
  <c r="F12" i="150"/>
  <c r="F6" i="150"/>
  <c r="D21" i="150"/>
  <c r="C10" i="150"/>
  <c r="AU12" i="105"/>
  <c r="AW12" i="105" s="1"/>
  <c r="C36" i="171" l="1"/>
  <c r="F21" i="171"/>
  <c r="E43" i="171" s="1"/>
  <c r="D74" i="171"/>
  <c r="D73" i="171"/>
  <c r="D20" i="150"/>
  <c r="E7" i="175" s="1"/>
  <c r="D10" i="150"/>
  <c r="D22" i="150" s="1"/>
  <c r="C21" i="171"/>
  <c r="B9" i="171"/>
  <c r="B8" i="171"/>
  <c r="B7" i="171"/>
  <c r="B6" i="171"/>
  <c r="F10" i="150"/>
  <c r="C35" i="150"/>
  <c r="D72" i="150"/>
  <c r="D71" i="150"/>
  <c r="F12" i="152"/>
  <c r="F20" i="152" s="1"/>
  <c r="F6" i="152"/>
  <c r="F10" i="152" s="1"/>
  <c r="D21" i="152"/>
  <c r="C37" i="152" s="1"/>
  <c r="C10" i="152"/>
  <c r="D10" i="171"/>
  <c r="E10" i="171" s="1"/>
  <c r="F20" i="150"/>
  <c r="C21" i="150"/>
  <c r="F11" i="140"/>
  <c r="F7" i="140"/>
  <c r="F5" i="140"/>
  <c r="E7" i="140"/>
  <c r="L11" i="175" l="1"/>
  <c r="L12" i="175"/>
  <c r="E60" i="171"/>
  <c r="B20" i="150"/>
  <c r="L7" i="175"/>
  <c r="L8" i="175"/>
  <c r="E8" i="175"/>
  <c r="D25" i="175" s="1"/>
  <c r="D51" i="152"/>
  <c r="E45" i="171"/>
  <c r="E46" i="171" s="1"/>
  <c r="E50" i="171" s="1"/>
  <c r="D50" i="171" s="1"/>
  <c r="B10" i="171"/>
  <c r="B20" i="171"/>
  <c r="B10" i="150"/>
  <c r="E22" i="171"/>
  <c r="C29" i="171"/>
  <c r="B18" i="171"/>
  <c r="B17" i="171"/>
  <c r="B15" i="171"/>
  <c r="B14" i="171"/>
  <c r="B13" i="171"/>
  <c r="B12" i="171"/>
  <c r="B16" i="171"/>
  <c r="B19" i="171"/>
  <c r="B19" i="150"/>
  <c r="B17" i="150"/>
  <c r="C30" i="150"/>
  <c r="C15" i="174" s="1"/>
  <c r="C18" i="174" s="1"/>
  <c r="G17" i="174" s="1"/>
  <c r="B13" i="150"/>
  <c r="B15" i="150"/>
  <c r="D76" i="152"/>
  <c r="D75" i="152"/>
  <c r="D65" i="171"/>
  <c r="E65" i="171" s="1"/>
  <c r="E67" i="171"/>
  <c r="G11" i="140"/>
  <c r="E76" i="171"/>
  <c r="E66" i="171"/>
  <c r="E63" i="171"/>
  <c r="E77" i="171"/>
  <c r="C43" i="171"/>
  <c r="D43" i="171"/>
  <c r="E73" i="171"/>
  <c r="E74" i="171"/>
  <c r="D22" i="171"/>
  <c r="E10" i="150"/>
  <c r="B18" i="150"/>
  <c r="B16" i="150"/>
  <c r="B14" i="150"/>
  <c r="B12" i="150"/>
  <c r="B9" i="150"/>
  <c r="B6" i="150"/>
  <c r="B7" i="150"/>
  <c r="B8" i="150"/>
  <c r="E20" i="150"/>
  <c r="B8" i="152"/>
  <c r="B7" i="152"/>
  <c r="B6" i="152"/>
  <c r="B9" i="152"/>
  <c r="F21" i="150"/>
  <c r="E42" i="150" s="1"/>
  <c r="D20" i="152"/>
  <c r="B20" i="172"/>
  <c r="D20" i="172" s="1"/>
  <c r="G7" i="140"/>
  <c r="D63" i="150"/>
  <c r="C21" i="152"/>
  <c r="F21" i="152"/>
  <c r="D10" i="152"/>
  <c r="E10" i="152" s="1"/>
  <c r="E72" i="150"/>
  <c r="E65" i="150"/>
  <c r="E61" i="150"/>
  <c r="G7" i="174" l="1"/>
  <c r="G12" i="174" s="1"/>
  <c r="E48" i="171"/>
  <c r="E54" i="171" s="1"/>
  <c r="L15" i="175"/>
  <c r="E44" i="150"/>
  <c r="E45" i="150" s="1"/>
  <c r="C29" i="152"/>
  <c r="E49" i="152" s="1"/>
  <c r="E56" i="152" s="1"/>
  <c r="B18" i="152"/>
  <c r="B17" i="152"/>
  <c r="B14" i="152"/>
  <c r="B19" i="152"/>
  <c r="B13" i="152"/>
  <c r="B16" i="152"/>
  <c r="B12" i="152"/>
  <c r="B15" i="152"/>
  <c r="B20" i="152"/>
  <c r="B10" i="152"/>
  <c r="C32" i="171"/>
  <c r="E47" i="150"/>
  <c r="C33" i="150"/>
  <c r="E69" i="152"/>
  <c r="D67" i="152"/>
  <c r="E67" i="152" s="1"/>
  <c r="E66" i="152"/>
  <c r="E68" i="152"/>
  <c r="E74" i="152"/>
  <c r="E65" i="152"/>
  <c r="E79" i="152"/>
  <c r="E70" i="152"/>
  <c r="E78" i="152"/>
  <c r="E75" i="152"/>
  <c r="E76" i="152"/>
  <c r="C36" i="150"/>
  <c r="E22" i="152"/>
  <c r="E44" i="152"/>
  <c r="E22" i="150"/>
  <c r="D22" i="152"/>
  <c r="E20" i="152"/>
  <c r="E20" i="172"/>
  <c r="S20" i="172"/>
  <c r="T20" i="172"/>
  <c r="U20" i="172"/>
  <c r="Q20" i="172"/>
  <c r="H20" i="172"/>
  <c r="O20" i="172"/>
  <c r="L20" i="172"/>
  <c r="V20" i="172"/>
  <c r="R20" i="172"/>
  <c r="J20" i="172"/>
  <c r="K20" i="172"/>
  <c r="N20" i="172"/>
  <c r="M20" i="172"/>
  <c r="I20" i="172"/>
  <c r="C20" i="172"/>
  <c r="P20" i="172"/>
  <c r="C53" i="153"/>
  <c r="D53" i="153" s="1"/>
  <c r="C61" i="152"/>
  <c r="C59" i="171"/>
  <c r="D59" i="171" s="1"/>
  <c r="G10" i="140"/>
  <c r="C42" i="150"/>
  <c r="D42" i="150"/>
  <c r="D64" i="171"/>
  <c r="D50" i="149"/>
  <c r="D58" i="149" s="1"/>
  <c r="D61" i="152" l="1"/>
  <c r="D7" i="140"/>
  <c r="AE9" i="174"/>
  <c r="AD9" i="174"/>
  <c r="AF9" i="174" s="1"/>
  <c r="E53" i="150"/>
  <c r="D62" i="171"/>
  <c r="D71" i="171" s="1"/>
  <c r="D49" i="152"/>
  <c r="S12" i="174"/>
  <c r="T12" i="174" s="1"/>
  <c r="D48" i="171"/>
  <c r="S13" i="174"/>
  <c r="T13" i="174" s="1"/>
  <c r="E46" i="152"/>
  <c r="E47" i="152" s="1"/>
  <c r="S9" i="174"/>
  <c r="E64" i="171"/>
  <c r="D72" i="171"/>
  <c r="E72" i="171" s="1"/>
  <c r="E59" i="171"/>
  <c r="E61" i="152"/>
  <c r="D44" i="152"/>
  <c r="C44" i="152"/>
  <c r="D54" i="149"/>
  <c r="E53" i="153"/>
  <c r="B10" i="172"/>
  <c r="C10" i="172" s="1"/>
  <c r="D68" i="171"/>
  <c r="E68" i="171" s="1"/>
  <c r="E62" i="150"/>
  <c r="E70" i="150"/>
  <c r="D66" i="150"/>
  <c r="E66" i="150" s="1"/>
  <c r="D64" i="152"/>
  <c r="E64" i="152" s="1"/>
  <c r="C37" i="171"/>
  <c r="D47" i="149"/>
  <c r="AA7" i="174" s="1"/>
  <c r="D59" i="150"/>
  <c r="AA9" i="174" s="1"/>
  <c r="B9" i="105"/>
  <c r="D69" i="171" l="1"/>
  <c r="D11" i="140"/>
  <c r="AE13" i="174"/>
  <c r="AD13" i="174"/>
  <c r="T9" i="174"/>
  <c r="D73" i="152"/>
  <c r="E73" i="152" s="1"/>
  <c r="D61" i="171"/>
  <c r="D54" i="153"/>
  <c r="C38" i="171"/>
  <c r="C39" i="171" s="1"/>
  <c r="C31" i="152"/>
  <c r="C7" i="174" s="1"/>
  <c r="B18" i="172"/>
  <c r="B14" i="172"/>
  <c r="C14" i="172" s="1"/>
  <c r="D71" i="152"/>
  <c r="E71" i="152" s="1"/>
  <c r="E52" i="152"/>
  <c r="D52" i="152" s="1"/>
  <c r="C9" i="105"/>
  <c r="AU9" i="105" s="1"/>
  <c r="AV9" i="105"/>
  <c r="AF13" i="174" l="1"/>
  <c r="E54" i="153"/>
  <c r="AA10" i="174"/>
  <c r="E61" i="171"/>
  <c r="AA13" i="174"/>
  <c r="C33" i="152"/>
  <c r="C38" i="152"/>
  <c r="C18" i="172"/>
  <c r="H18" i="172"/>
  <c r="L18" i="172"/>
  <c r="E18" i="172"/>
  <c r="P18" i="172"/>
  <c r="T18" i="172"/>
  <c r="I18" i="172"/>
  <c r="R18" i="172"/>
  <c r="S18" i="172"/>
  <c r="U18" i="172"/>
  <c r="D18" i="172"/>
  <c r="J18" i="172"/>
  <c r="O18" i="172"/>
  <c r="V18" i="172"/>
  <c r="K18" i="172"/>
  <c r="N18" i="172"/>
  <c r="Q18" i="172"/>
  <c r="M18" i="172"/>
  <c r="AW9" i="105"/>
  <c r="AE12" i="174" l="1"/>
  <c r="AD12" i="174"/>
  <c r="D63" i="152"/>
  <c r="AA12" i="174" s="1"/>
  <c r="C8" i="174"/>
  <c r="E53" i="152"/>
  <c r="C39" i="152"/>
  <c r="C40" i="152" s="1"/>
  <c r="D10" i="140"/>
  <c r="F8" i="140"/>
  <c r="F9" i="140"/>
  <c r="F5" i="169"/>
  <c r="E8" i="149"/>
  <c r="E7" i="149"/>
  <c r="E38" i="142"/>
  <c r="E39" i="142" s="1"/>
  <c r="E40" i="142" s="1"/>
  <c r="F38" i="142"/>
  <c r="F39" i="142" s="1"/>
  <c r="F40" i="142" s="1"/>
  <c r="D38" i="142"/>
  <c r="D39" i="142" s="1"/>
  <c r="D40" i="142" s="1"/>
  <c r="F6" i="140"/>
  <c r="E2" i="171"/>
  <c r="C34" i="171" s="1"/>
  <c r="B34" i="172"/>
  <c r="X20" i="172"/>
  <c r="X14" i="172"/>
  <c r="X13" i="172"/>
  <c r="X9" i="172"/>
  <c r="F5" i="172"/>
  <c r="D4" i="172"/>
  <c r="E4" i="172" s="1"/>
  <c r="F4" i="172" s="1"/>
  <c r="G4" i="172" s="1"/>
  <c r="H4" i="172" s="1"/>
  <c r="I4" i="172" s="1"/>
  <c r="J4" i="172" s="1"/>
  <c r="K4" i="172" s="1"/>
  <c r="L4" i="172" s="1"/>
  <c r="M4" i="172" s="1"/>
  <c r="N4" i="172" s="1"/>
  <c r="O4" i="172" s="1"/>
  <c r="P4" i="172" s="1"/>
  <c r="Q4" i="172" s="1"/>
  <c r="R4" i="172" s="1"/>
  <c r="S4" i="172" s="1"/>
  <c r="T4" i="172" s="1"/>
  <c r="U4" i="172" s="1"/>
  <c r="V4" i="172" s="1"/>
  <c r="F1" i="172"/>
  <c r="E1" i="172"/>
  <c r="D1" i="172"/>
  <c r="C1" i="172"/>
  <c r="B93" i="171"/>
  <c r="B12" i="172"/>
  <c r="C113" i="171"/>
  <c r="E2" i="153"/>
  <c r="B38" i="170"/>
  <c r="Q13" i="170"/>
  <c r="Q9" i="170"/>
  <c r="D4" i="170"/>
  <c r="E4" i="170" s="1"/>
  <c r="F4" i="170" s="1"/>
  <c r="G4" i="170" s="1"/>
  <c r="H4" i="170" s="1"/>
  <c r="I4" i="170" s="1"/>
  <c r="J4" i="170" s="1"/>
  <c r="K4" i="170" s="1"/>
  <c r="L4" i="170" s="1"/>
  <c r="M4" i="170" s="1"/>
  <c r="N4" i="170" s="1"/>
  <c r="O4" i="170" s="1"/>
  <c r="C102" i="169"/>
  <c r="B82" i="169"/>
  <c r="E35" i="169"/>
  <c r="B26" i="169"/>
  <c r="C19" i="169"/>
  <c r="G21" i="174" s="1"/>
  <c r="Q22" i="170"/>
  <c r="E13" i="169"/>
  <c r="E12" i="169"/>
  <c r="E63" i="152" l="1"/>
  <c r="AF12" i="174"/>
  <c r="E54" i="152"/>
  <c r="C54" i="152" s="1"/>
  <c r="D72" i="152"/>
  <c r="D17" i="149"/>
  <c r="D10" i="149"/>
  <c r="F20" i="172"/>
  <c r="D49" i="169"/>
  <c r="AA11" i="174" s="1"/>
  <c r="C24" i="169"/>
  <c r="E9" i="149"/>
  <c r="B9" i="149"/>
  <c r="E6" i="149"/>
  <c r="B13" i="105"/>
  <c r="E13" i="105" s="1"/>
  <c r="B7" i="149"/>
  <c r="B8" i="149"/>
  <c r="B6" i="149"/>
  <c r="G5" i="172"/>
  <c r="F22" i="172"/>
  <c r="E14" i="169"/>
  <c r="E22" i="170"/>
  <c r="K22" i="170"/>
  <c r="H22" i="170"/>
  <c r="C22" i="170"/>
  <c r="D22" i="170"/>
  <c r="O22" i="170"/>
  <c r="M22" i="170"/>
  <c r="J22" i="170"/>
  <c r="G22" i="170"/>
  <c r="L22" i="170"/>
  <c r="I22" i="170"/>
  <c r="N22" i="170"/>
  <c r="F22" i="170"/>
  <c r="V12" i="172"/>
  <c r="D12" i="172"/>
  <c r="L12" i="172"/>
  <c r="N12" i="172"/>
  <c r="T12" i="172"/>
  <c r="C12" i="172"/>
  <c r="R12" i="172"/>
  <c r="J12" i="172"/>
  <c r="Q12" i="172"/>
  <c r="I12" i="172"/>
  <c r="O12" i="172"/>
  <c r="U12" i="172"/>
  <c r="M12" i="172"/>
  <c r="S12" i="172"/>
  <c r="P12" i="172"/>
  <c r="E12" i="172"/>
  <c r="K12" i="172"/>
  <c r="H12" i="172"/>
  <c r="F12" i="170"/>
  <c r="N12" i="170"/>
  <c r="G12" i="170"/>
  <c r="O12" i="170"/>
  <c r="H12" i="170"/>
  <c r="I12" i="170"/>
  <c r="J12" i="170"/>
  <c r="C12" i="170"/>
  <c r="K12" i="170"/>
  <c r="D12" i="170"/>
  <c r="L12" i="170"/>
  <c r="E12" i="170"/>
  <c r="M12" i="170"/>
  <c r="Q12" i="170"/>
  <c r="R9" i="170"/>
  <c r="P5" i="170"/>
  <c r="Q18" i="170"/>
  <c r="R13" i="170"/>
  <c r="W10" i="172"/>
  <c r="G12" i="172"/>
  <c r="F13" i="172"/>
  <c r="F12" i="172"/>
  <c r="F18" i="172"/>
  <c r="F12" i="140"/>
  <c r="G8" i="149"/>
  <c r="G9" i="149"/>
  <c r="G6" i="149"/>
  <c r="W14" i="172"/>
  <c r="Y14" i="172" s="1"/>
  <c r="X10" i="172"/>
  <c r="G7" i="149"/>
  <c r="E65" i="169"/>
  <c r="D35" i="169"/>
  <c r="B31" i="169"/>
  <c r="E60" i="169"/>
  <c r="W9" i="172"/>
  <c r="Y9" i="172" s="1"/>
  <c r="X18" i="172"/>
  <c r="E62" i="169"/>
  <c r="AE11" i="174" l="1"/>
  <c r="AE14" i="174" s="1"/>
  <c r="D18" i="149"/>
  <c r="D26" i="175"/>
  <c r="D27" i="175" s="1"/>
  <c r="D54" i="152"/>
  <c r="E31" i="169"/>
  <c r="D66" i="169"/>
  <c r="B27" i="170" s="1"/>
  <c r="E57" i="152"/>
  <c r="E72" i="152"/>
  <c r="D56" i="152"/>
  <c r="C56" i="152"/>
  <c r="D50" i="169"/>
  <c r="G10" i="149"/>
  <c r="E53" i="169"/>
  <c r="B14" i="170"/>
  <c r="E49" i="169"/>
  <c r="B10" i="170"/>
  <c r="C31" i="149"/>
  <c r="G22" i="172"/>
  <c r="W22" i="172" s="1"/>
  <c r="Y22" i="172" s="1"/>
  <c r="G20" i="172"/>
  <c r="W20" i="172" s="1"/>
  <c r="Y20" i="172" s="1"/>
  <c r="U13" i="105"/>
  <c r="M13" i="105"/>
  <c r="P13" i="105"/>
  <c r="O13" i="105"/>
  <c r="Q13" i="105"/>
  <c r="H13" i="105"/>
  <c r="V13" i="105"/>
  <c r="AV13" i="105"/>
  <c r="J13" i="105"/>
  <c r="R13" i="105"/>
  <c r="K13" i="105"/>
  <c r="I13" i="105"/>
  <c r="G13" i="105"/>
  <c r="T13" i="105"/>
  <c r="S13" i="105"/>
  <c r="L13" i="105"/>
  <c r="D13" i="105"/>
  <c r="F13" i="105"/>
  <c r="C13" i="105"/>
  <c r="N13" i="105"/>
  <c r="W5" i="172"/>
  <c r="G13" i="172"/>
  <c r="W13" i="172" s="1"/>
  <c r="Y13" i="172" s="1"/>
  <c r="G18" i="172"/>
  <c r="W18" i="172" s="1"/>
  <c r="Y18" i="172" s="1"/>
  <c r="P22" i="170"/>
  <c r="R22" i="170" s="1"/>
  <c r="E61" i="169"/>
  <c r="P12" i="170"/>
  <c r="R12" i="170" s="1"/>
  <c r="R18" i="170"/>
  <c r="D14" i="169"/>
  <c r="Y10" i="172"/>
  <c r="C23" i="169"/>
  <c r="AD11" i="174" s="1"/>
  <c r="AF11" i="174" s="1"/>
  <c r="M8" i="175" l="1"/>
  <c r="N8" i="175" s="1"/>
  <c r="M9" i="175"/>
  <c r="N9" i="175" s="1"/>
  <c r="M11" i="175"/>
  <c r="N11" i="175" s="1"/>
  <c r="M13" i="175"/>
  <c r="N13" i="175" s="1"/>
  <c r="M14" i="175"/>
  <c r="N14" i="175" s="1"/>
  <c r="M12" i="175"/>
  <c r="N12" i="175" s="1"/>
  <c r="M7" i="175"/>
  <c r="N7" i="175" s="1"/>
  <c r="P7" i="175" s="1"/>
  <c r="R7" i="175" s="1"/>
  <c r="D5" i="140"/>
  <c r="AD7" i="174"/>
  <c r="C57" i="152"/>
  <c r="Q12" i="174"/>
  <c r="E58" i="152"/>
  <c r="J10" i="140" s="1"/>
  <c r="E50" i="169"/>
  <c r="B11" i="170"/>
  <c r="C11" i="170" s="1"/>
  <c r="P11" i="170" s="1"/>
  <c r="D59" i="169"/>
  <c r="B20" i="170" s="1"/>
  <c r="D58" i="169"/>
  <c r="B19" i="170" s="1"/>
  <c r="J19" i="170" s="1"/>
  <c r="C27" i="170"/>
  <c r="O27" i="170"/>
  <c r="C14" i="170"/>
  <c r="P14" i="170" s="1"/>
  <c r="Q14" i="170"/>
  <c r="C10" i="170"/>
  <c r="P10" i="170" s="1"/>
  <c r="Q10" i="170"/>
  <c r="AU13" i="105"/>
  <c r="AW13" i="105" s="1"/>
  <c r="H7" i="170"/>
  <c r="K7" i="170"/>
  <c r="O7" i="170"/>
  <c r="J7" i="170"/>
  <c r="N7" i="170"/>
  <c r="D7" i="170"/>
  <c r="G7" i="170"/>
  <c r="L7" i="170"/>
  <c r="I7" i="170"/>
  <c r="F7" i="170"/>
  <c r="C7" i="170"/>
  <c r="M7" i="170"/>
  <c r="E7" i="170"/>
  <c r="Q7" i="170"/>
  <c r="C25" i="169"/>
  <c r="C26" i="169" s="1"/>
  <c r="D9" i="140"/>
  <c r="E66" i="169"/>
  <c r="B23" i="172"/>
  <c r="E30" i="169"/>
  <c r="E40" i="169" l="1"/>
  <c r="D30" i="169"/>
  <c r="D12" i="140"/>
  <c r="P13" i="175"/>
  <c r="R13" i="175" s="1"/>
  <c r="P11" i="175"/>
  <c r="R11" i="175" s="1"/>
  <c r="P9" i="175"/>
  <c r="R9" i="175" s="1"/>
  <c r="E32" i="169"/>
  <c r="E33" i="169" s="1"/>
  <c r="Q11" i="174" s="1"/>
  <c r="R11" i="174" s="1"/>
  <c r="P14" i="175"/>
  <c r="R14" i="175" s="1"/>
  <c r="P12" i="175"/>
  <c r="R12" i="175" s="1"/>
  <c r="P8" i="175"/>
  <c r="R8" i="175" s="1"/>
  <c r="N15" i="175"/>
  <c r="AD14" i="174"/>
  <c r="AF14" i="174" s="1"/>
  <c r="AF7" i="174"/>
  <c r="R12" i="174"/>
  <c r="W12" i="174" s="1"/>
  <c r="X12" i="174" s="1"/>
  <c r="V12" i="174"/>
  <c r="C99" i="152"/>
  <c r="C100" i="152" s="1"/>
  <c r="C101" i="152" s="1"/>
  <c r="C107" i="152" s="1"/>
  <c r="C86" i="152"/>
  <c r="E19" i="170"/>
  <c r="O19" i="170"/>
  <c r="M19" i="170"/>
  <c r="Q11" i="170"/>
  <c r="R11" i="170" s="1"/>
  <c r="H19" i="170"/>
  <c r="Q19" i="170"/>
  <c r="K19" i="170"/>
  <c r="I19" i="170"/>
  <c r="D19" i="170"/>
  <c r="F19" i="170"/>
  <c r="L19" i="170"/>
  <c r="G19" i="170"/>
  <c r="C19" i="170"/>
  <c r="N19" i="170"/>
  <c r="G20" i="170"/>
  <c r="E20" i="170"/>
  <c r="J20" i="170"/>
  <c r="I20" i="170"/>
  <c r="K20" i="170"/>
  <c r="O20" i="170"/>
  <c r="L20" i="170"/>
  <c r="C20" i="170"/>
  <c r="M20" i="170"/>
  <c r="F20" i="170"/>
  <c r="N20" i="170"/>
  <c r="H20" i="170"/>
  <c r="D20" i="170"/>
  <c r="Q20" i="170"/>
  <c r="R14" i="170"/>
  <c r="R10" i="170"/>
  <c r="C23" i="170"/>
  <c r="P23" i="170" s="1"/>
  <c r="Q23" i="170"/>
  <c r="P7" i="170"/>
  <c r="R7" i="170" s="1"/>
  <c r="G8" i="170"/>
  <c r="K8" i="170"/>
  <c r="E8" i="170"/>
  <c r="C8" i="170"/>
  <c r="L8" i="170"/>
  <c r="M8" i="170"/>
  <c r="F8" i="170"/>
  <c r="J8" i="170"/>
  <c r="I8" i="170"/>
  <c r="D8" i="170"/>
  <c r="O8" i="170"/>
  <c r="N8" i="170"/>
  <c r="H8" i="170"/>
  <c r="Q8" i="170"/>
  <c r="L6" i="170"/>
  <c r="J6" i="170"/>
  <c r="M6" i="170"/>
  <c r="D6" i="170"/>
  <c r="I6" i="170"/>
  <c r="C6" i="170"/>
  <c r="N6" i="170"/>
  <c r="G6" i="170"/>
  <c r="H6" i="170"/>
  <c r="O6" i="170"/>
  <c r="E6" i="170"/>
  <c r="F6" i="170"/>
  <c r="K6" i="170"/>
  <c r="Q6" i="170"/>
  <c r="C30" i="169"/>
  <c r="C23" i="172"/>
  <c r="P23" i="172"/>
  <c r="H23" i="172"/>
  <c r="J23" i="172"/>
  <c r="R23" i="172"/>
  <c r="N23" i="172"/>
  <c r="D23" i="172"/>
  <c r="O23" i="172"/>
  <c r="T23" i="172"/>
  <c r="V23" i="172"/>
  <c r="Q23" i="172"/>
  <c r="U23" i="172"/>
  <c r="I23" i="172"/>
  <c r="M23" i="172"/>
  <c r="K23" i="172"/>
  <c r="E23" i="172"/>
  <c r="S23" i="172"/>
  <c r="L23" i="172"/>
  <c r="G23" i="172"/>
  <c r="F23" i="172"/>
  <c r="B6" i="172"/>
  <c r="P15" i="175" l="1"/>
  <c r="R15" i="175"/>
  <c r="C106" i="152"/>
  <c r="P19" i="170"/>
  <c r="R19" i="170" s="1"/>
  <c r="P20" i="170"/>
  <c r="R20" i="170" s="1"/>
  <c r="R23" i="170"/>
  <c r="P6" i="170"/>
  <c r="R6" i="170" s="1"/>
  <c r="E59" i="169"/>
  <c r="D15" i="170"/>
  <c r="O15" i="170"/>
  <c r="G15" i="170"/>
  <c r="K15" i="170"/>
  <c r="J15" i="170"/>
  <c r="H15" i="170"/>
  <c r="M15" i="170"/>
  <c r="F15" i="170"/>
  <c r="C15" i="170"/>
  <c r="N15" i="170"/>
  <c r="E15" i="170"/>
  <c r="L15" i="170"/>
  <c r="I15" i="170"/>
  <c r="Q15" i="170"/>
  <c r="P8" i="170"/>
  <c r="R8" i="170" s="1"/>
  <c r="W23" i="172"/>
  <c r="V6" i="172"/>
  <c r="Q6" i="172"/>
  <c r="O6" i="172"/>
  <c r="I6" i="172"/>
  <c r="S6" i="172"/>
  <c r="N6" i="172"/>
  <c r="D6" i="172"/>
  <c r="J6" i="172"/>
  <c r="L6" i="172"/>
  <c r="R6" i="172"/>
  <c r="T6" i="172"/>
  <c r="H6" i="172"/>
  <c r="M6" i="172"/>
  <c r="K6" i="172"/>
  <c r="U6" i="172"/>
  <c r="P6" i="172"/>
  <c r="E6" i="172"/>
  <c r="C6" i="172"/>
  <c r="G6" i="172"/>
  <c r="F6" i="172"/>
  <c r="E57" i="169"/>
  <c r="E62" i="171" l="1"/>
  <c r="E71" i="171"/>
  <c r="D40" i="169"/>
  <c r="D63" i="169"/>
  <c r="E69" i="171"/>
  <c r="B11" i="172"/>
  <c r="C11" i="172" s="1"/>
  <c r="B7" i="172"/>
  <c r="Q7" i="172" s="1"/>
  <c r="J17" i="170"/>
  <c r="L17" i="170"/>
  <c r="C17" i="170"/>
  <c r="M17" i="170"/>
  <c r="I17" i="170"/>
  <c r="D17" i="170"/>
  <c r="O17" i="170"/>
  <c r="G17" i="170"/>
  <c r="E17" i="170"/>
  <c r="K17" i="170"/>
  <c r="N17" i="170"/>
  <c r="H17" i="170"/>
  <c r="F17" i="170"/>
  <c r="Q17" i="170"/>
  <c r="P15" i="170"/>
  <c r="R15" i="170" s="1"/>
  <c r="B19" i="172"/>
  <c r="J19" i="172" s="1"/>
  <c r="E58" i="169"/>
  <c r="B8" i="172"/>
  <c r="E37" i="169"/>
  <c r="C40" i="169"/>
  <c r="E38" i="169" l="1"/>
  <c r="D38" i="169" s="1"/>
  <c r="S11" i="174"/>
  <c r="E63" i="169"/>
  <c r="B24" i="170"/>
  <c r="D70" i="171"/>
  <c r="F7" i="172"/>
  <c r="V7" i="172"/>
  <c r="U7" i="172"/>
  <c r="C19" i="172"/>
  <c r="K7" i="172"/>
  <c r="M19" i="172"/>
  <c r="L7" i="172"/>
  <c r="N19" i="172"/>
  <c r="R7" i="172"/>
  <c r="U19" i="172"/>
  <c r="G7" i="172"/>
  <c r="T7" i="172"/>
  <c r="S7" i="172"/>
  <c r="P7" i="172"/>
  <c r="V19" i="172"/>
  <c r="I7" i="172"/>
  <c r="Q19" i="172"/>
  <c r="M7" i="172"/>
  <c r="D7" i="172"/>
  <c r="G19" i="172"/>
  <c r="E19" i="172"/>
  <c r="S19" i="172"/>
  <c r="H7" i="172"/>
  <c r="C7" i="172"/>
  <c r="J7" i="172"/>
  <c r="T19" i="172"/>
  <c r="N7" i="172"/>
  <c r="O7" i="172"/>
  <c r="E7" i="172"/>
  <c r="P19" i="172"/>
  <c r="R19" i="172"/>
  <c r="F21" i="170"/>
  <c r="D21" i="170"/>
  <c r="I21" i="170"/>
  <c r="L21" i="170"/>
  <c r="O21" i="170"/>
  <c r="H21" i="170"/>
  <c r="G21" i="170"/>
  <c r="K21" i="170"/>
  <c r="N21" i="170"/>
  <c r="C21" i="170"/>
  <c r="M21" i="170"/>
  <c r="E21" i="170"/>
  <c r="J21" i="170"/>
  <c r="Q21" i="170"/>
  <c r="P17" i="170"/>
  <c r="R17" i="170" s="1"/>
  <c r="H19" i="172"/>
  <c r="F19" i="172"/>
  <c r="K19" i="172"/>
  <c r="D19" i="172"/>
  <c r="O19" i="172"/>
  <c r="I19" i="172"/>
  <c r="L19" i="172"/>
  <c r="C16" i="170"/>
  <c r="K16" i="170"/>
  <c r="F16" i="170"/>
  <c r="N16" i="170"/>
  <c r="D16" i="170"/>
  <c r="L16" i="170"/>
  <c r="E16" i="170"/>
  <c r="M16" i="170"/>
  <c r="G16" i="170"/>
  <c r="O16" i="170"/>
  <c r="H16" i="170"/>
  <c r="I16" i="170"/>
  <c r="J16" i="170"/>
  <c r="Q16" i="170"/>
  <c r="B15" i="172"/>
  <c r="B17" i="172"/>
  <c r="P8" i="172"/>
  <c r="C8" i="172"/>
  <c r="R8" i="172"/>
  <c r="H8" i="172"/>
  <c r="E8" i="172"/>
  <c r="V8" i="172"/>
  <c r="J8" i="172"/>
  <c r="K8" i="172"/>
  <c r="N8" i="172"/>
  <c r="T8" i="172"/>
  <c r="U8" i="172"/>
  <c r="D8" i="172"/>
  <c r="L8" i="172"/>
  <c r="M8" i="172"/>
  <c r="S8" i="172"/>
  <c r="Q8" i="172"/>
  <c r="I8" i="172"/>
  <c r="O8" i="172"/>
  <c r="G8" i="172"/>
  <c r="F8" i="172"/>
  <c r="E41" i="169" l="1"/>
  <c r="C41" i="169" s="1"/>
  <c r="C38" i="169"/>
  <c r="T11" i="174"/>
  <c r="V11" i="174"/>
  <c r="S14" i="174"/>
  <c r="E70" i="171"/>
  <c r="I24" i="170"/>
  <c r="G24" i="170"/>
  <c r="H24" i="170"/>
  <c r="O24" i="170"/>
  <c r="N24" i="170"/>
  <c r="F24" i="170"/>
  <c r="C24" i="170"/>
  <c r="M24" i="170"/>
  <c r="E24" i="170"/>
  <c r="D24" i="170"/>
  <c r="L24" i="170"/>
  <c r="K24" i="170"/>
  <c r="J24" i="170"/>
  <c r="Q24" i="170"/>
  <c r="Q31" i="170" s="1"/>
  <c r="P21" i="170"/>
  <c r="R21" i="170" s="1"/>
  <c r="P16" i="170"/>
  <c r="B16" i="172"/>
  <c r="I17" i="172"/>
  <c r="H17" i="172"/>
  <c r="N17" i="172"/>
  <c r="P17" i="172"/>
  <c r="V17" i="172"/>
  <c r="O17" i="172"/>
  <c r="S17" i="172"/>
  <c r="M17" i="172"/>
  <c r="K17" i="172"/>
  <c r="C17" i="172"/>
  <c r="Q17" i="172"/>
  <c r="T17" i="172"/>
  <c r="R17" i="172"/>
  <c r="L17" i="172"/>
  <c r="J17" i="172"/>
  <c r="U17" i="172"/>
  <c r="D17" i="172"/>
  <c r="E17" i="172"/>
  <c r="F17" i="172"/>
  <c r="G17" i="172"/>
  <c r="E15" i="172"/>
  <c r="R15" i="172"/>
  <c r="D15" i="172"/>
  <c r="J15" i="172"/>
  <c r="L15" i="172"/>
  <c r="T15" i="172"/>
  <c r="V15" i="172"/>
  <c r="O15" i="172"/>
  <c r="P15" i="172"/>
  <c r="N15" i="172"/>
  <c r="U15" i="172"/>
  <c r="H15" i="172"/>
  <c r="M15" i="172"/>
  <c r="C15" i="172"/>
  <c r="Q15" i="172"/>
  <c r="S15" i="172"/>
  <c r="I15" i="172"/>
  <c r="K15" i="172"/>
  <c r="F15" i="172"/>
  <c r="G15" i="172"/>
  <c r="E42" i="169" l="1"/>
  <c r="C87" i="169" s="1"/>
  <c r="C88" i="169" s="1"/>
  <c r="C89" i="169" s="1"/>
  <c r="W11" i="174"/>
  <c r="T14" i="174"/>
  <c r="P24" i="170"/>
  <c r="P31" i="170" s="1"/>
  <c r="R16" i="170"/>
  <c r="N16" i="172"/>
  <c r="V16" i="172"/>
  <c r="S16" i="172"/>
  <c r="L16" i="172"/>
  <c r="O16" i="172"/>
  <c r="U16" i="172"/>
  <c r="K16" i="172"/>
  <c r="M16" i="172"/>
  <c r="C16" i="172"/>
  <c r="E16" i="172"/>
  <c r="Q16" i="172"/>
  <c r="R16" i="172"/>
  <c r="P16" i="172"/>
  <c r="H16" i="172"/>
  <c r="I16" i="172"/>
  <c r="T16" i="172"/>
  <c r="D16" i="172"/>
  <c r="J16" i="172"/>
  <c r="G16" i="172"/>
  <c r="F16" i="172"/>
  <c r="J9" i="140" l="1"/>
  <c r="X11" i="174" s="1"/>
  <c r="C73" i="169"/>
  <c r="R24" i="170"/>
  <c r="C94" i="169"/>
  <c r="C95" i="169"/>
  <c r="E10" i="140" l="1"/>
  <c r="E11" i="140"/>
  <c r="E9" i="140"/>
  <c r="E5" i="140"/>
  <c r="C30" i="149" l="1"/>
  <c r="D49" i="149" s="1"/>
  <c r="B8" i="105" s="1"/>
  <c r="C1" i="105"/>
  <c r="D1" i="105"/>
  <c r="E1" i="105"/>
  <c r="F1" i="105"/>
  <c r="C2" i="105"/>
  <c r="D2" i="105"/>
  <c r="E2" i="105"/>
  <c r="F2" i="105"/>
  <c r="D3" i="105"/>
  <c r="E3" i="105" s="1"/>
  <c r="F3" i="105" s="1"/>
  <c r="G3" i="105" s="1"/>
  <c r="H3" i="105" s="1"/>
  <c r="I3" i="105" s="1"/>
  <c r="J3" i="105" s="1"/>
  <c r="K3" i="105" s="1"/>
  <c r="L3" i="105" s="1"/>
  <c r="M3" i="105" s="1"/>
  <c r="N3" i="105" s="1"/>
  <c r="O3" i="105" s="1"/>
  <c r="P3" i="105" s="1"/>
  <c r="Q3" i="105" s="1"/>
  <c r="R3" i="105" s="1"/>
  <c r="S3" i="105" s="1"/>
  <c r="T3" i="105" s="1"/>
  <c r="U3" i="105" s="1"/>
  <c r="V3" i="105" s="1"/>
  <c r="W3" i="105" s="1"/>
  <c r="X3" i="105" s="1"/>
  <c r="Y3" i="105" s="1"/>
  <c r="Z3" i="105" s="1"/>
  <c r="AA3" i="105" s="1"/>
  <c r="AB3" i="105" s="1"/>
  <c r="AC3" i="105" s="1"/>
  <c r="AD3" i="105" s="1"/>
  <c r="AE3" i="105" s="1"/>
  <c r="AF3" i="105" s="1"/>
  <c r="AG3" i="105" s="1"/>
  <c r="AH3" i="105" s="1"/>
  <c r="AI3" i="105" s="1"/>
  <c r="AJ3" i="105" s="1"/>
  <c r="AK3" i="105" s="1"/>
  <c r="AL3" i="105" s="1"/>
  <c r="AM3" i="105" s="1"/>
  <c r="AN3" i="105" s="1"/>
  <c r="AO3" i="105" s="1"/>
  <c r="AP3" i="105" s="1"/>
  <c r="AQ3" i="105" s="1"/>
  <c r="AR3" i="105" s="1"/>
  <c r="AS3" i="105" s="1"/>
  <c r="AT3" i="105" s="1"/>
  <c r="A15" i="105"/>
  <c r="A16" i="105"/>
  <c r="A17" i="105"/>
  <c r="B17" i="105"/>
  <c r="F17" i="105" s="1"/>
  <c r="A18" i="105"/>
  <c r="A19" i="105"/>
  <c r="A20" i="105"/>
  <c r="A22" i="105"/>
  <c r="A23" i="105"/>
  <c r="A24" i="105"/>
  <c r="A25" i="105"/>
  <c r="A26" i="105"/>
  <c r="B34" i="105"/>
  <c r="AV8" i="105" l="1"/>
  <c r="C8" i="105"/>
  <c r="AU8" i="105" s="1"/>
  <c r="D60" i="149"/>
  <c r="B19" i="105" s="1"/>
  <c r="H19" i="105" s="1"/>
  <c r="D59" i="149"/>
  <c r="C17" i="105"/>
  <c r="T17" i="105"/>
  <c r="S17" i="105"/>
  <c r="P17" i="105"/>
  <c r="N17" i="105"/>
  <c r="R17" i="105"/>
  <c r="L17" i="105"/>
  <c r="AV17" i="105"/>
  <c r="J17" i="105"/>
  <c r="V17" i="105"/>
  <c r="D17" i="105"/>
  <c r="K17" i="105"/>
  <c r="H17" i="105"/>
  <c r="G17" i="105"/>
  <c r="AU4" i="105"/>
  <c r="U17" i="105"/>
  <c r="M17" i="105"/>
  <c r="E17" i="105"/>
  <c r="Q17" i="105"/>
  <c r="I17" i="105"/>
  <c r="O17" i="105"/>
  <c r="AW8" i="105" l="1"/>
  <c r="N19" i="105"/>
  <c r="Q19" i="105"/>
  <c r="C19" i="105"/>
  <c r="AV19" i="105"/>
  <c r="L19" i="105"/>
  <c r="I19" i="105"/>
  <c r="F19" i="105"/>
  <c r="S19" i="105"/>
  <c r="O19" i="105"/>
  <c r="T19" i="105"/>
  <c r="U19" i="105"/>
  <c r="E19" i="105"/>
  <c r="J19" i="105"/>
  <c r="R19" i="105"/>
  <c r="D19" i="105"/>
  <c r="P19" i="105"/>
  <c r="G19" i="105"/>
  <c r="K19" i="105"/>
  <c r="M19" i="105"/>
  <c r="V19" i="105"/>
  <c r="AU17" i="105"/>
  <c r="AW17" i="105" s="1"/>
  <c r="AU19" i="105" l="1"/>
  <c r="AW19" i="105" s="1"/>
  <c r="E8" i="140"/>
  <c r="D45" i="149"/>
  <c r="E2" i="149"/>
  <c r="B6" i="105"/>
  <c r="C27" i="149"/>
  <c r="C23" i="149"/>
  <c r="D63" i="149" s="1"/>
  <c r="D22" i="149"/>
  <c r="E22" i="149" s="1"/>
  <c r="E21" i="149"/>
  <c r="D64" i="149" s="1"/>
  <c r="E2" i="152"/>
  <c r="B22" i="105" l="1"/>
  <c r="U22" i="105" s="1"/>
  <c r="E63" i="149"/>
  <c r="D48" i="149"/>
  <c r="D57" i="149" s="1"/>
  <c r="D55" i="149"/>
  <c r="A1" i="105"/>
  <c r="S5" i="105"/>
  <c r="C35" i="152"/>
  <c r="I6" i="105"/>
  <c r="G6" i="105"/>
  <c r="O6" i="105"/>
  <c r="H6" i="105"/>
  <c r="P6" i="105"/>
  <c r="AV6" i="105"/>
  <c r="S6" i="105"/>
  <c r="U6" i="105"/>
  <c r="K6" i="105"/>
  <c r="M6" i="105"/>
  <c r="C6" i="105"/>
  <c r="E6" i="105"/>
  <c r="V6" i="105"/>
  <c r="T6" i="105"/>
  <c r="R6" i="105"/>
  <c r="F6" i="105"/>
  <c r="D6" i="105"/>
  <c r="Q6" i="105"/>
  <c r="N6" i="105"/>
  <c r="L6" i="105"/>
  <c r="J6" i="105"/>
  <c r="C82" i="149"/>
  <c r="C29" i="149"/>
  <c r="V22" i="105"/>
  <c r="G22" i="105"/>
  <c r="P22" i="105"/>
  <c r="S22" i="105"/>
  <c r="I22" i="105"/>
  <c r="B11" i="105"/>
  <c r="E45" i="149"/>
  <c r="E49" i="149"/>
  <c r="E60" i="149"/>
  <c r="E54" i="149"/>
  <c r="E58" i="149"/>
  <c r="E50" i="149"/>
  <c r="E53" i="149"/>
  <c r="E64" i="149"/>
  <c r="B23" i="105"/>
  <c r="E47" i="149"/>
  <c r="E52" i="149"/>
  <c r="B79" i="149"/>
  <c r="C33" i="149"/>
  <c r="C34" i="149" s="1"/>
  <c r="E59" i="149"/>
  <c r="E23" i="149"/>
  <c r="D74" i="149"/>
  <c r="D43" i="149"/>
  <c r="O22" i="105" l="1"/>
  <c r="H22" i="105"/>
  <c r="T22" i="105"/>
  <c r="K22" i="105"/>
  <c r="M22" i="105"/>
  <c r="N22" i="105"/>
  <c r="E22" i="105"/>
  <c r="AV22" i="105"/>
  <c r="L22" i="105"/>
  <c r="C22" i="105"/>
  <c r="R22" i="105"/>
  <c r="D22" i="105"/>
  <c r="F22" i="105"/>
  <c r="Q22" i="105"/>
  <c r="J22" i="105"/>
  <c r="D23" i="149"/>
  <c r="E41" i="149"/>
  <c r="Q7" i="174" s="1"/>
  <c r="M5" i="105"/>
  <c r="G5" i="105"/>
  <c r="J5" i="105"/>
  <c r="I5" i="105"/>
  <c r="E5" i="105"/>
  <c r="AV5" i="105"/>
  <c r="K5" i="105"/>
  <c r="D5" i="105"/>
  <c r="H5" i="105"/>
  <c r="V5" i="105"/>
  <c r="U5" i="105"/>
  <c r="N5" i="105"/>
  <c r="R5" i="105"/>
  <c r="O5" i="105"/>
  <c r="T5" i="105"/>
  <c r="L5" i="105"/>
  <c r="P5" i="105"/>
  <c r="Q5" i="105"/>
  <c r="F5" i="105"/>
  <c r="C5" i="105"/>
  <c r="AU6" i="105"/>
  <c r="AW6" i="105" s="1"/>
  <c r="C23" i="105"/>
  <c r="V23" i="105"/>
  <c r="T23" i="105"/>
  <c r="U23" i="105"/>
  <c r="E11" i="105"/>
  <c r="F11" i="105"/>
  <c r="N11" i="105"/>
  <c r="V11" i="105"/>
  <c r="G11" i="105"/>
  <c r="O11" i="105"/>
  <c r="AV11" i="105"/>
  <c r="P11" i="105"/>
  <c r="I11" i="105"/>
  <c r="Q11" i="105"/>
  <c r="J11" i="105"/>
  <c r="H11" i="105"/>
  <c r="C11" i="105"/>
  <c r="K11" i="105"/>
  <c r="S11" i="105"/>
  <c r="D11" i="105"/>
  <c r="L11" i="105"/>
  <c r="T11" i="105"/>
  <c r="M11" i="105"/>
  <c r="U11" i="105"/>
  <c r="R11" i="105"/>
  <c r="E51" i="149"/>
  <c r="B10" i="105"/>
  <c r="AV23" i="105"/>
  <c r="S23" i="105"/>
  <c r="B18" i="105"/>
  <c r="AV8" i="155"/>
  <c r="AW8" i="158"/>
  <c r="AV8" i="158"/>
  <c r="E2" i="164"/>
  <c r="D1" i="160"/>
  <c r="D1" i="157"/>
  <c r="B21" i="157" s="1"/>
  <c r="E2" i="150"/>
  <c r="AU22" i="105" l="1"/>
  <c r="AW22" i="105" s="1"/>
  <c r="R7" i="174"/>
  <c r="V7" i="174"/>
  <c r="E42" i="149"/>
  <c r="D61" i="149"/>
  <c r="A1" i="156"/>
  <c r="A1" i="165"/>
  <c r="D59" i="152"/>
  <c r="D42" i="152" s="1"/>
  <c r="AU5" i="105"/>
  <c r="AW5" i="105" s="1"/>
  <c r="A1" i="158"/>
  <c r="E2" i="169"/>
  <c r="A1" i="170"/>
  <c r="E48" i="149"/>
  <c r="B7" i="105"/>
  <c r="AU23" i="105"/>
  <c r="AW23" i="105" s="1"/>
  <c r="T18" i="105"/>
  <c r="U18" i="105"/>
  <c r="V18" i="105"/>
  <c r="AU11" i="105"/>
  <c r="AW11" i="105" s="1"/>
  <c r="C10" i="105"/>
  <c r="AU10" i="105" s="1"/>
  <c r="AV10" i="105"/>
  <c r="AV18" i="105"/>
  <c r="G18" i="105"/>
  <c r="O18" i="105"/>
  <c r="K18" i="105"/>
  <c r="H18" i="105"/>
  <c r="P18" i="105"/>
  <c r="S18" i="105"/>
  <c r="L18" i="105"/>
  <c r="I18" i="105"/>
  <c r="Q18" i="105"/>
  <c r="R18" i="105"/>
  <c r="D18" i="105"/>
  <c r="J18" i="105"/>
  <c r="M18" i="105"/>
  <c r="N18" i="105"/>
  <c r="C18" i="105"/>
  <c r="E18" i="105"/>
  <c r="F18" i="105"/>
  <c r="D86" i="150"/>
  <c r="D87" i="171"/>
  <c r="D57" i="171"/>
  <c r="C96" i="171"/>
  <c r="D41" i="171"/>
  <c r="A1" i="172"/>
  <c r="E57" i="149"/>
  <c r="C74" i="164"/>
  <c r="E36" i="164"/>
  <c r="D66" i="164"/>
  <c r="E26" i="164"/>
  <c r="C19" i="164"/>
  <c r="C89" i="153"/>
  <c r="D81" i="153"/>
  <c r="D37" i="153"/>
  <c r="D51" i="153"/>
  <c r="C97" i="152"/>
  <c r="D89" i="152"/>
  <c r="A1" i="162"/>
  <c r="C95" i="150"/>
  <c r="D40" i="150"/>
  <c r="D56" i="150"/>
  <c r="A1" i="154"/>
  <c r="V9" i="162"/>
  <c r="B24" i="158"/>
  <c r="AF24" i="158" s="1"/>
  <c r="B19" i="158"/>
  <c r="AC19" i="158" s="1"/>
  <c r="AV19" i="158" s="1"/>
  <c r="AX19" i="158" s="1"/>
  <c r="AF19" i="158"/>
  <c r="B21" i="158"/>
  <c r="AF21" i="158" s="1"/>
  <c r="AV21" i="158" s="1"/>
  <c r="B25" i="158"/>
  <c r="AB25" i="158" s="1"/>
  <c r="AF25" i="158"/>
  <c r="AE19" i="158"/>
  <c r="AE21" i="158"/>
  <c r="AD19" i="158"/>
  <c r="AD21" i="158"/>
  <c r="AD24" i="158"/>
  <c r="AD25" i="158"/>
  <c r="AC21" i="158"/>
  <c r="AC24" i="158"/>
  <c r="AC25" i="158"/>
  <c r="AA24" i="158"/>
  <c r="AA25" i="158"/>
  <c r="Y24" i="158"/>
  <c r="Y25" i="158"/>
  <c r="W25" i="158"/>
  <c r="B18" i="158"/>
  <c r="Q18" i="158" s="1"/>
  <c r="T25" i="158"/>
  <c r="R25" i="158"/>
  <c r="B9" i="158"/>
  <c r="Q9" i="158" s="1"/>
  <c r="AV9" i="158" s="1"/>
  <c r="AX9" i="158" s="1"/>
  <c r="B10" i="158"/>
  <c r="Q10" i="158"/>
  <c r="Q25" i="158"/>
  <c r="F4" i="158"/>
  <c r="G4" i="158"/>
  <c r="H4" i="158" s="1"/>
  <c r="B23" i="158"/>
  <c r="P23" i="158"/>
  <c r="B13" i="158"/>
  <c r="H13" i="158" s="1"/>
  <c r="AV13" i="158" s="1"/>
  <c r="AX13" i="158" s="1"/>
  <c r="D23" i="158"/>
  <c r="C23" i="158"/>
  <c r="B20" i="154"/>
  <c r="B18" i="154"/>
  <c r="B9" i="154"/>
  <c r="B10" i="154"/>
  <c r="C10" i="154" s="1"/>
  <c r="B14" i="154"/>
  <c r="AV5" i="154"/>
  <c r="E6" i="140"/>
  <c r="B94" i="152"/>
  <c r="B92" i="150"/>
  <c r="C58" i="150"/>
  <c r="D58" i="150" s="1"/>
  <c r="D69" i="150" s="1"/>
  <c r="C50" i="160"/>
  <c r="B44" i="160"/>
  <c r="C44" i="160" s="1"/>
  <c r="C46" i="160" s="1"/>
  <c r="B45" i="160"/>
  <c r="C45" i="160" s="1"/>
  <c r="B6" i="155" s="1"/>
  <c r="E6" i="155" s="1"/>
  <c r="C14" i="160"/>
  <c r="D14" i="160" s="1"/>
  <c r="C15" i="160"/>
  <c r="D15" i="160" s="1"/>
  <c r="A75" i="160"/>
  <c r="A76" i="160" s="1"/>
  <c r="B12" i="156"/>
  <c r="C106" i="153"/>
  <c r="B86" i="153"/>
  <c r="AQ42" i="165"/>
  <c r="AQ19" i="159" s="1"/>
  <c r="AP42" i="165"/>
  <c r="AP19" i="159" s="1"/>
  <c r="AO42" i="165"/>
  <c r="AO19" i="159" s="1"/>
  <c r="E64" i="150"/>
  <c r="AN42" i="165"/>
  <c r="AN19" i="159" s="1"/>
  <c r="AM42" i="165"/>
  <c r="AM19" i="159" s="1"/>
  <c r="E12" i="164"/>
  <c r="E13" i="164" s="1"/>
  <c r="D56" i="164" s="1"/>
  <c r="C91" i="164"/>
  <c r="B17" i="165"/>
  <c r="C50" i="157"/>
  <c r="B11" i="158" s="1"/>
  <c r="AW11" i="158" s="1"/>
  <c r="B44" i="157"/>
  <c r="C44" i="157" s="1"/>
  <c r="C46" i="157" s="1"/>
  <c r="B45" i="157"/>
  <c r="C45" i="157" s="1"/>
  <c r="C56" i="157"/>
  <c r="D56" i="157" s="1"/>
  <c r="C14" i="157"/>
  <c r="D14" i="157" s="1"/>
  <c r="C15" i="157"/>
  <c r="D15" i="157" s="1"/>
  <c r="B33" i="157"/>
  <c r="D33" i="157" s="1"/>
  <c r="C41" i="157"/>
  <c r="B96" i="157" s="1"/>
  <c r="AJ24" i="158"/>
  <c r="A75" i="157"/>
  <c r="A76" i="157" s="1"/>
  <c r="B33" i="160"/>
  <c r="D33" i="160" s="1"/>
  <c r="C41" i="160"/>
  <c r="B96" i="160" s="1"/>
  <c r="B9" i="165"/>
  <c r="B13" i="165"/>
  <c r="C112" i="150"/>
  <c r="B12" i="162"/>
  <c r="B6" i="162"/>
  <c r="B8" i="162"/>
  <c r="B7" i="162"/>
  <c r="B71" i="164"/>
  <c r="B12" i="165"/>
  <c r="D8" i="164"/>
  <c r="C13" i="164"/>
  <c r="D55" i="164" s="1"/>
  <c r="B22" i="165" s="1"/>
  <c r="C17" i="164"/>
  <c r="D39" i="164" s="1"/>
  <c r="AA8" i="174" s="1"/>
  <c r="AA14" i="174" s="1"/>
  <c r="C8" i="164"/>
  <c r="F7" i="164"/>
  <c r="F6" i="164"/>
  <c r="F5" i="164"/>
  <c r="F2" i="165"/>
  <c r="E2" i="165"/>
  <c r="D2" i="165"/>
  <c r="C2" i="165"/>
  <c r="F4" i="165"/>
  <c r="AR4" i="165" s="1"/>
  <c r="B34" i="165"/>
  <c r="D3" i="165"/>
  <c r="E3" i="165" s="1"/>
  <c r="F3" i="165" s="1"/>
  <c r="G3" i="165" s="1"/>
  <c r="H3" i="165" s="1"/>
  <c r="I3" i="165" s="1"/>
  <c r="J3" i="165" s="1"/>
  <c r="K3" i="165" s="1"/>
  <c r="L3" i="165" s="1"/>
  <c r="M3" i="165" s="1"/>
  <c r="N3" i="165" s="1"/>
  <c r="O3" i="165" s="1"/>
  <c r="P3" i="165" s="1"/>
  <c r="Q3" i="165" s="1"/>
  <c r="R3" i="165" s="1"/>
  <c r="S3" i="165" s="1"/>
  <c r="T3" i="165" s="1"/>
  <c r="U3" i="165" s="1"/>
  <c r="V3" i="165" s="1"/>
  <c r="W3" i="165" s="1"/>
  <c r="X3" i="165" s="1"/>
  <c r="Y3" i="165" s="1"/>
  <c r="Z3" i="165" s="1"/>
  <c r="AA3" i="165" s="1"/>
  <c r="AB3" i="165" s="1"/>
  <c r="AC3" i="165" s="1"/>
  <c r="AD3" i="165" s="1"/>
  <c r="AE3" i="165" s="1"/>
  <c r="AF3" i="165" s="1"/>
  <c r="AG3" i="165" s="1"/>
  <c r="AH3" i="165" s="1"/>
  <c r="AI3" i="165" s="1"/>
  <c r="AJ3" i="165" s="1"/>
  <c r="AK3" i="165" s="1"/>
  <c r="AL3" i="165" s="1"/>
  <c r="AM3" i="165" s="1"/>
  <c r="AN3" i="165" s="1"/>
  <c r="AO3" i="165" s="1"/>
  <c r="AP3" i="165" s="1"/>
  <c r="AQ3" i="165" s="1"/>
  <c r="F1" i="165"/>
  <c r="E1" i="165"/>
  <c r="D1" i="165"/>
  <c r="C1" i="165"/>
  <c r="AX8" i="158"/>
  <c r="J12" i="155"/>
  <c r="P12" i="155"/>
  <c r="M12" i="155"/>
  <c r="K12" i="155"/>
  <c r="F12" i="155"/>
  <c r="E12" i="155"/>
  <c r="Q13" i="155"/>
  <c r="AV13" i="155" s="1"/>
  <c r="Z24" i="155"/>
  <c r="V21" i="155"/>
  <c r="D3" i="159"/>
  <c r="E3" i="159" s="1"/>
  <c r="F3" i="159" s="1"/>
  <c r="G3" i="159" s="1"/>
  <c r="H3" i="159" s="1"/>
  <c r="I3" i="159" s="1"/>
  <c r="J3" i="159" s="1"/>
  <c r="K3" i="159" s="1"/>
  <c r="L3" i="159" s="1"/>
  <c r="M3" i="159" s="1"/>
  <c r="N3" i="159" s="1"/>
  <c r="O3" i="159" s="1"/>
  <c r="P3" i="159" s="1"/>
  <c r="Q3" i="159" s="1"/>
  <c r="R3" i="159" s="1"/>
  <c r="S3" i="159" s="1"/>
  <c r="T3" i="159" s="1"/>
  <c r="U3" i="159" s="1"/>
  <c r="V3" i="159" s="1"/>
  <c r="W3" i="159" s="1"/>
  <c r="X3" i="159" s="1"/>
  <c r="Y3" i="159" s="1"/>
  <c r="Z3" i="159" s="1"/>
  <c r="AA3" i="159" s="1"/>
  <c r="AB3" i="159" s="1"/>
  <c r="AC3" i="159" s="1"/>
  <c r="AD3" i="159" s="1"/>
  <c r="AE3" i="159" s="1"/>
  <c r="AF3" i="159" s="1"/>
  <c r="AG3" i="159" s="1"/>
  <c r="AH3" i="159" s="1"/>
  <c r="AI3" i="159" s="1"/>
  <c r="AJ3" i="159" s="1"/>
  <c r="AK3" i="159" s="1"/>
  <c r="AL3" i="159" s="1"/>
  <c r="AM3" i="159" s="1"/>
  <c r="F2" i="155"/>
  <c r="E2" i="155"/>
  <c r="D2" i="155"/>
  <c r="C2" i="155"/>
  <c r="F2" i="158"/>
  <c r="E2" i="158"/>
  <c r="D2" i="158"/>
  <c r="C2" i="158"/>
  <c r="D4" i="154"/>
  <c r="E4" i="154" s="1"/>
  <c r="F4" i="154" s="1"/>
  <c r="G4" i="154" s="1"/>
  <c r="H4" i="154" s="1"/>
  <c r="I4" i="154" s="1"/>
  <c r="J4" i="154" s="1"/>
  <c r="K4" i="154" s="1"/>
  <c r="L4" i="154" s="1"/>
  <c r="M4" i="154" s="1"/>
  <c r="N4" i="154" s="1"/>
  <c r="O4" i="154" s="1"/>
  <c r="P4" i="154" s="1"/>
  <c r="Q4" i="154" s="1"/>
  <c r="R4" i="154" s="1"/>
  <c r="S4" i="154" s="1"/>
  <c r="T4" i="154" s="1"/>
  <c r="U4" i="154" s="1"/>
  <c r="V4" i="154" s="1"/>
  <c r="W4" i="154" s="1"/>
  <c r="X4" i="154" s="1"/>
  <c r="Y4" i="154" s="1"/>
  <c r="Z4" i="154" s="1"/>
  <c r="AA4" i="154" s="1"/>
  <c r="AB4" i="154" s="1"/>
  <c r="AC4" i="154" s="1"/>
  <c r="AD4" i="154" s="1"/>
  <c r="AE4" i="154" s="1"/>
  <c r="AF4" i="154" s="1"/>
  <c r="AG4" i="154" s="1"/>
  <c r="AH4" i="154" s="1"/>
  <c r="AI4" i="154" s="1"/>
  <c r="AJ4" i="154" s="1"/>
  <c r="AK4" i="154" s="1"/>
  <c r="AL4" i="154" s="1"/>
  <c r="AM4" i="154" s="1"/>
  <c r="AN4" i="154" s="1"/>
  <c r="AO4" i="154" s="1"/>
  <c r="AP4" i="154" s="1"/>
  <c r="AQ4" i="154" s="1"/>
  <c r="AR4" i="154" s="1"/>
  <c r="AS4" i="154" s="1"/>
  <c r="AT4" i="154" s="1"/>
  <c r="AU4" i="154" s="1"/>
  <c r="D3" i="155"/>
  <c r="E3" i="155" s="1"/>
  <c r="F3" i="155" s="1"/>
  <c r="G3" i="155" s="1"/>
  <c r="H3" i="155" s="1"/>
  <c r="I3" i="155" s="1"/>
  <c r="J3" i="155" s="1"/>
  <c r="K3" i="155" s="1"/>
  <c r="L3" i="155" s="1"/>
  <c r="M3" i="155" s="1"/>
  <c r="N3" i="155" s="1"/>
  <c r="O3" i="155" s="1"/>
  <c r="P3" i="155" s="1"/>
  <c r="Q3" i="155" s="1"/>
  <c r="R3" i="155" s="1"/>
  <c r="S3" i="155" s="1"/>
  <c r="T3" i="155" s="1"/>
  <c r="U3" i="155" s="1"/>
  <c r="V3" i="155" s="1"/>
  <c r="W3" i="155" s="1"/>
  <c r="X3" i="155" s="1"/>
  <c r="Y3" i="155" s="1"/>
  <c r="Z3" i="155" s="1"/>
  <c r="AA3" i="155" s="1"/>
  <c r="AB3" i="155" s="1"/>
  <c r="AC3" i="155" s="1"/>
  <c r="AD3" i="155" s="1"/>
  <c r="AE3" i="155" s="1"/>
  <c r="AF3" i="155" s="1"/>
  <c r="AG3" i="155" s="1"/>
  <c r="AH3" i="155" s="1"/>
  <c r="AI3" i="155" s="1"/>
  <c r="AJ3" i="155" s="1"/>
  <c r="AK3" i="155" s="1"/>
  <c r="AL3" i="155" s="1"/>
  <c r="AM3" i="155" s="1"/>
  <c r="AN3" i="155" s="1"/>
  <c r="AO3" i="155" s="1"/>
  <c r="AP3" i="155" s="1"/>
  <c r="AQ3" i="155" s="1"/>
  <c r="AR3" i="155" s="1"/>
  <c r="AS3" i="155" s="1"/>
  <c r="AT3" i="155" s="1"/>
  <c r="AU3" i="155" s="1"/>
  <c r="F1" i="155"/>
  <c r="E1" i="155"/>
  <c r="D1" i="155"/>
  <c r="C1" i="155"/>
  <c r="D3" i="158"/>
  <c r="E3" i="158" s="1"/>
  <c r="F3" i="158" s="1"/>
  <c r="G3" i="158" s="1"/>
  <c r="H3" i="158" s="1"/>
  <c r="I3" i="158" s="1"/>
  <c r="J3" i="158" s="1"/>
  <c r="K3" i="158" s="1"/>
  <c r="L3" i="158" s="1"/>
  <c r="M3" i="158" s="1"/>
  <c r="N3" i="158" s="1"/>
  <c r="O3" i="158" s="1"/>
  <c r="P3" i="158" s="1"/>
  <c r="Q3" i="158" s="1"/>
  <c r="R3" i="158" s="1"/>
  <c r="S3" i="158" s="1"/>
  <c r="T3" i="158" s="1"/>
  <c r="U3" i="158" s="1"/>
  <c r="V3" i="158" s="1"/>
  <c r="W3" i="158" s="1"/>
  <c r="X3" i="158" s="1"/>
  <c r="Y3" i="158" s="1"/>
  <c r="Z3" i="158" s="1"/>
  <c r="AA3" i="158" s="1"/>
  <c r="AB3" i="158" s="1"/>
  <c r="AC3" i="158" s="1"/>
  <c r="AD3" i="158" s="1"/>
  <c r="AE3" i="158" s="1"/>
  <c r="AF3" i="158" s="1"/>
  <c r="AG3" i="158" s="1"/>
  <c r="AH3" i="158" s="1"/>
  <c r="AI3" i="158" s="1"/>
  <c r="AJ3" i="158" s="1"/>
  <c r="AK3" i="158" s="1"/>
  <c r="AL3" i="158" s="1"/>
  <c r="AM3" i="158" s="1"/>
  <c r="AN3" i="158" s="1"/>
  <c r="AO3" i="158" s="1"/>
  <c r="AP3" i="158" s="1"/>
  <c r="AQ3" i="158" s="1"/>
  <c r="AR3" i="158" s="1"/>
  <c r="AS3" i="158" s="1"/>
  <c r="AT3" i="158" s="1"/>
  <c r="AU3" i="158" s="1"/>
  <c r="F1" i="158"/>
  <c r="E1" i="158"/>
  <c r="D1" i="158"/>
  <c r="C1" i="158"/>
  <c r="D4" i="156"/>
  <c r="E4" i="156" s="1"/>
  <c r="F4" i="156" s="1"/>
  <c r="G4" i="156" s="1"/>
  <c r="H4" i="156" s="1"/>
  <c r="I4" i="156" s="1"/>
  <c r="J4" i="156" s="1"/>
  <c r="K4" i="156" s="1"/>
  <c r="L4" i="156" s="1"/>
  <c r="F1" i="156"/>
  <c r="E1" i="156"/>
  <c r="D1" i="156"/>
  <c r="C1" i="156"/>
  <c r="D4" i="162"/>
  <c r="E4" i="162" s="1"/>
  <c r="F4" i="162" s="1"/>
  <c r="G4" i="162" s="1"/>
  <c r="H4" i="162" s="1"/>
  <c r="I4" i="162" s="1"/>
  <c r="J4" i="162" s="1"/>
  <c r="K4" i="162" s="1"/>
  <c r="L4" i="162" s="1"/>
  <c r="M4" i="162" s="1"/>
  <c r="N4" i="162" s="1"/>
  <c r="O4" i="162" s="1"/>
  <c r="F2" i="162"/>
  <c r="E2" i="162"/>
  <c r="D2" i="162"/>
  <c r="C2" i="162"/>
  <c r="F1" i="162"/>
  <c r="E1" i="162"/>
  <c r="D1" i="162"/>
  <c r="C1" i="162"/>
  <c r="F1" i="154"/>
  <c r="E1" i="154"/>
  <c r="D1" i="154"/>
  <c r="C1" i="154"/>
  <c r="B8" i="155"/>
  <c r="AW8" i="155" s="1"/>
  <c r="AX8" i="155" s="1"/>
  <c r="A8" i="155"/>
  <c r="B8" i="158"/>
  <c r="A8" i="158"/>
  <c r="B9" i="156"/>
  <c r="A9" i="156"/>
  <c r="B9" i="162"/>
  <c r="A9" i="162"/>
  <c r="A9" i="154"/>
  <c r="A26" i="162"/>
  <c r="A25" i="162"/>
  <c r="A24" i="162"/>
  <c r="B23" i="162"/>
  <c r="A23" i="162"/>
  <c r="B22" i="162"/>
  <c r="A22" i="162"/>
  <c r="A21" i="162"/>
  <c r="B20" i="162"/>
  <c r="A20" i="162"/>
  <c r="A19" i="162"/>
  <c r="B18" i="162"/>
  <c r="A18" i="162"/>
  <c r="A17" i="162"/>
  <c r="A16" i="162"/>
  <c r="A15" i="162"/>
  <c r="B14" i="162"/>
  <c r="A14" i="162"/>
  <c r="B13" i="162"/>
  <c r="A13" i="162"/>
  <c r="A12" i="162"/>
  <c r="A11" i="162"/>
  <c r="B10" i="162"/>
  <c r="A10" i="162"/>
  <c r="A8" i="162"/>
  <c r="A7" i="162"/>
  <c r="A6" i="162"/>
  <c r="F5" i="162"/>
  <c r="G5" i="162" s="1"/>
  <c r="B27" i="155"/>
  <c r="C57" i="160"/>
  <c r="B25" i="155"/>
  <c r="W25" i="155" s="1"/>
  <c r="A25" i="155"/>
  <c r="B24" i="155"/>
  <c r="AB24" i="155" s="1"/>
  <c r="A24" i="155"/>
  <c r="B23" i="155"/>
  <c r="A23" i="155"/>
  <c r="A22" i="155"/>
  <c r="A21" i="155"/>
  <c r="A20" i="155"/>
  <c r="B19" i="155"/>
  <c r="X19" i="155" s="1"/>
  <c r="A19" i="155"/>
  <c r="A18" i="155"/>
  <c r="B17" i="155"/>
  <c r="AW17" i="155" s="1"/>
  <c r="A17" i="155"/>
  <c r="A16" i="155"/>
  <c r="A15" i="155"/>
  <c r="A14" i="155"/>
  <c r="B13" i="155"/>
  <c r="A13" i="155"/>
  <c r="B12" i="155"/>
  <c r="L12" i="155" s="1"/>
  <c r="A12" i="155"/>
  <c r="A11" i="155"/>
  <c r="A10" i="155"/>
  <c r="B9" i="155"/>
  <c r="Q9" i="155" s="1"/>
  <c r="AV9" i="155" s="1"/>
  <c r="A9" i="155"/>
  <c r="A7" i="155"/>
  <c r="A6" i="155"/>
  <c r="A5" i="155"/>
  <c r="A24" i="160"/>
  <c r="B24" i="160" s="1"/>
  <c r="B22" i="160"/>
  <c r="A30" i="160"/>
  <c r="B20" i="160"/>
  <c r="F15" i="160"/>
  <c r="B16" i="160"/>
  <c r="B10" i="160"/>
  <c r="B18" i="155"/>
  <c r="AW18" i="155" s="1"/>
  <c r="E4" i="160"/>
  <c r="E10" i="160"/>
  <c r="B15" i="157"/>
  <c r="B22" i="157"/>
  <c r="A30" i="157"/>
  <c r="F17" i="155"/>
  <c r="D11" i="160"/>
  <c r="D29" i="160"/>
  <c r="B23" i="160"/>
  <c r="B25" i="160"/>
  <c r="C60" i="160"/>
  <c r="B21" i="155"/>
  <c r="X21" i="155" s="1"/>
  <c r="C11" i="160"/>
  <c r="A25" i="158"/>
  <c r="A24" i="158"/>
  <c r="AW23" i="158"/>
  <c r="A23" i="158"/>
  <c r="A22" i="158"/>
  <c r="A21" i="158"/>
  <c r="A20" i="158"/>
  <c r="AW19" i="158"/>
  <c r="A19" i="158"/>
  <c r="A18" i="158"/>
  <c r="A17" i="158"/>
  <c r="A16" i="158"/>
  <c r="A15" i="158"/>
  <c r="A14" i="158"/>
  <c r="AW13" i="158"/>
  <c r="A13" i="158"/>
  <c r="B12" i="158"/>
  <c r="AW12" i="158" s="1"/>
  <c r="AX12" i="158" s="1"/>
  <c r="A12" i="158"/>
  <c r="A11" i="158"/>
  <c r="A10" i="158"/>
  <c r="A9" i="158"/>
  <c r="A7" i="158"/>
  <c r="A6" i="158"/>
  <c r="A5" i="158"/>
  <c r="A26" i="158"/>
  <c r="AV12" i="158"/>
  <c r="A24" i="157"/>
  <c r="B24" i="157" s="1"/>
  <c r="B25" i="157" s="1"/>
  <c r="B26" i="157" s="1"/>
  <c r="B20" i="157"/>
  <c r="B16" i="157"/>
  <c r="C10" i="157"/>
  <c r="B10" i="157"/>
  <c r="C11" i="157"/>
  <c r="E4" i="157"/>
  <c r="E10" i="157"/>
  <c r="F2" i="154"/>
  <c r="E2" i="154"/>
  <c r="D2" i="154"/>
  <c r="C2" i="154"/>
  <c r="A27" i="156"/>
  <c r="A26" i="156"/>
  <c r="A25" i="156"/>
  <c r="A24" i="156"/>
  <c r="A23" i="156"/>
  <c r="A21" i="156"/>
  <c r="B20" i="156"/>
  <c r="A20" i="156"/>
  <c r="A19" i="156"/>
  <c r="B18" i="156"/>
  <c r="A18" i="156"/>
  <c r="A17" i="156"/>
  <c r="A16" i="156"/>
  <c r="A15" i="156"/>
  <c r="B14" i="156"/>
  <c r="A14" i="156"/>
  <c r="B13" i="156"/>
  <c r="A13" i="156"/>
  <c r="A12" i="156"/>
  <c r="A11" i="156"/>
  <c r="B10" i="156"/>
  <c r="A10" i="156"/>
  <c r="A8" i="156"/>
  <c r="A7" i="156"/>
  <c r="A6" i="156"/>
  <c r="AW23" i="155"/>
  <c r="AX23" i="155" s="1"/>
  <c r="AW13" i="155"/>
  <c r="AW12" i="155"/>
  <c r="A26" i="155"/>
  <c r="P23" i="155"/>
  <c r="F4" i="155"/>
  <c r="A27" i="154"/>
  <c r="A26" i="154"/>
  <c r="A25" i="154"/>
  <c r="A24" i="154"/>
  <c r="A23" i="154"/>
  <c r="A22" i="154"/>
  <c r="A20" i="154"/>
  <c r="A19" i="154"/>
  <c r="A18" i="154"/>
  <c r="A17" i="154"/>
  <c r="A16" i="154"/>
  <c r="A15" i="154"/>
  <c r="A14" i="154"/>
  <c r="B13" i="154"/>
  <c r="A13" i="154"/>
  <c r="A12" i="154"/>
  <c r="A11" i="154"/>
  <c r="A10" i="154"/>
  <c r="A8" i="154"/>
  <c r="A7" i="154"/>
  <c r="A6" i="154"/>
  <c r="B23" i="157"/>
  <c r="C57" i="157"/>
  <c r="B34" i="162"/>
  <c r="D58" i="160"/>
  <c r="C49" i="160"/>
  <c r="D62" i="160"/>
  <c r="D48" i="160"/>
  <c r="D56" i="160"/>
  <c r="D63" i="160"/>
  <c r="D52" i="160"/>
  <c r="B26" i="160"/>
  <c r="D51" i="160"/>
  <c r="D64" i="160"/>
  <c r="D57" i="160"/>
  <c r="D60" i="160"/>
  <c r="C29" i="160"/>
  <c r="B29" i="160"/>
  <c r="AV23" i="158"/>
  <c r="AX23" i="158" s="1"/>
  <c r="D29" i="157"/>
  <c r="D11" i="157"/>
  <c r="D57" i="157"/>
  <c r="AW9" i="158"/>
  <c r="AW25" i="158"/>
  <c r="C60" i="157"/>
  <c r="D60" i="157"/>
  <c r="C23" i="155"/>
  <c r="AW25" i="155"/>
  <c r="G4" i="155"/>
  <c r="D23" i="155"/>
  <c r="AV11" i="155"/>
  <c r="AW24" i="155"/>
  <c r="D49" i="160"/>
  <c r="B10" i="155"/>
  <c r="D58" i="157"/>
  <c r="D52" i="157"/>
  <c r="D62" i="157"/>
  <c r="D51" i="157"/>
  <c r="C49" i="157"/>
  <c r="D49" i="157"/>
  <c r="D48" i="157"/>
  <c r="D64" i="157"/>
  <c r="D63" i="157"/>
  <c r="C29" i="157"/>
  <c r="B29" i="157"/>
  <c r="AV23" i="155"/>
  <c r="AV4" i="155"/>
  <c r="AW21" i="158"/>
  <c r="AW18" i="158"/>
  <c r="AW10" i="158"/>
  <c r="AV10" i="158"/>
  <c r="AX10" i="158"/>
  <c r="AV17" i="158"/>
  <c r="B33" i="158"/>
  <c r="E75" i="150"/>
  <c r="B19" i="162"/>
  <c r="B11" i="162"/>
  <c r="F22" i="142"/>
  <c r="F24" i="142" s="1"/>
  <c r="F25" i="142" s="1"/>
  <c r="E22" i="142"/>
  <c r="E24" i="142" s="1"/>
  <c r="E25" i="142" s="1"/>
  <c r="D22" i="142"/>
  <c r="D24" i="142" s="1"/>
  <c r="D25" i="142" s="1"/>
  <c r="C22" i="142"/>
  <c r="C24" i="142" s="1"/>
  <c r="C25" i="142" s="1"/>
  <c r="F16" i="142"/>
  <c r="F18" i="142" s="1"/>
  <c r="F19" i="142" s="1"/>
  <c r="E16" i="142"/>
  <c r="E18" i="142" s="1"/>
  <c r="E19" i="142" s="1"/>
  <c r="D16" i="142"/>
  <c r="D18" i="142" s="1"/>
  <c r="D19" i="142" s="1"/>
  <c r="C16" i="142"/>
  <c r="C18" i="142" s="1"/>
  <c r="C19" i="142" s="1"/>
  <c r="AW10" i="155"/>
  <c r="Q10" i="155"/>
  <c r="AV10" i="155" s="1"/>
  <c r="AX10" i="155" s="1"/>
  <c r="B35" i="154"/>
  <c r="B33" i="155"/>
  <c r="B35" i="156"/>
  <c r="F10" i="162" l="1"/>
  <c r="R10" i="162"/>
  <c r="S10" i="162"/>
  <c r="Q10" i="162"/>
  <c r="H10" i="162"/>
  <c r="G10" i="162"/>
  <c r="E22" i="162"/>
  <c r="L22" i="162"/>
  <c r="D22" i="162"/>
  <c r="M22" i="162"/>
  <c r="S22" i="162"/>
  <c r="C22" i="162"/>
  <c r="I22" i="162"/>
  <c r="F22" i="162"/>
  <c r="R22" i="162"/>
  <c r="G22" i="162"/>
  <c r="Q22" i="162"/>
  <c r="O22" i="162"/>
  <c r="K22" i="162"/>
  <c r="P22" i="162"/>
  <c r="N22" i="162"/>
  <c r="J22" i="162"/>
  <c r="H22" i="162"/>
  <c r="G18" i="162"/>
  <c r="Q18" i="162"/>
  <c r="J18" i="162"/>
  <c r="H18" i="162"/>
  <c r="F18" i="162"/>
  <c r="D18" i="162"/>
  <c r="N18" i="162"/>
  <c r="K18" i="162"/>
  <c r="E18" i="162"/>
  <c r="P18" i="162"/>
  <c r="S18" i="162"/>
  <c r="C18" i="162"/>
  <c r="O18" i="162"/>
  <c r="L18" i="162"/>
  <c r="R18" i="162"/>
  <c r="M18" i="162"/>
  <c r="I18" i="162"/>
  <c r="H14" i="162"/>
  <c r="E14" i="162"/>
  <c r="M14" i="162"/>
  <c r="L14" i="162"/>
  <c r="G14" i="162"/>
  <c r="I14" i="162"/>
  <c r="F14" i="162"/>
  <c r="Q14" i="162"/>
  <c r="O14" i="162"/>
  <c r="N14" i="162"/>
  <c r="J14" i="162"/>
  <c r="P14" i="162"/>
  <c r="K14" i="162"/>
  <c r="D14" i="162"/>
  <c r="R14" i="162"/>
  <c r="S14" i="162"/>
  <c r="C14" i="162"/>
  <c r="I13" i="162"/>
  <c r="H13" i="162"/>
  <c r="S13" i="162"/>
  <c r="G13" i="162"/>
  <c r="Q13" i="162"/>
  <c r="N13" i="162"/>
  <c r="F13" i="162"/>
  <c r="O13" i="162"/>
  <c r="K13" i="162"/>
  <c r="E13" i="162"/>
  <c r="R13" i="162"/>
  <c r="P13" i="162"/>
  <c r="M13" i="162"/>
  <c r="L13" i="162"/>
  <c r="D13" i="162"/>
  <c r="C13" i="162"/>
  <c r="J13" i="162"/>
  <c r="R9" i="162"/>
  <c r="F9" i="162"/>
  <c r="Q9" i="162"/>
  <c r="G9" i="162"/>
  <c r="H9" i="162"/>
  <c r="S9" i="162"/>
  <c r="C23" i="162"/>
  <c r="R23" i="162"/>
  <c r="Q23" i="162"/>
  <c r="H23" i="162"/>
  <c r="G23" i="162"/>
  <c r="F23" i="162"/>
  <c r="S23" i="162"/>
  <c r="D13" i="156"/>
  <c r="E13" i="156"/>
  <c r="G13" i="156"/>
  <c r="L13" i="156"/>
  <c r="F13" i="156"/>
  <c r="H13" i="156"/>
  <c r="C13" i="156"/>
  <c r="I13" i="156"/>
  <c r="J13" i="156"/>
  <c r="K13" i="156"/>
  <c r="L9" i="156"/>
  <c r="C9" i="156"/>
  <c r="C20" i="156"/>
  <c r="D20" i="156"/>
  <c r="I20" i="156"/>
  <c r="H20" i="156"/>
  <c r="K20" i="156"/>
  <c r="L20" i="156"/>
  <c r="J20" i="156"/>
  <c r="E20" i="156"/>
  <c r="F20" i="156"/>
  <c r="G20" i="156"/>
  <c r="B6" i="165"/>
  <c r="C12" i="156"/>
  <c r="K12" i="156"/>
  <c r="D12" i="156"/>
  <c r="L12" i="156"/>
  <c r="E12" i="156"/>
  <c r="F12" i="156"/>
  <c r="G12" i="156"/>
  <c r="H12" i="156"/>
  <c r="I12" i="156"/>
  <c r="J12" i="156"/>
  <c r="P11" i="162"/>
  <c r="H11" i="162"/>
  <c r="O11" i="162"/>
  <c r="G11" i="162"/>
  <c r="N11" i="162"/>
  <c r="F11" i="162"/>
  <c r="J11" i="162"/>
  <c r="M11" i="162"/>
  <c r="E11" i="162"/>
  <c r="L11" i="162"/>
  <c r="D11" i="162"/>
  <c r="S11" i="162"/>
  <c r="K11" i="162"/>
  <c r="C11" i="162"/>
  <c r="Q11" i="162"/>
  <c r="I11" i="162"/>
  <c r="R11" i="162"/>
  <c r="Q19" i="162"/>
  <c r="I19" i="162"/>
  <c r="P19" i="162"/>
  <c r="H19" i="162"/>
  <c r="S19" i="162"/>
  <c r="O19" i="162"/>
  <c r="G19" i="162"/>
  <c r="K19" i="162"/>
  <c r="N19" i="162"/>
  <c r="F19" i="162"/>
  <c r="C19" i="162"/>
  <c r="M19" i="162"/>
  <c r="E19" i="162"/>
  <c r="L19" i="162"/>
  <c r="D19" i="162"/>
  <c r="R19" i="162"/>
  <c r="J19" i="162"/>
  <c r="R7" i="162"/>
  <c r="J7" i="162"/>
  <c r="Q7" i="162"/>
  <c r="I7" i="162"/>
  <c r="L7" i="162"/>
  <c r="P7" i="162"/>
  <c r="H7" i="162"/>
  <c r="O7" i="162"/>
  <c r="G7" i="162"/>
  <c r="D7" i="162"/>
  <c r="N7" i="162"/>
  <c r="F7" i="162"/>
  <c r="M7" i="162"/>
  <c r="E7" i="162"/>
  <c r="S7" i="162"/>
  <c r="K7" i="162"/>
  <c r="C7" i="162"/>
  <c r="Q8" i="162"/>
  <c r="I8" i="162"/>
  <c r="C8" i="162"/>
  <c r="P8" i="162"/>
  <c r="H8" i="162"/>
  <c r="O8" i="162"/>
  <c r="G8" i="162"/>
  <c r="N8" i="162"/>
  <c r="F8" i="162"/>
  <c r="M8" i="162"/>
  <c r="E8" i="162"/>
  <c r="S8" i="162"/>
  <c r="L8" i="162"/>
  <c r="D8" i="162"/>
  <c r="K8" i="162"/>
  <c r="R8" i="162"/>
  <c r="J8" i="162"/>
  <c r="P20" i="162"/>
  <c r="H20" i="162"/>
  <c r="O20" i="162"/>
  <c r="G20" i="162"/>
  <c r="N20" i="162"/>
  <c r="F20" i="162"/>
  <c r="M20" i="162"/>
  <c r="E20" i="162"/>
  <c r="L20" i="162"/>
  <c r="D20" i="162"/>
  <c r="R20" i="162"/>
  <c r="S20" i="162"/>
  <c r="K20" i="162"/>
  <c r="C20" i="162"/>
  <c r="J20" i="162"/>
  <c r="Q20" i="162"/>
  <c r="I20" i="162"/>
  <c r="D6" i="162"/>
  <c r="L6" i="162"/>
  <c r="C6" i="162"/>
  <c r="E6" i="162"/>
  <c r="M6" i="162"/>
  <c r="F6" i="162"/>
  <c r="N6" i="162"/>
  <c r="R6" i="162"/>
  <c r="G6" i="162"/>
  <c r="O6" i="162"/>
  <c r="H6" i="162"/>
  <c r="P6" i="162"/>
  <c r="J6" i="162"/>
  <c r="I6" i="162"/>
  <c r="Q6" i="162"/>
  <c r="K6" i="162"/>
  <c r="S6" i="162"/>
  <c r="L10" i="156"/>
  <c r="C10" i="156"/>
  <c r="K14" i="156"/>
  <c r="D14" i="156"/>
  <c r="C14" i="156"/>
  <c r="E14" i="156"/>
  <c r="F14" i="156"/>
  <c r="G14" i="156"/>
  <c r="H14" i="156"/>
  <c r="I14" i="156"/>
  <c r="J14" i="156"/>
  <c r="L14" i="156"/>
  <c r="C18" i="156"/>
  <c r="K18" i="156"/>
  <c r="E18" i="156"/>
  <c r="G18" i="156"/>
  <c r="H18" i="156"/>
  <c r="L18" i="156"/>
  <c r="I18" i="156"/>
  <c r="D18" i="156"/>
  <c r="J18" i="156"/>
  <c r="F18" i="156"/>
  <c r="U23" i="162"/>
  <c r="U14" i="162"/>
  <c r="U10" i="162"/>
  <c r="C10" i="162"/>
  <c r="U22" i="162"/>
  <c r="C9" i="162"/>
  <c r="U12" i="162"/>
  <c r="R12" i="162"/>
  <c r="H12" i="162"/>
  <c r="S12" i="162"/>
  <c r="F12" i="162"/>
  <c r="C12" i="162"/>
  <c r="Q12" i="162"/>
  <c r="G12" i="162"/>
  <c r="D76" i="169"/>
  <c r="C16" i="169"/>
  <c r="C85" i="169"/>
  <c r="C21" i="169"/>
  <c r="D43" i="169"/>
  <c r="D28" i="169"/>
  <c r="U20" i="162"/>
  <c r="U11" i="162"/>
  <c r="AN3" i="159"/>
  <c r="AO3" i="159" s="1"/>
  <c r="AP3" i="159" s="1"/>
  <c r="AQ3" i="159" s="1"/>
  <c r="AR3" i="159" s="1"/>
  <c r="AS3" i="159" s="1"/>
  <c r="AT3" i="159" s="1"/>
  <c r="AU3" i="159" s="1"/>
  <c r="P4" i="162"/>
  <c r="Q4" i="162" s="1"/>
  <c r="R4" i="162" s="1"/>
  <c r="S4" i="162" s="1"/>
  <c r="N12" i="156"/>
  <c r="N10" i="156"/>
  <c r="N9" i="156"/>
  <c r="N18" i="156"/>
  <c r="N14" i="156"/>
  <c r="I20" i="154"/>
  <c r="D20" i="154"/>
  <c r="M20" i="154"/>
  <c r="J20" i="154"/>
  <c r="L20" i="154"/>
  <c r="F20" i="154"/>
  <c r="K20" i="154"/>
  <c r="N20" i="154"/>
  <c r="C20" i="154"/>
  <c r="G20" i="154"/>
  <c r="O20" i="154"/>
  <c r="H20" i="154"/>
  <c r="P20" i="154"/>
  <c r="E20" i="154"/>
  <c r="AW14" i="154"/>
  <c r="C14" i="154"/>
  <c r="AV14" i="154" s="1"/>
  <c r="AW20" i="154"/>
  <c r="AW13" i="154"/>
  <c r="D13" i="154"/>
  <c r="L13" i="154"/>
  <c r="E13" i="154"/>
  <c r="M13" i="154"/>
  <c r="H13" i="154"/>
  <c r="P13" i="154"/>
  <c r="I13" i="154"/>
  <c r="F13" i="154"/>
  <c r="N13" i="154"/>
  <c r="G13" i="154"/>
  <c r="O13" i="154"/>
  <c r="J13" i="154"/>
  <c r="C13" i="154"/>
  <c r="K13" i="154"/>
  <c r="F18" i="154"/>
  <c r="N18" i="154"/>
  <c r="G18" i="154"/>
  <c r="O18" i="154"/>
  <c r="J18" i="154"/>
  <c r="H18" i="154"/>
  <c r="P18" i="154"/>
  <c r="C18" i="154"/>
  <c r="I18" i="154"/>
  <c r="D18" i="154"/>
  <c r="L18" i="154"/>
  <c r="E18" i="154"/>
  <c r="M18" i="154"/>
  <c r="K18" i="154"/>
  <c r="C9" i="154"/>
  <c r="AV9" i="154" s="1"/>
  <c r="C21" i="164"/>
  <c r="H6" i="140"/>
  <c r="H12" i="140" s="1"/>
  <c r="D9" i="164"/>
  <c r="AS12" i="165"/>
  <c r="I12" i="165"/>
  <c r="Q12" i="165"/>
  <c r="J12" i="165"/>
  <c r="R12" i="165"/>
  <c r="C12" i="165"/>
  <c r="K12" i="165"/>
  <c r="S12" i="165"/>
  <c r="D12" i="165"/>
  <c r="L12" i="165"/>
  <c r="T12" i="165"/>
  <c r="E12" i="165"/>
  <c r="M12" i="165"/>
  <c r="U12" i="165"/>
  <c r="F12" i="165"/>
  <c r="N12" i="165"/>
  <c r="G12" i="165"/>
  <c r="O12" i="165"/>
  <c r="P12" i="165"/>
  <c r="H12" i="165"/>
  <c r="C22" i="165"/>
  <c r="K22" i="165"/>
  <c r="S22" i="165"/>
  <c r="D22" i="165"/>
  <c r="L22" i="165"/>
  <c r="T22" i="165"/>
  <c r="E22" i="165"/>
  <c r="M22" i="165"/>
  <c r="U22" i="165"/>
  <c r="I22" i="165"/>
  <c r="F22" i="165"/>
  <c r="N22" i="165"/>
  <c r="G22" i="165"/>
  <c r="O22" i="165"/>
  <c r="H22" i="165"/>
  <c r="P22" i="165"/>
  <c r="R22" i="165"/>
  <c r="Q22" i="165"/>
  <c r="J22" i="165"/>
  <c r="AS17" i="165"/>
  <c r="G17" i="165"/>
  <c r="O17" i="165"/>
  <c r="H17" i="165"/>
  <c r="P17" i="165"/>
  <c r="I17" i="165"/>
  <c r="J17" i="165"/>
  <c r="R17" i="165"/>
  <c r="N17" i="165"/>
  <c r="C17" i="165"/>
  <c r="K17" i="165"/>
  <c r="S17" i="165"/>
  <c r="F17" i="165"/>
  <c r="D17" i="165"/>
  <c r="L17" i="165"/>
  <c r="T17" i="165"/>
  <c r="Q17" i="165"/>
  <c r="E17" i="165"/>
  <c r="M17" i="165"/>
  <c r="U17" i="165"/>
  <c r="C9" i="165"/>
  <c r="C13" i="165"/>
  <c r="E55" i="149"/>
  <c r="B14" i="105"/>
  <c r="D7" i="105"/>
  <c r="J7" i="105"/>
  <c r="K7" i="105"/>
  <c r="R7" i="105"/>
  <c r="C7" i="105"/>
  <c r="S7" i="105"/>
  <c r="P7" i="105"/>
  <c r="F7" i="105"/>
  <c r="H7" i="105"/>
  <c r="AV7" i="105"/>
  <c r="U7" i="105"/>
  <c r="Q7" i="105"/>
  <c r="O7" i="105"/>
  <c r="M7" i="105"/>
  <c r="I7" i="105"/>
  <c r="G7" i="105"/>
  <c r="E7" i="105"/>
  <c r="T7" i="105"/>
  <c r="N7" i="105"/>
  <c r="V7" i="105"/>
  <c r="L7" i="105"/>
  <c r="AW10" i="105"/>
  <c r="AU18" i="105"/>
  <c r="AW18" i="105" s="1"/>
  <c r="B23" i="156"/>
  <c r="B15" i="162"/>
  <c r="B17" i="162"/>
  <c r="U19" i="162"/>
  <c r="U18" i="162"/>
  <c r="X23" i="172"/>
  <c r="Y23" i="172" s="1"/>
  <c r="B23" i="154"/>
  <c r="X12" i="172"/>
  <c r="AW18" i="154"/>
  <c r="C6" i="155"/>
  <c r="D45" i="160"/>
  <c r="AW10" i="154"/>
  <c r="AV10" i="154"/>
  <c r="U7" i="162"/>
  <c r="U8" i="162"/>
  <c r="D16" i="157"/>
  <c r="C16" i="157" s="1"/>
  <c r="D46" i="160"/>
  <c r="B7" i="155"/>
  <c r="K7" i="155" s="1"/>
  <c r="C53" i="160"/>
  <c r="C54" i="160" s="1"/>
  <c r="D44" i="160"/>
  <c r="B5" i="155"/>
  <c r="G5" i="155" s="1"/>
  <c r="D16" i="160"/>
  <c r="D46" i="157"/>
  <c r="B7" i="158"/>
  <c r="AC7" i="158" s="1"/>
  <c r="L6" i="155"/>
  <c r="AW6" i="155"/>
  <c r="P6" i="155"/>
  <c r="S6" i="155"/>
  <c r="V6" i="155"/>
  <c r="D6" i="155"/>
  <c r="I6" i="155"/>
  <c r="M6" i="155"/>
  <c r="Z6" i="155"/>
  <c r="R6" i="155"/>
  <c r="U6" i="155"/>
  <c r="X6" i="155"/>
  <c r="J6" i="155"/>
  <c r="O6" i="155"/>
  <c r="D45" i="157"/>
  <c r="B6" i="158"/>
  <c r="G6" i="158" s="1"/>
  <c r="C53" i="157"/>
  <c r="C54" i="157" s="1"/>
  <c r="D54" i="157" s="1"/>
  <c r="B7" i="156"/>
  <c r="E29" i="164"/>
  <c r="B23" i="165"/>
  <c r="D13" i="164"/>
  <c r="B5" i="158"/>
  <c r="D5" i="158" s="1"/>
  <c r="C55" i="157"/>
  <c r="C55" i="160"/>
  <c r="D44" i="157"/>
  <c r="G6" i="155"/>
  <c r="B16" i="105"/>
  <c r="C22" i="164"/>
  <c r="AS13" i="165"/>
  <c r="D56" i="149"/>
  <c r="U13" i="162"/>
  <c r="AS22" i="165"/>
  <c r="C9" i="164"/>
  <c r="F8" i="164"/>
  <c r="E28" i="164" s="1"/>
  <c r="E42" i="164"/>
  <c r="G6" i="140"/>
  <c r="D38" i="164"/>
  <c r="E45" i="164"/>
  <c r="E55" i="164"/>
  <c r="E46" i="164"/>
  <c r="D43" i="164"/>
  <c r="E50" i="164"/>
  <c r="B17" i="158"/>
  <c r="AW17" i="158" s="1"/>
  <c r="AX17" i="158" s="1"/>
  <c r="D50" i="157"/>
  <c r="AX13" i="155"/>
  <c r="W21" i="155"/>
  <c r="AV21" i="155" s="1"/>
  <c r="AA24" i="155"/>
  <c r="N12" i="155"/>
  <c r="AW21" i="155"/>
  <c r="Y24" i="155"/>
  <c r="O12" i="155"/>
  <c r="W6" i="155"/>
  <c r="T6" i="155"/>
  <c r="Q6" i="155"/>
  <c r="N6" i="155"/>
  <c r="AW9" i="155"/>
  <c r="AX9" i="155" s="1"/>
  <c r="X25" i="155"/>
  <c r="X24" i="155"/>
  <c r="H12" i="155"/>
  <c r="K6" i="155"/>
  <c r="F6" i="155"/>
  <c r="N17" i="155"/>
  <c r="Q25" i="155"/>
  <c r="U24" i="155"/>
  <c r="G12" i="155"/>
  <c r="AV12" i="155" s="1"/>
  <c r="AX12" i="155" s="1"/>
  <c r="AA6" i="155"/>
  <c r="Y6" i="155"/>
  <c r="F18" i="155"/>
  <c r="L18" i="155" s="1"/>
  <c r="J17" i="155"/>
  <c r="AV17" i="155" s="1"/>
  <c r="AX17" i="155" s="1"/>
  <c r="R25" i="155"/>
  <c r="V24" i="155"/>
  <c r="I12" i="155"/>
  <c r="H6" i="155"/>
  <c r="AB6" i="155"/>
  <c r="Z17" i="155"/>
  <c r="S25" i="155"/>
  <c r="W24" i="155"/>
  <c r="E18" i="155"/>
  <c r="V17" i="155"/>
  <c r="T25" i="155"/>
  <c r="R17" i="155"/>
  <c r="U25" i="155"/>
  <c r="W19" i="155"/>
  <c r="V25" i="155"/>
  <c r="AW19" i="155"/>
  <c r="V19" i="155"/>
  <c r="N13" i="156"/>
  <c r="N20" i="156"/>
  <c r="AX21" i="158"/>
  <c r="AV18" i="158"/>
  <c r="AX18" i="158" s="1"/>
  <c r="I4" i="158"/>
  <c r="AW24" i="158"/>
  <c r="AX24" i="158" s="1"/>
  <c r="S25" i="158"/>
  <c r="U25" i="158"/>
  <c r="AG24" i="158"/>
  <c r="AE25" i="158"/>
  <c r="V25" i="158"/>
  <c r="AE24" i="158"/>
  <c r="V18" i="158"/>
  <c r="X25" i="158"/>
  <c r="Z25" i="158"/>
  <c r="X24" i="158"/>
  <c r="AV24" i="158" s="1"/>
  <c r="Z24" i="158"/>
  <c r="AB24" i="158"/>
  <c r="AI24" i="158"/>
  <c r="AH24" i="158"/>
  <c r="H5" i="162"/>
  <c r="U6" i="162"/>
  <c r="AW9" i="154"/>
  <c r="G5" i="140"/>
  <c r="AS9" i="165"/>
  <c r="B11" i="155"/>
  <c r="D50" i="160"/>
  <c r="E44" i="164"/>
  <c r="B11" i="165"/>
  <c r="AE11" i="158"/>
  <c r="AF11" i="158"/>
  <c r="B12" i="154"/>
  <c r="C71" i="157"/>
  <c r="C87" i="157"/>
  <c r="C27" i="157"/>
  <c r="C79" i="157"/>
  <c r="C42" i="157"/>
  <c r="C71" i="160"/>
  <c r="C42" i="160"/>
  <c r="B21" i="160"/>
  <c r="C79" i="160"/>
  <c r="C27" i="160"/>
  <c r="Q8" i="174" l="1"/>
  <c r="M10" i="156"/>
  <c r="O10" i="156" s="1"/>
  <c r="M9" i="156"/>
  <c r="O9" i="156" s="1"/>
  <c r="M20" i="156"/>
  <c r="O20" i="156" s="1"/>
  <c r="M14" i="156"/>
  <c r="O14" i="156" s="1"/>
  <c r="M18" i="156"/>
  <c r="O18" i="156" s="1"/>
  <c r="F23" i="156"/>
  <c r="G23" i="156"/>
  <c r="I23" i="156"/>
  <c r="J23" i="156"/>
  <c r="E23" i="156"/>
  <c r="H23" i="156"/>
  <c r="D23" i="156"/>
  <c r="C23" i="156"/>
  <c r="K23" i="156"/>
  <c r="L23" i="156"/>
  <c r="E39" i="164"/>
  <c r="H6" i="165"/>
  <c r="P6" i="165"/>
  <c r="I6" i="165"/>
  <c r="C6" i="165"/>
  <c r="Q6" i="165"/>
  <c r="K6" i="165"/>
  <c r="R6" i="165"/>
  <c r="S6" i="165"/>
  <c r="J6" i="165"/>
  <c r="D6" i="165"/>
  <c r="L6" i="165"/>
  <c r="G6" i="165"/>
  <c r="O6" i="165"/>
  <c r="T6" i="165"/>
  <c r="M6" i="165"/>
  <c r="U6" i="165"/>
  <c r="E6" i="165"/>
  <c r="F6" i="165"/>
  <c r="N6" i="165"/>
  <c r="AS6" i="165"/>
  <c r="E31" i="164"/>
  <c r="C23" i="164"/>
  <c r="C24" i="164" s="1"/>
  <c r="M12" i="156"/>
  <c r="O12" i="156" s="1"/>
  <c r="D7" i="156"/>
  <c r="F7" i="156"/>
  <c r="G7" i="156"/>
  <c r="H7" i="156"/>
  <c r="I7" i="156"/>
  <c r="J7" i="156"/>
  <c r="C7" i="156"/>
  <c r="K7" i="156"/>
  <c r="L7" i="156"/>
  <c r="E7" i="156"/>
  <c r="S17" i="162"/>
  <c r="K17" i="162"/>
  <c r="C17" i="162"/>
  <c r="R17" i="162"/>
  <c r="J17" i="162"/>
  <c r="Q17" i="162"/>
  <c r="I17" i="162"/>
  <c r="P17" i="162"/>
  <c r="H17" i="162"/>
  <c r="O17" i="162"/>
  <c r="G17" i="162"/>
  <c r="N17" i="162"/>
  <c r="F17" i="162"/>
  <c r="M17" i="162"/>
  <c r="L17" i="162"/>
  <c r="D17" i="162"/>
  <c r="E17" i="162"/>
  <c r="M15" i="162"/>
  <c r="E15" i="162"/>
  <c r="L15" i="162"/>
  <c r="D15" i="162"/>
  <c r="O15" i="162"/>
  <c r="S15" i="162"/>
  <c r="K15" i="162"/>
  <c r="C15" i="162"/>
  <c r="R15" i="162"/>
  <c r="J15" i="162"/>
  <c r="Q15" i="162"/>
  <c r="I15" i="162"/>
  <c r="P15" i="162"/>
  <c r="H15" i="162"/>
  <c r="G15" i="162"/>
  <c r="N15" i="162"/>
  <c r="F15" i="162"/>
  <c r="V10" i="162"/>
  <c r="T14" i="162"/>
  <c r="V14" i="162" s="1"/>
  <c r="T22" i="162"/>
  <c r="V22" i="162" s="1"/>
  <c r="T23" i="162"/>
  <c r="V23" i="162" s="1"/>
  <c r="T11" i="162"/>
  <c r="V11" i="162" s="1"/>
  <c r="D6" i="140"/>
  <c r="G12" i="140"/>
  <c r="T12" i="162"/>
  <c r="V12" i="162" s="1"/>
  <c r="T19" i="162"/>
  <c r="V19" i="162" s="1"/>
  <c r="T5" i="162"/>
  <c r="T7" i="162"/>
  <c r="V7" i="162" s="1"/>
  <c r="AX14" i="154"/>
  <c r="AX9" i="154"/>
  <c r="AV20" i="154"/>
  <c r="AX20" i="154" s="1"/>
  <c r="AV13" i="154"/>
  <c r="AX13" i="154" s="1"/>
  <c r="AW23" i="154"/>
  <c r="C23" i="154"/>
  <c r="K23" i="154"/>
  <c r="N23" i="154"/>
  <c r="O23" i="154"/>
  <c r="H23" i="154"/>
  <c r="D23" i="154"/>
  <c r="L23" i="154"/>
  <c r="F23" i="154"/>
  <c r="G23" i="154"/>
  <c r="P23" i="154"/>
  <c r="E23" i="154"/>
  <c r="M23" i="154"/>
  <c r="I23" i="154"/>
  <c r="J23" i="154"/>
  <c r="D52" i="164"/>
  <c r="D51" i="164"/>
  <c r="B18" i="165" s="1"/>
  <c r="AR12" i="165"/>
  <c r="AT12" i="165" s="1"/>
  <c r="AR17" i="165"/>
  <c r="AT17" i="165" s="1"/>
  <c r="AR9" i="165"/>
  <c r="AT9" i="165" s="1"/>
  <c r="AR13" i="165"/>
  <c r="AT13" i="165" s="1"/>
  <c r="AU7" i="105"/>
  <c r="AW7" i="105" s="1"/>
  <c r="C14" i="105"/>
  <c r="I14" i="105"/>
  <c r="J14" i="105"/>
  <c r="Q14" i="105"/>
  <c r="R14" i="105"/>
  <c r="P14" i="105"/>
  <c r="N14" i="105"/>
  <c r="L14" i="105"/>
  <c r="H14" i="105"/>
  <c r="F14" i="105"/>
  <c r="D14" i="105"/>
  <c r="U14" i="105"/>
  <c r="S14" i="105"/>
  <c r="AV14" i="105"/>
  <c r="M14" i="105"/>
  <c r="K14" i="105"/>
  <c r="O14" i="105"/>
  <c r="E14" i="105"/>
  <c r="V14" i="105"/>
  <c r="T14" i="105"/>
  <c r="G14" i="105"/>
  <c r="F16" i="105"/>
  <c r="N16" i="105"/>
  <c r="V16" i="105"/>
  <c r="D16" i="105"/>
  <c r="M16" i="105"/>
  <c r="G16" i="105"/>
  <c r="O16" i="105"/>
  <c r="AV16" i="105"/>
  <c r="H16" i="105"/>
  <c r="P16" i="105"/>
  <c r="U16" i="105"/>
  <c r="I16" i="105"/>
  <c r="Q16" i="105"/>
  <c r="J16" i="105"/>
  <c r="R16" i="105"/>
  <c r="L16" i="105"/>
  <c r="E16" i="105"/>
  <c r="C16" i="105"/>
  <c r="K16" i="105"/>
  <c r="S16" i="105"/>
  <c r="T16" i="105"/>
  <c r="I11" i="165"/>
  <c r="Q11" i="165"/>
  <c r="J11" i="165"/>
  <c r="R11" i="165"/>
  <c r="K11" i="165"/>
  <c r="S11" i="165"/>
  <c r="E11" i="165"/>
  <c r="M11" i="165"/>
  <c r="U11" i="165"/>
  <c r="F11" i="165"/>
  <c r="N11" i="165"/>
  <c r="D11" i="165"/>
  <c r="L11" i="165"/>
  <c r="T11" i="165"/>
  <c r="G11" i="165"/>
  <c r="O11" i="165"/>
  <c r="H11" i="165"/>
  <c r="P11" i="165"/>
  <c r="D12" i="154"/>
  <c r="L12" i="154"/>
  <c r="E12" i="154"/>
  <c r="M12" i="154"/>
  <c r="F12" i="154"/>
  <c r="N12" i="154"/>
  <c r="H12" i="154"/>
  <c r="P12" i="154"/>
  <c r="G12" i="154"/>
  <c r="O12" i="154"/>
  <c r="J12" i="154"/>
  <c r="C12" i="154"/>
  <c r="K12" i="154"/>
  <c r="I12" i="154"/>
  <c r="E56" i="149"/>
  <c r="C23" i="165"/>
  <c r="G7" i="158"/>
  <c r="W7" i="158"/>
  <c r="X5" i="155"/>
  <c r="Y7" i="158"/>
  <c r="AV18" i="154"/>
  <c r="AX18" i="154" s="1"/>
  <c r="N23" i="156"/>
  <c r="U17" i="162"/>
  <c r="U15" i="162"/>
  <c r="B19" i="156"/>
  <c r="B11" i="156"/>
  <c r="T13" i="162"/>
  <c r="V13" i="162" s="1"/>
  <c r="T18" i="162"/>
  <c r="V18" i="162" s="1"/>
  <c r="W12" i="172"/>
  <c r="Y12" i="172" s="1"/>
  <c r="AA5" i="155"/>
  <c r="H5" i="155"/>
  <c r="D5" i="155"/>
  <c r="X7" i="155"/>
  <c r="W7" i="155"/>
  <c r="F7" i="155"/>
  <c r="S7" i="155"/>
  <c r="AB7" i="155"/>
  <c r="Q7" i="155"/>
  <c r="D7" i="158"/>
  <c r="N7" i="155"/>
  <c r="Y7" i="155"/>
  <c r="I7" i="158"/>
  <c r="I7" i="155"/>
  <c r="D7" i="155"/>
  <c r="E7" i="158"/>
  <c r="AA7" i="158"/>
  <c r="AJ7" i="158"/>
  <c r="C7" i="155"/>
  <c r="V7" i="155"/>
  <c r="H7" i="158"/>
  <c r="G7" i="155"/>
  <c r="R7" i="155"/>
  <c r="H7" i="155"/>
  <c r="AX10" i="154"/>
  <c r="AR22" i="165"/>
  <c r="AT22" i="165" s="1"/>
  <c r="Z5" i="155"/>
  <c r="N5" i="155"/>
  <c r="I5" i="155"/>
  <c r="P5" i="155"/>
  <c r="AB5" i="155"/>
  <c r="Q5" i="155"/>
  <c r="S5" i="155"/>
  <c r="C5" i="155"/>
  <c r="T5" i="155"/>
  <c r="V5" i="155"/>
  <c r="E5" i="155"/>
  <c r="M5" i="155"/>
  <c r="W5" i="155"/>
  <c r="O5" i="155"/>
  <c r="R5" i="155"/>
  <c r="F5" i="155"/>
  <c r="AW5" i="155"/>
  <c r="U5" i="155"/>
  <c r="Y5" i="155"/>
  <c r="K5" i="155"/>
  <c r="L5" i="155"/>
  <c r="J5" i="155"/>
  <c r="U7" i="155"/>
  <c r="P7" i="155"/>
  <c r="AH6" i="158"/>
  <c r="C61" i="157"/>
  <c r="B22" i="158" s="1"/>
  <c r="E7" i="155"/>
  <c r="L7" i="155"/>
  <c r="T7" i="155"/>
  <c r="D30" i="157"/>
  <c r="D31" i="157" s="1"/>
  <c r="D36" i="157" s="1"/>
  <c r="E56" i="164"/>
  <c r="U6" i="158"/>
  <c r="AI6" i="158"/>
  <c r="D55" i="153"/>
  <c r="D62" i="153" s="1"/>
  <c r="B6" i="156"/>
  <c r="H5" i="158"/>
  <c r="Y5" i="158"/>
  <c r="B14" i="155"/>
  <c r="D53" i="160"/>
  <c r="AH5" i="158"/>
  <c r="Z7" i="155"/>
  <c r="AA7" i="155"/>
  <c r="J7" i="155"/>
  <c r="M7" i="155"/>
  <c r="O7" i="155"/>
  <c r="AW7" i="155"/>
  <c r="F5" i="158"/>
  <c r="AA5" i="158"/>
  <c r="H6" i="158"/>
  <c r="B16" i="158"/>
  <c r="D55" i="157"/>
  <c r="C16" i="160"/>
  <c r="C61" i="160"/>
  <c r="D30" i="160"/>
  <c r="D31" i="160" s="1"/>
  <c r="W5" i="158"/>
  <c r="U5" i="158"/>
  <c r="AD5" i="158"/>
  <c r="AS23" i="165"/>
  <c r="AV6" i="155"/>
  <c r="AX6" i="155" s="1"/>
  <c r="AI5" i="158"/>
  <c r="G5" i="158"/>
  <c r="B16" i="155"/>
  <c r="D55" i="160"/>
  <c r="AI7" i="158"/>
  <c r="X7" i="158"/>
  <c r="AF7" i="158"/>
  <c r="Z7" i="158"/>
  <c r="U7" i="158"/>
  <c r="AW7" i="158"/>
  <c r="AE7" i="158"/>
  <c r="AB7" i="158"/>
  <c r="T7" i="158"/>
  <c r="R7" i="158"/>
  <c r="AH7" i="158"/>
  <c r="F7" i="158"/>
  <c r="C7" i="158"/>
  <c r="AG7" i="158"/>
  <c r="AD7" i="158"/>
  <c r="V7" i="158"/>
  <c r="S7" i="158"/>
  <c r="Q7" i="158"/>
  <c r="N7" i="156"/>
  <c r="AC5" i="158"/>
  <c r="AE5" i="158"/>
  <c r="AB5" i="158"/>
  <c r="T5" i="158"/>
  <c r="R5" i="158"/>
  <c r="C5" i="158"/>
  <c r="V5" i="158"/>
  <c r="AG5" i="158"/>
  <c r="S5" i="158"/>
  <c r="Q5" i="158"/>
  <c r="E5" i="158"/>
  <c r="AW5" i="158"/>
  <c r="X5" i="158"/>
  <c r="AJ5" i="158"/>
  <c r="AF5" i="158"/>
  <c r="Z5" i="158"/>
  <c r="B14" i="158"/>
  <c r="D53" i="157"/>
  <c r="AG6" i="158"/>
  <c r="AF6" i="158"/>
  <c r="Z6" i="158"/>
  <c r="AE6" i="158"/>
  <c r="AB6" i="158"/>
  <c r="T6" i="158"/>
  <c r="R6" i="158"/>
  <c r="W6" i="158"/>
  <c r="F6" i="158"/>
  <c r="C6" i="158"/>
  <c r="Y6" i="158"/>
  <c r="AC6" i="158"/>
  <c r="AA6" i="158"/>
  <c r="AD6" i="158"/>
  <c r="V6" i="158"/>
  <c r="S6" i="158"/>
  <c r="Q6" i="158"/>
  <c r="E6" i="158"/>
  <c r="AW6" i="158"/>
  <c r="X6" i="158"/>
  <c r="D6" i="158"/>
  <c r="AJ6" i="158"/>
  <c r="B15" i="105"/>
  <c r="T20" i="162"/>
  <c r="V20" i="162" s="1"/>
  <c r="T8" i="162"/>
  <c r="V8" i="162" s="1"/>
  <c r="B10" i="165"/>
  <c r="E43" i="164"/>
  <c r="E38" i="164"/>
  <c r="D40" i="164"/>
  <c r="D47" i="164" s="1"/>
  <c r="B5" i="165"/>
  <c r="AX21" i="155"/>
  <c r="AV19" i="155"/>
  <c r="AX19" i="155"/>
  <c r="AV24" i="155"/>
  <c r="AX24" i="155" s="1"/>
  <c r="AV18" i="155"/>
  <c r="AX18" i="155" s="1"/>
  <c r="AV25" i="155"/>
  <c r="AX25" i="155" s="1"/>
  <c r="M13" i="156"/>
  <c r="O13" i="156" s="1"/>
  <c r="J4" i="158"/>
  <c r="I6" i="158"/>
  <c r="AV25" i="158"/>
  <c r="AX25" i="158" s="1"/>
  <c r="I5" i="158"/>
  <c r="AW11" i="155"/>
  <c r="AX11" i="155" s="1"/>
  <c r="B15" i="158"/>
  <c r="AE15" i="158" s="1"/>
  <c r="B15" i="155"/>
  <c r="D54" i="160"/>
  <c r="AS11" i="165"/>
  <c r="AV11" i="158"/>
  <c r="B16" i="162"/>
  <c r="AW12" i="154"/>
  <c r="R8" i="174" l="1"/>
  <c r="W8" i="174" s="1"/>
  <c r="V8" i="174"/>
  <c r="C11" i="156"/>
  <c r="L11" i="156"/>
  <c r="J19" i="156"/>
  <c r="K19" i="156"/>
  <c r="D19" i="156"/>
  <c r="H19" i="156"/>
  <c r="L19" i="156"/>
  <c r="G19" i="156"/>
  <c r="I19" i="156"/>
  <c r="E19" i="156"/>
  <c r="C19" i="156"/>
  <c r="F19" i="156"/>
  <c r="AR6" i="165"/>
  <c r="AT6" i="165" s="1"/>
  <c r="F6" i="156"/>
  <c r="C6" i="156"/>
  <c r="G6" i="156"/>
  <c r="H6" i="156"/>
  <c r="L6" i="156"/>
  <c r="I6" i="156"/>
  <c r="J6" i="156"/>
  <c r="E6" i="156"/>
  <c r="K6" i="156"/>
  <c r="D6" i="156"/>
  <c r="L16" i="162"/>
  <c r="D16" i="162"/>
  <c r="N16" i="162"/>
  <c r="S16" i="162"/>
  <c r="K16" i="162"/>
  <c r="C16" i="162"/>
  <c r="R16" i="162"/>
  <c r="J16" i="162"/>
  <c r="Q16" i="162"/>
  <c r="I16" i="162"/>
  <c r="P16" i="162"/>
  <c r="H16" i="162"/>
  <c r="F16" i="162"/>
  <c r="O16" i="162"/>
  <c r="G16" i="162"/>
  <c r="M16" i="162"/>
  <c r="E16" i="162"/>
  <c r="C20" i="164"/>
  <c r="D41" i="164" s="1"/>
  <c r="E51" i="164"/>
  <c r="T6" i="162"/>
  <c r="V6" i="162" s="1"/>
  <c r="N11" i="156"/>
  <c r="D64" i="153"/>
  <c r="E64" i="153" s="1"/>
  <c r="E55" i="153"/>
  <c r="E62" i="153"/>
  <c r="E76" i="150"/>
  <c r="AV23" i="154"/>
  <c r="AX23" i="154" s="1"/>
  <c r="B19" i="165"/>
  <c r="E52" i="164"/>
  <c r="AR23" i="165"/>
  <c r="AT23" i="165" s="1"/>
  <c r="G18" i="165"/>
  <c r="O18" i="165"/>
  <c r="H18" i="165"/>
  <c r="P18" i="165"/>
  <c r="I18" i="165"/>
  <c r="Q18" i="165"/>
  <c r="J18" i="165"/>
  <c r="R18" i="165"/>
  <c r="C18" i="165"/>
  <c r="K18" i="165"/>
  <c r="S18" i="165"/>
  <c r="D18" i="165"/>
  <c r="L18" i="165"/>
  <c r="T18" i="165"/>
  <c r="E18" i="165"/>
  <c r="M18" i="165"/>
  <c r="U18" i="165"/>
  <c r="N18" i="165"/>
  <c r="F18" i="165"/>
  <c r="T5" i="165"/>
  <c r="L5" i="165"/>
  <c r="D5" i="165"/>
  <c r="S5" i="165"/>
  <c r="K5" i="165"/>
  <c r="C5" i="165"/>
  <c r="R5" i="165"/>
  <c r="J5" i="165"/>
  <c r="Q5" i="165"/>
  <c r="I5" i="165"/>
  <c r="P5" i="165"/>
  <c r="H5" i="165"/>
  <c r="O5" i="165"/>
  <c r="G5" i="165"/>
  <c r="M5" i="165"/>
  <c r="F5" i="165"/>
  <c r="E5" i="165"/>
  <c r="N5" i="165"/>
  <c r="U5" i="165"/>
  <c r="C10" i="165"/>
  <c r="AR10" i="165" s="1"/>
  <c r="AU14" i="105"/>
  <c r="AW14" i="105" s="1"/>
  <c r="AU16" i="105"/>
  <c r="AW16" i="105" s="1"/>
  <c r="AR11" i="165"/>
  <c r="AT11" i="165" s="1"/>
  <c r="C15" i="105"/>
  <c r="K15" i="105"/>
  <c r="S15" i="105"/>
  <c r="N15" i="105"/>
  <c r="Q15" i="105"/>
  <c r="D15" i="105"/>
  <c r="L15" i="105"/>
  <c r="T15" i="105"/>
  <c r="F15" i="105"/>
  <c r="E15" i="105"/>
  <c r="M15" i="105"/>
  <c r="U15" i="105"/>
  <c r="V15" i="105"/>
  <c r="R15" i="105"/>
  <c r="G15" i="105"/>
  <c r="O15" i="105"/>
  <c r="AV15" i="105"/>
  <c r="J15" i="105"/>
  <c r="H15" i="105"/>
  <c r="P15" i="105"/>
  <c r="I15" i="105"/>
  <c r="P26" i="155"/>
  <c r="P41" i="155" s="1"/>
  <c r="O26" i="155"/>
  <c r="O41" i="155" s="1"/>
  <c r="D61" i="157"/>
  <c r="M23" i="156"/>
  <c r="O23" i="156" s="1"/>
  <c r="T17" i="162"/>
  <c r="V17" i="162" s="1"/>
  <c r="T15" i="162"/>
  <c r="V15" i="162" s="1"/>
  <c r="N19" i="156"/>
  <c r="B24" i="154"/>
  <c r="AV5" i="155"/>
  <c r="AX5" i="155" s="1"/>
  <c r="D53" i="164"/>
  <c r="D39" i="157"/>
  <c r="C59" i="157" s="1"/>
  <c r="D34" i="157"/>
  <c r="D35" i="157" s="1"/>
  <c r="D37" i="157" s="1"/>
  <c r="AV7" i="155"/>
  <c r="AX7" i="155" s="1"/>
  <c r="N6" i="156"/>
  <c r="B8" i="156"/>
  <c r="I14" i="155"/>
  <c r="I26" i="155" s="1"/>
  <c r="I41" i="155" s="1"/>
  <c r="H14" i="155"/>
  <c r="H26" i="155" s="1"/>
  <c r="H41" i="155" s="1"/>
  <c r="L14" i="155"/>
  <c r="L26" i="155" s="1"/>
  <c r="L41" i="155" s="1"/>
  <c r="K14" i="155"/>
  <c r="K26" i="155" s="1"/>
  <c r="K41" i="155" s="1"/>
  <c r="E14" i="155"/>
  <c r="J14" i="155"/>
  <c r="J26" i="155" s="1"/>
  <c r="J41" i="155" s="1"/>
  <c r="AW14" i="155"/>
  <c r="G14" i="155"/>
  <c r="F14" i="155"/>
  <c r="N14" i="155"/>
  <c r="N26" i="155" s="1"/>
  <c r="N41" i="155" s="1"/>
  <c r="M14" i="155"/>
  <c r="M26" i="155" s="1"/>
  <c r="M41" i="155" s="1"/>
  <c r="AI22" i="158"/>
  <c r="AW22" i="158"/>
  <c r="AH22" i="158"/>
  <c r="AF22" i="158"/>
  <c r="AG22" i="158"/>
  <c r="AA16" i="158"/>
  <c r="X16" i="158"/>
  <c r="Z16" i="158"/>
  <c r="AB16" i="158"/>
  <c r="T16" i="158"/>
  <c r="R16" i="158"/>
  <c r="Q16" i="158"/>
  <c r="AW16" i="158"/>
  <c r="F16" i="158"/>
  <c r="C16" i="158"/>
  <c r="AD16" i="158"/>
  <c r="V16" i="158"/>
  <c r="S16" i="158"/>
  <c r="U16" i="158"/>
  <c r="E16" i="158"/>
  <c r="D16" i="158"/>
  <c r="G16" i="158"/>
  <c r="AF16" i="158"/>
  <c r="AC16" i="158"/>
  <c r="W16" i="158"/>
  <c r="AE16" i="158"/>
  <c r="AE26" i="158" s="1"/>
  <c r="AE41" i="158" s="1"/>
  <c r="Y16" i="158"/>
  <c r="E16" i="155"/>
  <c r="D16" i="155"/>
  <c r="Q16" i="155"/>
  <c r="R16" i="155"/>
  <c r="AW16" i="155"/>
  <c r="T16" i="155"/>
  <c r="F16" i="155"/>
  <c r="U16" i="155"/>
  <c r="W16" i="155"/>
  <c r="X16" i="155"/>
  <c r="C16" i="155"/>
  <c r="G16" i="155"/>
  <c r="V16" i="155"/>
  <c r="S16" i="155"/>
  <c r="D34" i="160"/>
  <c r="D35" i="160" s="1"/>
  <c r="D39" i="160"/>
  <c r="C59" i="160" s="1"/>
  <c r="D36" i="160"/>
  <c r="B22" i="155"/>
  <c r="D61" i="160"/>
  <c r="AW14" i="158"/>
  <c r="E14" i="158"/>
  <c r="F14" i="158"/>
  <c r="G14" i="158"/>
  <c r="H14" i="158"/>
  <c r="H26" i="158" s="1"/>
  <c r="H41" i="158" s="1"/>
  <c r="I14" i="158"/>
  <c r="I26" i="158" s="1"/>
  <c r="I41" i="158" s="1"/>
  <c r="J14" i="158"/>
  <c r="K14" i="158"/>
  <c r="AS5" i="165"/>
  <c r="E40" i="164"/>
  <c r="B7" i="165"/>
  <c r="AS10" i="165"/>
  <c r="AS18" i="165"/>
  <c r="F15" i="158"/>
  <c r="U15" i="158"/>
  <c r="AV12" i="154"/>
  <c r="S15" i="158"/>
  <c r="AW15" i="158"/>
  <c r="AD15" i="158"/>
  <c r="E15" i="158"/>
  <c r="AB15" i="158"/>
  <c r="Q15" i="158"/>
  <c r="C15" i="158"/>
  <c r="V15" i="158"/>
  <c r="T15" i="158"/>
  <c r="R15" i="158"/>
  <c r="AF15" i="158"/>
  <c r="J5" i="158"/>
  <c r="J6" i="158"/>
  <c r="J7" i="158"/>
  <c r="K4" i="158"/>
  <c r="W15" i="158"/>
  <c r="AC15" i="158"/>
  <c r="AA15" i="158"/>
  <c r="X15" i="158"/>
  <c r="D15" i="158"/>
  <c r="Z15" i="158"/>
  <c r="Y15" i="158"/>
  <c r="G15" i="158"/>
  <c r="R15" i="155"/>
  <c r="U15" i="155"/>
  <c r="X15" i="155"/>
  <c r="F15" i="155"/>
  <c r="AW15" i="155"/>
  <c r="D15" i="155"/>
  <c r="S15" i="155"/>
  <c r="V15" i="155"/>
  <c r="C15" i="155"/>
  <c r="G15" i="155"/>
  <c r="W15" i="155"/>
  <c r="E15" i="155"/>
  <c r="T15" i="155"/>
  <c r="Q15" i="155"/>
  <c r="AX11" i="158"/>
  <c r="U16" i="162"/>
  <c r="E53" i="164" l="1"/>
  <c r="D49" i="164"/>
  <c r="D48" i="164"/>
  <c r="B8" i="165"/>
  <c r="E41" i="164"/>
  <c r="M19" i="156"/>
  <c r="O19" i="156" s="1"/>
  <c r="M11" i="156"/>
  <c r="O11" i="156" s="1"/>
  <c r="F8" i="156"/>
  <c r="G8" i="156"/>
  <c r="H8" i="156"/>
  <c r="L8" i="156"/>
  <c r="I8" i="156"/>
  <c r="J8" i="156"/>
  <c r="D8" i="156"/>
  <c r="C8" i="156"/>
  <c r="K8" i="156"/>
  <c r="E8" i="156"/>
  <c r="B15" i="156"/>
  <c r="D63" i="153"/>
  <c r="AW24" i="154"/>
  <c r="C24" i="154"/>
  <c r="AV24" i="154" s="1"/>
  <c r="Q19" i="165"/>
  <c r="L19" i="165"/>
  <c r="G19" i="165"/>
  <c r="J19" i="165"/>
  <c r="T19" i="165"/>
  <c r="H19" i="165"/>
  <c r="F19" i="165"/>
  <c r="I19" i="165"/>
  <c r="R19" i="165"/>
  <c r="E19" i="165"/>
  <c r="P19" i="165"/>
  <c r="C19" i="165"/>
  <c r="M19" i="165"/>
  <c r="K19" i="165"/>
  <c r="U19" i="165"/>
  <c r="AS19" i="165"/>
  <c r="S19" i="165"/>
  <c r="D19" i="165"/>
  <c r="O19" i="165"/>
  <c r="N19" i="165"/>
  <c r="AR18" i="165"/>
  <c r="AT18" i="165" s="1"/>
  <c r="E7" i="165"/>
  <c r="M7" i="165"/>
  <c r="U7" i="165"/>
  <c r="F7" i="165"/>
  <c r="N7" i="165"/>
  <c r="G7" i="165"/>
  <c r="O7" i="165"/>
  <c r="H7" i="165"/>
  <c r="P7" i="165"/>
  <c r="I7" i="165"/>
  <c r="Q7" i="165"/>
  <c r="J7" i="165"/>
  <c r="R7" i="165"/>
  <c r="C7" i="165"/>
  <c r="K7" i="165"/>
  <c r="S7" i="165"/>
  <c r="D7" i="165"/>
  <c r="L7" i="165"/>
  <c r="T7" i="165"/>
  <c r="AU15" i="105"/>
  <c r="AA26" i="158"/>
  <c r="AA41" i="158" s="1"/>
  <c r="E34" i="164"/>
  <c r="C34" i="164" s="1"/>
  <c r="D26" i="158"/>
  <c r="D41" i="158" s="1"/>
  <c r="U26" i="155"/>
  <c r="U41" i="155" s="1"/>
  <c r="D26" i="155"/>
  <c r="D41" i="155" s="1"/>
  <c r="AB26" i="158"/>
  <c r="AB41" i="158" s="1"/>
  <c r="Y26" i="158"/>
  <c r="Y41" i="158" s="1"/>
  <c r="W26" i="158"/>
  <c r="W41" i="158" s="1"/>
  <c r="V26" i="158"/>
  <c r="V41" i="158" s="1"/>
  <c r="V26" i="155"/>
  <c r="V41" i="155" s="1"/>
  <c r="B20" i="165"/>
  <c r="F26" i="155"/>
  <c r="F41" i="155" s="1"/>
  <c r="AC26" i="158"/>
  <c r="AC41" i="158" s="1"/>
  <c r="AD26" i="158"/>
  <c r="AD41" i="158" s="1"/>
  <c r="Z26" i="158"/>
  <c r="Z41" i="158" s="1"/>
  <c r="C26" i="158"/>
  <c r="C29" i="158" s="1"/>
  <c r="S26" i="155"/>
  <c r="S41" i="155" s="1"/>
  <c r="X26" i="158"/>
  <c r="X41" i="158" s="1"/>
  <c r="T26" i="155"/>
  <c r="T41" i="155" s="1"/>
  <c r="D40" i="157"/>
  <c r="D41" i="157" s="1"/>
  <c r="D59" i="157"/>
  <c r="B20" i="158"/>
  <c r="C65" i="157"/>
  <c r="N8" i="156"/>
  <c r="G26" i="158"/>
  <c r="G41" i="158" s="1"/>
  <c r="E26" i="155"/>
  <c r="E41" i="155" s="1"/>
  <c r="W26" i="155"/>
  <c r="W41" i="155" s="1"/>
  <c r="Q26" i="155"/>
  <c r="Q41" i="155" s="1"/>
  <c r="B17" i="156"/>
  <c r="E26" i="158"/>
  <c r="E41" i="158" s="1"/>
  <c r="AF26" i="158"/>
  <c r="AF41" i="158" s="1"/>
  <c r="AV16" i="158"/>
  <c r="AX16" i="158" s="1"/>
  <c r="F26" i="158"/>
  <c r="F41" i="158" s="1"/>
  <c r="D37" i="160"/>
  <c r="D40" i="160" s="1"/>
  <c r="D41" i="160" s="1"/>
  <c r="AV14" i="155"/>
  <c r="AX14" i="155" s="1"/>
  <c r="R26" i="155"/>
  <c r="R41" i="155" s="1"/>
  <c r="N14" i="158"/>
  <c r="L14" i="158"/>
  <c r="R14" i="158"/>
  <c r="R26" i="158" s="1"/>
  <c r="R41" i="158" s="1"/>
  <c r="O14" i="158"/>
  <c r="Q14" i="158"/>
  <c r="Q26" i="158" s="1"/>
  <c r="Q41" i="158" s="1"/>
  <c r="T14" i="158"/>
  <c r="T26" i="158" s="1"/>
  <c r="T41" i="158" s="1"/>
  <c r="M14" i="158"/>
  <c r="P14" i="158"/>
  <c r="S14" i="158"/>
  <c r="S26" i="158" s="1"/>
  <c r="S41" i="158" s="1"/>
  <c r="U14" i="158"/>
  <c r="U26" i="158" s="1"/>
  <c r="U41" i="158" s="1"/>
  <c r="AV22" i="158"/>
  <c r="AX22" i="158" s="1"/>
  <c r="AV16" i="155"/>
  <c r="AX16" i="155" s="1"/>
  <c r="X22" i="155"/>
  <c r="X26" i="155" s="1"/>
  <c r="X41" i="155" s="1"/>
  <c r="Z22" i="155"/>
  <c r="AW22" i="155"/>
  <c r="Y22" i="155"/>
  <c r="G26" i="155"/>
  <c r="G41" i="155" s="1"/>
  <c r="D59" i="160"/>
  <c r="B20" i="155"/>
  <c r="C65" i="160"/>
  <c r="E47" i="164"/>
  <c r="B14" i="165"/>
  <c r="AS7" i="165"/>
  <c r="AT10" i="165"/>
  <c r="AR5" i="165"/>
  <c r="B16" i="165"/>
  <c r="E49" i="164"/>
  <c r="AV15" i="158"/>
  <c r="AX15" i="158" s="1"/>
  <c r="K6" i="158"/>
  <c r="K7" i="158"/>
  <c r="L4" i="158"/>
  <c r="K5" i="158"/>
  <c r="J26" i="158"/>
  <c r="J41" i="158" s="1"/>
  <c r="C26" i="155"/>
  <c r="AV15" i="155"/>
  <c r="AX12" i="154"/>
  <c r="T16" i="162"/>
  <c r="R10" i="174" l="1"/>
  <c r="R8" i="165"/>
  <c r="Q8" i="165"/>
  <c r="P8" i="165"/>
  <c r="J8" i="165"/>
  <c r="I8" i="165"/>
  <c r="AS8" i="165"/>
  <c r="L8" i="165"/>
  <c r="D8" i="165"/>
  <c r="C8" i="165"/>
  <c r="O8" i="165"/>
  <c r="N8" i="165"/>
  <c r="H8" i="165"/>
  <c r="G8" i="165"/>
  <c r="M8" i="165"/>
  <c r="E8" i="165"/>
  <c r="T8" i="165"/>
  <c r="S8" i="165"/>
  <c r="K8" i="165"/>
  <c r="F8" i="165"/>
  <c r="U8" i="165"/>
  <c r="H17" i="156"/>
  <c r="F17" i="156"/>
  <c r="I17" i="156"/>
  <c r="J17" i="156"/>
  <c r="C17" i="156"/>
  <c r="K17" i="156"/>
  <c r="D17" i="156"/>
  <c r="L17" i="156"/>
  <c r="G17" i="156"/>
  <c r="E17" i="156"/>
  <c r="F15" i="156"/>
  <c r="G15" i="156"/>
  <c r="D15" i="156"/>
  <c r="H15" i="156"/>
  <c r="I15" i="156"/>
  <c r="L15" i="156"/>
  <c r="J15" i="156"/>
  <c r="C15" i="156"/>
  <c r="E15" i="156"/>
  <c r="K15" i="156"/>
  <c r="D71" i="153"/>
  <c r="N15" i="156"/>
  <c r="E63" i="153"/>
  <c r="B16" i="156"/>
  <c r="AX24" i="154"/>
  <c r="AR19" i="165"/>
  <c r="AT19" i="165" s="1"/>
  <c r="E16" i="165"/>
  <c r="M16" i="165"/>
  <c r="U16" i="165"/>
  <c r="F16" i="165"/>
  <c r="N16" i="165"/>
  <c r="G16" i="165"/>
  <c r="O16" i="165"/>
  <c r="K16" i="165"/>
  <c r="H16" i="165"/>
  <c r="P16" i="165"/>
  <c r="I16" i="165"/>
  <c r="Q16" i="165"/>
  <c r="J16" i="165"/>
  <c r="R16" i="165"/>
  <c r="C16" i="165"/>
  <c r="S16" i="165"/>
  <c r="D16" i="165"/>
  <c r="L16" i="165"/>
  <c r="T16" i="165"/>
  <c r="C14" i="165"/>
  <c r="K14" i="165"/>
  <c r="S14" i="165"/>
  <c r="D14" i="165"/>
  <c r="L14" i="165"/>
  <c r="T14" i="165"/>
  <c r="E14" i="165"/>
  <c r="M14" i="165"/>
  <c r="U14" i="165"/>
  <c r="F14" i="165"/>
  <c r="N14" i="165"/>
  <c r="G14" i="165"/>
  <c r="O14" i="165"/>
  <c r="H14" i="165"/>
  <c r="P14" i="165"/>
  <c r="I14" i="165"/>
  <c r="Q14" i="165"/>
  <c r="J14" i="165"/>
  <c r="R14" i="165"/>
  <c r="AW15" i="105"/>
  <c r="AJ27" i="165"/>
  <c r="H20" i="165"/>
  <c r="P20" i="165"/>
  <c r="I20" i="165"/>
  <c r="Q20" i="165"/>
  <c r="J20" i="165"/>
  <c r="R20" i="165"/>
  <c r="M20" i="165"/>
  <c r="C20" i="165"/>
  <c r="K20" i="165"/>
  <c r="S20" i="165"/>
  <c r="D20" i="165"/>
  <c r="L20" i="165"/>
  <c r="T20" i="165"/>
  <c r="U20" i="165"/>
  <c r="F20" i="165"/>
  <c r="N20" i="165"/>
  <c r="G20" i="165"/>
  <c r="O20" i="165"/>
  <c r="E20" i="165"/>
  <c r="C41" i="158"/>
  <c r="E35" i="164"/>
  <c r="C76" i="164" s="1"/>
  <c r="C77" i="164" s="1"/>
  <c r="C78" i="164" s="1"/>
  <c r="AI27" i="165"/>
  <c r="AI42" i="165" s="1"/>
  <c r="AI19" i="159" s="1"/>
  <c r="AG27" i="165"/>
  <c r="AG42" i="165" s="1"/>
  <c r="AG19" i="159" s="1"/>
  <c r="AS20" i="165"/>
  <c r="AH27" i="165"/>
  <c r="AH42" i="165" s="1"/>
  <c r="AH19" i="159" s="1"/>
  <c r="B75" i="157"/>
  <c r="D65" i="157"/>
  <c r="B76" i="157"/>
  <c r="AJ20" i="158"/>
  <c r="AJ26" i="158" s="1"/>
  <c r="B26" i="158"/>
  <c r="AG20" i="158"/>
  <c r="AI20" i="158"/>
  <c r="AI26" i="158" s="1"/>
  <c r="AI41" i="158" s="1"/>
  <c r="AH20" i="158"/>
  <c r="AH26" i="158" s="1"/>
  <c r="AH41" i="158" s="1"/>
  <c r="AW20" i="158"/>
  <c r="AW26" i="158" s="1"/>
  <c r="B66" i="157"/>
  <c r="B69" i="157"/>
  <c r="B67" i="157"/>
  <c r="B68" i="157"/>
  <c r="B81" i="157"/>
  <c r="N17" i="156"/>
  <c r="K26" i="158"/>
  <c r="K41" i="158" s="1"/>
  <c r="AV14" i="158"/>
  <c r="AX14" i="158" s="1"/>
  <c r="AV22" i="155"/>
  <c r="AX22" i="155" s="1"/>
  <c r="B76" i="160"/>
  <c r="D65" i="160"/>
  <c r="B75" i="160"/>
  <c r="AB20" i="155"/>
  <c r="AB26" i="155" s="1"/>
  <c r="AA20" i="155"/>
  <c r="AA26" i="155" s="1"/>
  <c r="AA41" i="155" s="1"/>
  <c r="Y20" i="155"/>
  <c r="Z20" i="155"/>
  <c r="Z26" i="155" s="1"/>
  <c r="Z41" i="155" s="1"/>
  <c r="AW20" i="155"/>
  <c r="B26" i="155"/>
  <c r="B28" i="155" s="1"/>
  <c r="B66" i="160"/>
  <c r="B68" i="160"/>
  <c r="B81" i="160"/>
  <c r="B69" i="160"/>
  <c r="B73" i="160" s="1"/>
  <c r="B67" i="160"/>
  <c r="AS16" i="165"/>
  <c r="B15" i="165"/>
  <c r="E48" i="164"/>
  <c r="AR7" i="165"/>
  <c r="AT7" i="165" s="1"/>
  <c r="AT5" i="165"/>
  <c r="AS14" i="165"/>
  <c r="AX15" i="155"/>
  <c r="L5" i="158"/>
  <c r="L6" i="158"/>
  <c r="M4" i="158"/>
  <c r="L7" i="158"/>
  <c r="C29" i="155"/>
  <c r="C41" i="155"/>
  <c r="C30" i="158"/>
  <c r="C36" i="158"/>
  <c r="V16" i="162"/>
  <c r="AR8" i="165" l="1"/>
  <c r="AT8" i="165" s="1"/>
  <c r="M15" i="156"/>
  <c r="O15" i="156" s="1"/>
  <c r="G16" i="156"/>
  <c r="I16" i="156"/>
  <c r="J16" i="156"/>
  <c r="C16" i="156"/>
  <c r="K16" i="156"/>
  <c r="H16" i="156"/>
  <c r="D16" i="156"/>
  <c r="L16" i="156"/>
  <c r="E16" i="156"/>
  <c r="F16" i="156"/>
  <c r="N16" i="156"/>
  <c r="E71" i="153"/>
  <c r="B24" i="156"/>
  <c r="E15" i="165"/>
  <c r="M15" i="165"/>
  <c r="U15" i="165"/>
  <c r="F15" i="165"/>
  <c r="N15" i="165"/>
  <c r="G15" i="165"/>
  <c r="O15" i="165"/>
  <c r="I15" i="165"/>
  <c r="Q15" i="165"/>
  <c r="J15" i="165"/>
  <c r="R15" i="165"/>
  <c r="H15" i="165"/>
  <c r="P15" i="165"/>
  <c r="C15" i="165"/>
  <c r="K15" i="165"/>
  <c r="S15" i="165"/>
  <c r="D15" i="165"/>
  <c r="L15" i="165"/>
  <c r="T15" i="165"/>
  <c r="J6" i="140"/>
  <c r="X8" i="174" s="1"/>
  <c r="C83" i="164"/>
  <c r="C63" i="164"/>
  <c r="AR20" i="165"/>
  <c r="AT20" i="165" s="1"/>
  <c r="B88" i="157"/>
  <c r="B82" i="157"/>
  <c r="B83" i="157" s="1"/>
  <c r="C75" i="157"/>
  <c r="B31" i="158"/>
  <c r="B32" i="158" s="1"/>
  <c r="B95" i="157"/>
  <c r="B84" i="157"/>
  <c r="G62" i="157"/>
  <c r="B77" i="157"/>
  <c r="C77" i="157" s="1"/>
  <c r="G63" i="157"/>
  <c r="B73" i="157"/>
  <c r="AG26" i="158"/>
  <c r="AG41" i="158" s="1"/>
  <c r="AV20" i="158"/>
  <c r="AX20" i="158" s="1"/>
  <c r="B30" i="158"/>
  <c r="D29" i="158" s="1"/>
  <c r="C76" i="157"/>
  <c r="B85" i="157"/>
  <c r="AV20" i="155"/>
  <c r="AV26" i="155" s="1"/>
  <c r="Y26" i="155"/>
  <c r="Y41" i="155" s="1"/>
  <c r="B77" i="160"/>
  <c r="C77" i="160" s="1"/>
  <c r="B84" i="160"/>
  <c r="C75" i="160"/>
  <c r="B31" i="155"/>
  <c r="B32" i="155" s="1"/>
  <c r="G63" i="160"/>
  <c r="G62" i="160"/>
  <c r="B95" i="160"/>
  <c r="B74" i="160"/>
  <c r="C74" i="160" s="1"/>
  <c r="C73" i="160"/>
  <c r="AW26" i="155"/>
  <c r="B82" i="160"/>
  <c r="B83" i="160" s="1"/>
  <c r="B88" i="160"/>
  <c r="C76" i="160"/>
  <c r="B85" i="160"/>
  <c r="B30" i="155"/>
  <c r="C84" i="164"/>
  <c r="AR16" i="165"/>
  <c r="AT16" i="165" s="1"/>
  <c r="Y27" i="165"/>
  <c r="Y42" i="165" s="1"/>
  <c r="Y19" i="159" s="1"/>
  <c r="AD27" i="165"/>
  <c r="AD42" i="165" s="1"/>
  <c r="AD19" i="159" s="1"/>
  <c r="AF27" i="165"/>
  <c r="AF42" i="165" s="1"/>
  <c r="AF19" i="159" s="1"/>
  <c r="AA27" i="165"/>
  <c r="AA42" i="165" s="1"/>
  <c r="AA19" i="159" s="1"/>
  <c r="Z27" i="165"/>
  <c r="Z42" i="165" s="1"/>
  <c r="Z19" i="159" s="1"/>
  <c r="AE27" i="165"/>
  <c r="AE42" i="165" s="1"/>
  <c r="AE19" i="159" s="1"/>
  <c r="AB27" i="165"/>
  <c r="AB42" i="165" s="1"/>
  <c r="AB19" i="159" s="1"/>
  <c r="X27" i="165"/>
  <c r="X42" i="165" s="1"/>
  <c r="X19" i="159" s="1"/>
  <c r="AC27" i="165"/>
  <c r="AC42" i="165" s="1"/>
  <c r="AC19" i="159" s="1"/>
  <c r="V27" i="165"/>
  <c r="V42" i="165" s="1"/>
  <c r="V19" i="159" s="1"/>
  <c r="W27" i="165"/>
  <c r="W42" i="165" s="1"/>
  <c r="W19" i="159" s="1"/>
  <c r="AS15" i="165"/>
  <c r="AR14" i="165"/>
  <c r="AT14" i="165" s="1"/>
  <c r="N4" i="158"/>
  <c r="M6" i="158"/>
  <c r="M7" i="158"/>
  <c r="M5" i="158"/>
  <c r="L26" i="158"/>
  <c r="L41" i="158" s="1"/>
  <c r="C30" i="155"/>
  <c r="C36" i="155"/>
  <c r="C46" i="153" l="1"/>
  <c r="C24" i="156"/>
  <c r="L24" i="156"/>
  <c r="N24" i="156"/>
  <c r="AX20" i="155"/>
  <c r="D36" i="158"/>
  <c r="D30" i="158"/>
  <c r="E29" i="158" s="1"/>
  <c r="E30" i="158" s="1"/>
  <c r="F29" i="158" s="1"/>
  <c r="F36" i="158" s="1"/>
  <c r="B74" i="157"/>
  <c r="C74" i="157" s="1"/>
  <c r="C73" i="157"/>
  <c r="B27" i="158"/>
  <c r="D29" i="155"/>
  <c r="D30" i="155" s="1"/>
  <c r="E29" i="155" s="1"/>
  <c r="E36" i="155" s="1"/>
  <c r="B89" i="157"/>
  <c r="B86" i="157"/>
  <c r="B93" i="157" s="1"/>
  <c r="B35" i="158"/>
  <c r="AJ36" i="158" s="1"/>
  <c r="B89" i="160"/>
  <c r="B40" i="155"/>
  <c r="AB41" i="155" s="1"/>
  <c r="B35" i="155"/>
  <c r="AB36" i="155" s="1"/>
  <c r="B86" i="160"/>
  <c r="B93" i="160" s="1"/>
  <c r="AU41" i="155"/>
  <c r="AT41" i="155"/>
  <c r="AS41" i="155"/>
  <c r="M26" i="158"/>
  <c r="M41" i="158" s="1"/>
  <c r="AR15" i="165"/>
  <c r="O4" i="158"/>
  <c r="N5" i="158"/>
  <c r="N6" i="158"/>
  <c r="N7" i="158"/>
  <c r="M24" i="156" l="1"/>
  <c r="O24" i="156" s="1"/>
  <c r="E36" i="158"/>
  <c r="F30" i="158"/>
  <c r="G29" i="158" s="1"/>
  <c r="G30" i="158" s="1"/>
  <c r="H29" i="158" s="1"/>
  <c r="H36" i="158" s="1"/>
  <c r="E30" i="155"/>
  <c r="F29" i="155" s="1"/>
  <c r="F30" i="155" s="1"/>
  <c r="G29" i="155" s="1"/>
  <c r="D36" i="155"/>
  <c r="B28" i="158"/>
  <c r="B40" i="158"/>
  <c r="AJ41" i="158" s="1"/>
  <c r="B41" i="155"/>
  <c r="B42" i="155" s="1"/>
  <c r="B43" i="155" s="1"/>
  <c r="AT15" i="165"/>
  <c r="O6" i="158"/>
  <c r="O7" i="158"/>
  <c r="P4" i="158"/>
  <c r="O5" i="158"/>
  <c r="N26" i="158"/>
  <c r="N41" i="158" s="1"/>
  <c r="AV4" i="158"/>
  <c r="F36" i="155" l="1"/>
  <c r="G36" i="158"/>
  <c r="H30" i="158"/>
  <c r="I29" i="158" s="1"/>
  <c r="I36" i="158" s="1"/>
  <c r="O26" i="158"/>
  <c r="O41" i="158" s="1"/>
  <c r="P5" i="158"/>
  <c r="P6" i="158"/>
  <c r="AV6" i="158" s="1"/>
  <c r="AX6" i="158" s="1"/>
  <c r="P7" i="158"/>
  <c r="AV7" i="158" s="1"/>
  <c r="AX7" i="158" s="1"/>
  <c r="G36" i="155"/>
  <c r="G30" i="155"/>
  <c r="H29" i="155" s="1"/>
  <c r="H36" i="155" s="1"/>
  <c r="I30" i="158" l="1"/>
  <c r="J29" i="158" s="1"/>
  <c r="J30" i="158" s="1"/>
  <c r="K29" i="158" s="1"/>
  <c r="K36" i="158" s="1"/>
  <c r="H30" i="155"/>
  <c r="I29" i="155" s="1"/>
  <c r="I36" i="155" s="1"/>
  <c r="M6" i="156"/>
  <c r="M8" i="156"/>
  <c r="O8" i="156" s="1"/>
  <c r="M7" i="156"/>
  <c r="O7" i="156" s="1"/>
  <c r="M17" i="156"/>
  <c r="O17" i="156" s="1"/>
  <c r="M5" i="156"/>
  <c r="P26" i="158"/>
  <c r="P41" i="158" s="1"/>
  <c r="AV5" i="158"/>
  <c r="K30" i="158" l="1"/>
  <c r="L29" i="158" s="1"/>
  <c r="L36" i="158" s="1"/>
  <c r="J36" i="158"/>
  <c r="I30" i="155"/>
  <c r="J29" i="155" s="1"/>
  <c r="J36" i="155" s="1"/>
  <c r="O6" i="156"/>
  <c r="M16" i="156"/>
  <c r="O16" i="156" s="1"/>
  <c r="B41" i="158"/>
  <c r="B42" i="158" s="1"/>
  <c r="B43" i="158" s="1"/>
  <c r="AX5" i="158"/>
  <c r="AV26" i="158"/>
  <c r="L30" i="158" l="1"/>
  <c r="M29" i="158" s="1"/>
  <c r="M36" i="158" s="1"/>
  <c r="J30" i="155"/>
  <c r="K29" i="155" s="1"/>
  <c r="K36" i="155" s="1"/>
  <c r="M30" i="158" l="1"/>
  <c r="N29" i="158" s="1"/>
  <c r="N36" i="158" s="1"/>
  <c r="K30" i="155"/>
  <c r="L29" i="155" s="1"/>
  <c r="L36" i="155" s="1"/>
  <c r="N30" i="158" l="1"/>
  <c r="O29" i="158" s="1"/>
  <c r="O36" i="158" s="1"/>
  <c r="L30" i="155"/>
  <c r="M29" i="155" s="1"/>
  <c r="M30" i="155" s="1"/>
  <c r="N29" i="155" s="1"/>
  <c r="O30" i="158" l="1"/>
  <c r="P29" i="158" s="1"/>
  <c r="P36" i="158" s="1"/>
  <c r="M36" i="155"/>
  <c r="N36" i="155"/>
  <c r="N30" i="155"/>
  <c r="O29" i="155" s="1"/>
  <c r="P30" i="158" l="1"/>
  <c r="Q29" i="158" s="1"/>
  <c r="Q36" i="158" s="1"/>
  <c r="O36" i="155"/>
  <c r="O30" i="155"/>
  <c r="P29" i="155" s="1"/>
  <c r="P36" i="155" s="1"/>
  <c r="Q30" i="158" l="1"/>
  <c r="R29" i="158" s="1"/>
  <c r="R36" i="158" s="1"/>
  <c r="P30" i="155"/>
  <c r="Q29" i="155" s="1"/>
  <c r="Q36" i="155" s="1"/>
  <c r="R30" i="158" l="1"/>
  <c r="S29" i="158" s="1"/>
  <c r="S36" i="158" s="1"/>
  <c r="Q30" i="155"/>
  <c r="R29" i="155" s="1"/>
  <c r="R36" i="155" s="1"/>
  <c r="S30" i="158" l="1"/>
  <c r="T29" i="158" s="1"/>
  <c r="T36" i="158" s="1"/>
  <c r="R30" i="155"/>
  <c r="S29" i="155" s="1"/>
  <c r="S36" i="155" s="1"/>
  <c r="T30" i="158" l="1"/>
  <c r="U29" i="158" s="1"/>
  <c r="U36" i="158" s="1"/>
  <c r="S30" i="155"/>
  <c r="T29" i="155" s="1"/>
  <c r="T30" i="155" s="1"/>
  <c r="U29" i="155" s="1"/>
  <c r="U30" i="158" l="1"/>
  <c r="V29" i="158" s="1"/>
  <c r="V30" i="158" s="1"/>
  <c r="W29" i="158" s="1"/>
  <c r="T36" i="155"/>
  <c r="U36" i="155"/>
  <c r="U30" i="155"/>
  <c r="V29" i="155" s="1"/>
  <c r="V36" i="155" s="1"/>
  <c r="V36" i="158" l="1"/>
  <c r="V30" i="155"/>
  <c r="W29" i="155" s="1"/>
  <c r="W36" i="158"/>
  <c r="W30" i="158"/>
  <c r="X29" i="158" s="1"/>
  <c r="W30" i="155" l="1"/>
  <c r="X29" i="155" s="1"/>
  <c r="W36" i="155"/>
  <c r="X36" i="158"/>
  <c r="X30" i="158"/>
  <c r="Y29" i="158" s="1"/>
  <c r="X36" i="155" l="1"/>
  <c r="X30" i="155"/>
  <c r="Y29" i="155" s="1"/>
  <c r="Y36" i="155" s="1"/>
  <c r="Y36" i="158"/>
  <c r="Y30" i="158"/>
  <c r="Z29" i="158" s="1"/>
  <c r="Y30" i="155" l="1"/>
  <c r="Z29" i="155" s="1"/>
  <c r="Z36" i="158"/>
  <c r="Z30" i="158"/>
  <c r="AA29" i="158" s="1"/>
  <c r="Z36" i="155" l="1"/>
  <c r="Z30" i="155"/>
  <c r="AA29" i="155" s="1"/>
  <c r="AA36" i="155" s="1"/>
  <c r="AA36" i="158"/>
  <c r="AA30" i="158"/>
  <c r="AB29" i="158" s="1"/>
  <c r="AA30" i="155" l="1"/>
  <c r="AB29" i="155" s="1"/>
  <c r="B29" i="155" s="1"/>
  <c r="B36" i="155"/>
  <c r="B37" i="155" s="1"/>
  <c r="B38" i="155" s="1"/>
  <c r="AB36" i="158"/>
  <c r="AB30" i="158"/>
  <c r="AC29" i="158" s="1"/>
  <c r="AB30" i="155" l="1"/>
  <c r="AC36" i="158"/>
  <c r="AC30" i="158"/>
  <c r="AD29" i="158" s="1"/>
  <c r="AD36" i="158" l="1"/>
  <c r="AD30" i="158"/>
  <c r="AE29" i="158" s="1"/>
  <c r="AE36" i="158" l="1"/>
  <c r="AE30" i="158"/>
  <c r="AF29" i="158" s="1"/>
  <c r="AF36" i="158" l="1"/>
  <c r="AF30" i="158"/>
  <c r="AG29" i="158" s="1"/>
  <c r="AG36" i="158" l="1"/>
  <c r="AG30" i="158"/>
  <c r="AH29" i="158" s="1"/>
  <c r="AH36" i="158" l="1"/>
  <c r="AH30" i="158"/>
  <c r="AI29" i="158" s="1"/>
  <c r="AI36" i="158" l="1"/>
  <c r="B36" i="158" s="1"/>
  <c r="B37" i="158" s="1"/>
  <c r="B38" i="158" s="1"/>
  <c r="AI30" i="158"/>
  <c r="AJ29" i="158" s="1"/>
  <c r="AJ30" i="158" l="1"/>
  <c r="B29" i="158"/>
  <c r="B94" i="157"/>
  <c r="B94" i="160"/>
  <c r="E58" i="150" l="1"/>
  <c r="E71" i="150"/>
  <c r="E63" i="150"/>
  <c r="C37" i="150" l="1"/>
  <c r="C38" i="150" s="1"/>
  <c r="E59" i="150"/>
  <c r="B19" i="154"/>
  <c r="B11" i="154"/>
  <c r="C11" i="154" s="1"/>
  <c r="D60" i="150"/>
  <c r="B6" i="154"/>
  <c r="E49" i="150"/>
  <c r="D49" i="150" l="1"/>
  <c r="D68" i="150"/>
  <c r="E67" i="150"/>
  <c r="E60" i="150"/>
  <c r="H19" i="154"/>
  <c r="P19" i="154"/>
  <c r="E19" i="154"/>
  <c r="I19" i="154"/>
  <c r="M19" i="154"/>
  <c r="J19" i="154"/>
  <c r="C19" i="154"/>
  <c r="K19" i="154"/>
  <c r="D19" i="154"/>
  <c r="L19" i="154"/>
  <c r="F19" i="154"/>
  <c r="N19" i="154"/>
  <c r="G19" i="154"/>
  <c r="O19" i="154"/>
  <c r="F6" i="154"/>
  <c r="N6" i="154"/>
  <c r="G6" i="154"/>
  <c r="O6" i="154"/>
  <c r="H6" i="154"/>
  <c r="P6" i="154"/>
  <c r="I6" i="154"/>
  <c r="C6" i="154"/>
  <c r="J6" i="154"/>
  <c r="K6" i="154"/>
  <c r="D6" i="154"/>
  <c r="L6" i="154"/>
  <c r="E6" i="154"/>
  <c r="M6" i="154"/>
  <c r="B7" i="154"/>
  <c r="AW11" i="154"/>
  <c r="AV11" i="154"/>
  <c r="W11" i="172"/>
  <c r="X11" i="172"/>
  <c r="B8" i="154"/>
  <c r="AW19" i="154"/>
  <c r="AW6" i="154"/>
  <c r="X6" i="172"/>
  <c r="X19" i="172"/>
  <c r="E68" i="150" l="1"/>
  <c r="B15" i="154"/>
  <c r="M15" i="154" s="1"/>
  <c r="B17" i="154"/>
  <c r="D17" i="154" s="1"/>
  <c r="E69" i="150"/>
  <c r="H7" i="154"/>
  <c r="P7" i="154"/>
  <c r="I7" i="154"/>
  <c r="M7" i="154"/>
  <c r="J7" i="154"/>
  <c r="E7" i="154"/>
  <c r="C7" i="154"/>
  <c r="K7" i="154"/>
  <c r="D7" i="154"/>
  <c r="L7" i="154"/>
  <c r="F7" i="154"/>
  <c r="N7" i="154"/>
  <c r="G7" i="154"/>
  <c r="O7" i="154"/>
  <c r="J8" i="154"/>
  <c r="O8" i="154"/>
  <c r="C8" i="154"/>
  <c r="K8" i="154"/>
  <c r="D8" i="154"/>
  <c r="L8" i="154"/>
  <c r="E8" i="154"/>
  <c r="M8" i="154"/>
  <c r="G8" i="154"/>
  <c r="F8" i="154"/>
  <c r="N8" i="154"/>
  <c r="H8" i="154"/>
  <c r="P8" i="154"/>
  <c r="I8" i="154"/>
  <c r="B16" i="154"/>
  <c r="Y11" i="172"/>
  <c r="X7" i="172"/>
  <c r="AW7" i="154"/>
  <c r="AV19" i="154"/>
  <c r="AX19" i="154" s="1"/>
  <c r="W6" i="172"/>
  <c r="Y6" i="172" s="1"/>
  <c r="AW8" i="154"/>
  <c r="X15" i="172"/>
  <c r="X8" i="172"/>
  <c r="AV6" i="154"/>
  <c r="AX6" i="154" s="1"/>
  <c r="X17" i="172"/>
  <c r="W19" i="172"/>
  <c r="Y19" i="172" s="1"/>
  <c r="AX11" i="154"/>
  <c r="L15" i="154" l="1"/>
  <c r="N15" i="154"/>
  <c r="E15" i="154"/>
  <c r="P15" i="154"/>
  <c r="I15" i="154"/>
  <c r="H15" i="154"/>
  <c r="N17" i="154"/>
  <c r="F17" i="154"/>
  <c r="K17" i="154"/>
  <c r="O15" i="154"/>
  <c r="J17" i="154"/>
  <c r="M17" i="154"/>
  <c r="O17" i="154"/>
  <c r="G17" i="154"/>
  <c r="D15" i="154"/>
  <c r="K15" i="154"/>
  <c r="C17" i="154"/>
  <c r="C15" i="154"/>
  <c r="G15" i="154"/>
  <c r="J15" i="154"/>
  <c r="I17" i="154"/>
  <c r="E17" i="154"/>
  <c r="P17" i="154"/>
  <c r="AW17" i="154"/>
  <c r="L17" i="154"/>
  <c r="AW15" i="154"/>
  <c r="F15" i="154"/>
  <c r="H17" i="154"/>
  <c r="J16" i="154"/>
  <c r="O16" i="154"/>
  <c r="C16" i="154"/>
  <c r="K16" i="154"/>
  <c r="G16" i="154"/>
  <c r="D16" i="154"/>
  <c r="L16" i="154"/>
  <c r="E16" i="154"/>
  <c r="M16" i="154"/>
  <c r="F16" i="154"/>
  <c r="N16" i="154"/>
  <c r="H16" i="154"/>
  <c r="P16" i="154"/>
  <c r="I16" i="154"/>
  <c r="AW16" i="154"/>
  <c r="R28" i="154"/>
  <c r="Q28" i="154"/>
  <c r="Q43" i="154" s="1"/>
  <c r="AG20" i="159" s="1"/>
  <c r="X28" i="154"/>
  <c r="S28" i="154"/>
  <c r="S43" i="154" s="1"/>
  <c r="AI20" i="159" s="1"/>
  <c r="X16" i="172"/>
  <c r="W28" i="154"/>
  <c r="W43" i="154" s="1"/>
  <c r="AM20" i="159" s="1"/>
  <c r="W7" i="172"/>
  <c r="Y7" i="172" s="1"/>
  <c r="AV7" i="154"/>
  <c r="AX7" i="154" s="1"/>
  <c r="T28" i="154"/>
  <c r="T43" i="154" s="1"/>
  <c r="AJ20" i="159" s="1"/>
  <c r="W17" i="172"/>
  <c r="Y17" i="172" s="1"/>
  <c r="W8" i="172"/>
  <c r="Y8" i="172" s="1"/>
  <c r="AV8" i="154"/>
  <c r="AX8" i="154" s="1"/>
  <c r="W15" i="172"/>
  <c r="Y15" i="172" s="1"/>
  <c r="AV17" i="154" l="1"/>
  <c r="AX17" i="154" s="1"/>
  <c r="AV15" i="154"/>
  <c r="AX15" i="154" s="1"/>
  <c r="AV16" i="154"/>
  <c r="AX16" i="154" s="1"/>
  <c r="W16" i="172"/>
  <c r="Y16" i="172" s="1"/>
  <c r="V28" i="154"/>
  <c r="V43" i="154" s="1"/>
  <c r="AL20" i="159" s="1"/>
  <c r="U28" i="154" l="1"/>
  <c r="U43" i="154" s="1"/>
  <c r="AK20" i="159" s="1"/>
  <c r="E50" i="150" l="1"/>
  <c r="E51" i="150" l="1"/>
  <c r="D51" i="150" l="1"/>
  <c r="E54" i="150"/>
  <c r="C51" i="150"/>
  <c r="D73" i="150"/>
  <c r="B21" i="154" s="1"/>
  <c r="D53" i="150"/>
  <c r="C53" i="150"/>
  <c r="E55" i="150" l="1"/>
  <c r="J7" i="140" s="1"/>
  <c r="Q9" i="174"/>
  <c r="C54" i="150"/>
  <c r="C21" i="154"/>
  <c r="G21" i="154"/>
  <c r="H21" i="154"/>
  <c r="I21" i="154"/>
  <c r="J21" i="154"/>
  <c r="L21" i="154"/>
  <c r="M21" i="154"/>
  <c r="K21" i="154"/>
  <c r="N21" i="154"/>
  <c r="AW21" i="154"/>
  <c r="O21" i="154"/>
  <c r="P21" i="154"/>
  <c r="F21" i="154"/>
  <c r="D21" i="154"/>
  <c r="E21" i="154"/>
  <c r="E73" i="150"/>
  <c r="C83" i="150" l="1"/>
  <c r="C97" i="150"/>
  <c r="C98" i="150" s="1"/>
  <c r="C99" i="150" s="1"/>
  <c r="R9" i="174"/>
  <c r="V9" i="174"/>
  <c r="AV21" i="154"/>
  <c r="AX21" i="154" s="1"/>
  <c r="C104" i="150" l="1"/>
  <c r="W9" i="174"/>
  <c r="C105" i="150"/>
  <c r="X9" i="174" l="1"/>
  <c r="B20" i="105"/>
  <c r="P20" i="105" s="1"/>
  <c r="E61" i="149"/>
  <c r="T20" i="105" l="1"/>
  <c r="V20" i="105"/>
  <c r="D20" i="105"/>
  <c r="N20" i="105"/>
  <c r="H20" i="105"/>
  <c r="I20" i="105"/>
  <c r="C20" i="105"/>
  <c r="E20" i="105"/>
  <c r="AV20" i="105"/>
  <c r="Q20" i="105"/>
  <c r="G20" i="105"/>
  <c r="S20" i="105"/>
  <c r="L20" i="105"/>
  <c r="J20" i="105"/>
  <c r="O20" i="105"/>
  <c r="R20" i="105"/>
  <c r="M20" i="105"/>
  <c r="U20" i="105"/>
  <c r="F20" i="105"/>
  <c r="K20" i="105"/>
  <c r="AU20" i="105" l="1"/>
  <c r="AW20" i="105" l="1"/>
  <c r="E51" i="171" l="1"/>
  <c r="E52" i="171" l="1"/>
  <c r="D52" i="171" s="1"/>
  <c r="E55" i="171" l="1"/>
  <c r="C52" i="171"/>
  <c r="D54" i="171"/>
  <c r="C54" i="171"/>
  <c r="E56" i="171" l="1"/>
  <c r="J11" i="140" s="1"/>
  <c r="C55" i="171"/>
  <c r="Q13" i="174"/>
  <c r="C84" i="171" l="1"/>
  <c r="C98" i="171"/>
  <c r="C105" i="171" s="1"/>
  <c r="R13" i="174"/>
  <c r="V13" i="174"/>
  <c r="V14" i="174" s="1"/>
  <c r="Q14" i="174"/>
  <c r="C99" i="171" l="1"/>
  <c r="C100" i="171" s="1"/>
  <c r="C106" i="171" s="1"/>
  <c r="Q15" i="174"/>
  <c r="S15" i="174"/>
  <c r="W13" i="174"/>
  <c r="R14" i="174"/>
  <c r="X13" i="174" l="1"/>
  <c r="B22" i="156"/>
  <c r="D22" i="156" s="1"/>
  <c r="I22" i="156"/>
  <c r="J22" i="156"/>
  <c r="K22" i="156"/>
  <c r="L22" i="156"/>
  <c r="N22" i="156"/>
  <c r="E69" i="153"/>
  <c r="H22" i="156" l="1"/>
  <c r="C22" i="156"/>
  <c r="G22" i="156"/>
  <c r="F22" i="156"/>
  <c r="E22" i="156"/>
  <c r="M22" i="156" l="1"/>
  <c r="O22" i="156" l="1"/>
  <c r="I21" i="142"/>
  <c r="D48" i="153"/>
  <c r="E49" i="153"/>
  <c r="D68" i="153"/>
  <c r="E68" i="153" s="1"/>
  <c r="B21" i="156" l="1"/>
  <c r="K21" i="156" l="1"/>
  <c r="I21" i="156"/>
  <c r="J21" i="156"/>
  <c r="E21" i="156"/>
  <c r="L21" i="156"/>
  <c r="C21" i="156"/>
  <c r="D21" i="156"/>
  <c r="F21" i="156"/>
  <c r="G21" i="156"/>
  <c r="H21" i="156"/>
  <c r="N21" i="156"/>
  <c r="M21" i="156" l="1"/>
  <c r="O21" i="156" l="1"/>
  <c r="B22" i="154" l="1"/>
  <c r="E22" i="154" s="1"/>
  <c r="E74" i="150"/>
  <c r="N22" i="154" l="1"/>
  <c r="M22" i="154"/>
  <c r="K22" i="154"/>
  <c r="H22" i="154"/>
  <c r="F22" i="154"/>
  <c r="AW22" i="154"/>
  <c r="P22" i="154"/>
  <c r="O22" i="154"/>
  <c r="G22" i="154"/>
  <c r="D22" i="154"/>
  <c r="L22" i="154"/>
  <c r="C22" i="154"/>
  <c r="J22" i="154"/>
  <c r="I22" i="154"/>
  <c r="AV22" i="154" l="1"/>
  <c r="AX22" i="154" s="1"/>
  <c r="B25" i="170"/>
  <c r="C25" i="170"/>
  <c r="D25" i="170"/>
  <c r="E25" i="170"/>
  <c r="F25" i="170"/>
  <c r="G25" i="170"/>
  <c r="H25" i="170"/>
  <c r="I25" i="170"/>
  <c r="J25" i="170"/>
  <c r="K25" i="170"/>
  <c r="L25" i="170"/>
  <c r="M25" i="170"/>
  <c r="N25" i="170"/>
  <c r="O25" i="170"/>
  <c r="B28" i="170"/>
  <c r="C28" i="170"/>
  <c r="D28" i="170"/>
  <c r="O28" i="170"/>
  <c r="B29" i="170"/>
  <c r="C29" i="170"/>
  <c r="D29" i="170"/>
  <c r="E29" i="170"/>
  <c r="F29" i="170"/>
  <c r="G29" i="170"/>
  <c r="H29" i="170"/>
  <c r="I29" i="170"/>
  <c r="J29" i="170"/>
  <c r="K29" i="170"/>
  <c r="L29" i="170"/>
  <c r="M29" i="170"/>
  <c r="N29" i="170"/>
  <c r="O29" i="170"/>
  <c r="B30" i="170"/>
  <c r="C30" i="170"/>
  <c r="D30" i="170"/>
  <c r="E30" i="170"/>
  <c r="F30" i="170"/>
  <c r="G30" i="170"/>
  <c r="H30" i="170"/>
  <c r="I30" i="170"/>
  <c r="J30" i="170"/>
  <c r="K30" i="170"/>
  <c r="L30" i="170"/>
  <c r="M30" i="170"/>
  <c r="N30" i="170"/>
  <c r="O30" i="170"/>
  <c r="B31" i="170"/>
  <c r="C31" i="170"/>
  <c r="D31" i="170"/>
  <c r="E31" i="170"/>
  <c r="F31" i="170"/>
  <c r="G31" i="170"/>
  <c r="H31" i="170"/>
  <c r="I31" i="170"/>
  <c r="J31" i="170"/>
  <c r="K31" i="170"/>
  <c r="L31" i="170"/>
  <c r="M31" i="170"/>
  <c r="N31" i="170"/>
  <c r="O31" i="170"/>
  <c r="B32" i="170"/>
  <c r="B33" i="170"/>
  <c r="B34" i="170"/>
  <c r="C34" i="170"/>
  <c r="D34" i="170"/>
  <c r="E34" i="170"/>
  <c r="F34" i="170"/>
  <c r="G34" i="170"/>
  <c r="H34" i="170"/>
  <c r="I34" i="170"/>
  <c r="J34" i="170"/>
  <c r="K34" i="170"/>
  <c r="L34" i="170"/>
  <c r="M34" i="170"/>
  <c r="N34" i="170"/>
  <c r="O34" i="170"/>
  <c r="B35" i="170"/>
  <c r="C35" i="170"/>
  <c r="D35" i="170"/>
  <c r="E35" i="170"/>
  <c r="F35" i="170"/>
  <c r="G35" i="170"/>
  <c r="H35" i="170"/>
  <c r="I35" i="170"/>
  <c r="J35" i="170"/>
  <c r="K35" i="170"/>
  <c r="L35" i="170"/>
  <c r="M35" i="170"/>
  <c r="N35" i="170"/>
  <c r="O35" i="170"/>
  <c r="B36" i="170"/>
  <c r="B37" i="170"/>
  <c r="B40" i="170"/>
  <c r="B41" i="170"/>
  <c r="C41" i="170"/>
  <c r="D41" i="170"/>
  <c r="E41" i="170"/>
  <c r="F41" i="170"/>
  <c r="G41" i="170"/>
  <c r="H41" i="170"/>
  <c r="I41" i="170"/>
  <c r="J41" i="170"/>
  <c r="K41" i="170"/>
  <c r="L41" i="170"/>
  <c r="M41" i="170"/>
  <c r="N41" i="170"/>
  <c r="O41" i="170"/>
  <c r="B42" i="170"/>
  <c r="B43" i="170"/>
  <c r="B45" i="170"/>
  <c r="B46" i="170"/>
  <c r="C46" i="170"/>
  <c r="D46" i="170"/>
  <c r="E46" i="170"/>
  <c r="F46" i="170"/>
  <c r="G46" i="170"/>
  <c r="H46" i="170"/>
  <c r="I46" i="170"/>
  <c r="J46" i="170"/>
  <c r="K46" i="170"/>
  <c r="L46" i="170"/>
  <c r="M46" i="170"/>
  <c r="N46" i="170"/>
  <c r="O46" i="170"/>
  <c r="B47" i="170"/>
  <c r="B48" i="170"/>
  <c r="D64" i="169"/>
  <c r="E64" i="169"/>
  <c r="D67" i="169"/>
  <c r="E67" i="169"/>
  <c r="D68" i="169"/>
  <c r="E68" i="169"/>
  <c r="D69" i="169"/>
  <c r="E69" i="169"/>
  <c r="D70" i="169"/>
  <c r="E70" i="169"/>
  <c r="C71" i="169"/>
  <c r="C72" i="169"/>
  <c r="C74" i="169"/>
  <c r="C78" i="169"/>
  <c r="D78" i="169"/>
  <c r="C79" i="169"/>
  <c r="D79" i="169"/>
  <c r="C80" i="169"/>
  <c r="D80" i="169"/>
  <c r="C81" i="169"/>
  <c r="D81" i="169"/>
  <c r="C82" i="169"/>
  <c r="D82" i="169"/>
  <c r="C83" i="169"/>
  <c r="D83" i="169"/>
  <c r="C90" i="169"/>
  <c r="C91" i="169"/>
  <c r="C92" i="169"/>
  <c r="C98" i="169"/>
  <c r="C99" i="169"/>
  <c r="C100" i="169"/>
  <c r="C101" i="169"/>
  <c r="B4" i="159"/>
  <c r="C4" i="159"/>
  <c r="D4" i="159"/>
  <c r="E4" i="159"/>
  <c r="F4" i="159"/>
  <c r="G4" i="159"/>
  <c r="H4" i="159"/>
  <c r="I4" i="159"/>
  <c r="J4" i="159"/>
  <c r="K4" i="159"/>
  <c r="L4" i="159"/>
  <c r="M4" i="159"/>
  <c r="N4" i="159"/>
  <c r="O4" i="159"/>
  <c r="P4" i="159"/>
  <c r="Q4" i="159"/>
  <c r="R4" i="159"/>
  <c r="S4" i="159"/>
  <c r="T4" i="159"/>
  <c r="U4" i="159"/>
  <c r="V4" i="159"/>
  <c r="W4" i="159"/>
  <c r="X4" i="159"/>
  <c r="Y4" i="159"/>
  <c r="Z4" i="159"/>
  <c r="AA4" i="159"/>
  <c r="AB4" i="159"/>
  <c r="AC4" i="159"/>
  <c r="AD4" i="159"/>
  <c r="AE4" i="159"/>
  <c r="AF4" i="159"/>
  <c r="AG4" i="159"/>
  <c r="AH4" i="159"/>
  <c r="AI4" i="159"/>
  <c r="AJ4" i="159"/>
  <c r="AK4" i="159"/>
  <c r="AL4" i="159"/>
  <c r="AM4" i="159"/>
  <c r="AN4" i="159"/>
  <c r="AO4" i="159"/>
  <c r="AP4" i="159"/>
  <c r="AQ4" i="159"/>
  <c r="AR4" i="159"/>
  <c r="AS4" i="159"/>
  <c r="AT4" i="159"/>
  <c r="B5" i="159"/>
  <c r="B6" i="159"/>
  <c r="G7" i="159"/>
  <c r="H7" i="159"/>
  <c r="I7" i="159"/>
  <c r="J7" i="159"/>
  <c r="K7" i="159"/>
  <c r="L7" i="159"/>
  <c r="M7" i="159"/>
  <c r="N7" i="159"/>
  <c r="O7" i="159"/>
  <c r="P7" i="159"/>
  <c r="Q7" i="159"/>
  <c r="R7" i="159"/>
  <c r="S7" i="159"/>
  <c r="T7" i="159"/>
  <c r="U7" i="159"/>
  <c r="V7" i="159"/>
  <c r="W7" i="159"/>
  <c r="X7" i="159"/>
  <c r="Y7" i="159"/>
  <c r="Z7" i="159"/>
  <c r="C8" i="159"/>
  <c r="D8" i="159"/>
  <c r="E8" i="159"/>
  <c r="F8" i="159"/>
  <c r="G8" i="159"/>
  <c r="H8" i="159"/>
  <c r="I8" i="159"/>
  <c r="J8" i="159"/>
  <c r="K8" i="159"/>
  <c r="L8" i="159"/>
  <c r="M8" i="159"/>
  <c r="N8" i="159"/>
  <c r="O8" i="159"/>
  <c r="P8" i="159"/>
  <c r="Q8" i="159"/>
  <c r="R8" i="159"/>
  <c r="S8" i="159"/>
  <c r="T8" i="159"/>
  <c r="U8" i="159"/>
  <c r="S9" i="159"/>
  <c r="T9" i="159"/>
  <c r="U9" i="159"/>
  <c r="V9" i="159"/>
  <c r="W9" i="159"/>
  <c r="X9" i="159"/>
  <c r="Y9" i="159"/>
  <c r="Z9" i="159"/>
  <c r="AA9" i="159"/>
  <c r="AB9" i="159"/>
  <c r="AC9" i="159"/>
  <c r="AD9" i="159"/>
  <c r="AE9" i="159"/>
  <c r="AF9" i="159"/>
  <c r="AG9" i="159"/>
  <c r="AH9" i="159"/>
  <c r="AI9" i="159"/>
  <c r="AJ9" i="159"/>
  <c r="AK9" i="159"/>
  <c r="AL9" i="159"/>
  <c r="AM9" i="159"/>
  <c r="S10" i="159"/>
  <c r="T10" i="159"/>
  <c r="U10" i="159"/>
  <c r="V10" i="159"/>
  <c r="W10" i="159"/>
  <c r="X10" i="159"/>
  <c r="Y10" i="159"/>
  <c r="Z10" i="159"/>
  <c r="AA10" i="159"/>
  <c r="AB10" i="159"/>
  <c r="AC10" i="159"/>
  <c r="AD10" i="159"/>
  <c r="AE10" i="159"/>
  <c r="S11" i="159"/>
  <c r="T11" i="159"/>
  <c r="U11" i="159"/>
  <c r="V11" i="159"/>
  <c r="W11" i="159"/>
  <c r="X11" i="159"/>
  <c r="Y11" i="159"/>
  <c r="Z11" i="159"/>
  <c r="AA11" i="159"/>
  <c r="AB11" i="159"/>
  <c r="AE12" i="159"/>
  <c r="AF12" i="159"/>
  <c r="AG12" i="159"/>
  <c r="AH12" i="159"/>
  <c r="AI12" i="159"/>
  <c r="AJ12" i="159"/>
  <c r="AK12" i="159"/>
  <c r="AL12" i="159"/>
  <c r="AM12" i="159"/>
  <c r="AN12" i="159"/>
  <c r="AO12" i="159"/>
  <c r="AP12" i="159"/>
  <c r="AQ12" i="159"/>
  <c r="AR12" i="159"/>
  <c r="AS12" i="159"/>
  <c r="AT12" i="159"/>
  <c r="W13" i="159"/>
  <c r="X13" i="159"/>
  <c r="Y13" i="159"/>
  <c r="Z13" i="159"/>
  <c r="AA13" i="159"/>
  <c r="AB13" i="159"/>
  <c r="AC13" i="159"/>
  <c r="AD13" i="159"/>
  <c r="AE13" i="159"/>
  <c r="AF13" i="159"/>
  <c r="AG13" i="159"/>
  <c r="AH13" i="159"/>
  <c r="AI13" i="159"/>
  <c r="AJ13" i="159"/>
  <c r="AK13" i="159"/>
  <c r="AL13" i="159"/>
  <c r="AM13" i="159"/>
  <c r="AN13" i="159"/>
  <c r="AO13" i="159"/>
  <c r="AP13" i="159"/>
  <c r="B15" i="159"/>
  <c r="C15" i="159"/>
  <c r="D15" i="159"/>
  <c r="E15" i="159"/>
  <c r="F15" i="159"/>
  <c r="G15" i="159"/>
  <c r="H15" i="159"/>
  <c r="I15" i="159"/>
  <c r="J15" i="159"/>
  <c r="K15" i="159"/>
  <c r="L15" i="159"/>
  <c r="M15" i="159"/>
  <c r="N15" i="159"/>
  <c r="O15" i="159"/>
  <c r="P15" i="159"/>
  <c r="Q15" i="159"/>
  <c r="R15" i="159"/>
  <c r="S15" i="159"/>
  <c r="T15" i="159"/>
  <c r="U15" i="159"/>
  <c r="V15" i="159"/>
  <c r="W15" i="159"/>
  <c r="X15" i="159"/>
  <c r="Y15" i="159"/>
  <c r="Z15" i="159"/>
  <c r="AA15" i="159"/>
  <c r="AB15" i="159"/>
  <c r="AC15" i="159"/>
  <c r="AD15" i="159"/>
  <c r="AE15" i="159"/>
  <c r="AF15" i="159"/>
  <c r="AG15" i="159"/>
  <c r="AH15" i="159"/>
  <c r="AI15" i="159"/>
  <c r="AJ15" i="159"/>
  <c r="AK15" i="159"/>
  <c r="AL15" i="159"/>
  <c r="AM15" i="159"/>
  <c r="AN15" i="159"/>
  <c r="AO15" i="159"/>
  <c r="AP15" i="159"/>
  <c r="AQ15" i="159"/>
  <c r="AR15" i="159"/>
  <c r="AS15" i="159"/>
  <c r="AT15" i="159"/>
  <c r="B16" i="159"/>
  <c r="B17" i="159"/>
  <c r="G18" i="159"/>
  <c r="H18" i="159"/>
  <c r="I18" i="159"/>
  <c r="J18" i="159"/>
  <c r="K18" i="159"/>
  <c r="L18" i="159"/>
  <c r="M18" i="159"/>
  <c r="N18" i="159"/>
  <c r="O18" i="159"/>
  <c r="P18" i="159"/>
  <c r="Q18" i="159"/>
  <c r="R18" i="159"/>
  <c r="S18" i="159"/>
  <c r="T18" i="159"/>
  <c r="U18" i="159"/>
  <c r="V18" i="159"/>
  <c r="W18" i="159"/>
  <c r="X18" i="159"/>
  <c r="Y18" i="159"/>
  <c r="Z18" i="159"/>
  <c r="C19" i="159"/>
  <c r="D19" i="159"/>
  <c r="E19" i="159"/>
  <c r="F19" i="159"/>
  <c r="G19" i="159"/>
  <c r="H19" i="159"/>
  <c r="I19" i="159"/>
  <c r="J19" i="159"/>
  <c r="K19" i="159"/>
  <c r="L19" i="159"/>
  <c r="M19" i="159"/>
  <c r="N19" i="159"/>
  <c r="O19" i="159"/>
  <c r="P19" i="159"/>
  <c r="Q19" i="159"/>
  <c r="R19" i="159"/>
  <c r="S19" i="159"/>
  <c r="T19" i="159"/>
  <c r="U19" i="159"/>
  <c r="AJ19" i="159"/>
  <c r="S20" i="159"/>
  <c r="T20" i="159"/>
  <c r="U20" i="159"/>
  <c r="V20" i="159"/>
  <c r="W20" i="159"/>
  <c r="X20" i="159"/>
  <c r="Y20" i="159"/>
  <c r="Z20" i="159"/>
  <c r="AA20" i="159"/>
  <c r="AB20" i="159"/>
  <c r="AC20" i="159"/>
  <c r="AD20" i="159"/>
  <c r="AE20" i="159"/>
  <c r="AF20" i="159"/>
  <c r="AH20" i="159"/>
  <c r="AO20" i="159"/>
  <c r="AP20" i="159"/>
  <c r="AQ20" i="159"/>
  <c r="AR20" i="159"/>
  <c r="AS20" i="159"/>
  <c r="AT20" i="159"/>
  <c r="AU20" i="159"/>
  <c r="S21" i="159"/>
  <c r="T21" i="159"/>
  <c r="U21" i="159"/>
  <c r="V21" i="159"/>
  <c r="W21" i="159"/>
  <c r="X21" i="159"/>
  <c r="Y21" i="159"/>
  <c r="Z21" i="159"/>
  <c r="AA21" i="159"/>
  <c r="AB21" i="159"/>
  <c r="AC21" i="159"/>
  <c r="AD21" i="159"/>
  <c r="AE21" i="159"/>
  <c r="S22" i="159"/>
  <c r="T22" i="159"/>
  <c r="U22" i="159"/>
  <c r="V22" i="159"/>
  <c r="W22" i="159"/>
  <c r="X22" i="159"/>
  <c r="Y22" i="159"/>
  <c r="Z22" i="159"/>
  <c r="AA22" i="159"/>
  <c r="AB22" i="159"/>
  <c r="AE23" i="159"/>
  <c r="AF23" i="159"/>
  <c r="AG23" i="159"/>
  <c r="AH23" i="159"/>
  <c r="AI23" i="159"/>
  <c r="AJ23" i="159"/>
  <c r="AK23" i="159"/>
  <c r="AL23" i="159"/>
  <c r="AM23" i="159"/>
  <c r="AN23" i="159"/>
  <c r="AO23" i="159"/>
  <c r="AP23" i="159"/>
  <c r="AQ23" i="159"/>
  <c r="AR23" i="159"/>
  <c r="AS23" i="159"/>
  <c r="AT23" i="159"/>
  <c r="W24" i="159"/>
  <c r="X24" i="159"/>
  <c r="Y24" i="159"/>
  <c r="Z24" i="159"/>
  <c r="AA24" i="159"/>
  <c r="AB24" i="159"/>
  <c r="AC24" i="159"/>
  <c r="AD24" i="159"/>
  <c r="AE24" i="159"/>
  <c r="AF24" i="159"/>
  <c r="AG24" i="159"/>
  <c r="AH24" i="159"/>
  <c r="AI24" i="159"/>
  <c r="AJ24" i="159"/>
  <c r="AK24" i="159"/>
  <c r="AL24" i="159"/>
  <c r="AM24" i="159"/>
  <c r="AN24" i="159"/>
  <c r="AO24" i="159"/>
  <c r="AP24" i="159"/>
  <c r="C44" i="142"/>
  <c r="D44" i="142"/>
  <c r="E44" i="142"/>
  <c r="F44" i="142"/>
  <c r="C45" i="142"/>
  <c r="D45" i="142"/>
  <c r="E45" i="142"/>
  <c r="F45" i="142"/>
  <c r="C46" i="142"/>
  <c r="D46" i="142"/>
  <c r="E46" i="142"/>
  <c r="F46" i="142"/>
  <c r="C47" i="142"/>
  <c r="D47" i="142"/>
  <c r="E47" i="142"/>
  <c r="F47" i="142"/>
  <c r="C48" i="142"/>
  <c r="D48" i="142"/>
  <c r="E48" i="142"/>
  <c r="F48" i="142"/>
  <c r="B21" i="172"/>
  <c r="C21" i="172"/>
  <c r="D21" i="172"/>
  <c r="E21" i="172"/>
  <c r="F21" i="172"/>
  <c r="G21" i="172"/>
  <c r="H21" i="172"/>
  <c r="I21" i="172"/>
  <c r="J21" i="172"/>
  <c r="K21" i="172"/>
  <c r="L21" i="172"/>
  <c r="M21" i="172"/>
  <c r="N21" i="172"/>
  <c r="O21" i="172"/>
  <c r="P21" i="172"/>
  <c r="Q21" i="172"/>
  <c r="R21" i="172"/>
  <c r="S21" i="172"/>
  <c r="T21" i="172"/>
  <c r="U21" i="172"/>
  <c r="V21" i="172"/>
  <c r="W21" i="172"/>
  <c r="X21" i="172"/>
  <c r="B24" i="172"/>
  <c r="C24" i="172"/>
  <c r="W24" i="172"/>
  <c r="X24" i="172"/>
  <c r="Y24" i="172"/>
  <c r="B25" i="172"/>
  <c r="C25" i="172"/>
  <c r="W25" i="172"/>
  <c r="X25" i="172"/>
  <c r="Y25" i="172"/>
  <c r="B26" i="172"/>
  <c r="C26" i="172"/>
  <c r="D26" i="172"/>
  <c r="E26" i="172"/>
  <c r="F26" i="172"/>
  <c r="G26" i="172"/>
  <c r="H26" i="172"/>
  <c r="I26" i="172"/>
  <c r="J26" i="172"/>
  <c r="K26" i="172"/>
  <c r="L26" i="172"/>
  <c r="M26" i="172"/>
  <c r="N26" i="172"/>
  <c r="O26" i="172"/>
  <c r="P26" i="172"/>
  <c r="Q26" i="172"/>
  <c r="R26" i="172"/>
  <c r="S26" i="172"/>
  <c r="T26" i="172"/>
  <c r="U26" i="172"/>
  <c r="V26" i="172"/>
  <c r="W26" i="172"/>
  <c r="X26" i="172"/>
  <c r="Y26" i="172"/>
  <c r="B27" i="172"/>
  <c r="C27" i="172"/>
  <c r="D27" i="172"/>
  <c r="E27" i="172"/>
  <c r="F27" i="172"/>
  <c r="G27" i="172"/>
  <c r="H27" i="172"/>
  <c r="I27" i="172"/>
  <c r="J27" i="172"/>
  <c r="K27" i="172"/>
  <c r="L27" i="172"/>
  <c r="M27" i="172"/>
  <c r="N27" i="172"/>
  <c r="O27" i="172"/>
  <c r="P27" i="172"/>
  <c r="Q27" i="172"/>
  <c r="R27" i="172"/>
  <c r="S27" i="172"/>
  <c r="T27" i="172"/>
  <c r="U27" i="172"/>
  <c r="V27" i="172"/>
  <c r="W27" i="172"/>
  <c r="X27" i="172"/>
  <c r="B28" i="172"/>
  <c r="B29" i="172"/>
  <c r="B30" i="172"/>
  <c r="C30" i="172"/>
  <c r="D30" i="172"/>
  <c r="E30" i="172"/>
  <c r="F30" i="172"/>
  <c r="G30" i="172"/>
  <c r="H30" i="172"/>
  <c r="I30" i="172"/>
  <c r="J30" i="172"/>
  <c r="K30" i="172"/>
  <c r="L30" i="172"/>
  <c r="M30" i="172"/>
  <c r="N30" i="172"/>
  <c r="O30" i="172"/>
  <c r="P30" i="172"/>
  <c r="Q30" i="172"/>
  <c r="R30" i="172"/>
  <c r="S30" i="172"/>
  <c r="T30" i="172"/>
  <c r="U30" i="172"/>
  <c r="V30" i="172"/>
  <c r="B31" i="172"/>
  <c r="C31" i="172"/>
  <c r="D31" i="172"/>
  <c r="E31" i="172"/>
  <c r="F31" i="172"/>
  <c r="G31" i="172"/>
  <c r="H31" i="172"/>
  <c r="I31" i="172"/>
  <c r="J31" i="172"/>
  <c r="K31" i="172"/>
  <c r="L31" i="172"/>
  <c r="M31" i="172"/>
  <c r="N31" i="172"/>
  <c r="O31" i="172"/>
  <c r="P31" i="172"/>
  <c r="Q31" i="172"/>
  <c r="R31" i="172"/>
  <c r="S31" i="172"/>
  <c r="T31" i="172"/>
  <c r="U31" i="172"/>
  <c r="V31" i="172"/>
  <c r="B32" i="172"/>
  <c r="B33" i="172"/>
  <c r="B36" i="172"/>
  <c r="B37" i="172"/>
  <c r="C37" i="172"/>
  <c r="D37" i="172"/>
  <c r="E37" i="172"/>
  <c r="F37" i="172"/>
  <c r="G37" i="172"/>
  <c r="H37" i="172"/>
  <c r="I37" i="172"/>
  <c r="J37" i="172"/>
  <c r="K37" i="172"/>
  <c r="L37" i="172"/>
  <c r="M37" i="172"/>
  <c r="N37" i="172"/>
  <c r="O37" i="172"/>
  <c r="P37" i="172"/>
  <c r="Q37" i="172"/>
  <c r="R37" i="172"/>
  <c r="S37" i="172"/>
  <c r="T37" i="172"/>
  <c r="U37" i="172"/>
  <c r="V37" i="172"/>
  <c r="B38" i="172"/>
  <c r="B39" i="172"/>
  <c r="B41" i="172"/>
  <c r="B42" i="172"/>
  <c r="C42" i="172"/>
  <c r="D42" i="172"/>
  <c r="E42" i="172"/>
  <c r="F42" i="172"/>
  <c r="G42" i="172"/>
  <c r="H42" i="172"/>
  <c r="I42" i="172"/>
  <c r="J42" i="172"/>
  <c r="K42" i="172"/>
  <c r="L42" i="172"/>
  <c r="M42" i="172"/>
  <c r="N42" i="172"/>
  <c r="O42" i="172"/>
  <c r="P42" i="172"/>
  <c r="Q42" i="172"/>
  <c r="R42" i="172"/>
  <c r="S42" i="172"/>
  <c r="T42" i="172"/>
  <c r="U42" i="172"/>
  <c r="V42" i="172"/>
  <c r="B43" i="172"/>
  <c r="B44" i="172"/>
  <c r="D75" i="171"/>
  <c r="E75" i="171"/>
  <c r="D78" i="171"/>
  <c r="E78" i="171"/>
  <c r="D79" i="171"/>
  <c r="E79" i="171"/>
  <c r="D80" i="171"/>
  <c r="E80" i="171"/>
  <c r="D81" i="171"/>
  <c r="E81" i="171"/>
  <c r="C82" i="171"/>
  <c r="C83" i="171"/>
  <c r="C85" i="171"/>
  <c r="C89" i="171"/>
  <c r="D89" i="171"/>
  <c r="C90" i="171"/>
  <c r="D90" i="171"/>
  <c r="C92" i="171"/>
  <c r="D92" i="171"/>
  <c r="C93" i="171"/>
  <c r="D93" i="171"/>
  <c r="C94" i="171"/>
  <c r="D94" i="171"/>
  <c r="C101" i="171"/>
  <c r="C102" i="171"/>
  <c r="C103" i="171"/>
  <c r="C109" i="171"/>
  <c r="C110" i="171"/>
  <c r="C111" i="171"/>
  <c r="C112" i="171"/>
  <c r="B25" i="156"/>
  <c r="C25" i="156"/>
  <c r="L25" i="156"/>
  <c r="M25" i="156"/>
  <c r="N25" i="156"/>
  <c r="O25" i="156"/>
  <c r="B26" i="156"/>
  <c r="C26" i="156"/>
  <c r="D26" i="156"/>
  <c r="E26" i="156"/>
  <c r="F26" i="156"/>
  <c r="G26" i="156"/>
  <c r="H26" i="156"/>
  <c r="I26" i="156"/>
  <c r="J26" i="156"/>
  <c r="K26" i="156"/>
  <c r="L26" i="156"/>
  <c r="M26" i="156"/>
  <c r="N26" i="156"/>
  <c r="O26" i="156"/>
  <c r="B27" i="156"/>
  <c r="C27" i="156"/>
  <c r="D27" i="156"/>
  <c r="E27" i="156"/>
  <c r="F27" i="156"/>
  <c r="G27" i="156"/>
  <c r="H27" i="156"/>
  <c r="I27" i="156"/>
  <c r="J27" i="156"/>
  <c r="K27" i="156"/>
  <c r="L27" i="156"/>
  <c r="M27" i="156"/>
  <c r="N27" i="156"/>
  <c r="O27" i="156"/>
  <c r="B28" i="156"/>
  <c r="C28" i="156"/>
  <c r="D28" i="156"/>
  <c r="E28" i="156"/>
  <c r="F28" i="156"/>
  <c r="G28" i="156"/>
  <c r="H28" i="156"/>
  <c r="I28" i="156"/>
  <c r="J28" i="156"/>
  <c r="K28" i="156"/>
  <c r="L28" i="156"/>
  <c r="M28" i="156"/>
  <c r="N28" i="156"/>
  <c r="B29" i="156"/>
  <c r="B30" i="156"/>
  <c r="B31" i="156"/>
  <c r="C31" i="156"/>
  <c r="D31" i="156"/>
  <c r="E31" i="156"/>
  <c r="F31" i="156"/>
  <c r="G31" i="156"/>
  <c r="H31" i="156"/>
  <c r="I31" i="156"/>
  <c r="J31" i="156"/>
  <c r="K31" i="156"/>
  <c r="L31" i="156"/>
  <c r="B32" i="156"/>
  <c r="C32" i="156"/>
  <c r="D32" i="156"/>
  <c r="E32" i="156"/>
  <c r="F32" i="156"/>
  <c r="G32" i="156"/>
  <c r="H32" i="156"/>
  <c r="I32" i="156"/>
  <c r="J32" i="156"/>
  <c r="K32" i="156"/>
  <c r="L32" i="156"/>
  <c r="B33" i="156"/>
  <c r="B34" i="156"/>
  <c r="B37" i="156"/>
  <c r="B38" i="156"/>
  <c r="C38" i="156"/>
  <c r="D38" i="156"/>
  <c r="E38" i="156"/>
  <c r="F38" i="156"/>
  <c r="G38" i="156"/>
  <c r="H38" i="156"/>
  <c r="I38" i="156"/>
  <c r="J38" i="156"/>
  <c r="K38" i="156"/>
  <c r="L38" i="156"/>
  <c r="B39" i="156"/>
  <c r="B40" i="156"/>
  <c r="B42" i="156"/>
  <c r="B43" i="156"/>
  <c r="C43" i="156"/>
  <c r="D43" i="156"/>
  <c r="E43" i="156"/>
  <c r="F43" i="156"/>
  <c r="G43" i="156"/>
  <c r="H43" i="156"/>
  <c r="I43" i="156"/>
  <c r="J43" i="156"/>
  <c r="K43" i="156"/>
  <c r="L43" i="156"/>
  <c r="B44" i="156"/>
  <c r="B45" i="156"/>
  <c r="E9" i="153"/>
  <c r="G9" i="153"/>
  <c r="E10" i="153"/>
  <c r="G10" i="153"/>
  <c r="F11" i="153"/>
  <c r="G11" i="153"/>
  <c r="G12" i="153"/>
  <c r="F13" i="153"/>
  <c r="G13" i="153"/>
  <c r="C34" i="153"/>
  <c r="D34" i="153"/>
  <c r="E34" i="153"/>
  <c r="E35" i="153"/>
  <c r="E36" i="153"/>
  <c r="E50" i="153"/>
  <c r="D72" i="153"/>
  <c r="E72" i="153"/>
  <c r="D73" i="153"/>
  <c r="E73" i="153"/>
  <c r="D74" i="153"/>
  <c r="E74" i="153"/>
  <c r="D75" i="153"/>
  <c r="E75" i="153"/>
  <c r="C77" i="153"/>
  <c r="C78" i="153"/>
  <c r="C79" i="153"/>
  <c r="C83" i="153"/>
  <c r="D83" i="153"/>
  <c r="C84" i="153"/>
  <c r="D84" i="153"/>
  <c r="C85" i="153"/>
  <c r="D85" i="153"/>
  <c r="C86" i="153"/>
  <c r="D86" i="153"/>
  <c r="C87" i="153"/>
  <c r="D87" i="153"/>
  <c r="C91" i="153"/>
  <c r="C92" i="153"/>
  <c r="C93" i="153"/>
  <c r="C94" i="153"/>
  <c r="C95" i="153"/>
  <c r="C96" i="153"/>
  <c r="C98" i="153"/>
  <c r="C99" i="153"/>
  <c r="C102" i="153"/>
  <c r="C103" i="153"/>
  <c r="C104" i="153"/>
  <c r="C105" i="153"/>
  <c r="J5" i="140"/>
  <c r="K5" i="140"/>
  <c r="L5" i="140"/>
  <c r="M5" i="140"/>
  <c r="N5" i="140"/>
  <c r="P5" i="140"/>
  <c r="Q5" i="140"/>
  <c r="R5" i="140"/>
  <c r="S5" i="140"/>
  <c r="K6" i="140"/>
  <c r="L6" i="140"/>
  <c r="M6" i="140"/>
  <c r="N6" i="140"/>
  <c r="P6" i="140"/>
  <c r="Q6" i="140"/>
  <c r="R6" i="140"/>
  <c r="K7" i="140"/>
  <c r="L7" i="140"/>
  <c r="M7" i="140"/>
  <c r="N7" i="140"/>
  <c r="P7" i="140"/>
  <c r="Q7" i="140"/>
  <c r="R7" i="140"/>
  <c r="S7" i="140"/>
  <c r="J8" i="140"/>
  <c r="K8" i="140"/>
  <c r="L8" i="140"/>
  <c r="M8" i="140"/>
  <c r="N8" i="140"/>
  <c r="P8" i="140"/>
  <c r="Q8" i="140"/>
  <c r="R8" i="140"/>
  <c r="K9" i="140"/>
  <c r="L9" i="140"/>
  <c r="M9" i="140"/>
  <c r="N9" i="140"/>
  <c r="O9" i="140"/>
  <c r="P9" i="140"/>
  <c r="Q9" i="140"/>
  <c r="R9" i="140"/>
  <c r="K10" i="140"/>
  <c r="L10" i="140"/>
  <c r="M10" i="140"/>
  <c r="N10" i="140"/>
  <c r="P10" i="140"/>
  <c r="Q10" i="140"/>
  <c r="R10" i="140"/>
  <c r="S10" i="140"/>
  <c r="K11" i="140"/>
  <c r="L11" i="140"/>
  <c r="M11" i="140"/>
  <c r="N11" i="140"/>
  <c r="O11" i="140"/>
  <c r="P11" i="140"/>
  <c r="Q11" i="140"/>
  <c r="R11" i="140"/>
  <c r="J12" i="140"/>
  <c r="K12" i="140"/>
  <c r="L12" i="140"/>
  <c r="M12" i="140"/>
  <c r="N12" i="140"/>
  <c r="O12" i="140"/>
  <c r="P12" i="140"/>
  <c r="Q12" i="140"/>
  <c r="R12" i="140"/>
  <c r="S12" i="140"/>
  <c r="B25" i="154"/>
  <c r="C25" i="154"/>
  <c r="AV25" i="154"/>
  <c r="AW25" i="154"/>
  <c r="AX25" i="154"/>
  <c r="B26" i="154"/>
  <c r="C26" i="154"/>
  <c r="D26" i="154"/>
  <c r="E26" i="154"/>
  <c r="F26" i="154"/>
  <c r="G26" i="154"/>
  <c r="H26" i="154"/>
  <c r="I26" i="154"/>
  <c r="J26" i="154"/>
  <c r="K26" i="154"/>
  <c r="L26" i="154"/>
  <c r="M26" i="154"/>
  <c r="N26" i="154"/>
  <c r="O26" i="154"/>
  <c r="P26" i="154"/>
  <c r="AV26" i="154"/>
  <c r="AW26" i="154"/>
  <c r="AX26" i="154"/>
  <c r="B27" i="154"/>
  <c r="C27" i="154"/>
  <c r="D27" i="154"/>
  <c r="E27" i="154"/>
  <c r="F27" i="154"/>
  <c r="G27" i="154"/>
  <c r="H27" i="154"/>
  <c r="I27" i="154"/>
  <c r="J27" i="154"/>
  <c r="K27" i="154"/>
  <c r="L27" i="154"/>
  <c r="M27" i="154"/>
  <c r="N27" i="154"/>
  <c r="O27" i="154"/>
  <c r="P27" i="154"/>
  <c r="AV27" i="154"/>
  <c r="AW27" i="154"/>
  <c r="AX27" i="154"/>
  <c r="B28" i="154"/>
  <c r="C28" i="154"/>
  <c r="D28" i="154"/>
  <c r="E28" i="154"/>
  <c r="F28" i="154"/>
  <c r="G28" i="154"/>
  <c r="H28" i="154"/>
  <c r="I28" i="154"/>
  <c r="J28" i="154"/>
  <c r="K28" i="154"/>
  <c r="L28" i="154"/>
  <c r="M28" i="154"/>
  <c r="N28" i="154"/>
  <c r="O28" i="154"/>
  <c r="P28" i="154"/>
  <c r="AV28" i="154"/>
  <c r="AW28" i="154"/>
  <c r="B29" i="154"/>
  <c r="B30" i="154"/>
  <c r="B31" i="154"/>
  <c r="C31" i="154"/>
  <c r="D31" i="154"/>
  <c r="E31" i="154"/>
  <c r="F31" i="154"/>
  <c r="G31" i="154"/>
  <c r="H31" i="154"/>
  <c r="I31" i="154"/>
  <c r="J31" i="154"/>
  <c r="K31" i="154"/>
  <c r="L31" i="154"/>
  <c r="M31" i="154"/>
  <c r="N31" i="154"/>
  <c r="O31" i="154"/>
  <c r="P31" i="154"/>
  <c r="Q31" i="154"/>
  <c r="R31" i="154"/>
  <c r="S31" i="154"/>
  <c r="T31" i="154"/>
  <c r="U31" i="154"/>
  <c r="V31" i="154"/>
  <c r="W31" i="154"/>
  <c r="X31" i="154"/>
  <c r="B32" i="154"/>
  <c r="C32" i="154"/>
  <c r="D32" i="154"/>
  <c r="E32" i="154"/>
  <c r="F32" i="154"/>
  <c r="G32" i="154"/>
  <c r="H32" i="154"/>
  <c r="I32" i="154"/>
  <c r="J32" i="154"/>
  <c r="K32" i="154"/>
  <c r="L32" i="154"/>
  <c r="M32" i="154"/>
  <c r="N32" i="154"/>
  <c r="O32" i="154"/>
  <c r="P32" i="154"/>
  <c r="Q32" i="154"/>
  <c r="R32" i="154"/>
  <c r="S32" i="154"/>
  <c r="T32" i="154"/>
  <c r="U32" i="154"/>
  <c r="V32" i="154"/>
  <c r="W32" i="154"/>
  <c r="X32" i="154"/>
  <c r="B33" i="154"/>
  <c r="B34" i="154"/>
  <c r="B37" i="154"/>
  <c r="B38" i="154"/>
  <c r="C38" i="154"/>
  <c r="D38" i="154"/>
  <c r="E38" i="154"/>
  <c r="F38" i="154"/>
  <c r="G38" i="154"/>
  <c r="H38" i="154"/>
  <c r="I38" i="154"/>
  <c r="J38" i="154"/>
  <c r="K38" i="154"/>
  <c r="L38" i="154"/>
  <c r="M38" i="154"/>
  <c r="N38" i="154"/>
  <c r="O38" i="154"/>
  <c r="P38" i="154"/>
  <c r="Q38" i="154"/>
  <c r="R38" i="154"/>
  <c r="S38" i="154"/>
  <c r="T38" i="154"/>
  <c r="U38" i="154"/>
  <c r="V38" i="154"/>
  <c r="W38" i="154"/>
  <c r="X38" i="154"/>
  <c r="B39" i="154"/>
  <c r="B40" i="154"/>
  <c r="B42" i="154"/>
  <c r="B43" i="154"/>
  <c r="C43" i="154"/>
  <c r="D43" i="154"/>
  <c r="E43" i="154"/>
  <c r="F43" i="154"/>
  <c r="G43" i="154"/>
  <c r="H43" i="154"/>
  <c r="I43" i="154"/>
  <c r="J43" i="154"/>
  <c r="K43" i="154"/>
  <c r="L43" i="154"/>
  <c r="M43" i="154"/>
  <c r="N43" i="154"/>
  <c r="O43" i="154"/>
  <c r="P43" i="154"/>
  <c r="R43" i="154"/>
  <c r="X43" i="154"/>
  <c r="Y43" i="154"/>
  <c r="Z43" i="154"/>
  <c r="AA43" i="154"/>
  <c r="AB43" i="154"/>
  <c r="AC43" i="154"/>
  <c r="AD43" i="154"/>
  <c r="AE43" i="154"/>
  <c r="AF43" i="154"/>
  <c r="AG43" i="154"/>
  <c r="AH43" i="154"/>
  <c r="AI43" i="154"/>
  <c r="AJ43" i="154"/>
  <c r="AK43" i="154"/>
  <c r="AL43" i="154"/>
  <c r="AM43" i="154"/>
  <c r="AN43" i="154"/>
  <c r="AO43" i="154"/>
  <c r="AP43" i="154"/>
  <c r="AQ43" i="154"/>
  <c r="AR43" i="154"/>
  <c r="B44" i="154"/>
  <c r="B45" i="154"/>
  <c r="D77" i="150"/>
  <c r="E77" i="150"/>
  <c r="D78" i="150"/>
  <c r="E78" i="150"/>
  <c r="D79" i="150"/>
  <c r="E79" i="150"/>
  <c r="D80" i="150"/>
  <c r="E80" i="150"/>
  <c r="C81" i="150"/>
  <c r="C82" i="150"/>
  <c r="C84" i="150"/>
  <c r="C88" i="150"/>
  <c r="D88" i="150"/>
  <c r="C89" i="150"/>
  <c r="D89" i="150"/>
  <c r="C91" i="150"/>
  <c r="D91" i="150"/>
  <c r="C92" i="150"/>
  <c r="D92" i="150"/>
  <c r="C93" i="150"/>
  <c r="D93" i="150"/>
  <c r="C100" i="150"/>
  <c r="C101" i="150"/>
  <c r="C102" i="150"/>
  <c r="C108" i="150"/>
  <c r="C109" i="150"/>
  <c r="C110" i="150"/>
  <c r="C111" i="150"/>
  <c r="B21" i="105"/>
  <c r="C21" i="105"/>
  <c r="D21" i="105"/>
  <c r="E21" i="105"/>
  <c r="F21" i="105"/>
  <c r="G21" i="105"/>
  <c r="H21" i="105"/>
  <c r="I21" i="105"/>
  <c r="J21" i="105"/>
  <c r="K21" i="105"/>
  <c r="L21" i="105"/>
  <c r="M21" i="105"/>
  <c r="N21" i="105"/>
  <c r="O21" i="105"/>
  <c r="P21" i="105"/>
  <c r="Q21" i="105"/>
  <c r="R21" i="105"/>
  <c r="S21" i="105"/>
  <c r="T21" i="105"/>
  <c r="U21" i="105"/>
  <c r="V21" i="105"/>
  <c r="AU21" i="105"/>
  <c r="AV21" i="105"/>
  <c r="AW21" i="105"/>
  <c r="B24" i="105"/>
  <c r="C24" i="105"/>
  <c r="S24" i="105"/>
  <c r="T24" i="105"/>
  <c r="U24" i="105"/>
  <c r="V24" i="105"/>
  <c r="AU24" i="105"/>
  <c r="AV24" i="105"/>
  <c r="AW24" i="105"/>
  <c r="B25" i="105"/>
  <c r="C25" i="105"/>
  <c r="D25" i="105"/>
  <c r="E25" i="105"/>
  <c r="F25" i="105"/>
  <c r="G25" i="105"/>
  <c r="H25" i="105"/>
  <c r="I25" i="105"/>
  <c r="J25" i="105"/>
  <c r="K25" i="105"/>
  <c r="L25" i="105"/>
  <c r="M25" i="105"/>
  <c r="N25" i="105"/>
  <c r="O25" i="105"/>
  <c r="P25" i="105"/>
  <c r="Q25" i="105"/>
  <c r="R25" i="105"/>
  <c r="S25" i="105"/>
  <c r="T25" i="105"/>
  <c r="U25" i="105"/>
  <c r="V25" i="105"/>
  <c r="AU25" i="105"/>
  <c r="AV25" i="105"/>
  <c r="AW25" i="105"/>
  <c r="B26" i="105"/>
  <c r="C26" i="105"/>
  <c r="D26" i="105"/>
  <c r="E26" i="105"/>
  <c r="F26" i="105"/>
  <c r="G26" i="105"/>
  <c r="H26" i="105"/>
  <c r="I26" i="105"/>
  <c r="J26" i="105"/>
  <c r="K26" i="105"/>
  <c r="L26" i="105"/>
  <c r="M26" i="105"/>
  <c r="N26" i="105"/>
  <c r="O26" i="105"/>
  <c r="P26" i="105"/>
  <c r="Q26" i="105"/>
  <c r="R26" i="105"/>
  <c r="S26" i="105"/>
  <c r="T26" i="105"/>
  <c r="U26" i="105"/>
  <c r="V26" i="105"/>
  <c r="AU26" i="105"/>
  <c r="AV26" i="105"/>
  <c r="AW26" i="105"/>
  <c r="B27" i="105"/>
  <c r="C27" i="105"/>
  <c r="D27" i="105"/>
  <c r="E27" i="105"/>
  <c r="F27" i="105"/>
  <c r="G27" i="105"/>
  <c r="H27" i="105"/>
  <c r="I27" i="105"/>
  <c r="J27" i="105"/>
  <c r="K27" i="105"/>
  <c r="L27" i="105"/>
  <c r="M27" i="105"/>
  <c r="N27" i="105"/>
  <c r="O27" i="105"/>
  <c r="P27" i="105"/>
  <c r="Q27" i="105"/>
  <c r="R27" i="105"/>
  <c r="S27" i="105"/>
  <c r="T27" i="105"/>
  <c r="U27" i="105"/>
  <c r="V27" i="105"/>
  <c r="AU27" i="105"/>
  <c r="AV27" i="105"/>
  <c r="AW27" i="105"/>
  <c r="B28" i="105"/>
  <c r="B29" i="105"/>
  <c r="B30" i="105"/>
  <c r="C30" i="105"/>
  <c r="D30" i="105"/>
  <c r="E30" i="105"/>
  <c r="F30" i="105"/>
  <c r="G30" i="105"/>
  <c r="H30" i="105"/>
  <c r="I30" i="105"/>
  <c r="J30" i="105"/>
  <c r="K30" i="105"/>
  <c r="L30" i="105"/>
  <c r="M30" i="105"/>
  <c r="N30" i="105"/>
  <c r="O30" i="105"/>
  <c r="P30" i="105"/>
  <c r="Q30" i="105"/>
  <c r="R30" i="105"/>
  <c r="S30" i="105"/>
  <c r="T30" i="105"/>
  <c r="U30" i="105"/>
  <c r="V30" i="105"/>
  <c r="B31" i="105"/>
  <c r="C31" i="105"/>
  <c r="D31" i="105"/>
  <c r="E31" i="105"/>
  <c r="F31" i="105"/>
  <c r="G31" i="105"/>
  <c r="H31" i="105"/>
  <c r="I31" i="105"/>
  <c r="J31" i="105"/>
  <c r="K31" i="105"/>
  <c r="L31" i="105"/>
  <c r="M31" i="105"/>
  <c r="N31" i="105"/>
  <c r="O31" i="105"/>
  <c r="P31" i="105"/>
  <c r="Q31" i="105"/>
  <c r="R31" i="105"/>
  <c r="S31" i="105"/>
  <c r="T31" i="105"/>
  <c r="U31" i="105"/>
  <c r="V31" i="105"/>
  <c r="B32" i="105"/>
  <c r="B33" i="105"/>
  <c r="B36" i="105"/>
  <c r="B37" i="105"/>
  <c r="C37" i="105"/>
  <c r="D37" i="105"/>
  <c r="E37" i="105"/>
  <c r="F37" i="105"/>
  <c r="G37" i="105"/>
  <c r="H37" i="105"/>
  <c r="I37" i="105"/>
  <c r="J37" i="105"/>
  <c r="K37" i="105"/>
  <c r="L37" i="105"/>
  <c r="M37" i="105"/>
  <c r="N37" i="105"/>
  <c r="O37" i="105"/>
  <c r="P37" i="105"/>
  <c r="Q37" i="105"/>
  <c r="R37" i="105"/>
  <c r="S37" i="105"/>
  <c r="T37" i="105"/>
  <c r="U37" i="105"/>
  <c r="V37" i="105"/>
  <c r="B38" i="105"/>
  <c r="B39" i="105"/>
  <c r="B41" i="105"/>
  <c r="B42" i="105"/>
  <c r="C42" i="105"/>
  <c r="D42" i="105"/>
  <c r="E42" i="105"/>
  <c r="F42" i="105"/>
  <c r="G42" i="105"/>
  <c r="H42" i="105"/>
  <c r="I42" i="105"/>
  <c r="J42" i="105"/>
  <c r="K42" i="105"/>
  <c r="L42" i="105"/>
  <c r="M42" i="105"/>
  <c r="N42" i="105"/>
  <c r="O42" i="105"/>
  <c r="P42" i="105"/>
  <c r="Q42" i="105"/>
  <c r="R42" i="105"/>
  <c r="S42" i="105"/>
  <c r="T42" i="105"/>
  <c r="U42" i="105"/>
  <c r="V42" i="105"/>
  <c r="B43" i="105"/>
  <c r="B44" i="105"/>
  <c r="E12" i="149"/>
  <c r="F12" i="149"/>
  <c r="G12" i="149"/>
  <c r="E13" i="149"/>
  <c r="F13" i="149"/>
  <c r="G13" i="149"/>
  <c r="E14" i="149"/>
  <c r="F14" i="149"/>
  <c r="G14" i="149"/>
  <c r="E15" i="149"/>
  <c r="F15" i="149"/>
  <c r="G15" i="149"/>
  <c r="G16" i="149"/>
  <c r="G17" i="149"/>
  <c r="F18" i="149"/>
  <c r="G18" i="149"/>
  <c r="C38" i="149"/>
  <c r="D38" i="149"/>
  <c r="E38" i="149"/>
  <c r="E39" i="149"/>
  <c r="E40" i="149"/>
  <c r="D62" i="149"/>
  <c r="E62" i="149"/>
  <c r="D65" i="149"/>
  <c r="E65" i="149"/>
  <c r="D66" i="149"/>
  <c r="E66" i="149"/>
  <c r="D67" i="149"/>
  <c r="E67" i="149"/>
  <c r="D68" i="149"/>
  <c r="E68" i="149"/>
  <c r="C70" i="149"/>
  <c r="C71" i="149"/>
  <c r="C72" i="149"/>
  <c r="C76" i="149"/>
  <c r="D76" i="149"/>
  <c r="C77" i="149"/>
  <c r="D77" i="149"/>
  <c r="C78" i="149"/>
  <c r="D78" i="149"/>
  <c r="C79" i="149"/>
  <c r="D79" i="149"/>
  <c r="C80" i="149"/>
  <c r="D80" i="149"/>
  <c r="C84" i="149"/>
  <c r="C85" i="149"/>
  <c r="C86" i="149"/>
  <c r="C87" i="149"/>
  <c r="C88" i="149"/>
  <c r="C89" i="149"/>
  <c r="C91" i="149"/>
  <c r="C92" i="149"/>
  <c r="C95" i="149"/>
  <c r="C96" i="149"/>
  <c r="C97" i="149"/>
  <c r="P7" i="174"/>
  <c r="W7" i="174"/>
  <c r="X7" i="174"/>
  <c r="Z7" i="174"/>
  <c r="AB7" i="174"/>
  <c r="Z8" i="174"/>
  <c r="AB8" i="174"/>
  <c r="Z9" i="174"/>
  <c r="AB9" i="174"/>
  <c r="P10" i="174"/>
  <c r="W10" i="174"/>
  <c r="X10" i="174"/>
  <c r="Z10" i="174"/>
  <c r="AB10" i="174"/>
  <c r="Z11" i="174"/>
  <c r="AB11" i="174"/>
  <c r="Z12" i="174"/>
  <c r="AB12" i="174"/>
  <c r="Z13" i="174"/>
  <c r="AB13" i="174"/>
  <c r="P14" i="174"/>
  <c r="W14" i="174"/>
  <c r="X14" i="174"/>
  <c r="Z14" i="174"/>
  <c r="AB14" i="174"/>
  <c r="P16" i="174"/>
  <c r="R16" i="174"/>
  <c r="T16" i="174"/>
  <c r="B21" i="162"/>
  <c r="C21" i="162"/>
  <c r="D21" i="162"/>
  <c r="E21" i="162"/>
  <c r="F21" i="162"/>
  <c r="G21" i="162"/>
  <c r="H21" i="162"/>
  <c r="I21" i="162"/>
  <c r="J21" i="162"/>
  <c r="K21" i="162"/>
  <c r="L21" i="162"/>
  <c r="M21" i="162"/>
  <c r="N21" i="162"/>
  <c r="O21" i="162"/>
  <c r="P21" i="162"/>
  <c r="Q21" i="162"/>
  <c r="R21" i="162"/>
  <c r="S21" i="162"/>
  <c r="T21" i="162"/>
  <c r="U21" i="162"/>
  <c r="V21" i="162"/>
  <c r="B24" i="162"/>
  <c r="C24" i="162"/>
  <c r="F24" i="162"/>
  <c r="G24" i="162"/>
  <c r="H24" i="162"/>
  <c r="Q24" i="162"/>
  <c r="R24" i="162"/>
  <c r="S24" i="162"/>
  <c r="T24" i="162"/>
  <c r="U24" i="162"/>
  <c r="V24" i="162"/>
  <c r="B25" i="162"/>
  <c r="C25" i="162"/>
  <c r="D25" i="162"/>
  <c r="E25" i="162"/>
  <c r="F25" i="162"/>
  <c r="G25" i="162"/>
  <c r="H25" i="162"/>
  <c r="I25" i="162"/>
  <c r="J25" i="162"/>
  <c r="K25" i="162"/>
  <c r="L25" i="162"/>
  <c r="M25" i="162"/>
  <c r="N25" i="162"/>
  <c r="O25" i="162"/>
  <c r="P25" i="162"/>
  <c r="Q25" i="162"/>
  <c r="R25" i="162"/>
  <c r="S25" i="162"/>
  <c r="T25" i="162"/>
  <c r="U25" i="162"/>
  <c r="V25" i="162"/>
  <c r="B26" i="162"/>
  <c r="C26" i="162"/>
  <c r="D26" i="162"/>
  <c r="E26" i="162"/>
  <c r="F26" i="162"/>
  <c r="G26" i="162"/>
  <c r="H26" i="162"/>
  <c r="I26" i="162"/>
  <c r="J26" i="162"/>
  <c r="K26" i="162"/>
  <c r="L26" i="162"/>
  <c r="M26" i="162"/>
  <c r="N26" i="162"/>
  <c r="O26" i="162"/>
  <c r="P26" i="162"/>
  <c r="Q26" i="162"/>
  <c r="R26" i="162"/>
  <c r="S26" i="162"/>
  <c r="T26" i="162"/>
  <c r="U26" i="162"/>
  <c r="V26" i="162"/>
  <c r="B27" i="162"/>
  <c r="C27" i="162"/>
  <c r="D27" i="162"/>
  <c r="E27" i="162"/>
  <c r="F27" i="162"/>
  <c r="G27" i="162"/>
  <c r="H27" i="162"/>
  <c r="I27" i="162"/>
  <c r="J27" i="162"/>
  <c r="K27" i="162"/>
  <c r="L27" i="162"/>
  <c r="M27" i="162"/>
  <c r="N27" i="162"/>
  <c r="O27" i="162"/>
  <c r="P27" i="162"/>
  <c r="Q27" i="162"/>
  <c r="R27" i="162"/>
  <c r="S27" i="162"/>
  <c r="T27" i="162"/>
  <c r="U27" i="162"/>
  <c r="B28" i="162"/>
  <c r="B29" i="162"/>
  <c r="B30" i="162"/>
  <c r="C30" i="162"/>
  <c r="D30" i="162"/>
  <c r="E30" i="162"/>
  <c r="F30" i="162"/>
  <c r="G30" i="162"/>
  <c r="H30" i="162"/>
  <c r="I30" i="162"/>
  <c r="J30" i="162"/>
  <c r="K30" i="162"/>
  <c r="L30" i="162"/>
  <c r="M30" i="162"/>
  <c r="N30" i="162"/>
  <c r="O30" i="162"/>
  <c r="P30" i="162"/>
  <c r="Q30" i="162"/>
  <c r="R30" i="162"/>
  <c r="S30" i="162"/>
  <c r="B31" i="162"/>
  <c r="C31" i="162"/>
  <c r="D31" i="162"/>
  <c r="E31" i="162"/>
  <c r="F31" i="162"/>
  <c r="G31" i="162"/>
  <c r="H31" i="162"/>
  <c r="I31" i="162"/>
  <c r="J31" i="162"/>
  <c r="K31" i="162"/>
  <c r="L31" i="162"/>
  <c r="M31" i="162"/>
  <c r="N31" i="162"/>
  <c r="O31" i="162"/>
  <c r="P31" i="162"/>
  <c r="Q31" i="162"/>
  <c r="R31" i="162"/>
  <c r="S31" i="162"/>
  <c r="B32" i="162"/>
  <c r="B33" i="162"/>
  <c r="B36" i="162"/>
  <c r="B37" i="162"/>
  <c r="C37" i="162"/>
  <c r="D37" i="162"/>
  <c r="E37" i="162"/>
  <c r="F37" i="162"/>
  <c r="G37" i="162"/>
  <c r="H37" i="162"/>
  <c r="I37" i="162"/>
  <c r="J37" i="162"/>
  <c r="K37" i="162"/>
  <c r="L37" i="162"/>
  <c r="M37" i="162"/>
  <c r="N37" i="162"/>
  <c r="O37" i="162"/>
  <c r="P37" i="162"/>
  <c r="Q37" i="162"/>
  <c r="R37" i="162"/>
  <c r="B38" i="162"/>
  <c r="B39" i="162"/>
  <c r="B41" i="162"/>
  <c r="B42" i="162"/>
  <c r="C42" i="162"/>
  <c r="D42" i="162"/>
  <c r="E42" i="162"/>
  <c r="F42" i="162"/>
  <c r="G42" i="162"/>
  <c r="H42" i="162"/>
  <c r="I42" i="162"/>
  <c r="J42" i="162"/>
  <c r="K42" i="162"/>
  <c r="L42" i="162"/>
  <c r="M42" i="162"/>
  <c r="N42" i="162"/>
  <c r="O42" i="162"/>
  <c r="P42" i="162"/>
  <c r="Q42" i="162"/>
  <c r="R42" i="162"/>
  <c r="B43" i="162"/>
  <c r="B44" i="162"/>
  <c r="D77" i="152"/>
  <c r="E77" i="152"/>
  <c r="D80" i="152"/>
  <c r="E80" i="152"/>
  <c r="D81" i="152"/>
  <c r="E81" i="152"/>
  <c r="D82" i="152"/>
  <c r="E82" i="152"/>
  <c r="D83" i="152"/>
  <c r="E83" i="152"/>
  <c r="C84" i="152"/>
  <c r="C85" i="152"/>
  <c r="C87" i="152"/>
  <c r="C91" i="152"/>
  <c r="D91" i="152"/>
  <c r="C92" i="152"/>
  <c r="D92" i="152"/>
  <c r="C93" i="152"/>
  <c r="D93" i="152"/>
  <c r="C94" i="152"/>
  <c r="D94" i="152"/>
  <c r="C95" i="152"/>
  <c r="D95" i="152"/>
  <c r="C102" i="152"/>
  <c r="C103" i="152"/>
  <c r="C104" i="152"/>
  <c r="C110" i="152"/>
  <c r="C111" i="152"/>
  <c r="C112" i="152"/>
  <c r="C113" i="152"/>
  <c r="B21" i="165"/>
  <c r="C21" i="165"/>
  <c r="D21" i="165"/>
  <c r="E21" i="165"/>
  <c r="F21" i="165"/>
  <c r="G21" i="165"/>
  <c r="H21" i="165"/>
  <c r="I21" i="165"/>
  <c r="J21" i="165"/>
  <c r="K21" i="165"/>
  <c r="L21" i="165"/>
  <c r="M21" i="165"/>
  <c r="N21" i="165"/>
  <c r="O21" i="165"/>
  <c r="P21" i="165"/>
  <c r="Q21" i="165"/>
  <c r="R21" i="165"/>
  <c r="S21" i="165"/>
  <c r="T21" i="165"/>
  <c r="U21" i="165"/>
  <c r="AR21" i="165"/>
  <c r="AS21" i="165"/>
  <c r="AT21" i="165"/>
  <c r="B24" i="165"/>
  <c r="C24" i="165"/>
  <c r="AR24" i="165"/>
  <c r="AS24" i="165"/>
  <c r="AT24" i="165"/>
  <c r="B25" i="165"/>
  <c r="C25" i="165"/>
  <c r="D25" i="165"/>
  <c r="E25" i="165"/>
  <c r="F25" i="165"/>
  <c r="G25" i="165"/>
  <c r="H25" i="165"/>
  <c r="I25" i="165"/>
  <c r="J25" i="165"/>
  <c r="K25" i="165"/>
  <c r="L25" i="165"/>
  <c r="M25" i="165"/>
  <c r="N25" i="165"/>
  <c r="O25" i="165"/>
  <c r="P25" i="165"/>
  <c r="Q25" i="165"/>
  <c r="R25" i="165"/>
  <c r="S25" i="165"/>
  <c r="T25" i="165"/>
  <c r="U25" i="165"/>
  <c r="AR25" i="165"/>
  <c r="AS25" i="165"/>
  <c r="AT25" i="165"/>
  <c r="B26" i="165"/>
  <c r="C26" i="165"/>
  <c r="D26" i="165"/>
  <c r="E26" i="165"/>
  <c r="F26" i="165"/>
  <c r="G26" i="165"/>
  <c r="H26" i="165"/>
  <c r="I26" i="165"/>
  <c r="J26" i="165"/>
  <c r="K26" i="165"/>
  <c r="L26" i="165"/>
  <c r="M26" i="165"/>
  <c r="N26" i="165"/>
  <c r="O26" i="165"/>
  <c r="P26" i="165"/>
  <c r="Q26" i="165"/>
  <c r="R26" i="165"/>
  <c r="S26" i="165"/>
  <c r="T26" i="165"/>
  <c r="U26" i="165"/>
  <c r="AR26" i="165"/>
  <c r="AS26" i="165"/>
  <c r="AT26" i="165"/>
  <c r="B27" i="165"/>
  <c r="C27" i="165"/>
  <c r="D27" i="165"/>
  <c r="E27" i="165"/>
  <c r="F27" i="165"/>
  <c r="G27" i="165"/>
  <c r="H27" i="165"/>
  <c r="I27" i="165"/>
  <c r="J27" i="165"/>
  <c r="K27" i="165"/>
  <c r="L27" i="165"/>
  <c r="M27" i="165"/>
  <c r="N27" i="165"/>
  <c r="O27" i="165"/>
  <c r="P27" i="165"/>
  <c r="Q27" i="165"/>
  <c r="R27" i="165"/>
  <c r="S27" i="165"/>
  <c r="T27" i="165"/>
  <c r="U27" i="165"/>
  <c r="AR27" i="165"/>
  <c r="AS27" i="165"/>
  <c r="B28" i="165"/>
  <c r="B29" i="165"/>
  <c r="B30" i="165"/>
  <c r="C30" i="165"/>
  <c r="D30" i="165"/>
  <c r="E30" i="165"/>
  <c r="F30" i="165"/>
  <c r="G30" i="165"/>
  <c r="H30" i="165"/>
  <c r="I30" i="165"/>
  <c r="J30" i="165"/>
  <c r="K30" i="165"/>
  <c r="L30" i="165"/>
  <c r="M30" i="165"/>
  <c r="N30" i="165"/>
  <c r="O30" i="165"/>
  <c r="P30" i="165"/>
  <c r="Q30" i="165"/>
  <c r="R30" i="165"/>
  <c r="S30" i="165"/>
  <c r="T30" i="165"/>
  <c r="U30" i="165"/>
  <c r="V30" i="165"/>
  <c r="W30" i="165"/>
  <c r="X30" i="165"/>
  <c r="Y30" i="165"/>
  <c r="Z30" i="165"/>
  <c r="AA30" i="165"/>
  <c r="AB30" i="165"/>
  <c r="AC30" i="165"/>
  <c r="AD30" i="165"/>
  <c r="AE30" i="165"/>
  <c r="AF30" i="165"/>
  <c r="AG30" i="165"/>
  <c r="AH30" i="165"/>
  <c r="AI30" i="165"/>
  <c r="AJ30" i="165"/>
  <c r="B31" i="165"/>
  <c r="C31" i="165"/>
  <c r="D31" i="165"/>
  <c r="E31" i="165"/>
  <c r="F31" i="165"/>
  <c r="G31" i="165"/>
  <c r="H31" i="165"/>
  <c r="I31" i="165"/>
  <c r="J31" i="165"/>
  <c r="K31" i="165"/>
  <c r="L31" i="165"/>
  <c r="M31" i="165"/>
  <c r="N31" i="165"/>
  <c r="O31" i="165"/>
  <c r="P31" i="165"/>
  <c r="Q31" i="165"/>
  <c r="R31" i="165"/>
  <c r="S31" i="165"/>
  <c r="T31" i="165"/>
  <c r="U31" i="165"/>
  <c r="V31" i="165"/>
  <c r="W31" i="165"/>
  <c r="X31" i="165"/>
  <c r="Y31" i="165"/>
  <c r="Z31" i="165"/>
  <c r="AA31" i="165"/>
  <c r="AB31" i="165"/>
  <c r="AC31" i="165"/>
  <c r="AD31" i="165"/>
  <c r="AE31" i="165"/>
  <c r="AF31" i="165"/>
  <c r="AG31" i="165"/>
  <c r="AH31" i="165"/>
  <c r="AI31" i="165"/>
  <c r="AJ31" i="165"/>
  <c r="B32" i="165"/>
  <c r="B33" i="165"/>
  <c r="B36" i="165"/>
  <c r="B37" i="165"/>
  <c r="C37" i="165"/>
  <c r="D37" i="165"/>
  <c r="E37" i="165"/>
  <c r="F37" i="165"/>
  <c r="G37" i="165"/>
  <c r="H37" i="165"/>
  <c r="I37" i="165"/>
  <c r="J37" i="165"/>
  <c r="K37" i="165"/>
  <c r="L37" i="165"/>
  <c r="M37" i="165"/>
  <c r="N37" i="165"/>
  <c r="O37" i="165"/>
  <c r="P37" i="165"/>
  <c r="Q37" i="165"/>
  <c r="R37" i="165"/>
  <c r="S37" i="165"/>
  <c r="T37" i="165"/>
  <c r="U37" i="165"/>
  <c r="V37" i="165"/>
  <c r="W37" i="165"/>
  <c r="X37" i="165"/>
  <c r="Y37" i="165"/>
  <c r="Z37" i="165"/>
  <c r="AA37" i="165"/>
  <c r="AB37" i="165"/>
  <c r="AC37" i="165"/>
  <c r="AD37" i="165"/>
  <c r="AE37" i="165"/>
  <c r="AF37" i="165"/>
  <c r="AG37" i="165"/>
  <c r="AH37" i="165"/>
  <c r="AI37" i="165"/>
  <c r="AJ37" i="165"/>
  <c r="B38" i="165"/>
  <c r="B39" i="165"/>
  <c r="B41" i="165"/>
  <c r="B42" i="165"/>
  <c r="C42" i="165"/>
  <c r="D42" i="165"/>
  <c r="E42" i="165"/>
  <c r="F42" i="165"/>
  <c r="G42" i="165"/>
  <c r="H42" i="165"/>
  <c r="I42" i="165"/>
  <c r="J42" i="165"/>
  <c r="K42" i="165"/>
  <c r="L42" i="165"/>
  <c r="M42" i="165"/>
  <c r="N42" i="165"/>
  <c r="O42" i="165"/>
  <c r="P42" i="165"/>
  <c r="Q42" i="165"/>
  <c r="R42" i="165"/>
  <c r="S42" i="165"/>
  <c r="T42" i="165"/>
  <c r="U42" i="165"/>
  <c r="AJ42" i="165"/>
  <c r="B43" i="165"/>
  <c r="B44" i="165"/>
  <c r="D54" i="164"/>
  <c r="E54" i="164"/>
  <c r="D57" i="164"/>
  <c r="E57" i="164"/>
  <c r="D58" i="164"/>
  <c r="E58" i="164"/>
  <c r="D59" i="164"/>
  <c r="E59" i="164"/>
  <c r="D60" i="164"/>
  <c r="E60" i="164"/>
  <c r="C61" i="164"/>
  <c r="C62" i="164"/>
  <c r="C64" i="164"/>
  <c r="C68" i="164"/>
  <c r="D68" i="164"/>
  <c r="C69" i="164"/>
  <c r="D69" i="164"/>
  <c r="C70" i="164"/>
  <c r="D70" i="164"/>
  <c r="C71" i="164"/>
  <c r="D71" i="164"/>
  <c r="C72" i="164"/>
  <c r="D72" i="164"/>
  <c r="C79" i="164"/>
  <c r="C80" i="164"/>
  <c r="C81" i="164"/>
  <c r="C87" i="164"/>
  <c r="C88" i="164"/>
  <c r="C89" i="164"/>
  <c r="C90" i="1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82" authorId="0" shapeId="0" xr:uid="{26AB10D0-7DE6-4E73-8DF3-CD533F01E13F}">
      <text>
        <r>
          <rPr>
            <b/>
            <sz val="10"/>
            <color indexed="81"/>
            <rFont val="Calibri"/>
            <family val="2"/>
          </rPr>
          <t>Microsoft Office User:</t>
        </r>
        <r>
          <rPr>
            <sz val="14"/>
            <color indexed="81"/>
            <rFont val="Calibri"/>
            <family val="2"/>
          </rPr>
          <t xml:space="preserve">
Need to confirm transfer taxes and brokerage commissions combined are 3% or less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82" authorId="0" shapeId="0" xr:uid="{5F05B48A-4D15-4075-952A-A8CEF1EC1987}">
      <text>
        <r>
          <rPr>
            <b/>
            <sz val="10"/>
            <color indexed="81"/>
            <rFont val="Calibri"/>
            <family val="2"/>
          </rPr>
          <t>Microsoft Office User:</t>
        </r>
        <r>
          <rPr>
            <sz val="14"/>
            <color indexed="81"/>
            <rFont val="Calibri"/>
            <family val="2"/>
          </rPr>
          <t xml:space="preserve">
Need to confirm transfer taxes and brokerage commissions combined are 3% or less</t>
        </r>
      </text>
    </comment>
  </commentList>
</comments>
</file>

<file path=xl/sharedStrings.xml><?xml version="1.0" encoding="utf-8"?>
<sst xmlns="http://schemas.openxmlformats.org/spreadsheetml/2006/main" count="1755" uniqueCount="615">
  <si>
    <t>Office</t>
  </si>
  <si>
    <t>Retail</t>
  </si>
  <si>
    <t>Average</t>
  </si>
  <si>
    <t>High</t>
  </si>
  <si>
    <t>Low</t>
  </si>
  <si>
    <t>Demolition</t>
  </si>
  <si>
    <t>Studio</t>
  </si>
  <si>
    <t>2BR</t>
  </si>
  <si>
    <t>3BR</t>
  </si>
  <si>
    <t>Rent per SF(NNN)</t>
  </si>
  <si>
    <t>Parking Mix</t>
  </si>
  <si>
    <t>Type</t>
  </si>
  <si>
    <t>Basis</t>
  </si>
  <si>
    <t>Type V Hard Costs for Construction</t>
  </si>
  <si>
    <t>Type III Hard Costs for Construction</t>
  </si>
  <si>
    <t>1 space per 1,000 sf</t>
  </si>
  <si>
    <t>Type I Hard Costs for Construcion</t>
  </si>
  <si>
    <t>Parking Costs</t>
  </si>
  <si>
    <t>See Parking Mix table</t>
  </si>
  <si>
    <t>Hard Cost Contingency</t>
  </si>
  <si>
    <t>Municipal Fees and Allowances</t>
  </si>
  <si>
    <t>Share of Infrastructure</t>
  </si>
  <si>
    <t>Estimated allocation from FPC</t>
  </si>
  <si>
    <t>Legal</t>
  </si>
  <si>
    <t>Estimate</t>
  </si>
  <si>
    <t>Land Closing Costs/commissions</t>
  </si>
  <si>
    <t xml:space="preserve">Design </t>
  </si>
  <si>
    <t>Developer Fee</t>
  </si>
  <si>
    <t>Construction Management Fee</t>
  </si>
  <si>
    <t>Taxes during construction</t>
  </si>
  <si>
    <t>Insurance</t>
  </si>
  <si>
    <t>Marketing, FFE and Preleasing</t>
  </si>
  <si>
    <t>Operating Deficit</t>
  </si>
  <si>
    <t>Commercial Tenant Improvements</t>
  </si>
  <si>
    <t>Retail and office brokerage</t>
  </si>
  <si>
    <t>Construction Loan Origination</t>
  </si>
  <si>
    <t>Construction Interest</t>
  </si>
  <si>
    <t>Household size</t>
  </si>
  <si>
    <t xml:space="preserve">  less Utility Allowance</t>
  </si>
  <si>
    <t>Remainder for Rent</t>
  </si>
  <si>
    <t>Remainder for Mortgage</t>
  </si>
  <si>
    <t>TOTAL AFFORDABLE PRICE</t>
  </si>
  <si>
    <t>Development Program</t>
  </si>
  <si>
    <t>Development Component</t>
  </si>
  <si>
    <t>Location of Development Component</t>
  </si>
  <si>
    <t>Area in SF</t>
  </si>
  <si>
    <t>Land Use</t>
  </si>
  <si>
    <t>Residential Units</t>
  </si>
  <si>
    <t>Commercial SF</t>
  </si>
  <si>
    <t>Building Height</t>
  </si>
  <si>
    <t>Value</t>
  </si>
  <si>
    <t>Total Project Costs</t>
  </si>
  <si>
    <t>Equity</t>
  </si>
  <si>
    <t>Debt</t>
  </si>
  <si>
    <t>Leveraged IRR</t>
  </si>
  <si>
    <t>None</t>
  </si>
  <si>
    <t>TOTALS</t>
  </si>
  <si>
    <t>Infrastructure Allocation</t>
  </si>
  <si>
    <t>Item</t>
  </si>
  <si>
    <t>Total Cost</t>
  </si>
  <si>
    <t>Neighborhood Park</t>
  </si>
  <si>
    <t>Flood Control</t>
  </si>
  <si>
    <t>TOTAL</t>
  </si>
  <si>
    <t>Schedule</t>
  </si>
  <si>
    <t>Pre-Development</t>
  </si>
  <si>
    <t>Construction</t>
  </si>
  <si>
    <t>Close-out</t>
  </si>
  <si>
    <t>Development types</t>
  </si>
  <si>
    <t>Configuration</t>
  </si>
  <si>
    <t>Building type</t>
  </si>
  <si>
    <t>Commercial included?</t>
  </si>
  <si>
    <t>Label</t>
  </si>
  <si>
    <t>Return on Cost requirement</t>
  </si>
  <si>
    <t>Typical Construction period</t>
  </si>
  <si>
    <r>
      <rPr>
        <b/>
        <sz val="11"/>
        <color theme="1"/>
        <rFont val="Arial"/>
        <family val="2"/>
      </rPr>
      <t>Rental</t>
    </r>
    <r>
      <rPr>
        <sz val="11"/>
        <color theme="1"/>
        <rFont val="Arial"/>
        <family val="2"/>
      </rPr>
      <t>: Residential Market Rate/Mixed use</t>
    </r>
  </si>
  <si>
    <t>Type III  6 stories</t>
  </si>
  <si>
    <t>Includes Retail and/or office components</t>
  </si>
  <si>
    <t>RES-Market-MU-Rental</t>
  </si>
  <si>
    <t>3 years</t>
  </si>
  <si>
    <r>
      <rPr>
        <b/>
        <sz val="11"/>
        <color theme="1"/>
        <rFont val="Arial"/>
        <family val="2"/>
      </rPr>
      <t>Rental</t>
    </r>
    <r>
      <rPr>
        <sz val="11"/>
        <color theme="1"/>
        <rFont val="Arial"/>
        <family val="2"/>
      </rPr>
      <t>: Retail/office stand alone</t>
    </r>
  </si>
  <si>
    <t>Type V--1 to 2 stories</t>
  </si>
  <si>
    <t>May include Retail and/or office components</t>
  </si>
  <si>
    <t>Suburban retail/office</t>
  </si>
  <si>
    <t>2 years</t>
  </si>
  <si>
    <r>
      <rPr>
        <b/>
        <sz val="11"/>
        <color theme="1"/>
        <rFont val="Arial"/>
        <family val="2"/>
      </rPr>
      <t>Rental</t>
    </r>
    <r>
      <rPr>
        <sz val="11"/>
        <color theme="1"/>
        <rFont val="Arial"/>
        <family val="2"/>
      </rPr>
      <t>: Office stand alone</t>
    </r>
  </si>
  <si>
    <t>Type 5-up to 4 stories  Type III up to 6 stories   Type I--up to 30 stories</t>
  </si>
  <si>
    <t>May include Retail</t>
  </si>
  <si>
    <r>
      <rPr>
        <b/>
        <sz val="11"/>
        <color theme="1"/>
        <rFont val="Arial"/>
        <family val="2"/>
      </rPr>
      <t>Rental</t>
    </r>
    <r>
      <rPr>
        <sz val="11"/>
        <color theme="1"/>
        <rFont val="Arial"/>
        <family val="2"/>
      </rPr>
      <t>: Residential Market Rate</t>
    </r>
  </si>
  <si>
    <t>RES-Market-Rental</t>
  </si>
  <si>
    <t>20% to 30% depending on building type</t>
  </si>
  <si>
    <t>2 years to 3 years</t>
  </si>
  <si>
    <r>
      <rPr>
        <b/>
        <sz val="11"/>
        <color theme="1"/>
        <rFont val="Arial"/>
        <family val="2"/>
      </rPr>
      <t>For Sale</t>
    </r>
    <r>
      <rPr>
        <sz val="11"/>
        <color theme="1"/>
        <rFont val="Arial"/>
        <family val="2"/>
      </rPr>
      <t>: Residential Market Rate</t>
    </r>
  </si>
  <si>
    <t>Type V--low density  Type I-high density</t>
  </si>
  <si>
    <t>RES-Market-Sale</t>
  </si>
  <si>
    <t>20% for low density     30% for high density</t>
  </si>
  <si>
    <t>2 years for low density                      3 years for high density</t>
  </si>
  <si>
    <r>
      <rPr>
        <b/>
        <sz val="11"/>
        <color theme="1"/>
        <rFont val="Arial"/>
        <family val="2"/>
      </rPr>
      <t>Rental</t>
    </r>
    <r>
      <rPr>
        <sz val="11"/>
        <color theme="1"/>
        <rFont val="Arial"/>
        <family val="2"/>
      </rPr>
      <t>: Residential Affordable Mixed use</t>
    </r>
  </si>
  <si>
    <t>Type III--6 stories</t>
  </si>
  <si>
    <t>RES-AFF-MU</t>
  </si>
  <si>
    <r>
      <rPr>
        <b/>
        <sz val="11"/>
        <color theme="1"/>
        <rFont val="Arial"/>
        <family val="2"/>
      </rPr>
      <t>For Sale</t>
    </r>
    <r>
      <rPr>
        <sz val="11"/>
        <color theme="1"/>
        <rFont val="Arial"/>
        <family val="2"/>
      </rPr>
      <t>: Residential Affordable</t>
    </r>
  </si>
  <si>
    <t>RES-AFF</t>
  </si>
  <si>
    <r>
      <t>Hotel: Lodging</t>
    </r>
    <r>
      <rPr>
        <sz val="11"/>
        <color theme="1"/>
        <rFont val="Arial"/>
        <family val="2"/>
      </rPr>
      <t xml:space="preserve"> and amenity income</t>
    </r>
  </si>
  <si>
    <t>Type I-high density</t>
  </si>
  <si>
    <r>
      <t xml:space="preserve">Industrial Park:  </t>
    </r>
    <r>
      <rPr>
        <sz val="11"/>
        <color theme="1"/>
        <rFont val="Arial"/>
        <family val="2"/>
      </rPr>
      <t>Warehouse and manufacturing</t>
    </r>
  </si>
  <si>
    <t>Type V or III</t>
  </si>
  <si>
    <t>May include office components</t>
  </si>
  <si>
    <t>Industrial</t>
  </si>
  <si>
    <t>20% or 30% depending on building height</t>
  </si>
  <si>
    <t>DEVELOPMENT PLAN</t>
  </si>
  <si>
    <t>Quick Rent Adjuster</t>
  </si>
  <si>
    <t>For Rent Residential</t>
  </si>
  <si>
    <t># of Units</t>
  </si>
  <si>
    <t>$/SF/Mo.</t>
  </si>
  <si>
    <t>Total Annual</t>
  </si>
  <si>
    <t>2 bedroom/2 bath</t>
  </si>
  <si>
    <t>Totals:</t>
  </si>
  <si>
    <t>Averages:</t>
  </si>
  <si>
    <t>COMMERCIAL SPACE</t>
  </si>
  <si>
    <t>Square Feet</t>
  </si>
  <si>
    <t>NNN Rent</t>
  </si>
  <si>
    <t>Total Commercial</t>
  </si>
  <si>
    <t>PARKING</t>
  </si>
  <si>
    <t>Residential</t>
  </si>
  <si>
    <t>Commercial</t>
  </si>
  <si>
    <t>Total Parking</t>
  </si>
  <si>
    <t>Fit to Parcel (Layout Calculator)</t>
  </si>
  <si>
    <t>Total Land area</t>
  </si>
  <si>
    <t>Total Leasable SF (residential +commercial)</t>
  </si>
  <si>
    <t>NET OPERATING INCOME</t>
  </si>
  <si>
    <t>INCOME</t>
  </si>
  <si>
    <t>Per Unit</t>
  </si>
  <si>
    <t>$/SF Res</t>
  </si>
  <si>
    <t>Un-Trended</t>
  </si>
  <si>
    <t>Gross Residential Rental Income</t>
  </si>
  <si>
    <t>Commercial RENT</t>
  </si>
  <si>
    <t>Gross Income</t>
  </si>
  <si>
    <t>Other Income</t>
  </si>
  <si>
    <t>$/SF</t>
  </si>
  <si>
    <t>Additional Income</t>
  </si>
  <si>
    <t>Total Other Income</t>
  </si>
  <si>
    <t>Effective Gross Income</t>
  </si>
  <si>
    <t>EXPENSES</t>
  </si>
  <si>
    <t>Per SF</t>
  </si>
  <si>
    <t>Total Operating Expenses</t>
  </si>
  <si>
    <t>Net Operating Income</t>
  </si>
  <si>
    <t>TOTAL PROJECT VALUE</t>
  </si>
  <si>
    <t>Market Cap Rate=</t>
  </si>
  <si>
    <t>PROJECT COSTS</t>
  </si>
  <si>
    <t>BASIS</t>
  </si>
  <si>
    <t xml:space="preserve">   Budget     </t>
  </si>
  <si>
    <t>Hard Costs for Construction</t>
  </si>
  <si>
    <t>Parking stalls</t>
  </si>
  <si>
    <t>LAND</t>
  </si>
  <si>
    <t>Land cost</t>
  </si>
  <si>
    <t>Infrastructure allocation</t>
  </si>
  <si>
    <t>Parcel allocation</t>
  </si>
  <si>
    <t>Taxes</t>
  </si>
  <si>
    <t>Retail Tenant Improvements</t>
  </si>
  <si>
    <t>Retail brokerage</t>
  </si>
  <si>
    <t>Additional Contingency</t>
  </si>
  <si>
    <t>Total Project Cost</t>
  </si>
  <si>
    <t>Yield on cost</t>
  </si>
  <si>
    <t>Return on cost</t>
  </si>
  <si>
    <t>Negative indicates shortfall</t>
  </si>
  <si>
    <t>FINANCING</t>
  </si>
  <si>
    <t>Total</t>
  </si>
  <si>
    <t>Gap Funding reduction</t>
  </si>
  <si>
    <t>Private financing Amount</t>
  </si>
  <si>
    <t>Total Sources</t>
  </si>
  <si>
    <t>SALES ANALYSIS</t>
  </si>
  <si>
    <t>Untrended</t>
  </si>
  <si>
    <t>Gross Sales Proceeds</t>
  </si>
  <si>
    <t>Net Sales Proceeds</t>
  </si>
  <si>
    <t>LESS: Construction Debt</t>
  </si>
  <si>
    <t>LESS: Investor Equity</t>
  </si>
  <si>
    <t>Net Profit</t>
  </si>
  <si>
    <t>Sales Price per Unit</t>
  </si>
  <si>
    <t>Gross Price</t>
  </si>
  <si>
    <t>Net Price</t>
  </si>
  <si>
    <t>YIELD INDICATORS</t>
  </si>
  <si>
    <t>Equity multiple</t>
  </si>
  <si>
    <t>Leveraged Project IRR</t>
  </si>
  <si>
    <t>Debt Yield</t>
  </si>
  <si>
    <t>Exit Cap Rate</t>
  </si>
  <si>
    <t>Schedule----&gt;</t>
  </si>
  <si>
    <t>Duration----&gt;</t>
  </si>
  <si>
    <t>Predevelopment ends</t>
  </si>
  <si>
    <t>Construction begins</t>
  </si>
  <si>
    <t>Construction ends</t>
  </si>
  <si>
    <t>Close-out begins</t>
  </si>
  <si>
    <t>Close-out ends</t>
  </si>
  <si>
    <t>&lt;---- columns to unhide for longer development period</t>
  </si>
  <si>
    <t>TOTAL EXPENDED</t>
  </si>
  <si>
    <t>TOTAL COST</t>
  </si>
  <si>
    <t>Hard Cost Draw Percentage</t>
  </si>
  <si>
    <t>difference</t>
  </si>
  <si>
    <t>Gap Funding</t>
  </si>
  <si>
    <t>Net Total Private Financing</t>
  </si>
  <si>
    <t>Equity DRAW</t>
  </si>
  <si>
    <t>TOTAL Equity</t>
  </si>
  <si>
    <t>Permanent loan debt</t>
  </si>
  <si>
    <t>Total annual debt service</t>
  </si>
  <si>
    <t>Operating cash flow during closeout</t>
  </si>
  <si>
    <t>Leveraged</t>
  </si>
  <si>
    <t>Net Proceeds from Sale after debt repayment</t>
  </si>
  <si>
    <t>Leveraged Quarterly cash flow</t>
  </si>
  <si>
    <t>Leveraged QUARTERLY IRR</t>
  </si>
  <si>
    <t>Leveraged Annual IRR</t>
  </si>
  <si>
    <t>Unleveraged</t>
  </si>
  <si>
    <t>Total Net proceeds from Sale+GAP FUNDING</t>
  </si>
  <si>
    <t>UNLeveraged QUARTERLY TOTAL Cash flow</t>
  </si>
  <si>
    <t>UNLeveraged QUARTERLY IRR</t>
  </si>
  <si>
    <t>UNLeveraged Annual IRR</t>
  </si>
  <si>
    <t>Estimate of residual value</t>
  </si>
  <si>
    <t>Apply percentage to estimated Debt to avoid circular reference</t>
  </si>
  <si>
    <t>Demolition begins</t>
  </si>
  <si>
    <t>Demolition ends</t>
  </si>
  <si>
    <t>Construction Ends</t>
  </si>
  <si>
    <t>Closeout begins</t>
  </si>
  <si>
    <t>Closeout ends</t>
  </si>
  <si>
    <t>Leveraged QUARTERLY cash flow</t>
  </si>
  <si>
    <t>Unit Size</t>
  </si>
  <si>
    <t>Price/SF</t>
  </si>
  <si>
    <t>Total Sales Value</t>
  </si>
  <si>
    <t>Total Sales SF (residential +commercial)</t>
  </si>
  <si>
    <t>Sales Income</t>
  </si>
  <si>
    <t>Total Sales</t>
  </si>
  <si>
    <t>Net interest during closeout</t>
  </si>
  <si>
    <t>NA</t>
  </si>
  <si>
    <t>Leveraged Quarterly IRR</t>
  </si>
  <si>
    <t>NRSF</t>
  </si>
  <si>
    <t>PROJECT COST</t>
  </si>
  <si>
    <t>Begin Construction</t>
  </si>
  <si>
    <t>End Construction</t>
  </si>
  <si>
    <t>Begin Closeout</t>
  </si>
  <si>
    <t>End Closeout</t>
  </si>
  <si>
    <t>Permanent loan debt (based on private capital net of gap funding)</t>
  </si>
  <si>
    <t>Total annual debt service @4.5%</t>
  </si>
  <si>
    <t>$/stall</t>
  </si>
  <si>
    <t>Parking Income-commercial</t>
  </si>
  <si>
    <t>per sf</t>
  </si>
  <si>
    <t>Sales Price per SF</t>
  </si>
  <si>
    <t>SURFACE Parking not part of building</t>
  </si>
  <si>
    <t>End Pre-development</t>
  </si>
  <si>
    <t>Quick Rate Adjuster</t>
  </si>
  <si>
    <t>PARKING for Components A&amp;B</t>
  </si>
  <si>
    <t>Guest parking</t>
  </si>
  <si>
    <t>Total Revenue generating SF</t>
  </si>
  <si>
    <t>Guest Parking Income</t>
  </si>
  <si>
    <t>ALL Draw-all parcels</t>
  </si>
  <si>
    <t>Quarter----&gt;</t>
  </si>
  <si>
    <t>01/1/25 to 12/31/25</t>
  </si>
  <si>
    <t>1/1/29 to 6/30/29</t>
  </si>
  <si>
    <t>Hard Costs for Construction/Refurbishment</t>
  </si>
  <si>
    <t xml:space="preserve">Hotel </t>
  </si>
  <si>
    <t>Current Zoning</t>
  </si>
  <si>
    <t>Site</t>
  </si>
  <si>
    <t>KCCH</t>
  </si>
  <si>
    <t>Admin</t>
  </si>
  <si>
    <t>KCCF</t>
  </si>
  <si>
    <t>420 Sites*</t>
  </si>
  <si>
    <t>Goat Hill Sites</t>
  </si>
  <si>
    <t>Chinook</t>
  </si>
  <si>
    <t>Upzone</t>
  </si>
  <si>
    <t>SF</t>
  </si>
  <si>
    <t>2022 Median Income</t>
  </si>
  <si>
    <t>Unit Cost</t>
  </si>
  <si>
    <t>Acquisition Costs</t>
  </si>
  <si>
    <t>Phase</t>
  </si>
  <si>
    <t>Yesler Hotel</t>
  </si>
  <si>
    <t>Yesler</t>
  </si>
  <si>
    <t>ADR</t>
  </si>
  <si>
    <t>01/1/28 to 12/31/28</t>
  </si>
  <si>
    <t>01/1/30 to 12/31/30</t>
  </si>
  <si>
    <t>01/1/31 to 12/31/31</t>
  </si>
  <si>
    <t>1/1/31 to 6/30/31</t>
  </si>
  <si>
    <t>1/1/32 to 6/30/32</t>
  </si>
  <si>
    <t>1/1/29 to 12/31/30</t>
  </si>
  <si>
    <t>7/1/29 to 6/30/32</t>
  </si>
  <si>
    <t>7/1/32 to 12/31/32</t>
  </si>
  <si>
    <t>7/1/29 to 6/30/31</t>
  </si>
  <si>
    <t>7/1/31 to 12/31/31</t>
  </si>
  <si>
    <t>7/1/31 to 6/30/34</t>
  </si>
  <si>
    <t>7/1/34 to 12/31/34</t>
  </si>
  <si>
    <t>7/1/32 to 6/30/35</t>
  </si>
  <si>
    <t>7/1/35 to 12/31/35</t>
  </si>
  <si>
    <t>Hotel Conversion from Office</t>
  </si>
  <si>
    <t>SRO Renovation</t>
  </si>
  <si>
    <t>Office to Affordable Housing</t>
  </si>
  <si>
    <t>Municipal Fees and Allowances*</t>
  </si>
  <si>
    <t>Hotel</t>
  </si>
  <si>
    <t>942001090 942001095 942001115 942001120 942001140</t>
  </si>
  <si>
    <t>Parcel</t>
  </si>
  <si>
    <t>Address</t>
  </si>
  <si>
    <t>Land SF</t>
  </si>
  <si>
    <t>Building SF</t>
  </si>
  <si>
    <t>Fair Market Value</t>
  </si>
  <si>
    <t>Description</t>
  </si>
  <si>
    <t>Parking Lot</t>
  </si>
  <si>
    <t>412 4th Ave</t>
  </si>
  <si>
    <t>Argyle Apts</t>
  </si>
  <si>
    <t>411 Jefferson St</t>
  </si>
  <si>
    <t>12 DU at 321,000 Unit</t>
  </si>
  <si>
    <t>6600 SF at $295/SF</t>
  </si>
  <si>
    <t>420 4th Ave</t>
  </si>
  <si>
    <t>CoStar Comp Notes</t>
  </si>
  <si>
    <t>Rehab Center</t>
  </si>
  <si>
    <t>410 4th Ave</t>
  </si>
  <si>
    <t>400 4th Ave</t>
  </si>
  <si>
    <t>Parking Structure</t>
  </si>
  <si>
    <t>19,980 SF at $295/SF</t>
  </si>
  <si>
    <t>Social Services/Shelter (Commercial/Office)</t>
  </si>
  <si>
    <t>Flex Industrial Agile Manufacturing/Maker</t>
  </si>
  <si>
    <t>Steps</t>
  </si>
  <si>
    <t>Green Roof</t>
  </si>
  <si>
    <t>TOTAL MARKET RATE</t>
  </si>
  <si>
    <t>Affordable</t>
  </si>
  <si>
    <t>Residential Totals:</t>
  </si>
  <si>
    <t>10,000 SF at $275/SF</t>
  </si>
  <si>
    <t>6600 SF at $295/SF; Building is only $800K</t>
  </si>
  <si>
    <t>Affordable (Low)</t>
  </si>
  <si>
    <t>Hard Costs for Construction (Renovate SRO)</t>
  </si>
  <si>
    <t>Hard Costs for Construction Retail</t>
  </si>
  <si>
    <t>Hard Costs for Construction Office/Commercial</t>
  </si>
  <si>
    <t>Hard Costs for Industrial</t>
  </si>
  <si>
    <t>Demolition Begins</t>
  </si>
  <si>
    <t>Demolition Ends</t>
  </si>
  <si>
    <t>Retail - Market</t>
  </si>
  <si>
    <t>Construction Begins</t>
  </si>
  <si>
    <t>4th Street Site</t>
  </si>
  <si>
    <t>Unleveraged Project IRR</t>
  </si>
  <si>
    <t>Gross Room Income</t>
  </si>
  <si>
    <t>Rainier Tower Apts</t>
  </si>
  <si>
    <t>Chinook Condos</t>
  </si>
  <si>
    <r>
      <rPr>
        <b/>
        <sz val="10"/>
        <color theme="1"/>
        <rFont val="Arial"/>
        <family val="2"/>
      </rPr>
      <t>TEAM</t>
    </r>
    <r>
      <rPr>
        <sz val="10"/>
        <color theme="1"/>
        <rFont val="Arial"/>
        <family val="2"/>
      </rPr>
      <t xml:space="preserve"> #2024-14137</t>
    </r>
  </si>
  <si>
    <t>Glacier Peak Apartments</t>
  </si>
  <si>
    <t>Rainier Tower Apartments</t>
  </si>
  <si>
    <t>For-Sale Condos</t>
  </si>
  <si>
    <t>Market Cap Rate</t>
  </si>
  <si>
    <t>Per Room</t>
  </si>
  <si>
    <t>Equity Multiple</t>
  </si>
  <si>
    <t>Market Rate</t>
  </si>
  <si>
    <t>TOTAL AFFORDABLE (20%)</t>
  </si>
  <si>
    <t>Gross Residential Rental Income (Blended)</t>
  </si>
  <si>
    <t>$/unit/month</t>
  </si>
  <si>
    <t>Gross Rental Income</t>
  </si>
  <si>
    <t>Blended Market Cap Rate</t>
  </si>
  <si>
    <t>Net Rentable SF</t>
  </si>
  <si>
    <t>Ground Level Retail - SRO Bldg</t>
  </si>
  <si>
    <t xml:space="preserve">Parking Income - Residential </t>
  </si>
  <si>
    <t xml:space="preserve">Parking Income - Commercial </t>
  </si>
  <si>
    <t>Private Financing Amount</t>
  </si>
  <si>
    <t>Gap Funding Reduction</t>
  </si>
  <si>
    <t>Unleveraged Quarterly IRR</t>
  </si>
  <si>
    <t>Unleveraged Annual IRR</t>
  </si>
  <si>
    <t>Leveraged Quarterly Cash Flow</t>
  </si>
  <si>
    <t>Unleveraged Quarterly TOTAL Cash Flow</t>
  </si>
  <si>
    <t>Total Land Area</t>
  </si>
  <si>
    <t>Project</t>
  </si>
  <si>
    <t>Rent</t>
  </si>
  <si>
    <t>Rent/sf</t>
  </si>
  <si>
    <t>The Ayer</t>
  </si>
  <si>
    <t>1BR</t>
  </si>
  <si>
    <t>Tower 12</t>
  </si>
  <si>
    <t>Griffis Seattle</t>
  </si>
  <si>
    <t>Avg Studio</t>
  </si>
  <si>
    <t>Avg 1BR</t>
  </si>
  <si>
    <t>Avg 2BR</t>
  </si>
  <si>
    <t>Premiere on Pine</t>
  </si>
  <si>
    <t>For Sale Condo Comps</t>
  </si>
  <si>
    <t>Size</t>
  </si>
  <si>
    <t>Price</t>
  </si>
  <si>
    <t>Property</t>
  </si>
  <si>
    <t>Units</t>
  </si>
  <si>
    <t>Sale Price</t>
  </si>
  <si>
    <t>1139 NW Market St</t>
  </si>
  <si>
    <t>2003 NW 57th St</t>
  </si>
  <si>
    <t>4720 Rainier Ave S</t>
  </si>
  <si>
    <t>1300 Epike St</t>
  </si>
  <si>
    <t>128 State St S</t>
  </si>
  <si>
    <t>111 Terry Ave N</t>
  </si>
  <si>
    <t>624 Yale Ave N</t>
  </si>
  <si>
    <t>747 Hanami Ln NE</t>
  </si>
  <si>
    <t xml:space="preserve">2900 1st Ave </t>
  </si>
  <si>
    <t>525 Boren Ave N</t>
  </si>
  <si>
    <t>Baker Tower Apartments</t>
  </si>
  <si>
    <t>Baker Tower Apts</t>
  </si>
  <si>
    <t>Glacier Peak Apts</t>
  </si>
  <si>
    <t xml:space="preserve"> </t>
  </si>
  <si>
    <t>Resident Parking</t>
  </si>
  <si>
    <t>Land</t>
  </si>
  <si>
    <t>Kimpton Monaco Downtown</t>
  </si>
  <si>
    <t>The Charter Seattle</t>
  </si>
  <si>
    <t>Pan Pacific Seattle</t>
  </si>
  <si>
    <t>Excess Parking</t>
  </si>
  <si>
    <t>Total Commercial Income (NNN)</t>
  </si>
  <si>
    <t>TOTAL Commercial Value</t>
  </si>
  <si>
    <t>Demolition (Interior only)</t>
  </si>
  <si>
    <t>Taxes (2 years of assessments)</t>
  </si>
  <si>
    <t>Retail Operating Deficit</t>
  </si>
  <si>
    <t>Demolition (interior only)</t>
  </si>
  <si>
    <t>Parking Income-Residential ($/unit/month)</t>
  </si>
  <si>
    <t>Parking Income-Commercial ($/space/day)</t>
  </si>
  <si>
    <t>Parking Income - Commercial</t>
  </si>
  <si>
    <t>Parking Income - Residential ($/unit/month)</t>
  </si>
  <si>
    <t>Parking Income-Commercial ($/space/month)</t>
  </si>
  <si>
    <t>Parking Income-Residential ($/space/month)</t>
  </si>
  <si>
    <t>FS Rent</t>
  </si>
  <si>
    <t>Office Tenant Improvements</t>
  </si>
  <si>
    <t>Office Leasing Commissions</t>
  </si>
  <si>
    <t>Single Room Occupancy (Low Income)</t>
  </si>
  <si>
    <t>Commercial Brokerage Commissions</t>
  </si>
  <si>
    <t xml:space="preserve">Needs </t>
  </si>
  <si>
    <t>Spaces</t>
  </si>
  <si>
    <t xml:space="preserve">Utilizes </t>
  </si>
  <si>
    <t xml:space="preserve">From Glacier Peak </t>
  </si>
  <si>
    <t xml:space="preserve">Needs   </t>
  </si>
  <si>
    <t xml:space="preserve">Has  </t>
  </si>
  <si>
    <t>Gives</t>
  </si>
  <si>
    <t xml:space="preserve">To Courthouse Condos </t>
  </si>
  <si>
    <t>Has</t>
  </si>
  <si>
    <t xml:space="preserve">Needs  </t>
  </si>
  <si>
    <t>Utilizes</t>
  </si>
  <si>
    <t xml:space="preserve">Has </t>
  </si>
  <si>
    <t>from Baker Tower</t>
  </si>
  <si>
    <t>from Glacier Peak</t>
  </si>
  <si>
    <t>Needs</t>
  </si>
  <si>
    <t>to Yesler Hotel</t>
  </si>
  <si>
    <t>Chinook Condos/Office</t>
  </si>
  <si>
    <t xml:space="preserve">Gives </t>
  </si>
  <si>
    <t>To 4th Street Site</t>
  </si>
  <si>
    <t>Excess</t>
  </si>
  <si>
    <t xml:space="preserve">Phase 1 parking will come from the Goat Hill Garage, and in Phase 2, parking will shift to the Glacier Peak Apartments garage. The cost of constructing the parking in Glacier Peak Garage has been allocated to this parcel below to illustrate fair returns for each component. Ratio is 1 space per 2 units. </t>
  </si>
  <si>
    <t>Parking will come from the Baker Tower Apartments. Ratio of 1 per 4 rooms. The cost of constructing the parking in Baker Tower Garage has been allocated to this parcel below to illustrate fair returns for each component.</t>
  </si>
  <si>
    <t xml:space="preserve">Residential ratio is 1 per 2 units and commercial ratio is 1 per 1,000 GSF. Excess of 307 spaces is allocated as 261 to Courthouse Condos and 46 to Chinook Condos. The cost of these spaces is allocated to those projects to illustrate fair returns for each component. </t>
  </si>
  <si>
    <t xml:space="preserve">Remaining Parking Needs </t>
  </si>
  <si>
    <t>Parking need is 220 spaces and it has 95 stalls in the existing garage. The remaining need of 125 spaces comes from the Glacier Peak Garage (46) and Baker Tower Garage (79)</t>
  </si>
  <si>
    <t xml:space="preserve">Project requires 305 spaces with a ratio of 1 per 2 units and 1 per 1,000 sf of commercial space. The excess of 275 spaces is allocated to Yesler Hotel (46), Chinook Condos/Office (79), 4th Street (106), and that leaves an excess of 44 spaces. </t>
  </si>
  <si>
    <t>Parking Income - Commercial ($/space/day)</t>
  </si>
  <si>
    <t xml:space="preserve">Parking ratio is 1 per 2 units and 1 per 1,000 sf of commercial space. Garage is built to this ratio plus 100 excess spaces for public parking.  </t>
  </si>
  <si>
    <t>Excess Parking for Public Use</t>
  </si>
  <si>
    <t>Parking Income - Public ($/space/day)</t>
  </si>
  <si>
    <t>For Public Parking</t>
  </si>
  <si>
    <t>4th Street Site (SRO, Office, Makerspace)</t>
  </si>
  <si>
    <t xml:space="preserve">Multifamily Transactions - Market Caps/Sales Price per Unit </t>
  </si>
  <si>
    <t>Date</t>
  </si>
  <si>
    <t>Hotel Transaction Comps</t>
  </si>
  <si>
    <t>30% AMI</t>
  </si>
  <si>
    <t>50% AMI</t>
  </si>
  <si>
    <t xml:space="preserve">  Less: Utility Allowance</t>
  </si>
  <si>
    <t>30% Spent on Housing</t>
  </si>
  <si>
    <t>Monthly Rent Cap</t>
  </si>
  <si>
    <t>80% AMI</t>
  </si>
  <si>
    <t>King County Affordable Rents - Based on Household Size</t>
  </si>
  <si>
    <t>King County Affordable Rents - Based on Unit Size</t>
  </si>
  <si>
    <t>Retail - Ground Level</t>
  </si>
  <si>
    <t>Retail - Grocery Store</t>
  </si>
  <si>
    <t>400 4th Avenue Retail</t>
  </si>
  <si>
    <t>Retail/Dining/Event Space/Other</t>
  </si>
  <si>
    <t>Unleveraged IRR</t>
  </si>
  <si>
    <t>Valuation Summary</t>
  </si>
  <si>
    <t>Residential Sales Proceeds</t>
  </si>
  <si>
    <t>Parking Income</t>
  </si>
  <si>
    <t>Parking Valuation</t>
  </si>
  <si>
    <t>Total Valuation</t>
  </si>
  <si>
    <t>Variance</t>
  </si>
  <si>
    <t>&lt; Parking is included in condo sales price</t>
  </si>
  <si>
    <t>&lt; Residential income is hotel income</t>
  </si>
  <si>
    <t xml:space="preserve">Mixed-Use Rental Income </t>
  </si>
  <si>
    <t>Mixed-Use Valuation</t>
  </si>
  <si>
    <t>Totals</t>
  </si>
  <si>
    <t>Total Income</t>
  </si>
  <si>
    <t>% of Total Valuation</t>
  </si>
  <si>
    <t>% of Total Income</t>
  </si>
  <si>
    <t>Parking Cost</t>
  </si>
  <si>
    <t>Parking Stalls</t>
  </si>
  <si>
    <t>Parking Cost %</t>
  </si>
  <si>
    <t>Total Area</t>
  </si>
  <si>
    <t>Parking Area</t>
  </si>
  <si>
    <t>Parking Area %</t>
  </si>
  <si>
    <t>Parking Allocation Plan</t>
  </si>
  <si>
    <t>Phase 1</t>
  </si>
  <si>
    <t>Phase 2</t>
  </si>
  <si>
    <t>Phase 3</t>
  </si>
  <si>
    <t>Parking Metrics</t>
  </si>
  <si>
    <t>King County Affordable Purchase Prices - Based on Unit Size</t>
  </si>
  <si>
    <t>Area</t>
  </si>
  <si>
    <t>1 space per 4 units</t>
  </si>
  <si>
    <t>Residential Ratio</t>
  </si>
  <si>
    <t>Commercial Ratio</t>
  </si>
  <si>
    <t>Area allocation (SF/space)</t>
  </si>
  <si>
    <t>Surface Parking Construction Cost</t>
  </si>
  <si>
    <t>Public Garage ($/space/day)</t>
  </si>
  <si>
    <t>Hotel Rate ($/space/day)</t>
  </si>
  <si>
    <t>Commercial Rate ($/monthly)</t>
  </si>
  <si>
    <t>Residential Rate ($/monthly)</t>
  </si>
  <si>
    <t>Rental Income</t>
  </si>
  <si>
    <t>Rent per SF</t>
  </si>
  <si>
    <t>Class A - Credit Tenancy (FS)</t>
  </si>
  <si>
    <t>Class A - Non-Profit (NNN)</t>
  </si>
  <si>
    <t>Makerspace (NNN)</t>
  </si>
  <si>
    <t xml:space="preserve">Grocery </t>
  </si>
  <si>
    <t>Ground Level</t>
  </si>
  <si>
    <t>Additional Income (% of Gross Rental Income)</t>
  </si>
  <si>
    <t>NOI Calculation Impacts</t>
  </si>
  <si>
    <t xml:space="preserve">Operating Expenses - Hotel </t>
  </si>
  <si>
    <t>Operating Expenses - Mixed-Use Resi</t>
  </si>
  <si>
    <t>% of Gross Revenue</t>
  </si>
  <si>
    <t>Operating Expenses - 4th Street</t>
  </si>
  <si>
    <t>Additional Revenue - Mixed-Use</t>
  </si>
  <si>
    <t>Operating Expenses - Mixed-Use Resi (Public)</t>
  </si>
  <si>
    <t>Cap Rates</t>
  </si>
  <si>
    <t>Project Cost Estimating Parameters</t>
  </si>
  <si>
    <t xml:space="preserve">Mixed-Use - Market Rate Residential+Retail </t>
  </si>
  <si>
    <t>Condo Sales Costs</t>
  </si>
  <si>
    <t>Disposition Costs</t>
  </si>
  <si>
    <t>Vacancy Loss</t>
  </si>
  <si>
    <t>Exit Assumptions - Cap Rates</t>
  </si>
  <si>
    <t>Exit Assumptions - Sales Costs</t>
  </si>
  <si>
    <t>&lt; Only Renovating floors 6-13</t>
  </si>
  <si>
    <t xml:space="preserve">&lt; Combination of condo sales proceeds and capped commercial income </t>
  </si>
  <si>
    <t>Toggle for Public Space Coverage: 1=On, 2=Off</t>
  </si>
  <si>
    <t>Total Operating Expense Coverage</t>
  </si>
  <si>
    <t xml:space="preserve">Affordable Housing Schedule </t>
  </si>
  <si>
    <t>AMI</t>
  </si>
  <si>
    <t>1 Bed</t>
  </si>
  <si>
    <t>2 Bed</t>
  </si>
  <si>
    <t>3 Bed</t>
  </si>
  <si>
    <t>Total Units</t>
  </si>
  <si>
    <t>Single Room Occupancy</t>
  </si>
  <si>
    <t>136 total rental units at 30% AMI</t>
  </si>
  <si>
    <t>312 total rental units at 50% AMI</t>
  </si>
  <si>
    <t>143 total for-sale units at 65% AMI</t>
  </si>
  <si>
    <t>Leverage Assumptions - Loan to Cost</t>
  </si>
  <si>
    <t xml:space="preserve">Mixed-Use - Residential + Retail </t>
  </si>
  <si>
    <t>Hard Costs for Construction - Residential</t>
  </si>
  <si>
    <t>Hard Cost for Construction - Retail</t>
  </si>
  <si>
    <t>Hard Costs for Construction: MF+Retail</t>
  </si>
  <si>
    <t>Hard Costs for Construction - MF</t>
  </si>
  <si>
    <t>Hard Costs for Construction - Retail</t>
  </si>
  <si>
    <t>Total Eligible Costs</t>
  </si>
  <si>
    <t xml:space="preserve">Applicable Fraction </t>
  </si>
  <si>
    <t>Lesser Of Calculation</t>
  </si>
  <si>
    <t>Avg Size</t>
  </si>
  <si>
    <t xml:space="preserve">Affordable </t>
  </si>
  <si>
    <t xml:space="preserve">Lesser Of </t>
  </si>
  <si>
    <t>Applicable Fraction</t>
  </si>
  <si>
    <t>10-Yr Total Credits</t>
  </si>
  <si>
    <t>Footnotes</t>
  </si>
  <si>
    <t xml:space="preserve">2. Eligible costs equals the budget minus costs to acquire the property, finance it, reserves, syndication expenses, and marketing costs. </t>
  </si>
  <si>
    <t xml:space="preserve">3. The project site is not eligible for a 30% basis boost because it is not in a qualified census tract or difficult to develop area as designated by HUD. </t>
  </si>
  <si>
    <t>Summary Notes</t>
  </si>
  <si>
    <t>Qualified Census Tract and Difficult to Develop Area Map</t>
  </si>
  <si>
    <t>The closest QCT is located below Yesler Way and the closest difficult to develop area is above Spring Street.</t>
  </si>
  <si>
    <r>
      <t xml:space="preserve">Eligible Costs/Unit </t>
    </r>
    <r>
      <rPr>
        <b/>
        <vertAlign val="superscript"/>
        <sz val="11"/>
        <color theme="1"/>
        <rFont val="Arial"/>
        <family val="2"/>
      </rPr>
      <t>1, 2</t>
    </r>
  </si>
  <si>
    <r>
      <t xml:space="preserve">Qualified Basis </t>
    </r>
    <r>
      <rPr>
        <b/>
        <vertAlign val="superscript"/>
        <sz val="11"/>
        <color theme="1"/>
        <rFont val="Arial"/>
        <family val="2"/>
      </rPr>
      <t>3</t>
    </r>
  </si>
  <si>
    <t>1. Condo units are ineligible since they are targeting 65% AMI. Remaining units are eligible through the 20/50 rule.</t>
  </si>
  <si>
    <t>5. Applicable Rates based on IRS guidance as of April 2024.</t>
  </si>
  <si>
    <t>6. Syndication cost based on LIHTC equity pricing from Novogradac as of December 2023.</t>
  </si>
  <si>
    <t>Reduced Rate (4th Street) ($/monthly)</t>
  </si>
  <si>
    <t>Structured Parking Construction Hard Cost</t>
  </si>
  <si>
    <t>Structured Parking Construction Total Cost</t>
  </si>
  <si>
    <t>420 Sites - Source: CoStar</t>
  </si>
  <si>
    <t xml:space="preserve">Unit </t>
  </si>
  <si>
    <t>MARKET RESEARCH</t>
  </si>
  <si>
    <t>Spire Condos</t>
  </si>
  <si>
    <t>The Emerald</t>
  </si>
  <si>
    <t>Luma Condos</t>
  </si>
  <si>
    <t xml:space="preserve">The Graystone </t>
  </si>
  <si>
    <t>Nexus Condos</t>
  </si>
  <si>
    <t>Insignia Tower</t>
  </si>
  <si>
    <t>Downtown</t>
  </si>
  <si>
    <t>Denny Triangle</t>
  </si>
  <si>
    <t>Pike/Pine</t>
  </si>
  <si>
    <t>First Hill</t>
  </si>
  <si>
    <t>Neighborhood</t>
  </si>
  <si>
    <t>February 2023</t>
  </si>
  <si>
    <t>December 2023</t>
  </si>
  <si>
    <t>September 2023</t>
  </si>
  <si>
    <t>March 2023</t>
  </si>
  <si>
    <t>December 2022</t>
  </si>
  <si>
    <t>October 2022</t>
  </si>
  <si>
    <t>August 2022</t>
  </si>
  <si>
    <t>May 2022</t>
  </si>
  <si>
    <t>Overall Average is $500K per unit</t>
  </si>
  <si>
    <t>For all projects sold for over $550K per unit, the average is $625K per unit</t>
  </si>
  <si>
    <t>This implies a significant spread between high end projects vs Class A market average</t>
  </si>
  <si>
    <t>Rooms</t>
  </si>
  <si>
    <t xml:space="preserve">Price </t>
  </si>
  <si>
    <t>Price Per Room</t>
  </si>
  <si>
    <t>May 2023</t>
  </si>
  <si>
    <t>Office Market Research</t>
  </si>
  <si>
    <t>Multifamily Market - Rent Comparables</t>
  </si>
  <si>
    <t>Multifamily Market Research</t>
  </si>
  <si>
    <t>Condo Market Research</t>
  </si>
  <si>
    <t>Retail Market Research</t>
  </si>
  <si>
    <t>Gross GAP</t>
  </si>
  <si>
    <t>Net Gap</t>
  </si>
  <si>
    <t>Amazon Housing Equity Fund</t>
  </si>
  <si>
    <r>
      <t>Gap Funding Source</t>
    </r>
    <r>
      <rPr>
        <b/>
        <vertAlign val="superscript"/>
        <sz val="11"/>
        <color theme="1"/>
        <rFont val="Arial"/>
        <family val="2"/>
      </rPr>
      <t>1,2</t>
    </r>
  </si>
  <si>
    <t>Gap Funding Sources</t>
  </si>
  <si>
    <t>4th Street Site will receive funding from Amazon Housing Equity Fund</t>
  </si>
  <si>
    <r>
      <t xml:space="preserve">Syndication Price </t>
    </r>
    <r>
      <rPr>
        <b/>
        <vertAlign val="superscript"/>
        <sz val="11"/>
        <color theme="1"/>
        <rFont val="Arial"/>
        <family val="2"/>
      </rPr>
      <t>6</t>
    </r>
  </si>
  <si>
    <t>King Condominiums</t>
  </si>
  <si>
    <t xml:space="preserve">  </t>
  </si>
  <si>
    <r>
      <t xml:space="preserve">4% Tax Credit </t>
    </r>
    <r>
      <rPr>
        <b/>
        <vertAlign val="superscript"/>
        <sz val="11"/>
        <color theme="1"/>
        <rFont val="Arial"/>
        <family val="2"/>
      </rPr>
      <t>4, 5</t>
    </r>
  </si>
  <si>
    <t>4. 4% rate applied to all projects as new construction except for 4th Street site which is rehab of existing property.</t>
  </si>
  <si>
    <t>4% LIHTC</t>
  </si>
  <si>
    <t>4% LIHTC Funding</t>
  </si>
  <si>
    <t>Glacier Peak and Baker Tower will receive 4% LIHTC Funding</t>
  </si>
  <si>
    <t>1/1/26 to 12/31/27</t>
  </si>
  <si>
    <t>1/1/28 to 6/30/28</t>
  </si>
  <si>
    <t>Gross Residential Rental Income as Master Lease</t>
  </si>
  <si>
    <t xml:space="preserve">There is no parking on site. Project utilizes 25 spaces from the Baker Tower Apartments. Given the nature of the SRO units, we did not allocate a significant parking requirement except for staff/visitor/other users. </t>
  </si>
  <si>
    <t>ROC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</si>
</sst>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quot;$&quot;#,##0.00"/>
    <numFmt numFmtId="166" formatCode="&quot;$&quot;#,##0"/>
    <numFmt numFmtId="167" formatCode="0.0%"/>
    <numFmt numFmtId="168" formatCode="_(* #,##0_);_(* \(#,##0\);_(* &quot;-&quot;??_);_(@_)"/>
    <numFmt numFmtId="169" formatCode="_(&quot;$&quot;* #,##0_);_(&quot;$&quot;* \(#,##0\);_(&quot;$&quot;* &quot;-&quot;??_);_(@_)"/>
    <numFmt numFmtId="170" formatCode="#,##0.0"/>
    <numFmt numFmtId="171" formatCode="0.0"/>
    <numFmt numFmtId="172" formatCode="[$-409]mmm\-yy;@"/>
    <numFmt numFmtId="173" formatCode="&quot;LESS:&quot;\ #%\ \ &quot;Selling Costs&quot;"/>
    <numFmt numFmtId="174" formatCode="&quot;LESS:&quot;\ #%\ &quot;Vacancy&quot;"/>
    <numFmt numFmtId="175" formatCode="&quot;Density=&quot;#\ &quot;Units/Acre&quot;"/>
    <numFmt numFmtId="176" formatCode="##,###&quot; SF&quot;"/>
    <numFmt numFmtId="177" formatCode="###&quot; SF&quot;"/>
    <numFmt numFmtId="178" formatCode="&quot;Studio---&quot;#%"/>
    <numFmt numFmtId="179" formatCode="###\ &quot;Units&quot;"/>
    <numFmt numFmtId="180" formatCode="##%\ \ \ &quot;Debt&quot;"/>
    <numFmt numFmtId="181" formatCode="##%\ \ \ &quot;Equity&quot;"/>
    <numFmt numFmtId="182" formatCode="#.##%\ "/>
    <numFmt numFmtId="183" formatCode="&quot;$&quot;#,##0;\(&quot;$&quot;#,##0\)"/>
    <numFmt numFmtId="184" formatCode="&quot;$&quot;#,##0.0;\(&quot;$&quot;#,##0.0\)"/>
    <numFmt numFmtId="185" formatCode="&quot;$&quot;#,##0.00;\(&quot;$&quot;#,##0.00\)"/>
    <numFmt numFmtId="186" formatCode="0.0_)\%;\(0.0\)\%;0.0_)\%;@_)_%"/>
    <numFmt numFmtId="187" formatCode="#,##0.0_)_%;\(#,##0.0\)_%;0.0_)_%;@_)_%"/>
    <numFmt numFmtId="188" formatCode="#,##0.0_);\(#,##0.0\);#,##0.0_);@_)"/>
    <numFmt numFmtId="189" formatCode="#,##0.0_);\(#,##0.0\)"/>
    <numFmt numFmtId="190" formatCode="&quot;$&quot;_(#,##0.00_);&quot;$&quot;\(#,##0.00\);&quot;$&quot;_(0.00_);@_)"/>
    <numFmt numFmtId="191" formatCode="&quot;$&quot;_(#,##0.00_);&quot;$&quot;\(#,##0.00\)"/>
    <numFmt numFmtId="192" formatCode="&quot;\&quot;_(#,##0.00_);&quot;\&quot;\(#,##0.00\)"/>
    <numFmt numFmtId="193" formatCode="#,##0.00_);\(#,##0.00\);0.00_);@_)"/>
    <numFmt numFmtId="194" formatCode="\€_(#,##0.00_);\€\(#,##0.00\);\€_(0.00_);@_)"/>
    <numFmt numFmtId="195" formatCode="#,##0_)\x;\(#,##0\)\x;0_)\x;@_)_x"/>
    <numFmt numFmtId="196" formatCode="#,##0.0_)\x;\(#,##0.0\)\x"/>
    <numFmt numFmtId="197" formatCode="#,##0_)_x;\(#,##0\)_x;0_)_x;@_)_x"/>
    <numFmt numFmtId="198" formatCode="m/d/yy\ h:mm\ AM/PM"/>
    <numFmt numFmtId="199" formatCode="#,##0.0_)_x;\(#,##0.0\)_x"/>
    <numFmt numFmtId="200" formatCode="0.0_)\%;\(0.0\)\%"/>
    <numFmt numFmtId="201" formatCode="mmmm\ d\,\ yyyy"/>
    <numFmt numFmtId="202" formatCode="#,##0.0_)_%;\(#,##0.0\)_%"/>
    <numFmt numFmtId="203" formatCode="General_)"/>
    <numFmt numFmtId="204" formatCode="0.0\ \x"/>
    <numFmt numFmtId="205" formatCode="&quot;$&quot;#,##0.000_);\(&quot;$&quot;#,##0.000\)"/>
    <numFmt numFmtId="206" formatCode="m\-d\-yy"/>
    <numFmt numFmtId="207" formatCode="#,##0_);\(#,##0\);&quot;- &quot;"/>
    <numFmt numFmtId="208" formatCode="0.0%;\(0.0%\);&quot;- &quot;"/>
    <numFmt numFmtId="209" formatCode="mm/dd/yy_)"/>
    <numFmt numFmtId="210" formatCode="#,##0;\-#,##0;&quot;-&quot;"/>
    <numFmt numFmtId="211" formatCode="#,##0.00;\(#,##0.00"/>
    <numFmt numFmtId="212" formatCode="d\ mmm\ yy"/>
    <numFmt numFmtId="213" formatCode="#,##0.0_);[Red]\(#,##0.0\)"/>
    <numFmt numFmtId="214" formatCode="_(* #,##0.0_);_(* \(#,##0.0\);_(* &quot;-&quot;?_);_(@_)"/>
    <numFmt numFmtId="215" formatCode="#,##0_%_);\(#,##0\)_%;**;@_%_)"/>
    <numFmt numFmtId="216" formatCode="#,##0_%_);\(#,##0\)_%;#,##0_%_);@_%_)"/>
    <numFmt numFmtId="217" formatCode="&quot;$&quot;#,##0\ ;\(&quot;$&quot;#,##0\)"/>
    <numFmt numFmtId="218" formatCode="&quot;$&quot;#,##0.0\ ;\(&quot;$&quot;#,##0.0\)"/>
    <numFmt numFmtId="219" formatCode="0.00\x"/>
    <numFmt numFmtId="220" formatCode="m/d/yyyy\ \ h:mm\ AM/PM"/>
    <numFmt numFmtId="221" formatCode="#,##0;\(#,##0\)"/>
    <numFmt numFmtId="222" formatCode="#,##0.0;\(#,##0.0\)"/>
    <numFmt numFmtId="223" formatCode="\ #,##0.0_);\(#,##0.0\);\-\ \ ??"/>
    <numFmt numFmtId="224" formatCode="&quot;$&quot;#,##0.0_);\(&quot;$&quot;#,##0.0\)"/>
    <numFmt numFmtId="225" formatCode="&quot;$&quot;#,##0.0"/>
    <numFmt numFmtId="226" formatCode="_-* #,##0.00\ [$€-1]_-;\-* #,##0.00\ [$€-1]_-;_-* &quot;-&quot;??\ [$€-1]_-"/>
    <numFmt numFmtId="227" formatCode="00"/>
    <numFmt numFmtId="228" formatCode=";;;"/>
    <numFmt numFmtId="229" formatCode="0.00_)"/>
    <numFmt numFmtId="230" formatCode="mm/yyyy"/>
    <numFmt numFmtId="231" formatCode="&quot;Standard&quot;_);;&quot;Reverse&quot;_)"/>
    <numFmt numFmtId="232" formatCode="_-* #,##0_-;\-* #,##0_-;_-* &quot;-&quot;_-;_-@_-"/>
    <numFmt numFmtId="233" formatCode="_-* #,##0.00_-;\-* #,##0.00_-;_-* &quot;-&quot;??_-;_-@_-"/>
    <numFmt numFmtId="234" formatCode="#,##0.00&quot; F&quot;_);\(#,##0.00&quot; F&quot;\)"/>
    <numFmt numFmtId="235" formatCode="#,##0&quot; $&quot;;\-#,##0&quot; $&quot;"/>
    <numFmt numFmtId="236" formatCode="_-* #,##0\ _F_-;\-* #,##0\ _F_-;_-* &quot;-&quot;\ _F_-;_-@_-"/>
    <numFmt numFmtId="237" formatCode="_-* #,##0.00\ &quot;F&quot;_-;\-* #,##0.00\ &quot;F&quot;_-;_-* &quot;-&quot;??\ &quot;F&quot;_-;_-@_-"/>
    <numFmt numFmtId="238" formatCode="_-* #,##0\ &quot;Esc.&quot;_-;\-* #,##0\ &quot;Esc.&quot;_-;_-* &quot;-&quot;\ &quot;Esc.&quot;_-;_-@_-"/>
    <numFmt numFmtId="239" formatCode="#,##0.00&quot;$&quot;;[Red]\-#,##0.00&quot;$&quot;"/>
    <numFmt numFmtId="240" formatCode="#,##0&quot; F&quot;_);[Red]\(#,##0&quot; F&quot;\)"/>
    <numFmt numFmtId="241" formatCode="#,##0.00&quot; F&quot;_);[Red]\(#,##0.00&quot; F&quot;\)"/>
    <numFmt numFmtId="242" formatCode="_-* #,##0\ &quot;F&quot;_-;\-* #,##0\ &quot;F&quot;_-;_-* &quot;-&quot;\ &quot;F&quot;_-;_-@_-"/>
    <numFmt numFmtId="243" formatCode="0.0_x_);\(0.0\)_x"/>
    <numFmt numFmtId="244" formatCode="0.0\x_);\(0.0\x\)"/>
    <numFmt numFmtId="245" formatCode="0.0\x_)_);&quot;NM&quot;_x_)_);0.0\x_)_);@_%_)"/>
    <numFmt numFmtId="246" formatCode="_(* #,##0.0000_);_(* \(#,##0.0000\);_(* &quot;-&quot;??_);_(@_)"/>
    <numFmt numFmtId="247" formatCode="0.0%;\(0.0%\)"/>
    <numFmt numFmtId="248" formatCode="#,##0_ "/>
    <numFmt numFmtId="249" formatCode="&quot;$&quot;#,##0.00_);\(&quot;$&quot;#,##0.00\);\-\ ??"/>
    <numFmt numFmtId="250" formatCode="[&lt;=9999999]###\-####;\(###\)\ ###\-####"/>
    <numFmt numFmtId="251" formatCode="#,##0.0\%_);\(#,##0.0\%\);#,##0.0\%_);@_%_)"/>
    <numFmt numFmtId="252" formatCode="#,##0.0_x\);\(#,##0.0\)"/>
    <numFmt numFmtId="253" formatCode="_(&quot;$&quot;* #,##0.0000000000000_);_(&quot;$&quot;* \(#,##0.0000000000000\);_(&quot;$&quot;* &quot;-&quot;??_);_(@_)"/>
    <numFmt numFmtId="254" formatCode="_-* #,##0\ _E_s_c_._-;\-* #,##0\ _E_s_c_._-;_-* &quot;-&quot;\ _E_s_c_._-;_-@_-"/>
    <numFmt numFmtId="255" formatCode="_(&quot;$&quot;* #,##0.000_);_(&quot;$&quot;* \(#,##0.000\);_(&quot;$&quot;* &quot;-&quot;??_);_(@_)"/>
    <numFmt numFmtId="256" formatCode="_-&quot;L.&quot;\ * #,##0_-;\-&quot;L.&quot;\ * #,##0_-;_-&quot;L.&quot;\ * &quot;-&quot;_-;_-@_-"/>
    <numFmt numFmtId="257" formatCode="_-&quot;L.&quot;\ * #,##0.00_-;\-&quot;L.&quot;\ * #,##0.00_-;_-&quot;L.&quot;\ * &quot;-&quot;??_-;_-@_-"/>
    <numFmt numFmtId="258" formatCode="0\ \ ;\(0\)\ \ \ "/>
    <numFmt numFmtId="259" formatCode="&quot;Yes&quot;;;&quot;No&quot;"/>
    <numFmt numFmtId="260" formatCode="#,###\ &quot;SF Retail Income&quot;"/>
    <numFmt numFmtId="261" formatCode="##%\ &quot;of GMP costs&quot;"/>
    <numFmt numFmtId="262" formatCode="&quot;$&quot;##,###\ &quot;per unit&quot;"/>
    <numFmt numFmtId="263" formatCode="##%\ &quot;of total hard costs&quot;"/>
    <numFmt numFmtId="264" formatCode="&quot;$&quot;###\ &quot;per SF of retail&quot;"/>
    <numFmt numFmtId="265" formatCode="##.00%\ &quot;of loan amount&quot;"/>
    <numFmt numFmtId="266" formatCode="&quot;Residual land value at&quot;\ ##%\ &quot;ROC&quot;"/>
    <numFmt numFmtId="267" formatCode="&quot;$&quot;###\ &quot;per SF net leasable&quot;"/>
    <numFmt numFmtId="268" formatCode="#\ &quot;Months of OPEX&quot;"/>
    <numFmt numFmtId="269" formatCode="#.#%\ &quot;of soft costs&quot;"/>
    <numFmt numFmtId="270" formatCode="#%\ &quot;on a five year term&quot;"/>
    <numFmt numFmtId="271" formatCode="##%\ &quot;of Project Budget&quot;"/>
    <numFmt numFmtId="272" formatCode="&quot;$&quot;##,###\ &quot;per stall&quot;"/>
    <numFmt numFmtId="273" formatCode="&quot;Gap at&quot;\ ##%"/>
    <numFmt numFmtId="274" formatCode="##%\ &quot;of loan amount&quot;"/>
    <numFmt numFmtId="275" formatCode="&quot;Net Affordable Mortage at&quot;\ ##%"/>
    <numFmt numFmtId="276" formatCode="&quot;plus Down Payment of&quot;\ ##%"/>
    <numFmt numFmtId="277" formatCode="##\ &quot;stories&quot;"/>
    <numFmt numFmtId="278" formatCode="&quot;Building footprint at&quot;\ ##\ &quot;stories&quot;"/>
    <numFmt numFmtId="279" formatCode="&quot;Building area at&quot;\ ##%\ &quot;circulation&quot;"/>
    <numFmt numFmtId="280" formatCode="&quot;Parking area at&quot;\ ###\ &quot;sf per stall&quot;"/>
    <numFmt numFmtId="281" formatCode="#,###\ &quot;SF&quot;"/>
    <numFmt numFmtId="282" formatCode="&quot;Fee/unit=&quot;&quot;$&quot;##,###"/>
    <numFmt numFmtId="283" formatCode="&quot;Retail&quot;\ #,###\ &quot;SF&quot;"/>
    <numFmt numFmtId="284" formatCode="&quot;Office&quot;\ #,###\ &quot;SF&quot;"/>
    <numFmt numFmtId="285" formatCode="&quot;$&quot;###\ &quot;per SF net lease or sale&quot;"/>
    <numFmt numFmtId="286" formatCode="&quot;$&quot;###\ &quot;per SF net sale&quot;"/>
    <numFmt numFmtId="287" formatCode="##\ &quot;Units&quot;"/>
    <numFmt numFmtId="288" formatCode="#,###\ &quot;Units&quot;"/>
    <numFmt numFmtId="289" formatCode="m/d/yy;@"/>
    <numFmt numFmtId="290" formatCode="&quot;Fee/SF=&quot;&quot;$&quot;##,###"/>
    <numFmt numFmtId="291" formatCode="&quot;$&quot;##,###\ &quot;per sf&quot;"/>
    <numFmt numFmtId="292" formatCode="&quot;Commercial&quot;\ #,###\ &quot;SF&quot;"/>
    <numFmt numFmtId="293" formatCode="&quot;Feasible Project Costs at&quot;\ ##%\ &quot;ROC&quot;"/>
    <numFmt numFmtId="294" formatCode="###\ &quot;Hotel rooms&quot;"/>
    <numFmt numFmtId="295" formatCode="&quot;Monthly Revenues at&quot;\ ##%\ &quot;occupancy&quot;"/>
    <numFmt numFmtId="296" formatCode="#,###\ &quot;SF Retail/Dining/Event Income&quot;"/>
    <numFmt numFmtId="297" formatCode="######\ &quot;SF of Building&quot;"/>
    <numFmt numFmtId="298" formatCode="#\ &quot;Person&quot;"/>
    <numFmt numFmtId="299" formatCode="&quot;$&quot;###\ &quot;per SF&quot;"/>
    <numFmt numFmtId="300" formatCode="&quot;$&quot;#\ &quot;per SF&quot;"/>
    <numFmt numFmtId="301" formatCode="##%\ &quot;of Land Value&quot;"/>
    <numFmt numFmtId="302" formatCode="&quot;Studios&quot;\ #%"/>
    <numFmt numFmtId="303" formatCode="&quot;1 Bed&quot;\ #%"/>
    <numFmt numFmtId="304" formatCode="&quot;2 Bed&quot;\ #%"/>
    <numFmt numFmtId="305" formatCode="&quot;3 Bed&quot;\ #%"/>
    <numFmt numFmtId="306" formatCode="&quot;$&quot;#,##0.0_);[Red]\(&quot;$&quot;#,##0.0\)"/>
    <numFmt numFmtId="307" formatCode="&quot;Daily Parking Rate:&quot;\ &quot;$&quot;###"/>
    <numFmt numFmtId="308" formatCode="&quot;Usage Rate:&quot;\ ###%"/>
    <numFmt numFmtId="309" formatCode="&quot;1 BR+Den Condos&quot;\ #%"/>
    <numFmt numFmtId="310" formatCode="&quot;2 BR+Den Condos&quot;\ #%"/>
    <numFmt numFmtId="311" formatCode="#,###\ &quot;SF Commercial Income&quot;"/>
    <numFmt numFmtId="312" formatCode="&quot;Parking at&quot;\ ###\ &quot;sf per stall&quot;"/>
    <numFmt numFmtId="313" formatCode="&quot;LESS:&quot;\ #.0%\ \ &quot;Selling Costs&quot;"/>
    <numFmt numFmtId="314" formatCode="&quot;$&quot;#\ &quot;per sf for current GSF&quot;\ \ "/>
    <numFmt numFmtId="315" formatCode="##.0%\ &quot;of Land Value&quot;"/>
    <numFmt numFmtId="316" formatCode="&quot;$&quot;#\ &quot;per GSF&quot;"/>
    <numFmt numFmtId="317" formatCode="#\ &quot;months of operations&quot;"/>
    <numFmt numFmtId="318" formatCode="&quot;$&quot;###\ &quot;per commmercial SF&quot;"/>
    <numFmt numFmtId="319" formatCode="#%\ &quot;on a ten year term&quot;"/>
    <numFmt numFmtId="320" formatCode="&quot;$&quot;###\ &quot;per residential GSF&quot;"/>
    <numFmt numFmtId="321" formatCode="&quot;$&quot;#,###\ &quot;per stall&quot;"/>
    <numFmt numFmtId="322" formatCode="&quot;$&quot;###\ &quot;per retail SF&quot;"/>
    <numFmt numFmtId="323" formatCode="&quot;Studios - 30% AMI&quot;\ \(#%\ \o\f\ \t\o\t\a\l\)"/>
    <numFmt numFmtId="324" formatCode="&quot;Studios - 50% AMI&quot;\ \(#%\ \o\f\ \t\o\t\a\l\)"/>
    <numFmt numFmtId="325" formatCode="&quot;1 Bed - 30% AMI&quot;\ \(#%\ \o\f\ \t\o\t\a\l\)"/>
    <numFmt numFmtId="326" formatCode="&quot;1 Bed - 50% AMI&quot;\ \(#%\ \o\f\ \t\o\t\a\l\)"/>
    <numFmt numFmtId="327" formatCode="&quot;2 Bed - 30% AMI&quot;\ \(#%\ \o\f\ \t\o\t\a\l\)"/>
    <numFmt numFmtId="328" formatCode="&quot;2 Bed - 50% AMI&quot;\ \(#%\ \o\f\ \t\o\t\a\l\)"/>
    <numFmt numFmtId="329" formatCode="&quot;3 Bed - 30% AMI &quot;\ \(#.0%\ \o\f\ \t\o\t\a\l\)"/>
    <numFmt numFmtId="330" formatCode="&quot;3 Bed - 50% AMI &quot;\ \(#.0%\ \o\f\ \t\o\t\a\l\)"/>
    <numFmt numFmtId="331" formatCode="&quot;TOTAL AFFORDABLE&quot;\ #%"/>
    <numFmt numFmtId="332" formatCode="&quot;TOTAL MARKET RATE&quot;\ #%"/>
    <numFmt numFmtId="333" formatCode="##.000%\ &quot;of Land Value&quot;"/>
    <numFmt numFmtId="334" formatCode="#%\ &quot;of Construction Interest&quot;"/>
    <numFmt numFmtId="335" formatCode="#%\ &quot;AMI&quot;"/>
    <numFmt numFmtId="336" formatCode="#%\ &quot;Spent on Housing&quot;"/>
    <numFmt numFmtId="337" formatCode="&quot;Less: Utility Allowance&quot;\ &quot;$&quot;#&quot;/month&quot;"/>
    <numFmt numFmtId="338" formatCode="&quot;Less: Property Insurance&quot;\ #.00%"/>
    <numFmt numFmtId="339" formatCode="&quot;Less: Association Dues&quot;\ &quot;$&quot;#&quot;/month&quot;"/>
    <numFmt numFmtId="340" formatCode="&quot;Less: Property Taxes&quot;\ #.00%"/>
    <numFmt numFmtId="341" formatCode="&quot;Total Operating Expenses:&quot;\ #%"/>
    <numFmt numFmtId="342" formatCode="&quot;$&quot;#,###\ &quot;Per Unit&quot;"/>
    <numFmt numFmtId="343" formatCode="&quot;$&quot;###\ &quot;per SF of office&quot;"/>
    <numFmt numFmtId="344" formatCode="&quot;Large Hotel Unit at&quot;\ ###\ &quot;SF&quot;"/>
    <numFmt numFmtId="345" formatCode="&quot;Plus Size Hotel Room&quot;\ ###\ &quot;SF&quot;"/>
    <numFmt numFmtId="346" formatCode="&quot;Regular Hotel Room at&quot;\ ###\ &quot;SF&quot;"/>
    <numFmt numFmtId="348" formatCode="&quot;$&quot;##.##\ &quot; per SF/Year&quot;"/>
    <numFmt numFmtId="349" formatCode="##.#%\ &quot;of Project Budget&quot;"/>
    <numFmt numFmtId="350" formatCode="##.#%\ &quot;of total hard costs&quot;"/>
  </numFmts>
  <fonts count="204">
    <font>
      <sz val="11"/>
      <color theme="1"/>
      <name val="Calibri"/>
      <family val="2"/>
      <scheme val="minor"/>
    </font>
    <font>
      <sz val="12"/>
      <color theme="1"/>
      <name val="Times New Roman"/>
      <family val="2"/>
    </font>
    <font>
      <sz val="12"/>
      <color theme="1"/>
      <name val="Calibri"/>
      <family val="2"/>
      <scheme val="minor"/>
    </font>
    <font>
      <sz val="12"/>
      <color theme="1"/>
      <name val="Calibri"/>
      <family val="2"/>
      <scheme val="minor"/>
    </font>
    <font>
      <sz val="12"/>
      <color theme="1"/>
      <name val="Times New Roman"/>
      <family val="2"/>
    </font>
    <font>
      <sz val="12"/>
      <color theme="1"/>
      <name val="Times New Roman"/>
      <family val="2"/>
    </font>
    <font>
      <sz val="12"/>
      <color theme="1"/>
      <name val="Calibri"/>
      <family val="2"/>
      <scheme val="minor"/>
    </font>
    <font>
      <sz val="11"/>
      <color theme="1"/>
      <name val="Calibri"/>
      <family val="2"/>
      <scheme val="minor"/>
    </font>
    <font>
      <sz val="12"/>
      <name val="Times New Roman"/>
      <family val="1"/>
    </font>
    <font>
      <sz val="10"/>
      <name val="Times New Roman"/>
      <family val="1"/>
    </font>
    <font>
      <b/>
      <sz val="10"/>
      <name val="Times New Roman"/>
      <family val="1"/>
    </font>
    <font>
      <b/>
      <sz val="12"/>
      <name val="Times New Roman"/>
      <family val="1"/>
    </font>
    <font>
      <b/>
      <sz val="11"/>
      <name val="Times New Roman"/>
      <family val="1"/>
    </font>
    <font>
      <sz val="12"/>
      <name val="Arial"/>
      <family val="2"/>
    </font>
    <font>
      <b/>
      <sz val="8"/>
      <name val="Times New Roman"/>
      <family val="1"/>
    </font>
    <font>
      <sz val="10"/>
      <name val="Arial"/>
      <family val="2"/>
    </font>
    <font>
      <sz val="14"/>
      <name val="Times New Roman"/>
      <family val="1"/>
    </font>
    <font>
      <sz val="12"/>
      <name val="Times New Roman"/>
      <family val="1"/>
    </font>
    <font>
      <sz val="12"/>
      <name val="Arial MT"/>
    </font>
    <font>
      <b/>
      <sz val="18"/>
      <name val="Times New Roman"/>
      <family val="1"/>
    </font>
    <font>
      <b/>
      <sz val="16"/>
      <name val="Times New Roman"/>
      <family val="1"/>
    </font>
    <font>
      <b/>
      <sz val="14"/>
      <name val="Times New Roman"/>
      <family val="1"/>
    </font>
    <font>
      <u/>
      <sz val="11"/>
      <color theme="11"/>
      <name val="Calibri"/>
      <family val="2"/>
      <scheme val="minor"/>
    </font>
    <font>
      <b/>
      <sz val="10"/>
      <name val="Arial"/>
      <family val="2"/>
    </font>
    <font>
      <sz val="10"/>
      <color indexed="8"/>
      <name val="Arial"/>
      <family val="2"/>
    </font>
    <font>
      <sz val="8"/>
      <name val="Times New Roman"/>
      <family val="1"/>
    </font>
    <font>
      <sz val="11"/>
      <name val="ＭＳ Ｐゴシック"/>
      <charset val="128"/>
    </font>
    <font>
      <sz val="8"/>
      <name val="Palatino"/>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Palatino"/>
      <family val="1"/>
    </font>
    <font>
      <b/>
      <sz val="12"/>
      <name val="Helv"/>
    </font>
    <font>
      <b/>
      <i/>
      <sz val="10"/>
      <name val="Helv"/>
      <family val="2"/>
    </font>
    <font>
      <b/>
      <sz val="8"/>
      <name val="Helv"/>
      <family val="2"/>
    </font>
    <font>
      <sz val="7"/>
      <color indexed="12"/>
      <name val="Times New Roman"/>
      <family val="1"/>
    </font>
    <font>
      <sz val="9"/>
      <name val="Tahoma"/>
      <family val="2"/>
    </font>
    <font>
      <sz val="8"/>
      <name val="Times"/>
      <family val="1"/>
    </font>
    <font>
      <sz val="9"/>
      <color indexed="8"/>
      <name val="Times New Roman"/>
      <family val="1"/>
    </font>
    <font>
      <sz val="8"/>
      <color indexed="12"/>
      <name val="Tms Rmn"/>
    </font>
    <font>
      <sz val="10"/>
      <color indexed="12"/>
      <name val="Times New Roman"/>
      <family val="1"/>
    </font>
    <font>
      <sz val="12"/>
      <name val="Tms Rmn"/>
      <family val="1"/>
    </font>
    <font>
      <b/>
      <sz val="12"/>
      <name val="SWISS"/>
    </font>
    <font>
      <b/>
      <i/>
      <sz val="10"/>
      <color indexed="30"/>
      <name val="Comic Sans MS"/>
      <family val="4"/>
    </font>
    <font>
      <sz val="8"/>
      <color indexed="30"/>
      <name val="Comic Sans MS"/>
      <family val="4"/>
    </font>
    <font>
      <b/>
      <sz val="8"/>
      <color indexed="30"/>
      <name val="Comic Sans MS"/>
      <family val="4"/>
    </font>
    <font>
      <sz val="10"/>
      <color indexed="30"/>
      <name val="Comic Sans MS"/>
      <family val="4"/>
    </font>
    <font>
      <sz val="8"/>
      <name val="Helvetica-Narrow"/>
    </font>
    <font>
      <u val="singleAccounting"/>
      <sz val="10"/>
      <name val="Arial"/>
      <family val="2"/>
    </font>
    <font>
      <sz val="12"/>
      <name val="±¼¸²Ã¼"/>
      <family val="3"/>
      <charset val="129"/>
    </font>
    <font>
      <sz val="9"/>
      <color indexed="8"/>
      <name val="Helvetica-Narrow"/>
    </font>
    <font>
      <sz val="8"/>
      <color indexed="13"/>
      <name val="Helvetica-Narrow"/>
    </font>
    <font>
      <b/>
      <sz val="7"/>
      <name val="Helvetica-Narrow"/>
      <family val="2"/>
    </font>
    <font>
      <b/>
      <sz val="7"/>
      <name val="GillSans"/>
    </font>
    <font>
      <b/>
      <sz val="9"/>
      <name val="Tahoma"/>
      <family val="2"/>
    </font>
    <font>
      <sz val="12"/>
      <color indexed="24"/>
      <name val="Arial"/>
      <family val="2"/>
    </font>
    <font>
      <sz val="10"/>
      <name val="Helv"/>
    </font>
    <font>
      <sz val="12"/>
      <name val="Helv"/>
    </font>
    <font>
      <b/>
      <sz val="24"/>
      <name val="Courier New"/>
      <family val="3"/>
    </font>
    <font>
      <b/>
      <sz val="10"/>
      <color indexed="30"/>
      <name val="Comic Sans MS"/>
      <family val="4"/>
    </font>
    <font>
      <sz val="12"/>
      <color indexed="30"/>
      <name val="Comic Sans MS"/>
      <family val="4"/>
    </font>
    <font>
      <sz val="10"/>
      <name val="MS Serif"/>
      <family val="1"/>
    </font>
    <font>
      <sz val="10"/>
      <name val="Courier"/>
      <family val="3"/>
    </font>
    <font>
      <sz val="10"/>
      <name val="Book Antiqua"/>
      <family val="1"/>
    </font>
    <font>
      <sz val="10"/>
      <name val="Times New Roman Special G1"/>
    </font>
    <font>
      <sz val="10"/>
      <color indexed="24"/>
      <name val="Arial"/>
      <family val="2"/>
    </font>
    <font>
      <sz val="9"/>
      <name val="Times New Roman"/>
      <family val="1"/>
    </font>
    <font>
      <u/>
      <sz val="8"/>
      <color indexed="12"/>
      <name val="Times New Roman"/>
      <family val="1"/>
    </font>
    <font>
      <sz val="9"/>
      <name val="Arial"/>
      <family val="2"/>
    </font>
    <font>
      <sz val="8"/>
      <color indexed="12"/>
      <name val="Times New Roman"/>
      <family val="1"/>
    </font>
    <font>
      <u val="doubleAccounting"/>
      <sz val="10"/>
      <name val="Arial"/>
      <family val="2"/>
    </font>
    <font>
      <sz val="14"/>
      <color indexed="8"/>
      <name val="Times New Roman"/>
      <family val="1"/>
    </font>
    <font>
      <b/>
      <sz val="10"/>
      <color indexed="8"/>
      <name val="Times New Roman"/>
      <family val="1"/>
    </font>
    <font>
      <sz val="8"/>
      <color indexed="8"/>
      <name val="Times New Roman"/>
      <family val="1"/>
    </font>
    <font>
      <i/>
      <sz val="9"/>
      <name val="Times New Roman"/>
      <family val="1"/>
    </font>
    <font>
      <i/>
      <sz val="10"/>
      <name val="Times New Roman"/>
      <family val="1"/>
    </font>
    <font>
      <i/>
      <sz val="9"/>
      <color indexed="8"/>
      <name val="Times New Roman"/>
      <family val="1"/>
    </font>
    <font>
      <b/>
      <sz val="9"/>
      <name val="Times New Roman"/>
      <family val="1"/>
    </font>
    <font>
      <sz val="22"/>
      <name val="Times New Roman"/>
      <family val="1"/>
    </font>
    <font>
      <b/>
      <i/>
      <sz val="8"/>
      <color indexed="12"/>
      <name val="Arial"/>
      <family val="2"/>
    </font>
    <font>
      <sz val="10"/>
      <color indexed="16"/>
      <name val="MS Serif"/>
      <family val="1"/>
    </font>
    <font>
      <sz val="7"/>
      <name val="Palatino"/>
      <family val="1"/>
    </font>
    <font>
      <sz val="9"/>
      <name val="CharterITC BT"/>
      <family val="1"/>
    </font>
    <font>
      <b/>
      <sz val="10"/>
      <name val="Tahoma"/>
      <family val="2"/>
    </font>
    <font>
      <sz val="8"/>
      <name val="Arial"/>
      <family val="2"/>
    </font>
    <font>
      <b/>
      <sz val="12"/>
      <color indexed="9"/>
      <name val="Tms Rmn"/>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u/>
      <sz val="11"/>
      <color indexed="37"/>
      <name val="Arial"/>
      <family val="2"/>
    </font>
    <font>
      <b/>
      <sz val="12"/>
      <name val="Arial"/>
      <family val="2"/>
    </font>
    <font>
      <b/>
      <i/>
      <sz val="22"/>
      <name val="Times New Roman"/>
      <family val="1"/>
    </font>
    <font>
      <b/>
      <sz val="8"/>
      <name val="MS Sans Serif"/>
      <family val="2"/>
    </font>
    <font>
      <b/>
      <sz val="24"/>
      <name val="Geneva"/>
    </font>
    <font>
      <b/>
      <u/>
      <sz val="8"/>
      <name val="Arial"/>
      <family val="2"/>
    </font>
    <font>
      <sz val="10"/>
      <color indexed="12"/>
      <name val="Arial"/>
      <family val="2"/>
    </font>
    <font>
      <i/>
      <sz val="10"/>
      <name val="Arial"/>
      <family val="2"/>
    </font>
    <font>
      <sz val="10"/>
      <color indexed="16"/>
      <name val="MS Sans Serif"/>
      <family val="2"/>
    </font>
    <font>
      <sz val="10"/>
      <name val="Geneva"/>
    </font>
    <font>
      <sz val="14"/>
      <name val="Architecture"/>
      <family val="2"/>
    </font>
    <font>
      <sz val="7"/>
      <name val="Small Fonts"/>
      <family val="2"/>
    </font>
    <font>
      <sz val="11"/>
      <name val="明朝"/>
      <family val="1"/>
      <charset val="128"/>
    </font>
    <font>
      <sz val="10"/>
      <name val="Palatino"/>
      <family val="1"/>
    </font>
    <font>
      <sz val="10"/>
      <name val="ＭＳ Ｐゴシック"/>
      <family val="3"/>
      <charset val="128"/>
    </font>
    <font>
      <sz val="11"/>
      <name val="Times New Roman"/>
      <family val="1"/>
    </font>
    <font>
      <sz val="11"/>
      <name val="‚l‚r –¾’©"/>
      <family val="3"/>
      <charset val="128"/>
    </font>
    <font>
      <b/>
      <i/>
      <sz val="10"/>
      <color indexed="8"/>
      <name val="Arial"/>
      <family val="2"/>
    </font>
    <font>
      <b/>
      <sz val="10"/>
      <color indexed="8"/>
      <name val="Arial"/>
      <family val="2"/>
    </font>
    <font>
      <b/>
      <i/>
      <sz val="22"/>
      <color indexed="8"/>
      <name val="Times New Roman"/>
      <family val="1"/>
    </font>
    <font>
      <b/>
      <sz val="26"/>
      <name val="Times New Roman"/>
      <family val="1"/>
    </font>
    <font>
      <sz val="10"/>
      <color indexed="16"/>
      <name val="Helvetica-Black"/>
    </font>
    <font>
      <b/>
      <sz val="14"/>
      <color indexed="12"/>
      <name val="Arial"/>
      <family val="2"/>
    </font>
    <font>
      <sz val="22"/>
      <name val="UBSHeadline"/>
      <family val="1"/>
    </font>
    <font>
      <sz val="10"/>
      <name val="Tms Rmn"/>
      <family val="1"/>
    </font>
    <font>
      <sz val="10"/>
      <name val="MS Sans Serif"/>
      <family val="2"/>
    </font>
    <font>
      <b/>
      <sz val="10"/>
      <name val="MS Sans Serif"/>
      <family val="2"/>
    </font>
    <font>
      <sz val="8"/>
      <name val="Wingdings"/>
      <charset val="2"/>
    </font>
    <font>
      <sz val="8"/>
      <name val="Helv"/>
    </font>
    <font>
      <sz val="10"/>
      <name val="GillSans Light"/>
    </font>
    <font>
      <sz val="9.5"/>
      <color indexed="23"/>
      <name val="Helvetica-Black"/>
    </font>
    <font>
      <b/>
      <sz val="16"/>
      <color indexed="16"/>
      <name val="Arial"/>
      <family val="2"/>
    </font>
    <font>
      <sz val="8"/>
      <name val="MS Sans Serif"/>
      <family val="2"/>
    </font>
    <font>
      <sz val="10"/>
      <color indexed="14"/>
      <name val="Century Schoolbook"/>
      <family val="1"/>
    </font>
    <font>
      <b/>
      <sz val="11"/>
      <name val="Helv"/>
    </font>
    <font>
      <b/>
      <u/>
      <sz val="10"/>
      <name val="Tahoma"/>
      <family val="2"/>
    </font>
    <font>
      <b/>
      <sz val="9"/>
      <name val="Arial"/>
      <family val="2"/>
    </font>
    <font>
      <b/>
      <sz val="9"/>
      <name val="Palatino"/>
      <family val="1"/>
    </font>
    <font>
      <sz val="9"/>
      <color indexed="21"/>
      <name val="Helvetica-Black"/>
    </font>
    <font>
      <b/>
      <sz val="10"/>
      <name val="Palatino"/>
      <family val="1"/>
    </font>
    <font>
      <b/>
      <sz val="8"/>
      <name val="Arial"/>
      <family val="2"/>
    </font>
    <font>
      <b/>
      <sz val="7"/>
      <name val="Arial"/>
      <family val="2"/>
    </font>
    <font>
      <sz val="9"/>
      <name val="Helvetica-Black"/>
    </font>
    <font>
      <sz val="9"/>
      <name val="Palatino"/>
      <family val="1"/>
    </font>
    <font>
      <sz val="12"/>
      <color indexed="8"/>
      <name val="Palatino"/>
      <family val="1"/>
    </font>
    <font>
      <sz val="11"/>
      <color indexed="8"/>
      <name val="Helvetica-Black"/>
    </font>
    <font>
      <b/>
      <sz val="11"/>
      <name val="Tahoma"/>
      <family val="2"/>
    </font>
    <font>
      <u/>
      <sz val="8"/>
      <name val="Times New Roman"/>
      <family val="1"/>
    </font>
    <font>
      <b/>
      <sz val="12"/>
      <name val="CG Times (W1)"/>
      <family val="1"/>
    </font>
    <font>
      <b/>
      <i/>
      <sz val="12"/>
      <name val="CG Times (W1)"/>
      <family val="1"/>
    </font>
    <font>
      <b/>
      <i/>
      <sz val="24"/>
      <name val="Arial"/>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0"/>
      <color indexed="30"/>
      <name val="Arial"/>
      <family val="2"/>
    </font>
    <font>
      <b/>
      <sz val="7"/>
      <color indexed="12"/>
      <name val="Arial"/>
      <family val="2"/>
    </font>
    <font>
      <u/>
      <sz val="8"/>
      <color indexed="8"/>
      <name val="Arial"/>
      <family val="2"/>
    </font>
    <font>
      <sz val="8"/>
      <color indexed="12"/>
      <name val="Arial"/>
      <family val="2"/>
    </font>
    <font>
      <sz val="10"/>
      <color indexed="9"/>
      <name val="Tms Rmn"/>
    </font>
    <font>
      <sz val="7"/>
      <name val="Times New Roman"/>
      <family val="1"/>
    </font>
    <font>
      <b/>
      <i/>
      <sz val="8"/>
      <name val="Helv"/>
    </font>
    <font>
      <sz val="10"/>
      <name val="ＭＳ 明朝"/>
      <family val="1"/>
      <charset val="128"/>
    </font>
    <font>
      <sz val="9"/>
      <color indexed="8"/>
      <name val="ＭＳ Ｐゴシック"/>
      <family val="3"/>
      <charset val="128"/>
    </font>
    <font>
      <b/>
      <sz val="10"/>
      <color indexed="81"/>
      <name val="Calibri"/>
      <family val="2"/>
    </font>
    <font>
      <sz val="14"/>
      <color indexed="81"/>
      <name val="Calibri"/>
      <family val="2"/>
    </font>
    <font>
      <u/>
      <sz val="11"/>
      <color theme="10"/>
      <name val="Calibri"/>
      <family val="2"/>
      <scheme val="minor"/>
    </font>
    <font>
      <sz val="10"/>
      <color theme="1"/>
      <name val="Calibri"/>
      <family val="2"/>
      <scheme val="minor"/>
    </font>
    <font>
      <sz val="11"/>
      <color rgb="FF006100"/>
      <name val="Calibri"/>
      <family val="2"/>
      <scheme val="minor"/>
    </font>
    <font>
      <b/>
      <sz val="13"/>
      <color theme="1"/>
      <name val="Arial"/>
      <family val="2"/>
    </font>
    <font>
      <b/>
      <sz val="12"/>
      <color theme="0"/>
      <name val="Calibri"/>
      <family val="2"/>
      <scheme val="minor"/>
    </font>
    <font>
      <sz val="8"/>
      <name val="Calibri"/>
      <family val="2"/>
      <scheme val="minor"/>
    </font>
    <font>
      <u/>
      <sz val="12"/>
      <color theme="10"/>
      <name val="Calibri"/>
      <family val="2"/>
      <scheme val="minor"/>
    </font>
    <font>
      <sz val="11"/>
      <color theme="1"/>
      <name val="Arial"/>
      <family val="2"/>
    </font>
    <font>
      <b/>
      <sz val="11"/>
      <color theme="1"/>
      <name val="Arial"/>
      <family val="2"/>
    </font>
    <font>
      <sz val="10"/>
      <color theme="1"/>
      <name val="Arial"/>
      <family val="2"/>
    </font>
    <font>
      <b/>
      <sz val="10"/>
      <color theme="0"/>
      <name val="Arial"/>
      <family val="2"/>
    </font>
    <font>
      <b/>
      <sz val="10"/>
      <color theme="3"/>
      <name val="Arial"/>
      <family val="2"/>
    </font>
    <font>
      <b/>
      <sz val="10"/>
      <color rgb="FF0432FF"/>
      <name val="Arial"/>
      <family val="2"/>
    </font>
    <font>
      <b/>
      <sz val="10"/>
      <color theme="1"/>
      <name val="Arial"/>
      <family val="2"/>
    </font>
    <font>
      <sz val="10"/>
      <color theme="3"/>
      <name val="Arial"/>
      <family val="2"/>
    </font>
    <font>
      <sz val="10"/>
      <color theme="0"/>
      <name val="Arial"/>
      <family val="2"/>
    </font>
    <font>
      <b/>
      <sz val="10"/>
      <color rgb="FFFFFF00"/>
      <name val="Arial"/>
      <family val="2"/>
    </font>
    <font>
      <b/>
      <sz val="10"/>
      <color rgb="FF0070C0"/>
      <name val="Arial"/>
      <family val="2"/>
    </font>
    <font>
      <sz val="10"/>
      <color theme="9" tint="-0.249977111117893"/>
      <name val="Arial"/>
      <family val="2"/>
    </font>
    <font>
      <sz val="11"/>
      <color rgb="FF00B0F0"/>
      <name val="Arial"/>
      <family val="2"/>
    </font>
    <font>
      <sz val="10"/>
      <color rgb="FF00B0F0"/>
      <name val="Arial"/>
      <family val="2"/>
    </font>
    <font>
      <b/>
      <u/>
      <sz val="10"/>
      <name val="Arial"/>
      <family val="2"/>
    </font>
    <font>
      <b/>
      <sz val="10"/>
      <color theme="4"/>
      <name val="Arial"/>
      <family val="2"/>
    </font>
    <font>
      <b/>
      <sz val="10"/>
      <color rgb="FF00B0F0"/>
      <name val="Arial"/>
      <family val="2"/>
    </font>
    <font>
      <b/>
      <sz val="9"/>
      <color theme="1"/>
      <name val="Arial"/>
      <family val="2"/>
    </font>
    <font>
      <b/>
      <sz val="14"/>
      <color theme="0"/>
      <name val="Arial"/>
      <family val="2"/>
    </font>
    <font>
      <b/>
      <sz val="16"/>
      <color theme="1"/>
      <name val="Arial"/>
      <family val="2"/>
    </font>
    <font>
      <b/>
      <sz val="12"/>
      <color theme="1"/>
      <name val="Arial"/>
      <family val="2"/>
    </font>
    <font>
      <sz val="12"/>
      <color theme="1"/>
      <name val="Arial"/>
      <family val="2"/>
    </font>
    <font>
      <b/>
      <sz val="12"/>
      <color theme="0"/>
      <name val="Arial"/>
      <family val="2"/>
    </font>
    <font>
      <sz val="11"/>
      <color rgb="FF00B0F0"/>
      <name val="Calibri"/>
      <family val="2"/>
      <scheme val="minor"/>
    </font>
    <font>
      <b/>
      <sz val="12"/>
      <color theme="1"/>
      <name val="Calibri"/>
      <family val="2"/>
      <scheme val="minor"/>
    </font>
    <font>
      <sz val="10"/>
      <color rgb="FF0432FF"/>
      <name val="Arial"/>
      <family val="2"/>
    </font>
    <font>
      <b/>
      <sz val="14"/>
      <color theme="1"/>
      <name val="Arial"/>
      <family val="2"/>
    </font>
    <font>
      <b/>
      <u/>
      <sz val="10"/>
      <color theme="1"/>
      <name val="Arial"/>
      <family val="2"/>
    </font>
    <font>
      <b/>
      <sz val="11"/>
      <color theme="1"/>
      <name val="Calibri"/>
      <family val="2"/>
      <scheme val="minor"/>
    </font>
    <font>
      <sz val="10"/>
      <color rgb="FFFF0000"/>
      <name val="Arial"/>
      <family val="2"/>
    </font>
    <font>
      <b/>
      <sz val="11"/>
      <color theme="0"/>
      <name val="Calibri"/>
      <family val="2"/>
      <scheme val="minor"/>
    </font>
    <font>
      <sz val="11"/>
      <color theme="0"/>
      <name val="Calibri"/>
      <family val="2"/>
      <scheme val="minor"/>
    </font>
    <font>
      <b/>
      <sz val="11"/>
      <color theme="0"/>
      <name val="Arial"/>
      <family val="2"/>
    </font>
    <font>
      <b/>
      <vertAlign val="superscript"/>
      <sz val="11"/>
      <color theme="1"/>
      <name val="Arial"/>
      <family val="2"/>
    </font>
  </fonts>
  <fills count="52">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indexed="43"/>
      </patternFill>
    </fill>
    <fill>
      <patternFill patternType="solid">
        <fgColor indexed="44"/>
        <bgColor indexed="64"/>
      </patternFill>
    </fill>
    <fill>
      <patternFill patternType="lightGray">
        <fgColor indexed="15"/>
      </patternFill>
    </fill>
    <fill>
      <patternFill patternType="solid">
        <fgColor indexed="24"/>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solid">
        <fgColor indexed="42"/>
        <bgColor indexed="64"/>
      </patternFill>
    </fill>
    <fill>
      <patternFill patternType="solid">
        <fgColor indexed="10"/>
        <bgColor indexed="10"/>
      </patternFill>
    </fill>
    <fill>
      <patternFill patternType="solid">
        <fgColor indexed="22"/>
        <bgColor indexed="22"/>
      </patternFill>
    </fill>
    <fill>
      <patternFill patternType="solid">
        <fgColor indexed="41"/>
        <bgColor indexed="64"/>
      </patternFill>
    </fill>
    <fill>
      <patternFill patternType="mediumGray">
        <fgColor indexed="22"/>
      </patternFill>
    </fill>
    <fill>
      <patternFill patternType="darkVertical"/>
    </fill>
    <fill>
      <patternFill patternType="solid">
        <fgColor indexed="63"/>
        <bgColor indexed="64"/>
      </patternFill>
    </fill>
    <fill>
      <patternFill patternType="solid">
        <fgColor indexed="16"/>
        <bgColor indexed="64"/>
      </patternFill>
    </fill>
    <fill>
      <patternFill patternType="solid">
        <fgColor indexed="43"/>
        <bgColor indexed="64"/>
      </patternFill>
    </fill>
    <fill>
      <patternFill patternType="solid">
        <fgColor indexed="13"/>
      </patternFill>
    </fill>
    <fill>
      <patternFill patternType="solid">
        <fgColor theme="0" tint="-0.14996795556505021"/>
        <bgColor indexed="64"/>
      </patternFill>
    </fill>
    <fill>
      <patternFill patternType="solid">
        <fgColor rgb="FFC6EFCE"/>
      </patternFill>
    </fill>
    <fill>
      <patternFill patternType="solid">
        <fgColor theme="6" tint="-0.499984740745262"/>
        <bgColor indexed="64"/>
      </patternFill>
    </fill>
    <fill>
      <patternFill patternType="solid">
        <fgColor rgb="FFC00000"/>
        <bgColor indexed="64"/>
      </patternFill>
    </fill>
    <fill>
      <patternFill patternType="solid">
        <fgColor theme="7" tint="-0.249977111117893"/>
        <bgColor indexed="64"/>
      </patternFill>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rgb="FF0070C0"/>
        <bgColor indexed="64"/>
      </patternFill>
    </fill>
  </fills>
  <borders count="20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right/>
      <top style="thin">
        <color auto="1"/>
      </top>
      <bottom style="thin">
        <color auto="1"/>
      </bottom>
      <diagonal/>
    </border>
    <border>
      <left/>
      <right/>
      <top style="thin">
        <color auto="1"/>
      </top>
      <bottom style="double">
        <color auto="1"/>
      </bottom>
      <diagonal/>
    </border>
    <border>
      <left/>
      <right style="medium">
        <color auto="1"/>
      </right>
      <top/>
      <bottom/>
      <diagonal/>
    </border>
    <border>
      <left/>
      <right/>
      <top style="medium">
        <color auto="1"/>
      </top>
      <bottom style="medium">
        <color auto="1"/>
      </bottom>
      <diagonal/>
    </border>
    <border>
      <left/>
      <right style="thin">
        <color auto="1"/>
      </right>
      <top/>
      <bottom style="thin">
        <color auto="1"/>
      </bottom>
      <diagonal/>
    </border>
    <border>
      <left/>
      <right/>
      <top style="thin">
        <color auto="1"/>
      </top>
      <bottom/>
      <diagonal/>
    </border>
    <border>
      <left/>
      <right style="medium">
        <color auto="1"/>
      </right>
      <top/>
      <bottom style="thin">
        <color auto="1"/>
      </bottom>
      <diagonal/>
    </border>
    <border>
      <left style="thin">
        <color auto="1"/>
      </left>
      <right/>
      <top/>
      <bottom/>
      <diagonal/>
    </border>
    <border>
      <left/>
      <right/>
      <top/>
      <bottom style="thin">
        <color auto="1"/>
      </bottom>
      <diagonal/>
    </border>
    <border>
      <left style="thin">
        <color auto="1"/>
      </left>
      <right/>
      <top/>
      <bottom style="double">
        <color auto="1"/>
      </bottom>
      <diagonal/>
    </border>
    <border>
      <left/>
      <right style="thin">
        <color auto="1"/>
      </right>
      <top/>
      <bottom/>
      <diagonal/>
    </border>
    <border>
      <left style="medium">
        <color auto="1"/>
      </left>
      <right/>
      <top/>
      <bottom/>
      <diagonal/>
    </border>
    <border>
      <left/>
      <right/>
      <top style="hair">
        <color indexed="8"/>
      </top>
      <bottom style="hair">
        <color indexed="8"/>
      </bottom>
      <diagonal/>
    </border>
    <border>
      <left/>
      <right/>
      <top/>
      <bottom style="medium">
        <color indexed="18"/>
      </bottom>
      <diagonal/>
    </border>
    <border>
      <left style="hair">
        <color auto="1"/>
      </left>
      <right style="hair">
        <color auto="1"/>
      </right>
      <top style="hair">
        <color auto="1"/>
      </top>
      <bottom style="hair">
        <color auto="1"/>
      </bottom>
      <diagonal/>
    </border>
    <border>
      <left style="double">
        <color auto="1"/>
      </left>
      <right/>
      <top/>
      <bottom style="hair">
        <color auto="1"/>
      </bottom>
      <diagonal/>
    </border>
    <border>
      <left/>
      <right/>
      <top style="thick">
        <color indexed="30"/>
      </top>
      <bottom/>
      <diagonal/>
    </border>
    <border>
      <left style="thin">
        <color indexed="30"/>
      </left>
      <right style="thin">
        <color indexed="30"/>
      </right>
      <top/>
      <bottom style="double">
        <color indexed="30"/>
      </bottom>
      <diagonal/>
    </border>
    <border>
      <left/>
      <right/>
      <top/>
      <bottom style="thin">
        <color indexed="30"/>
      </bottom>
      <diagonal/>
    </border>
    <border>
      <left/>
      <right/>
      <top/>
      <bottom style="medium">
        <color auto="1"/>
      </bottom>
      <diagonal/>
    </border>
    <border>
      <left/>
      <right/>
      <top/>
      <bottom style="thin">
        <color indexed="22"/>
      </bottom>
      <diagonal/>
    </border>
    <border>
      <left/>
      <right/>
      <top/>
      <bottom style="thick">
        <color indexed="30"/>
      </bottom>
      <diagonal/>
    </border>
    <border>
      <left style="thin">
        <color indexed="30"/>
      </left>
      <right style="thin">
        <color indexed="30"/>
      </right>
      <top/>
      <bottom style="thin">
        <color indexed="30"/>
      </bottom>
      <diagonal/>
    </border>
    <border>
      <left/>
      <right/>
      <top/>
      <bottom style="hair">
        <color auto="1"/>
      </bottom>
      <diagonal/>
    </border>
    <border>
      <left/>
      <right/>
      <top/>
      <bottom style="thin">
        <color auto="1"/>
      </bottom>
      <diagonal/>
    </border>
    <border>
      <left style="thin">
        <color indexed="30"/>
      </left>
      <right/>
      <top/>
      <bottom/>
      <diagonal/>
    </border>
    <border>
      <left style="thin">
        <color indexed="30"/>
      </left>
      <right style="thin">
        <color indexed="30"/>
      </right>
      <top/>
      <bottom/>
      <diagonal/>
    </border>
    <border>
      <left/>
      <right/>
      <top/>
      <bottom style="dotted">
        <color auto="1"/>
      </bottom>
      <diagonal/>
    </border>
    <border>
      <left/>
      <right/>
      <top/>
      <bottom style="medium">
        <color indexed="63"/>
      </bottom>
      <diagonal/>
    </border>
    <border>
      <left/>
      <right/>
      <top style="hair">
        <color auto="1"/>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ashed">
        <color auto="1"/>
      </left>
      <right style="dashed">
        <color auto="1"/>
      </right>
      <top style="dashed">
        <color auto="1"/>
      </top>
      <bottom style="dashed">
        <color auto="1"/>
      </bottom>
      <diagonal/>
    </border>
    <border>
      <left/>
      <right/>
      <top/>
      <bottom style="hair">
        <color indexed="22"/>
      </bottom>
      <diagonal/>
    </border>
    <border>
      <left/>
      <right/>
      <top/>
      <bottom style="thick">
        <color auto="1"/>
      </bottom>
      <diagonal/>
    </border>
    <border>
      <left style="double">
        <color auto="1"/>
      </left>
      <right style="double">
        <color auto="1"/>
      </right>
      <top style="double">
        <color auto="1"/>
      </top>
      <bottom style="double">
        <color auto="1"/>
      </bottom>
      <diagonal/>
    </border>
    <border>
      <left style="thin">
        <color indexed="30"/>
      </left>
      <right/>
      <top/>
      <bottom style="thin">
        <color indexed="30"/>
      </bottom>
      <diagonal/>
    </border>
    <border>
      <left/>
      <right style="thin">
        <color indexed="30"/>
      </right>
      <top/>
      <bottom/>
      <diagonal/>
    </border>
    <border>
      <left style="thin">
        <color auto="1"/>
      </left>
      <right style="thin">
        <color auto="1"/>
      </right>
      <top style="hair">
        <color auto="1"/>
      </top>
      <bottom style="hair">
        <color auto="1"/>
      </bottom>
      <diagonal/>
    </border>
    <border>
      <left style="thick">
        <color indexed="30"/>
      </left>
      <right style="thin">
        <color indexed="30"/>
      </right>
      <top style="thick">
        <color indexed="30"/>
      </top>
      <bottom style="thick">
        <color indexed="30"/>
      </bottom>
      <diagonal/>
    </border>
    <border>
      <left/>
      <right/>
      <top style="thin">
        <color auto="1"/>
      </top>
      <bottom style="hair">
        <color indexed="22"/>
      </bottom>
      <diagonal/>
    </border>
    <border>
      <left style="medium">
        <color indexed="8"/>
      </left>
      <right/>
      <top style="medium">
        <color indexed="8"/>
      </top>
      <bottom style="thin">
        <color indexed="8"/>
      </bottom>
      <diagonal/>
    </border>
    <border>
      <left/>
      <right/>
      <top/>
      <bottom style="medium">
        <color indexed="45"/>
      </bottom>
      <diagonal/>
    </border>
    <border>
      <left style="thin">
        <color auto="1"/>
      </left>
      <right style="thin">
        <color auto="1"/>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auto="1"/>
      </top>
      <bottom style="thin">
        <color auto="1"/>
      </bottom>
      <diagonal/>
    </border>
    <border>
      <left style="medium">
        <color auto="1"/>
      </left>
      <right style="medium">
        <color auto="1"/>
      </right>
      <top style="medium">
        <color auto="1"/>
      </top>
      <bottom style="medium">
        <color auto="1"/>
      </bottom>
      <diagonal/>
    </border>
    <border>
      <left style="dotted">
        <color auto="1"/>
      </left>
      <right style="dotted">
        <color auto="1"/>
      </right>
      <top style="dotted">
        <color auto="1"/>
      </top>
      <bottom style="dotted">
        <color auto="1"/>
      </bottom>
      <diagonal/>
    </border>
    <border>
      <left style="thin">
        <color auto="1"/>
      </left>
      <right/>
      <top/>
      <bottom/>
      <diagonal/>
    </border>
    <border>
      <left style="thin">
        <color indexed="8"/>
      </left>
      <right/>
      <top style="thin">
        <color indexed="8"/>
      </top>
      <bottom/>
      <diagonal/>
    </border>
    <border>
      <left style="thin">
        <color auto="1"/>
      </left>
      <right style="thin">
        <color auto="1"/>
      </right>
      <top/>
      <bottom style="medium">
        <color auto="1"/>
      </bottom>
      <diagonal/>
    </border>
    <border>
      <left style="medium">
        <color auto="1"/>
      </left>
      <right/>
      <top/>
      <bottom style="double">
        <color auto="1"/>
      </bottom>
      <diagonal/>
    </border>
    <border>
      <left style="medium">
        <color auto="1"/>
      </left>
      <right style="medium">
        <color auto="1"/>
      </right>
      <top/>
      <bottom style="medium">
        <color auto="1"/>
      </bottom>
      <diagonal/>
    </border>
    <border>
      <left/>
      <right/>
      <top/>
      <bottom style="thick">
        <color theme="4" tint="0.39997558519241921"/>
      </bottom>
      <diagonal/>
    </border>
    <border>
      <left style="medium">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bottom style="double">
        <color auto="1"/>
      </bottom>
      <diagonal/>
    </border>
    <border>
      <left style="medium">
        <color auto="1"/>
      </left>
      <right style="medium">
        <color auto="1"/>
      </right>
      <top/>
      <bottom style="double">
        <color auto="1"/>
      </bottom>
      <diagonal/>
    </border>
    <border>
      <left/>
      <right style="medium">
        <color auto="1"/>
      </right>
      <top style="thin">
        <color auto="1"/>
      </top>
      <bottom/>
      <diagonal/>
    </border>
    <border>
      <left style="thin">
        <color auto="1"/>
      </left>
      <right/>
      <top style="double">
        <color auto="1"/>
      </top>
      <bottom style="double">
        <color auto="1"/>
      </bottom>
      <diagonal/>
    </border>
    <border>
      <left/>
      <right style="medium">
        <color auto="1"/>
      </right>
      <top style="double">
        <color auto="1"/>
      </top>
      <bottom style="double">
        <color auto="1"/>
      </bottom>
      <diagonal/>
    </border>
    <border>
      <left style="medium">
        <color auto="1"/>
      </left>
      <right style="medium">
        <color auto="1"/>
      </right>
      <top style="thin">
        <color auto="1"/>
      </top>
      <bottom/>
      <diagonal/>
    </border>
    <border>
      <left/>
      <right style="medium">
        <color auto="1"/>
      </right>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auto="1"/>
      </bottom>
      <diagonal/>
    </border>
    <border>
      <left/>
      <right/>
      <top style="medium">
        <color indexed="64"/>
      </top>
      <bottom style="medium">
        <color auto="1"/>
      </bottom>
      <diagonal/>
    </border>
    <border>
      <left/>
      <right style="medium">
        <color indexed="64"/>
      </right>
      <top style="medium">
        <color indexed="64"/>
      </top>
      <bottom style="medium">
        <color auto="1"/>
      </bottom>
      <diagonal/>
    </border>
    <border>
      <left/>
      <right/>
      <top/>
      <bottom style="double">
        <color indexed="64"/>
      </bottom>
      <diagonal/>
    </border>
    <border>
      <left style="thin">
        <color indexed="64"/>
      </left>
      <right style="thin">
        <color indexed="64"/>
      </right>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right style="thin">
        <color auto="1"/>
      </right>
      <top/>
      <bottom style="medium">
        <color indexed="64"/>
      </bottom>
      <diagonal/>
    </border>
    <border>
      <left style="medium">
        <color auto="1"/>
      </left>
      <right style="thin">
        <color auto="1"/>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top style="thin">
        <color auto="1"/>
      </top>
      <bottom/>
      <diagonal/>
    </border>
    <border>
      <left style="medium">
        <color indexed="64"/>
      </left>
      <right/>
      <top style="medium">
        <color indexed="64"/>
      </top>
      <bottom style="thin">
        <color auto="1"/>
      </bottom>
      <diagonal/>
    </border>
    <border>
      <left style="medium">
        <color auto="1"/>
      </left>
      <right style="medium">
        <color indexed="64"/>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auto="1"/>
      </right>
      <top style="thin">
        <color indexed="64"/>
      </top>
      <bottom style="medium">
        <color indexed="64"/>
      </bottom>
      <diagonal/>
    </border>
    <border>
      <left style="medium">
        <color auto="1"/>
      </left>
      <right style="medium">
        <color indexed="64"/>
      </right>
      <top/>
      <bottom style="thin">
        <color auto="1"/>
      </bottom>
      <diagonal/>
    </border>
    <border>
      <left style="thin">
        <color indexed="64"/>
      </left>
      <right/>
      <top style="medium">
        <color indexed="64"/>
      </top>
      <bottom style="thin">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medium">
        <color auto="1"/>
      </left>
      <right style="medium">
        <color auto="1"/>
      </right>
      <top style="thin">
        <color auto="1"/>
      </top>
      <bottom style="thin">
        <color auto="1"/>
      </bottom>
      <diagonal/>
    </border>
    <border>
      <left style="thin">
        <color auto="1"/>
      </left>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medium">
        <color indexed="64"/>
      </right>
      <top style="thin">
        <color auto="1"/>
      </top>
      <bottom style="double">
        <color auto="1"/>
      </bottom>
      <diagonal/>
    </border>
    <border>
      <left style="medium">
        <color auto="1"/>
      </left>
      <right style="medium">
        <color indexed="64"/>
      </right>
      <top style="thin">
        <color auto="1"/>
      </top>
      <bottom style="medium">
        <color indexed="64"/>
      </bottom>
      <diagonal/>
    </border>
    <border>
      <left style="medium">
        <color auto="1"/>
      </left>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top style="thin">
        <color auto="1"/>
      </top>
      <bottom style="medium">
        <color auto="1"/>
      </bottom>
      <diagonal/>
    </border>
    <border>
      <left style="thin">
        <color auto="1"/>
      </left>
      <right/>
      <top style="thin">
        <color auto="1"/>
      </top>
      <bottom style="double">
        <color indexed="64"/>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indexed="64"/>
      </left>
      <right style="medium">
        <color indexed="64"/>
      </right>
      <top/>
      <bottom/>
      <diagonal/>
    </border>
    <border>
      <left/>
      <right style="medium">
        <color auto="1"/>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auto="1"/>
      </left>
      <right style="thin">
        <color auto="1"/>
      </right>
      <top style="medium">
        <color indexed="64"/>
      </top>
      <bottom style="medium">
        <color indexed="64"/>
      </bottom>
      <diagonal/>
    </border>
    <border>
      <left style="thin">
        <color indexed="64"/>
      </left>
      <right style="thin">
        <color indexed="64"/>
      </right>
      <top style="medium">
        <color indexed="64"/>
      </top>
      <bottom style="thin">
        <color auto="1"/>
      </bottom>
      <diagonal/>
    </border>
    <border>
      <left style="thin">
        <color indexed="64"/>
      </left>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thin">
        <color auto="1"/>
      </left>
      <right style="medium">
        <color indexed="64"/>
      </right>
      <top/>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auto="1"/>
      </left>
      <right style="medium">
        <color auto="1"/>
      </right>
      <top style="double">
        <color auto="1"/>
      </top>
      <bottom style="double">
        <color indexed="64"/>
      </bottom>
      <diagonal/>
    </border>
    <border>
      <left style="thin">
        <color auto="1"/>
      </left>
      <right style="medium">
        <color indexed="64"/>
      </right>
      <top/>
      <bottom style="double">
        <color auto="1"/>
      </bottom>
      <diagonal/>
    </border>
    <border>
      <left style="thin">
        <color auto="1"/>
      </left>
      <right/>
      <top/>
      <bottom style="medium">
        <color indexed="64"/>
      </bottom>
      <diagonal/>
    </border>
    <border>
      <left style="thin">
        <color auto="1"/>
      </left>
      <right style="medium">
        <color indexed="64"/>
      </right>
      <top style="double">
        <color auto="1"/>
      </top>
      <bottom style="medium">
        <color indexed="64"/>
      </bottom>
      <diagonal/>
    </border>
    <border>
      <left/>
      <right style="thin">
        <color indexed="64"/>
      </right>
      <top style="double">
        <color auto="1"/>
      </top>
      <bottom style="double">
        <color auto="1"/>
      </bottom>
      <diagonal/>
    </border>
    <border>
      <left style="medium">
        <color auto="1"/>
      </left>
      <right style="thin">
        <color auto="1"/>
      </right>
      <top style="double">
        <color auto="1"/>
      </top>
      <bottom style="thin">
        <color indexed="64"/>
      </bottom>
      <diagonal/>
    </border>
    <border>
      <left style="thin">
        <color auto="1"/>
      </left>
      <right style="medium">
        <color indexed="64"/>
      </right>
      <top style="double">
        <color auto="1"/>
      </top>
      <bottom style="thin">
        <color indexed="64"/>
      </bottom>
      <diagonal/>
    </border>
    <border>
      <left style="thin">
        <color auto="1"/>
      </left>
      <right style="medium">
        <color auto="1"/>
      </right>
      <top style="medium">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auto="1"/>
      </left>
      <right/>
      <top style="medium">
        <color indexed="64"/>
      </top>
      <bottom style="thin">
        <color auto="1"/>
      </bottom>
      <diagonal/>
    </border>
    <border>
      <left style="medium">
        <color indexed="64"/>
      </left>
      <right style="medium">
        <color indexed="64"/>
      </right>
      <top style="medium">
        <color indexed="64"/>
      </top>
      <bottom/>
      <diagonal/>
    </border>
    <border>
      <left style="medium">
        <color auto="1"/>
      </left>
      <right style="medium">
        <color indexed="64"/>
      </right>
      <top style="medium">
        <color indexed="64"/>
      </top>
      <bottom style="thin">
        <color auto="1"/>
      </bottom>
      <diagonal/>
    </border>
    <border>
      <left/>
      <right/>
      <top style="medium">
        <color indexed="64"/>
      </top>
      <bottom style="thin">
        <color indexed="64"/>
      </bottom>
      <diagonal/>
    </border>
    <border>
      <left style="thin">
        <color auto="1"/>
      </left>
      <right style="thin">
        <color auto="1"/>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double">
        <color auto="1"/>
      </top>
      <bottom style="medium">
        <color indexed="64"/>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thin">
        <color auto="1"/>
      </left>
      <right style="thin">
        <color auto="1"/>
      </right>
      <top/>
      <bottom style="double">
        <color auto="1"/>
      </bottom>
      <diagonal/>
    </border>
    <border>
      <left/>
      <right style="medium">
        <color auto="1"/>
      </right>
      <top style="double">
        <color auto="1"/>
      </top>
      <bottom style="thin">
        <color indexed="64"/>
      </bottom>
      <diagonal/>
    </border>
    <border>
      <left style="thin">
        <color auto="1"/>
      </left>
      <right/>
      <top style="medium">
        <color indexed="64"/>
      </top>
      <bottom style="medium">
        <color indexed="64"/>
      </bottom>
      <diagonal/>
    </border>
    <border>
      <left/>
      <right style="thin">
        <color indexed="64"/>
      </right>
      <top/>
      <bottom style="double">
        <color auto="1"/>
      </bottom>
      <diagonal/>
    </border>
    <border>
      <left style="medium">
        <color indexed="64"/>
      </left>
      <right style="thin">
        <color indexed="64"/>
      </right>
      <top style="medium">
        <color indexed="64"/>
      </top>
      <bottom style="double">
        <color indexed="64"/>
      </bottom>
      <diagonal/>
    </border>
    <border>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s>
  <cellStyleXfs count="1361">
    <xf numFmtId="0" fontId="0"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9" fontId="7" fillId="0" borderId="0" applyFont="0" applyFill="0" applyBorder="0" applyAlignment="0" applyProtection="0"/>
    <xf numFmtId="0" fontId="8"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4" fontId="7" fillId="0" borderId="0" applyFont="0" applyFill="0" applyBorder="0" applyAlignment="0" applyProtection="0"/>
    <xf numFmtId="0" fontId="17" fillId="0" borderId="0"/>
    <xf numFmtId="43" fontId="17" fillId="0" borderId="0" applyFont="0" applyFill="0" applyBorder="0" applyAlignment="0" applyProtection="0"/>
    <xf numFmtId="0" fontId="7" fillId="0" borderId="0"/>
    <xf numFmtId="43" fontId="15" fillId="0" borderId="0" applyFont="0" applyFill="0" applyBorder="0" applyAlignment="0" applyProtection="0"/>
    <xf numFmtId="0" fontId="18" fillId="0" borderId="0"/>
    <xf numFmtId="9" fontId="15"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183" fontId="25" fillId="0" borderId="0">
      <alignment horizontal="right"/>
    </xf>
    <xf numFmtId="184" fontId="25" fillId="0" borderId="0">
      <alignment horizontal="right"/>
    </xf>
    <xf numFmtId="185" fontId="25" fillId="0" borderId="0">
      <alignment horizontal="right"/>
    </xf>
    <xf numFmtId="186" fontId="15" fillId="0" borderId="0" applyFont="0" applyFill="0" applyBorder="0" applyAlignment="0" applyProtection="0"/>
    <xf numFmtId="18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7" fontId="15" fillId="0" borderId="0" applyFont="0" applyFill="0" applyBorder="0" applyAlignment="0" applyProtection="0"/>
    <xf numFmtId="18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2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26"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8" fontId="15" fillId="0" borderId="0" applyFont="0" applyFill="0" applyBorder="0" applyAlignment="0" applyProtection="0"/>
    <xf numFmtId="189" fontId="26"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0" fontId="27"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2" fontId="26"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2" fontId="26"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67" fontId="27"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2" fontId="26"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0" fontId="15" fillId="0" borderId="0" applyFont="0" applyFill="0" applyBorder="0" applyAlignment="0" applyProtection="0"/>
    <xf numFmtId="19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2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2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193" fontId="15" fillId="0" borderId="0" applyFont="0" applyFill="0" applyBorder="0" applyAlignment="0" applyProtection="0"/>
    <xf numFmtId="39" fontId="2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8" fillId="0" borderId="0" applyNumberFormat="0" applyFill="0" applyBorder="0" applyAlignment="0" applyProtection="0"/>
    <xf numFmtId="0" fontId="15" fillId="12" borderId="0" applyNumberFormat="0" applyFont="0" applyAlignment="0" applyProtection="0"/>
    <xf numFmtId="195" fontId="15" fillId="0" borderId="0" applyFont="0" applyFill="0" applyBorder="0" applyAlignment="0" applyProtection="0"/>
    <xf numFmtId="196" fontId="15" fillId="0" borderId="0" applyFont="0" applyFill="0" applyBorder="0" applyAlignment="0" applyProtection="0"/>
    <xf numFmtId="167" fontId="27"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67" fontId="27"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26"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26"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5" fontId="15" fillId="0" borderId="0" applyFont="0" applyFill="0" applyBorder="0" applyAlignment="0" applyProtection="0"/>
    <xf numFmtId="196" fontId="26"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7" fontId="15" fillId="0" borderId="0" applyFont="0" applyFill="0" applyBorder="0" applyProtection="0">
      <alignment horizontal="right"/>
    </xf>
    <xf numFmtId="198" fontId="27" fillId="0" borderId="0" applyFont="0" applyFill="0" applyBorder="0" applyAlignment="0" applyProtection="0"/>
    <xf numFmtId="197" fontId="15" fillId="0" borderId="0" applyFont="0" applyFill="0" applyBorder="0" applyProtection="0">
      <alignment horizontal="right"/>
    </xf>
    <xf numFmtId="198" fontId="27" fillId="0" borderId="0" applyFont="0" applyFill="0" applyBorder="0" applyAlignment="0" applyProtection="0"/>
    <xf numFmtId="197" fontId="15" fillId="0" borderId="0" applyFont="0" applyFill="0" applyBorder="0" applyProtection="0">
      <alignment horizontal="right"/>
    </xf>
    <xf numFmtId="197" fontId="15" fillId="0" borderId="0" applyFont="0" applyFill="0" applyBorder="0" applyProtection="0">
      <alignment horizontal="right"/>
    </xf>
    <xf numFmtId="199" fontId="26" fillId="0" borderId="0" applyFont="0" applyFill="0" applyBorder="0" applyAlignment="0" applyProtection="0"/>
    <xf numFmtId="197" fontId="15" fillId="0" borderId="0" applyFont="0" applyFill="0" applyBorder="0" applyProtection="0">
      <alignment horizontal="right"/>
    </xf>
    <xf numFmtId="199" fontId="26" fillId="0" borderId="0" applyFont="0" applyFill="0" applyBorder="0" applyAlignment="0" applyProtection="0"/>
    <xf numFmtId="197" fontId="15" fillId="0" borderId="0" applyFont="0" applyFill="0" applyBorder="0" applyProtection="0">
      <alignment horizontal="right"/>
    </xf>
    <xf numFmtId="199" fontId="26" fillId="0" borderId="0" applyFont="0" applyFill="0" applyBorder="0" applyAlignment="0" applyProtection="0"/>
    <xf numFmtId="200" fontId="26" fillId="0" borderId="0" applyFont="0" applyFill="0" applyBorder="0" applyAlignment="0" applyProtection="0"/>
    <xf numFmtId="201" fontId="27" fillId="0" borderId="0" applyFont="0" applyFill="0" applyBorder="0" applyAlignment="0" applyProtection="0"/>
    <xf numFmtId="201" fontId="27" fillId="0" borderId="0" applyFont="0" applyFill="0" applyBorder="0" applyAlignment="0" applyProtection="0"/>
    <xf numFmtId="202" fontId="26" fillId="0" borderId="0" applyFont="0" applyFill="0" applyBorder="0" applyAlignment="0" applyProtection="0"/>
    <xf numFmtId="203" fontId="27" fillId="0" borderId="0" applyFont="0" applyFill="0" applyBorder="0" applyAlignment="0" applyProtection="0"/>
    <xf numFmtId="203" fontId="27" fillId="0" borderId="0" applyFont="0" applyFill="0" applyBorder="0" applyAlignment="0" applyProtection="0"/>
    <xf numFmtId="0" fontId="29" fillId="0" borderId="0" applyNumberFormat="0" applyFill="0" applyBorder="0" applyProtection="0">
      <alignment vertical="top"/>
    </xf>
    <xf numFmtId="0" fontId="30" fillId="0" borderId="16" applyNumberFormat="0" applyFill="0" applyAlignment="0" applyProtection="0"/>
    <xf numFmtId="0" fontId="31" fillId="0" borderId="17" applyNumberFormat="0" applyFill="0" applyProtection="0">
      <alignment horizontal="center"/>
    </xf>
    <xf numFmtId="0" fontId="31" fillId="0" borderId="0" applyNumberFormat="0" applyFill="0" applyBorder="0" applyProtection="0">
      <alignment horizontal="left"/>
    </xf>
    <xf numFmtId="0" fontId="32" fillId="0" borderId="0" applyNumberFormat="0" applyFill="0" applyBorder="0" applyProtection="0">
      <alignment horizontal="centerContinuous"/>
    </xf>
    <xf numFmtId="204" fontId="33" fillId="0" borderId="0">
      <alignment horizontal="left"/>
      <protection locked="0"/>
    </xf>
    <xf numFmtId="38" fontId="9" fillId="0" borderId="18"/>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39"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0" fontId="34" fillId="0" borderId="0">
      <alignment horizontal="center"/>
    </xf>
    <xf numFmtId="39" fontId="34" fillId="0" borderId="0">
      <alignment horizontal="center"/>
    </xf>
    <xf numFmtId="39" fontId="34"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0" fontId="35" fillId="0" borderId="0">
      <alignment horizontal="center"/>
    </xf>
    <xf numFmtId="39" fontId="36" fillId="0" borderId="0">
      <alignment horizontal="center"/>
    </xf>
    <xf numFmtId="205" fontId="37" fillId="0" borderId="0">
      <protection locked="0"/>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39" fontId="36" fillId="0" borderId="0">
      <alignment horizontal="center"/>
    </xf>
    <xf numFmtId="14" fontId="38" fillId="0" borderId="0"/>
    <xf numFmtId="206" fontId="23" fillId="13" borderId="19">
      <alignment horizontal="center" vertical="center"/>
    </xf>
    <xf numFmtId="0" fontId="39" fillId="0" borderId="0"/>
    <xf numFmtId="37" fontId="21" fillId="0" borderId="0" applyFont="0" applyAlignment="0">
      <alignment horizontal="centerContinuous" vertical="top"/>
    </xf>
    <xf numFmtId="0" fontId="25" fillId="0" borderId="0">
      <alignment horizontal="center" wrapText="1"/>
      <protection locked="0"/>
    </xf>
    <xf numFmtId="0" fontId="15" fillId="0" borderId="0" applyNumberFormat="0" applyFill="0" applyBorder="0" applyAlignment="0" applyProtection="0"/>
    <xf numFmtId="0" fontId="13" fillId="0" borderId="0" applyNumberFormat="0" applyFill="0" applyBorder="0" applyAlignment="0" applyProtection="0"/>
    <xf numFmtId="0" fontId="15" fillId="0" borderId="0" applyNumberFormat="0" applyFill="0" applyBorder="0" applyAlignment="0" applyProtection="0"/>
    <xf numFmtId="207" fontId="15" fillId="0" borderId="0" applyFont="0" applyFill="0" applyBorder="0" applyAlignment="0"/>
    <xf numFmtId="208" fontId="40" fillId="0" borderId="0" applyFont="0" applyFill="0" applyBorder="0" applyAlignment="0">
      <alignment horizontal="right"/>
    </xf>
    <xf numFmtId="0" fontId="41" fillId="0" borderId="0" applyNumberFormat="0" applyFill="0" applyBorder="0" applyAlignment="0" applyProtection="0"/>
    <xf numFmtId="0" fontId="37" fillId="0" borderId="0">
      <protection locked="0"/>
    </xf>
    <xf numFmtId="209" fontId="37" fillId="0" borderId="0">
      <alignment horizontal="right"/>
      <protection locked="0"/>
    </xf>
    <xf numFmtId="7" fontId="42" fillId="0" borderId="0">
      <alignment horizontal="right"/>
      <protection locked="0"/>
    </xf>
    <xf numFmtId="203" fontId="37" fillId="0" borderId="0">
      <alignment horizontal="right"/>
      <protection locked="0"/>
    </xf>
    <xf numFmtId="0" fontId="43" fillId="0" borderId="0" applyNumberFormat="0" applyFill="0" applyBorder="0" applyAlignment="0" applyProtection="0"/>
    <xf numFmtId="0" fontId="44" fillId="0" borderId="0"/>
    <xf numFmtId="0" fontId="45" fillId="0" borderId="20"/>
    <xf numFmtId="0" fontId="46" fillId="13" borderId="21" applyAlignment="0">
      <alignment horizontal="center"/>
    </xf>
    <xf numFmtId="0" fontId="47" fillId="0" borderId="22"/>
    <xf numFmtId="0" fontId="25" fillId="0" borderId="23" applyNumberFormat="0" applyFont="0" applyFill="0" applyAlignment="0" applyProtection="0"/>
    <xf numFmtId="203" fontId="15" fillId="0" borderId="24" applyNumberFormat="0" applyFill="0" applyAlignment="0" applyProtection="0"/>
    <xf numFmtId="0" fontId="48" fillId="0" borderId="25"/>
    <xf numFmtId="0" fontId="48" fillId="0" borderId="26"/>
    <xf numFmtId="0" fontId="49" fillId="0" borderId="0"/>
    <xf numFmtId="0" fontId="50" fillId="0" borderId="0" applyFont="0" applyFill="0" applyBorder="0" applyAlignment="0" applyProtection="0"/>
    <xf numFmtId="0" fontId="51" fillId="0" borderId="0"/>
    <xf numFmtId="210" fontId="24"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211" fontId="52" fillId="0" borderId="11" applyFill="0" applyBorder="0" applyAlignment="0" applyProtection="0">
      <alignment horizontal="right"/>
    </xf>
    <xf numFmtId="212" fontId="53" fillId="0" borderId="0" applyFont="0" applyFill="0"/>
    <xf numFmtId="39" fontId="25" fillId="14" borderId="0" applyNumberFormat="0" applyFont="0" applyBorder="0" applyAlignment="0"/>
    <xf numFmtId="213" fontId="15" fillId="0" borderId="0" applyFill="0" applyBorder="0" applyProtection="0"/>
    <xf numFmtId="0" fontId="11" fillId="0" borderId="12" applyNumberFormat="0" applyFont="0" applyFill="0" applyProtection="0">
      <alignment horizontal="centerContinuous" vertical="center"/>
    </xf>
    <xf numFmtId="0" fontId="54" fillId="0" borderId="27" applyNumberFormat="0" applyFill="0" applyProtection="0">
      <alignment horizontal="center" vertical="center"/>
    </xf>
    <xf numFmtId="0" fontId="55" fillId="0" borderId="28" applyNumberFormat="0" applyFill="0" applyBorder="0" applyProtection="0">
      <alignment horizontal="right" vertical="center"/>
    </xf>
    <xf numFmtId="0" fontId="11" fillId="0" borderId="0" applyNumberFormat="0" applyFill="0" applyBorder="0" applyProtection="0">
      <alignment horizontal="center" vertical="center"/>
    </xf>
    <xf numFmtId="0" fontId="56" fillId="13" borderId="0" applyNumberFormat="0">
      <alignment horizontal="center"/>
    </xf>
    <xf numFmtId="0" fontId="15" fillId="0" borderId="0" applyFont="0" applyFill="0" applyBorder="0" applyAlignment="0" applyProtection="0"/>
    <xf numFmtId="214" fontId="15" fillId="0" borderId="0" applyFont="0" applyFill="0" applyBorder="0" applyAlignment="0" applyProtection="0"/>
    <xf numFmtId="0" fontId="27" fillId="0" borderId="0" applyFont="0" applyFill="0" applyBorder="0" applyAlignment="0" applyProtection="0">
      <alignment horizontal="right"/>
    </xf>
    <xf numFmtId="215"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 fontId="57" fillId="0" borderId="0" applyFont="0" applyFill="0" applyBorder="0" applyAlignment="0" applyProtection="0"/>
    <xf numFmtId="0" fontId="58" fillId="0" borderId="0"/>
    <xf numFmtId="0" fontId="59" fillId="0" borderId="0"/>
    <xf numFmtId="3" fontId="60" fillId="0" borderId="0" applyFill="0" applyBorder="0" applyAlignment="0" applyProtection="0"/>
    <xf numFmtId="0" fontId="58" fillId="0" borderId="0"/>
    <xf numFmtId="41" fontId="46" fillId="0" borderId="29">
      <alignment horizontal="center"/>
      <protection locked="0" hidden="1"/>
    </xf>
    <xf numFmtId="41" fontId="46" fillId="0" borderId="30">
      <alignment horizontal="center"/>
      <protection locked="0"/>
    </xf>
    <xf numFmtId="41" fontId="61" fillId="0" borderId="20">
      <protection hidden="1"/>
    </xf>
    <xf numFmtId="41" fontId="62" fillId="0" borderId="20"/>
    <xf numFmtId="41" fontId="46" fillId="0" borderId="20">
      <alignment horizontal="right"/>
    </xf>
    <xf numFmtId="0" fontId="63" fillId="0" borderId="0" applyNumberFormat="0" applyAlignment="0">
      <alignment horizontal="left"/>
    </xf>
    <xf numFmtId="0" fontId="64" fillId="0" borderId="0" applyNumberFormat="0" applyAlignment="0"/>
    <xf numFmtId="0" fontId="59" fillId="0" borderId="0"/>
    <xf numFmtId="0" fontId="58" fillId="0" borderId="0"/>
    <xf numFmtId="0" fontId="15" fillId="0" borderId="0" applyFont="0" applyFill="0" applyBorder="0" applyAlignment="0" applyProtection="0"/>
    <xf numFmtId="8" fontId="65" fillId="0" borderId="0" applyBorder="0"/>
    <xf numFmtId="0" fontId="27" fillId="0" borderId="0" applyFont="0" applyFill="0" applyBorder="0" applyAlignment="0" applyProtection="0">
      <alignment horizontal="right"/>
    </xf>
    <xf numFmtId="44" fontId="6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217" fontId="67" fillId="0" borderId="0" applyFont="0" applyFill="0" applyBorder="0" applyAlignment="0" applyProtection="0"/>
    <xf numFmtId="218" fontId="68" fillId="0" borderId="0"/>
    <xf numFmtId="44" fontId="61" fillId="0" borderId="20">
      <alignment horizontal="center"/>
      <protection hidden="1"/>
    </xf>
    <xf numFmtId="39" fontId="38" fillId="0" borderId="0">
      <alignment horizontal="right"/>
    </xf>
    <xf numFmtId="14" fontId="46" fillId="0" borderId="30">
      <alignment horizontal="center"/>
    </xf>
    <xf numFmtId="0" fontId="27" fillId="0" borderId="0" applyFont="0" applyFill="0" applyBorder="0" applyAlignment="0" applyProtection="0"/>
    <xf numFmtId="219" fontId="15" fillId="0" borderId="0">
      <alignment horizontal="right"/>
    </xf>
    <xf numFmtId="14" fontId="24" fillId="0" borderId="0" applyFill="0" applyBorder="0" applyAlignment="0"/>
    <xf numFmtId="14" fontId="25" fillId="0" borderId="0">
      <alignment horizontal="right"/>
    </xf>
    <xf numFmtId="14" fontId="69" fillId="0" borderId="0">
      <alignment horizontal="right"/>
      <protection locked="0"/>
    </xf>
    <xf numFmtId="220" fontId="70" fillId="0" borderId="0" applyFill="0" applyProtection="0">
      <alignment vertical="center"/>
    </xf>
    <xf numFmtId="221" fontId="25" fillId="0" borderId="0">
      <alignment horizontal="right"/>
    </xf>
    <xf numFmtId="222" fontId="25" fillId="0" borderId="0">
      <alignment horizontal="right"/>
    </xf>
    <xf numFmtId="223" fontId="15" fillId="0" borderId="0">
      <alignment horizontal="right"/>
    </xf>
    <xf numFmtId="8" fontId="15" fillId="0" borderId="0" applyFill="0" applyBorder="0" applyProtection="0"/>
    <xf numFmtId="224" fontId="25" fillId="0" borderId="0"/>
    <xf numFmtId="224" fontId="71" fillId="0" borderId="0">
      <protection locked="0"/>
    </xf>
    <xf numFmtId="7" fontId="25" fillId="0" borderId="0"/>
    <xf numFmtId="0" fontId="27" fillId="0" borderId="31" applyNumberFormat="0" applyFont="0" applyFill="0" applyAlignment="0" applyProtection="0"/>
    <xf numFmtId="42" fontId="72" fillId="0" borderId="0" applyFill="0" applyBorder="0" applyAlignment="0" applyProtection="0"/>
    <xf numFmtId="171" fontId="9" fillId="15" borderId="0">
      <alignment vertical="center"/>
    </xf>
    <xf numFmtId="171" fontId="10" fillId="0" borderId="0">
      <alignment vertical="center"/>
    </xf>
    <xf numFmtId="171" fontId="10" fillId="0" borderId="0">
      <alignment vertical="center"/>
    </xf>
    <xf numFmtId="171" fontId="73" fillId="16" borderId="32" applyNumberFormat="0" applyAlignment="0">
      <alignment horizontal="center" vertical="center"/>
    </xf>
    <xf numFmtId="171" fontId="74" fillId="16" borderId="0">
      <alignment horizontal="center" vertical="center"/>
    </xf>
    <xf numFmtId="14" fontId="9" fillId="16" borderId="0">
      <alignment horizontal="center" vertical="center"/>
    </xf>
    <xf numFmtId="17" fontId="68" fillId="16" borderId="0">
      <alignment horizontal="center" vertical="center"/>
    </xf>
    <xf numFmtId="171" fontId="16" fillId="0" borderId="0">
      <alignment vertical="center"/>
    </xf>
    <xf numFmtId="171" fontId="75" fillId="16" borderId="0">
      <alignment vertical="center"/>
    </xf>
    <xf numFmtId="171" fontId="76" fillId="16" borderId="0">
      <alignment vertical="center"/>
    </xf>
    <xf numFmtId="167" fontId="77" fillId="16" borderId="33">
      <alignment vertical="center"/>
    </xf>
    <xf numFmtId="0" fontId="9" fillId="16" borderId="33">
      <alignment vertical="center"/>
    </xf>
    <xf numFmtId="37" fontId="68" fillId="16" borderId="0">
      <alignment horizontal="left" vertical="center"/>
    </xf>
    <xf numFmtId="171" fontId="68" fillId="16" borderId="0">
      <alignment horizontal="center" vertical="center"/>
    </xf>
    <xf numFmtId="225" fontId="40" fillId="16" borderId="0">
      <alignment horizontal="right" vertical="center"/>
    </xf>
    <xf numFmtId="165" fontId="40" fillId="16" borderId="0">
      <alignment horizontal="right" vertical="center"/>
    </xf>
    <xf numFmtId="167" fontId="78" fillId="16" borderId="0">
      <alignment horizontal="right" vertical="center"/>
    </xf>
    <xf numFmtId="167" fontId="78" fillId="16" borderId="9">
      <alignment horizontal="right" vertical="center"/>
    </xf>
    <xf numFmtId="165" fontId="79" fillId="16" borderId="33">
      <alignment horizontal="right" vertical="center"/>
    </xf>
    <xf numFmtId="170" fontId="30" fillId="16" borderId="0">
      <alignment horizontal="right" vertical="center"/>
    </xf>
    <xf numFmtId="4" fontId="40" fillId="16" borderId="0">
      <alignment horizontal="right" vertical="center"/>
    </xf>
    <xf numFmtId="170" fontId="68" fillId="16" borderId="28">
      <alignment horizontal="right" vertical="center"/>
    </xf>
    <xf numFmtId="165" fontId="68" fillId="16" borderId="28">
      <alignment horizontal="right" vertical="center"/>
    </xf>
    <xf numFmtId="165" fontId="79" fillId="16" borderId="0">
      <alignment horizontal="right" vertical="center"/>
    </xf>
    <xf numFmtId="219" fontId="68" fillId="16" borderId="0">
      <alignment horizontal="right" vertical="center"/>
    </xf>
    <xf numFmtId="171" fontId="9" fillId="0" borderId="0">
      <alignment vertical="center"/>
    </xf>
    <xf numFmtId="171" fontId="16" fillId="16" borderId="28" applyBorder="0">
      <alignment horizontal="left" vertical="center"/>
    </xf>
    <xf numFmtId="171" fontId="80" fillId="16" borderId="0">
      <alignment horizontal="left" vertical="center"/>
    </xf>
    <xf numFmtId="171" fontId="16" fillId="16" borderId="34">
      <alignment horizontal="left"/>
    </xf>
    <xf numFmtId="171" fontId="25" fillId="16" borderId="35">
      <alignment vertical="center"/>
    </xf>
    <xf numFmtId="171" fontId="25" fillId="16" borderId="36">
      <alignment vertical="center"/>
    </xf>
    <xf numFmtId="171" fontId="25" fillId="16" borderId="9">
      <alignment vertical="center"/>
    </xf>
    <xf numFmtId="171" fontId="10" fillId="16" borderId="37">
      <alignment horizontal="center" vertical="center"/>
    </xf>
    <xf numFmtId="171" fontId="10" fillId="0" borderId="0">
      <alignment vertical="center"/>
    </xf>
    <xf numFmtId="171" fontId="10" fillId="0" borderId="0">
      <alignment vertical="center"/>
    </xf>
    <xf numFmtId="171" fontId="10" fillId="0" borderId="0">
      <alignment vertical="center"/>
    </xf>
    <xf numFmtId="167" fontId="81" fillId="0" borderId="38" applyNumberFormat="0" applyAlignment="0" applyProtection="0">
      <alignment vertical="top"/>
    </xf>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82" fillId="0" borderId="0" applyNumberFormat="0" applyAlignment="0">
      <alignment horizontal="left"/>
    </xf>
    <xf numFmtId="226" fontId="15" fillId="0" borderId="0" applyFont="0" applyFill="0" applyBorder="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8" fillId="0" borderId="0" applyNumberFormat="0" applyFill="0" applyBorder="0" applyAlignment="0" applyProtection="0"/>
    <xf numFmtId="167" fontId="38" fillId="0" borderId="0" applyBorder="0"/>
    <xf numFmtId="227" fontId="9" fillId="0" borderId="0">
      <protection locked="0"/>
    </xf>
    <xf numFmtId="0" fontId="59" fillId="0" borderId="0"/>
    <xf numFmtId="0" fontId="83" fillId="0" borderId="0" applyFill="0" applyBorder="0" applyProtection="0">
      <alignment horizontal="left"/>
    </xf>
    <xf numFmtId="216" fontId="84" fillId="0" borderId="0"/>
    <xf numFmtId="0" fontId="85" fillId="0" borderId="0">
      <alignment horizontal="left" indent="2"/>
    </xf>
    <xf numFmtId="38" fontId="86" fillId="17" borderId="0" applyNumberFormat="0" applyBorder="0" applyAlignment="0" applyProtection="0"/>
    <xf numFmtId="0" fontId="27" fillId="0" borderId="0" applyFont="0" applyFill="0" applyBorder="0" applyAlignment="0" applyProtection="0">
      <alignment horizontal="right"/>
    </xf>
    <xf numFmtId="0" fontId="87" fillId="18" borderId="0"/>
    <xf numFmtId="0" fontId="15" fillId="0" borderId="0"/>
    <xf numFmtId="0" fontId="88" fillId="0" borderId="0" applyNumberFormat="0" applyFill="0" applyBorder="0" applyAlignment="0" applyProtection="0">
      <alignment horizontal="left"/>
    </xf>
    <xf numFmtId="0" fontId="89" fillId="0" borderId="0" applyNumberFormat="0" applyFill="0" applyBorder="0" applyAlignment="0" applyProtection="0">
      <alignment horizontal="left"/>
    </xf>
    <xf numFmtId="0" fontId="90" fillId="0" borderId="0" applyNumberFormat="0" applyFill="0" applyBorder="0" applyAlignment="0" applyProtection="0">
      <alignment horizontal="left"/>
    </xf>
    <xf numFmtId="0" fontId="91" fillId="0" borderId="0" applyNumberFormat="0" applyFill="0" applyBorder="0" applyAlignment="0" applyProtection="0">
      <alignment horizontal="left"/>
    </xf>
    <xf numFmtId="0" fontId="92" fillId="0" borderId="0" applyNumberFormat="0" applyFill="0" applyAlignment="0" applyProtection="0">
      <alignment horizontal="left"/>
    </xf>
    <xf numFmtId="0" fontId="91" fillId="0" borderId="0" applyNumberFormat="0" applyFill="0" applyBorder="0" applyAlignment="0" applyProtection="0">
      <alignment horizontal="left"/>
    </xf>
    <xf numFmtId="0" fontId="92" fillId="0" borderId="0" applyNumberFormat="0" applyFill="0" applyBorder="0" applyAlignment="0" applyProtection="0">
      <alignment horizontal="left"/>
    </xf>
    <xf numFmtId="0" fontId="93"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5" fillId="0" borderId="0" applyNumberFormat="0" applyFill="0" applyBorder="0" applyAlignment="0" applyProtection="0"/>
    <xf numFmtId="0" fontId="96" fillId="0" borderId="7" applyNumberFormat="0" applyAlignment="0" applyProtection="0">
      <alignment horizontal="left" vertical="center"/>
    </xf>
    <xf numFmtId="0" fontId="96" fillId="0" borderId="4">
      <alignment horizontal="left" vertical="center"/>
    </xf>
    <xf numFmtId="8" fontId="34" fillId="0" borderId="0" applyProtection="0">
      <alignment horizontal="center"/>
    </xf>
    <xf numFmtId="0" fontId="20" fillId="0" borderId="0">
      <alignment horizontal="right"/>
    </xf>
    <xf numFmtId="0" fontId="20" fillId="0" borderId="0">
      <alignment horizontal="left"/>
    </xf>
    <xf numFmtId="0" fontId="15" fillId="0" borderId="0">
      <protection locked="0"/>
    </xf>
    <xf numFmtId="0" fontId="15" fillId="0" borderId="0">
      <protection locked="0"/>
    </xf>
    <xf numFmtId="0" fontId="97" fillId="0" borderId="40" applyNumberFormat="0" applyFill="0" applyBorder="0" applyAlignment="0" applyProtection="0">
      <alignment horizontal="left"/>
    </xf>
    <xf numFmtId="0" fontId="98" fillId="0" borderId="0">
      <alignment horizontal="center"/>
    </xf>
    <xf numFmtId="0" fontId="99" fillId="0" borderId="12"/>
    <xf numFmtId="0" fontId="15" fillId="13" borderId="6" applyNumberFormat="0" applyFont="0" applyBorder="0" applyAlignment="0" applyProtection="0"/>
    <xf numFmtId="0" fontId="15" fillId="13" borderId="6" applyNumberFormat="0" applyFont="0" applyBorder="0" applyAlignment="0" applyProtection="0"/>
    <xf numFmtId="0" fontId="15" fillId="13" borderId="6" applyNumberFormat="0" applyFont="0" applyBorder="0" applyAlignment="0" applyProtection="0"/>
    <xf numFmtId="0" fontId="15" fillId="13" borderId="6" applyNumberFormat="0" applyFont="0" applyBorder="0" applyAlignment="0" applyProtection="0"/>
    <xf numFmtId="0" fontId="15" fillId="13" borderId="6" applyNumberFormat="0" applyFont="0" applyBorder="0" applyAlignment="0" applyProtection="0"/>
    <xf numFmtId="0" fontId="15" fillId="13" borderId="6" applyNumberFormat="0" applyFont="0" applyBorder="0" applyAlignment="0" applyProtection="0"/>
    <xf numFmtId="3" fontId="49" fillId="0" borderId="0" applyNumberFormat="0" applyFill="0" applyBorder="0" applyAlignment="0" applyProtection="0"/>
    <xf numFmtId="228" fontId="9" fillId="0" borderId="0"/>
    <xf numFmtId="228" fontId="100" fillId="0" borderId="0" applyFont="0" applyFill="0" applyBorder="0" applyAlignment="0" applyProtection="0"/>
    <xf numFmtId="0" fontId="101" fillId="0" borderId="41" applyNumberFormat="0" applyFill="0" applyAlignment="0" applyProtection="0"/>
    <xf numFmtId="37" fontId="38" fillId="0" borderId="0" applyBorder="0"/>
    <xf numFmtId="10" fontId="86" fillId="19" borderId="1" applyNumberFormat="0" applyBorder="0" applyAlignment="0" applyProtection="0"/>
    <xf numFmtId="40" fontId="42" fillId="0" borderId="1">
      <protection locked="0"/>
    </xf>
    <xf numFmtId="38" fontId="42" fillId="0" borderId="1">
      <protection locked="0"/>
    </xf>
    <xf numFmtId="8" fontId="42" fillId="0" borderId="1">
      <protection locked="0"/>
    </xf>
    <xf numFmtId="6" fontId="42" fillId="0" borderId="1">
      <protection locked="0"/>
    </xf>
    <xf numFmtId="10" fontId="42" fillId="0" borderId="1">
      <protection locked="0"/>
    </xf>
    <xf numFmtId="9" fontId="42" fillId="0" borderId="1">
      <protection locked="0"/>
    </xf>
    <xf numFmtId="38" fontId="101" fillId="0" borderId="0"/>
    <xf numFmtId="40" fontId="9" fillId="0" borderId="0"/>
    <xf numFmtId="229" fontId="25" fillId="0" borderId="0">
      <alignment horizontal="left"/>
    </xf>
    <xf numFmtId="0" fontId="15" fillId="0" borderId="29"/>
    <xf numFmtId="2" fontId="102" fillId="0" borderId="1"/>
    <xf numFmtId="0" fontId="86" fillId="17" borderId="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37" fontId="103" fillId="0" borderId="0" applyNumberFormat="0" applyFill="0" applyBorder="0" applyAlignment="0" applyProtection="0">
      <alignment horizontal="right"/>
    </xf>
    <xf numFmtId="44" fontId="8" fillId="0" borderId="0">
      <alignment horizontal="justify"/>
    </xf>
    <xf numFmtId="230" fontId="38" fillId="0" borderId="0"/>
    <xf numFmtId="231" fontId="27" fillId="0" borderId="0" applyFill="0" applyBorder="0" applyAlignment="0" applyProtection="0">
      <alignment horizontal="right"/>
    </xf>
    <xf numFmtId="232" fontId="15" fillId="0" borderId="0" applyFont="0" applyFill="0" applyBorder="0" applyAlignment="0" applyProtection="0"/>
    <xf numFmtId="233" fontId="15" fillId="0" borderId="0" applyFont="0" applyFill="0" applyBorder="0" applyAlignment="0" applyProtection="0"/>
    <xf numFmtId="234" fontId="15" fillId="0" borderId="0" applyFont="0" applyFill="0" applyBorder="0" applyAlignment="0" applyProtection="0"/>
    <xf numFmtId="235" fontId="15" fillId="0" borderId="0" applyFont="0" applyFill="0" applyBorder="0" applyAlignment="0" applyProtection="0"/>
    <xf numFmtId="236" fontId="15" fillId="0" borderId="0" applyFont="0" applyFill="0" applyBorder="0" applyAlignment="0" applyProtection="0"/>
    <xf numFmtId="237" fontId="15" fillId="0" borderId="0" applyFont="0" applyFill="0" applyBorder="0" applyAlignment="0" applyProtection="0"/>
    <xf numFmtId="238" fontId="15" fillId="0" borderId="0" applyFont="0" applyFill="0" applyBorder="0" applyAlignment="0" applyProtection="0"/>
    <xf numFmtId="239" fontId="104" fillId="0" borderId="0" applyFont="0" applyFill="0" applyBorder="0" applyAlignment="0" applyProtection="0"/>
    <xf numFmtId="240" fontId="15" fillId="0" borderId="0" applyFont="0" applyFill="0" applyBorder="0" applyAlignment="0" applyProtection="0"/>
    <xf numFmtId="241" fontId="15" fillId="0" borderId="0" applyFont="0" applyFill="0" applyBorder="0" applyAlignment="0" applyProtection="0"/>
    <xf numFmtId="242" fontId="15" fillId="0" borderId="0" applyFont="0" applyFill="0" applyBorder="0" applyAlignment="0" applyProtection="0"/>
    <xf numFmtId="237" fontId="15" fillId="0" borderId="0" applyFont="0" applyFill="0" applyBorder="0" applyAlignment="0" applyProtection="0"/>
    <xf numFmtId="0" fontId="105" fillId="0" borderId="0"/>
    <xf numFmtId="0" fontId="27" fillId="0" borderId="0" applyFont="0" applyFill="0" applyBorder="0" applyAlignment="0" applyProtection="0">
      <alignment horizontal="right"/>
    </xf>
    <xf numFmtId="243" fontId="25" fillId="0" borderId="0" applyFont="0" applyFill="0" applyBorder="0" applyAlignment="0" applyProtection="0"/>
    <xf numFmtId="244" fontId="25" fillId="0" borderId="0" applyFont="0" applyFill="0" applyBorder="0" applyAlignment="0" applyProtection="0"/>
    <xf numFmtId="245" fontId="27" fillId="0" borderId="0" applyFont="0" applyFill="0" applyBorder="0" applyAlignment="0" applyProtection="0">
      <alignment horizontal="right"/>
    </xf>
    <xf numFmtId="37" fontId="106" fillId="0" borderId="0"/>
    <xf numFmtId="38" fontId="26" fillId="0" borderId="1"/>
    <xf numFmtId="246" fontId="107" fillId="0" borderId="0"/>
    <xf numFmtId="0" fontId="15" fillId="0" borderId="0"/>
    <xf numFmtId="0" fontId="61" fillId="13" borderId="42"/>
    <xf numFmtId="17" fontId="61" fillId="0" borderId="30">
      <alignment horizontal="center"/>
    </xf>
    <xf numFmtId="0" fontId="15" fillId="0" borderId="0"/>
    <xf numFmtId="0" fontId="108" fillId="0" borderId="0"/>
    <xf numFmtId="0" fontId="48" fillId="0" borderId="30"/>
    <xf numFmtId="247" fontId="9" fillId="16" borderId="0" applyBorder="0">
      <alignment vertical="center"/>
    </xf>
    <xf numFmtId="3" fontId="46" fillId="0" borderId="43">
      <protection locked="0"/>
    </xf>
    <xf numFmtId="9" fontId="46" fillId="0" borderId="43"/>
    <xf numFmtId="248" fontId="26" fillId="0" borderId="18"/>
    <xf numFmtId="3" fontId="9" fillId="0" borderId="1"/>
    <xf numFmtId="248" fontId="109" fillId="20" borderId="1"/>
    <xf numFmtId="189" fontId="110" fillId="0" borderId="0"/>
    <xf numFmtId="3" fontId="26" fillId="0" borderId="44"/>
    <xf numFmtId="0" fontId="26" fillId="0" borderId="1"/>
    <xf numFmtId="1" fontId="71" fillId="0" borderId="0">
      <alignment horizontal="right"/>
      <protection locked="0"/>
    </xf>
    <xf numFmtId="171" fontId="75" fillId="0" borderId="0">
      <alignment horizontal="right"/>
      <protection locked="0"/>
    </xf>
    <xf numFmtId="0" fontId="71" fillId="0" borderId="0">
      <protection locked="0"/>
    </xf>
    <xf numFmtId="2" fontId="75" fillId="0" borderId="0">
      <alignment horizontal="right"/>
      <protection locked="0"/>
    </xf>
    <xf numFmtId="2" fontId="71" fillId="0" borderId="0">
      <alignment horizontal="right"/>
      <protection locked="0"/>
    </xf>
    <xf numFmtId="249" fontId="15" fillId="0" borderId="0" applyFont="0" applyBorder="0" applyAlignment="0">
      <alignment horizontal="centerContinuous"/>
    </xf>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0" fontId="15" fillId="0" borderId="39" applyNumberFormat="0" applyFont="0" applyFill="0" applyAlignment="0" applyProtection="0"/>
    <xf numFmtId="40" fontId="111" fillId="0" borderId="0" applyFont="0" applyFill="0" applyBorder="0" applyAlignment="0" applyProtection="0"/>
    <xf numFmtId="38" fontId="111" fillId="0" borderId="0" applyFont="0" applyFill="0" applyBorder="0" applyAlignment="0" applyProtection="0"/>
    <xf numFmtId="0" fontId="85" fillId="21" borderId="1" applyNumberFormat="0" applyAlignment="0">
      <protection locked="0"/>
    </xf>
    <xf numFmtId="0" fontId="47" fillId="0" borderId="45">
      <alignment horizontal="left" wrapText="1"/>
    </xf>
    <xf numFmtId="4" fontId="24" fillId="16" borderId="0">
      <alignment horizontal="right"/>
    </xf>
    <xf numFmtId="0" fontId="112" fillId="16" borderId="0">
      <alignment horizontal="center" vertical="center"/>
    </xf>
    <xf numFmtId="0" fontId="113" fillId="16" borderId="14"/>
    <xf numFmtId="0" fontId="112" fillId="16" borderId="0" applyBorder="0">
      <alignment horizontal="centerContinuous"/>
    </xf>
    <xf numFmtId="0" fontId="114" fillId="16" borderId="0" applyBorder="0">
      <alignment horizontal="centerContinuous"/>
    </xf>
    <xf numFmtId="0" fontId="15" fillId="0" borderId="46" applyNumberFormat="0" applyFont="0" applyFill="0" applyAlignment="0" applyProtection="0"/>
    <xf numFmtId="0" fontId="15" fillId="0" borderId="46" applyNumberFormat="0" applyFont="0" applyFill="0" applyAlignment="0" applyProtection="0"/>
    <xf numFmtId="0" fontId="15" fillId="0" borderId="46" applyNumberFormat="0" applyFont="0" applyFill="0" applyAlignment="0" applyProtection="0"/>
    <xf numFmtId="0" fontId="15" fillId="0" borderId="46" applyNumberFormat="0" applyFont="0" applyFill="0" applyAlignment="0" applyProtection="0"/>
    <xf numFmtId="0" fontId="15" fillId="0" borderId="46" applyNumberFormat="0" applyFont="0" applyFill="0" applyAlignment="0" applyProtection="0"/>
    <xf numFmtId="0" fontId="15" fillId="0" borderId="46" applyNumberFormat="0" applyFont="0" applyFill="0" applyAlignment="0" applyProtection="0"/>
    <xf numFmtId="0" fontId="15" fillId="0" borderId="5" applyNumberFormat="0" applyFont="0" applyFill="0" applyAlignment="0" applyProtection="0"/>
    <xf numFmtId="250" fontId="38" fillId="0" borderId="23" applyBorder="0"/>
    <xf numFmtId="0" fontId="115" fillId="0" borderId="0" applyProtection="0">
      <alignment horizontal="left"/>
    </xf>
    <xf numFmtId="0" fontId="115" fillId="0" borderId="0" applyFill="0" applyBorder="0" applyProtection="0">
      <alignment horizontal="left"/>
    </xf>
    <xf numFmtId="0" fontId="19" fillId="0" borderId="0" applyFill="0" applyBorder="0" applyProtection="0">
      <alignment horizontal="left"/>
    </xf>
    <xf numFmtId="1" fontId="116" fillId="0" borderId="0" applyProtection="0">
      <alignment horizontal="right" vertical="center"/>
    </xf>
    <xf numFmtId="0" fontId="117" fillId="22" borderId="47"/>
    <xf numFmtId="171" fontId="15" fillId="0" borderId="0" applyFill="0"/>
    <xf numFmtId="0" fontId="10" fillId="0" borderId="48" applyNumberFormat="0" applyAlignment="0" applyProtection="0"/>
    <xf numFmtId="0" fontId="9" fillId="20" borderId="0" applyNumberFormat="0" applyFont="0" applyBorder="0" applyAlignment="0" applyProtection="0"/>
    <xf numFmtId="0" fontId="86" fillId="23" borderId="49" applyNumberFormat="0" applyFont="0" applyBorder="0" applyAlignment="0" applyProtection="0">
      <alignment horizontal="center"/>
    </xf>
    <xf numFmtId="0" fontId="86" fillId="13" borderId="49" applyNumberFormat="0" applyFont="0" applyBorder="0" applyAlignment="0" applyProtection="0">
      <alignment horizontal="center"/>
    </xf>
    <xf numFmtId="0" fontId="9" fillId="0" borderId="50" applyNumberFormat="0" applyAlignment="0" applyProtection="0"/>
    <xf numFmtId="0" fontId="9" fillId="0" borderId="51" applyNumberFormat="0" applyAlignment="0" applyProtection="0"/>
    <xf numFmtId="0" fontId="10" fillId="0" borderId="52" applyNumberFormat="0" applyAlignment="0" applyProtection="0"/>
    <xf numFmtId="49" fontId="118" fillId="0" borderId="28" applyFill="0" applyProtection="0">
      <alignment vertical="center"/>
    </xf>
    <xf numFmtId="14" fontId="25" fillId="0" borderId="0">
      <alignment horizontal="center" wrapText="1"/>
      <protection locked="0"/>
    </xf>
    <xf numFmtId="0" fontId="25" fillId="0" borderId="0">
      <alignment horizontal="right"/>
    </xf>
    <xf numFmtId="0" fontId="59" fillId="0" borderId="0"/>
    <xf numFmtId="0" fontId="58" fillId="0" borderId="0"/>
    <xf numFmtId="0" fontId="59" fillId="0" borderId="0"/>
    <xf numFmtId="9" fontId="9" fillId="0" borderId="0" applyFont="0" applyFill="0" applyBorder="0" applyAlignment="0" applyProtection="0"/>
    <xf numFmtId="10" fontId="9"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0" fontId="15" fillId="0" borderId="0" applyFont="0" applyFill="0" applyBorder="0" applyAlignment="0" applyProtection="0"/>
    <xf numFmtId="167" fontId="25" fillId="0" borderId="0">
      <alignment horizontal="right"/>
    </xf>
    <xf numFmtId="10" fontId="25" fillId="0" borderId="0">
      <alignment horizontal="right"/>
    </xf>
    <xf numFmtId="251" fontId="25" fillId="0" borderId="0" applyFont="0" applyFill="0" applyBorder="0" applyProtection="0">
      <alignment horizontal="right"/>
    </xf>
    <xf numFmtId="9" fontId="25" fillId="0" borderId="0">
      <alignment horizontal="right"/>
    </xf>
    <xf numFmtId="9" fontId="61" fillId="0" borderId="20">
      <alignment horizontal="center"/>
    </xf>
    <xf numFmtId="167" fontId="25" fillId="0" borderId="0"/>
    <xf numFmtId="167" fontId="71" fillId="0" borderId="0"/>
    <xf numFmtId="10" fontId="25" fillId="0" borderId="0"/>
    <xf numFmtId="10" fontId="71" fillId="0" borderId="0">
      <protection locked="0"/>
    </xf>
    <xf numFmtId="9" fontId="61" fillId="0" borderId="20">
      <alignment horizontal="right"/>
    </xf>
    <xf numFmtId="252" fontId="15" fillId="0" borderId="0"/>
    <xf numFmtId="9" fontId="15" fillId="0" borderId="0" applyFont="0" applyFill="0" applyBorder="0" applyAlignment="0" applyProtection="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0" fontId="15" fillId="0" borderId="0" applyFill="0" applyBorder="0" applyAlignment="0"/>
    <xf numFmtId="253" fontId="15" fillId="0" borderId="0" applyProtection="0">
      <alignment horizontal="right"/>
    </xf>
    <xf numFmtId="253" fontId="15" fillId="0" borderId="0">
      <alignment horizontal="right"/>
      <protection locked="0"/>
    </xf>
    <xf numFmtId="5" fontId="119" fillId="0" borderId="0"/>
    <xf numFmtId="0"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0" fontId="121" fillId="0" borderId="23">
      <alignment horizontal="center"/>
    </xf>
    <xf numFmtId="3" fontId="120" fillId="0" borderId="0" applyFont="0" applyFill="0" applyBorder="0" applyAlignment="0" applyProtection="0"/>
    <xf numFmtId="0" fontId="120" fillId="24" borderId="0" applyNumberFormat="0" applyFon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22" fillId="25" borderId="0" applyNumberFormat="0" applyFont="0" applyBorder="0" applyAlignment="0">
      <alignment horizontal="center"/>
    </xf>
    <xf numFmtId="14" fontId="123" fillId="0" borderId="0" applyNumberFormat="0" applyFill="0" applyBorder="0" applyAlignment="0" applyProtection="0">
      <alignment horizontal="left"/>
    </xf>
    <xf numFmtId="0" fontId="124" fillId="0" borderId="0" applyNumberFormat="0" applyFill="0" applyBorder="0" applyProtection="0">
      <alignment horizontal="right" vertical="center"/>
    </xf>
    <xf numFmtId="0" fontId="64" fillId="0" borderId="0"/>
    <xf numFmtId="0" fontId="125" fillId="0" borderId="53">
      <alignment vertical="center"/>
    </xf>
    <xf numFmtId="0" fontId="119" fillId="0" borderId="54"/>
    <xf numFmtId="171" fontId="15" fillId="0" borderId="0" applyProtection="0">
      <alignment horizontal="center"/>
    </xf>
    <xf numFmtId="254" fontId="15" fillId="0" borderId="0" applyFont="0" applyFill="0" applyBorder="0" applyAlignment="0" applyProtection="0"/>
    <xf numFmtId="0" fontId="9" fillId="26" borderId="0" applyNumberFormat="0" applyFont="0" applyBorder="0" applyAlignment="0" applyProtection="0"/>
    <xf numFmtId="0" fontId="122" fillId="1" borderId="4" applyNumberFormat="0" applyFont="0" applyAlignment="0">
      <alignment horizontal="center"/>
    </xf>
    <xf numFmtId="42" fontId="50" fillId="0" borderId="0" applyFill="0" applyBorder="0" applyAlignment="0" applyProtection="0"/>
    <xf numFmtId="0" fontId="126" fillId="0" borderId="0" applyNumberFormat="0">
      <alignment horizontal="left"/>
    </xf>
    <xf numFmtId="2" fontId="23" fillId="0" borderId="55"/>
    <xf numFmtId="0" fontId="15" fillId="13" borderId="0" applyNumberFormat="0" applyBorder="0" applyProtection="0">
      <alignment horizontal="center"/>
    </xf>
    <xf numFmtId="0" fontId="127" fillId="0" borderId="0" applyNumberFormat="0" applyFill="0" applyBorder="0" applyAlignment="0">
      <alignment horizontal="center"/>
    </xf>
    <xf numFmtId="0" fontId="15" fillId="0" borderId="0"/>
    <xf numFmtId="0" fontId="128" fillId="0" borderId="0"/>
    <xf numFmtId="0" fontId="15" fillId="0" borderId="0">
      <alignment horizontal="left" wrapText="1"/>
    </xf>
    <xf numFmtId="0" fontId="109" fillId="0" borderId="56"/>
    <xf numFmtId="0" fontId="129" fillId="0" borderId="0"/>
    <xf numFmtId="0" fontId="130" fillId="0" borderId="0">
      <alignment horizontal="left"/>
    </xf>
    <xf numFmtId="213" fontId="15" fillId="0" borderId="0" applyFill="0" applyBorder="0" applyAlignment="0" applyProtection="0"/>
    <xf numFmtId="0" fontId="19" fillId="0" borderId="0"/>
    <xf numFmtId="0" fontId="56" fillId="0" borderId="0">
      <alignment horizontal="left" indent="1"/>
    </xf>
    <xf numFmtId="49" fontId="38" fillId="0" borderId="0"/>
    <xf numFmtId="0" fontId="131" fillId="0" borderId="0" applyFill="0" applyBorder="0" applyProtection="0">
      <alignment horizontal="center" vertical="center"/>
    </xf>
    <xf numFmtId="0" fontId="132" fillId="0" borderId="0" applyBorder="0" applyProtection="0">
      <alignment vertical="center"/>
    </xf>
    <xf numFmtId="0" fontId="132" fillId="0" borderId="28" applyBorder="0" applyProtection="0">
      <alignment horizontal="right" vertical="center"/>
    </xf>
    <xf numFmtId="0" fontId="133" fillId="27" borderId="0" applyBorder="0" applyProtection="0">
      <alignment horizontal="centerContinuous" vertical="center"/>
    </xf>
    <xf numFmtId="0" fontId="133" fillId="2" borderId="28" applyBorder="0" applyProtection="0">
      <alignment horizontal="centerContinuous" vertical="center"/>
    </xf>
    <xf numFmtId="0" fontId="134" fillId="0" borderId="0"/>
    <xf numFmtId="0" fontId="135" fillId="0" borderId="0" applyBorder="0" applyProtection="0">
      <alignment horizontal="left"/>
    </xf>
    <xf numFmtId="0" fontId="136" fillId="0" borderId="0" applyFill="0" applyBorder="0" applyProtection="0"/>
    <xf numFmtId="0" fontId="108" fillId="0" borderId="0"/>
    <xf numFmtId="0" fontId="137" fillId="0" borderId="0" applyFill="0" applyBorder="0" applyProtection="0">
      <alignment horizontal="left"/>
    </xf>
    <xf numFmtId="0" fontId="83" fillId="0" borderId="57" applyFill="0" applyBorder="0" applyProtection="0">
      <alignment horizontal="left" vertical="top"/>
    </xf>
    <xf numFmtId="0" fontId="10" fillId="0" borderId="0">
      <alignment horizontal="centerContinuous"/>
    </xf>
    <xf numFmtId="203" fontId="138" fillId="0" borderId="0" applyNumberFormat="0" applyFill="0" applyBorder="0">
      <alignment horizontal="left"/>
    </xf>
    <xf numFmtId="0" fontId="139" fillId="0" borderId="0"/>
    <xf numFmtId="0" fontId="71" fillId="0" borderId="0">
      <alignment horizontal="left"/>
      <protection locked="0"/>
    </xf>
    <xf numFmtId="0" fontId="140" fillId="0" borderId="0"/>
    <xf numFmtId="49" fontId="24" fillId="0" borderId="0" applyFill="0" applyBorder="0" applyAlignment="0"/>
    <xf numFmtId="0" fontId="15" fillId="0" borderId="0" applyFill="0" applyBorder="0" applyAlignment="0"/>
    <xf numFmtId="0" fontId="15" fillId="0" borderId="0" applyFill="0" applyBorder="0" applyAlignment="0"/>
    <xf numFmtId="18" fontId="38" fillId="0" borderId="0" applyFill="0" applyProtection="0">
      <alignment horizontal="center"/>
    </xf>
    <xf numFmtId="0" fontId="9" fillId="0" borderId="0" applyNumberFormat="0" applyFill="0" applyBorder="0" applyAlignment="0" applyProtection="0"/>
    <xf numFmtId="0" fontId="8" fillId="0" borderId="0" applyNumberFormat="0" applyFill="0" applyBorder="0" applyAlignment="0" applyProtection="0"/>
    <xf numFmtId="40" fontId="12" fillId="0" borderId="0"/>
    <xf numFmtId="0" fontId="11" fillId="0" borderId="0" applyNumberFormat="0" applyFont="0" applyBorder="0" applyAlignment="0"/>
    <xf numFmtId="0" fontId="141" fillId="0" borderId="0">
      <alignment horizontal="center"/>
    </xf>
    <xf numFmtId="229" fontId="10" fillId="0" borderId="0">
      <alignment horizontal="centerContinuous"/>
    </xf>
    <xf numFmtId="229" fontId="142" fillId="0" borderId="58">
      <alignment horizontal="centerContinuous"/>
    </xf>
    <xf numFmtId="229" fontId="14" fillId="0" borderId="0">
      <alignment horizontal="centerContinuous"/>
      <protection locked="0"/>
    </xf>
    <xf numFmtId="229" fontId="14" fillId="0" borderId="0">
      <alignment horizontal="left"/>
    </xf>
    <xf numFmtId="0" fontId="36" fillId="0" borderId="0">
      <alignment horizontal="center"/>
    </xf>
    <xf numFmtId="0" fontId="36" fillId="0" borderId="0">
      <alignment horizontal="left"/>
    </xf>
    <xf numFmtId="0" fontId="85" fillId="0" borderId="0">
      <alignment horizontal="center"/>
    </xf>
    <xf numFmtId="39" fontId="143" fillId="0" borderId="0">
      <alignment vertical="center"/>
    </xf>
    <xf numFmtId="39" fontId="143" fillId="0" borderId="0">
      <alignment vertical="center"/>
    </xf>
    <xf numFmtId="39" fontId="144" fillId="0" borderId="0">
      <alignment vertical="center"/>
    </xf>
    <xf numFmtId="0" fontId="145" fillId="0" borderId="0"/>
    <xf numFmtId="44" fontId="61" fillId="0" borderId="20"/>
    <xf numFmtId="0" fontId="146" fillId="0" borderId="0" applyNumberFormat="0" applyFill="0" applyBorder="0" applyAlignment="0" applyProtection="0">
      <alignment horizontal="left"/>
    </xf>
    <xf numFmtId="0" fontId="147" fillId="0" borderId="0" applyNumberFormat="0" applyFill="0" applyBorder="0" applyAlignment="0" applyProtection="0">
      <alignment horizontal="left"/>
    </xf>
    <xf numFmtId="0" fontId="148" fillId="0" borderId="0" applyNumberFormat="0" applyFill="0" applyBorder="0" applyAlignment="0" applyProtection="0">
      <alignment horizontal="left"/>
    </xf>
    <xf numFmtId="0" fontId="149" fillId="0" borderId="0" applyNumberFormat="0" applyFill="0" applyBorder="0" applyAlignment="0" applyProtection="0">
      <alignment horizontal="left"/>
    </xf>
    <xf numFmtId="0" fontId="150" fillId="0" borderId="0" applyNumberFormat="0" applyFill="0" applyBorder="0" applyAlignment="0" applyProtection="0">
      <alignment horizontal="left"/>
    </xf>
    <xf numFmtId="0" fontId="149" fillId="0" borderId="0" applyNumberFormat="0" applyFill="0" applyBorder="0" applyAlignment="0" applyProtection="0">
      <alignment horizontal="left"/>
    </xf>
    <xf numFmtId="0" fontId="150" fillId="0" borderId="0" applyNumberFormat="0" applyFill="0" applyBorder="0" applyAlignment="0" applyProtection="0">
      <alignment horizontal="left"/>
    </xf>
    <xf numFmtId="0" fontId="151" fillId="0" borderId="0">
      <alignment horizontal="left"/>
    </xf>
    <xf numFmtId="0" fontId="38" fillId="0" borderId="0" applyNumberFormat="0" applyFill="0" applyBorder="0" applyAlignment="0" applyProtection="0">
      <alignment horizontal="left"/>
    </xf>
    <xf numFmtId="44" fontId="152" fillId="0" borderId="20"/>
    <xf numFmtId="37" fontId="61" fillId="0" borderId="20"/>
    <xf numFmtId="0" fontId="15" fillId="13" borderId="0" applyNumberFormat="0" applyFont="0" applyBorder="0" applyAlignment="0" applyProtection="0"/>
    <xf numFmtId="0" fontId="15" fillId="13" borderId="0" applyNumberFormat="0" applyFont="0" applyBorder="0" applyAlignment="0" applyProtection="0"/>
    <xf numFmtId="0" fontId="15" fillId="13" borderId="0" applyNumberFormat="0" applyFont="0" applyBorder="0" applyAlignment="0" applyProtection="0"/>
    <xf numFmtId="0" fontId="15" fillId="13" borderId="0" applyNumberFormat="0" applyFont="0" applyBorder="0" applyAlignment="0" applyProtection="0"/>
    <xf numFmtId="0" fontId="15" fillId="13" borderId="0" applyNumberFormat="0" applyFont="0" applyBorder="0" applyAlignment="0" applyProtection="0"/>
    <xf numFmtId="0" fontId="15" fillId="13" borderId="0" applyNumberFormat="0" applyFont="0" applyBorder="0" applyAlignment="0" applyProtection="0"/>
    <xf numFmtId="255" fontId="15" fillId="0" borderId="0">
      <alignment horizontal="right"/>
    </xf>
    <xf numFmtId="203" fontId="153" fillId="0" borderId="0">
      <alignment horizontal="left"/>
      <protection locked="0"/>
    </xf>
    <xf numFmtId="222" fontId="142" fillId="0" borderId="0">
      <alignment horizontal="right"/>
    </xf>
    <xf numFmtId="223" fontId="15" fillId="0" borderId="0">
      <alignment horizontal="right"/>
    </xf>
    <xf numFmtId="1" fontId="142" fillId="0" borderId="0">
      <alignment horizontal="left"/>
    </xf>
    <xf numFmtId="221" fontId="142" fillId="0" borderId="0">
      <alignment horizontal="right"/>
    </xf>
    <xf numFmtId="0" fontId="154" fillId="0" borderId="0">
      <alignment horizontal="fill"/>
    </xf>
    <xf numFmtId="0" fontId="15" fillId="0" borderId="23" applyNumberFormat="0" applyFont="0" applyFill="0" applyAlignment="0" applyProtection="0"/>
    <xf numFmtId="0" fontId="15" fillId="0" borderId="23" applyNumberFormat="0" applyFont="0" applyFill="0" applyAlignment="0" applyProtection="0"/>
    <xf numFmtId="0" fontId="15" fillId="0" borderId="23" applyNumberFormat="0" applyFont="0" applyFill="0" applyAlignment="0" applyProtection="0"/>
    <xf numFmtId="0" fontId="15" fillId="0" borderId="23" applyNumberFormat="0" applyFont="0" applyFill="0" applyAlignment="0" applyProtection="0"/>
    <xf numFmtId="0" fontId="15" fillId="0" borderId="23" applyNumberFormat="0" applyFont="0" applyFill="0" applyAlignment="0" applyProtection="0"/>
    <xf numFmtId="0" fontId="15" fillId="0" borderId="23" applyNumberFormat="0" applyFont="0" applyFill="0" applyAlignment="0" applyProtection="0"/>
    <xf numFmtId="37" fontId="86" fillId="28" borderId="0" applyNumberFormat="0" applyBorder="0" applyAlignment="0" applyProtection="0"/>
    <xf numFmtId="37" fontId="86" fillId="0" borderId="0"/>
    <xf numFmtId="3" fontId="155" fillId="0" borderId="41" applyProtection="0"/>
    <xf numFmtId="0" fontId="15" fillId="0" borderId="0"/>
    <xf numFmtId="256" fontId="15" fillId="0" borderId="0" applyFont="0" applyFill="0" applyBorder="0" applyAlignment="0" applyProtection="0"/>
    <xf numFmtId="257" fontId="15" fillId="0" borderId="0" applyFont="0" applyFill="0" applyBorder="0" applyAlignment="0" applyProtection="0"/>
    <xf numFmtId="4" fontId="104" fillId="0" borderId="0" applyFont="0" applyFill="0" applyBorder="0" applyAlignment="0" applyProtection="0"/>
    <xf numFmtId="189" fontId="156" fillId="0" borderId="0"/>
    <xf numFmtId="0" fontId="157" fillId="29" borderId="0">
      <alignment horizontal="right"/>
    </xf>
    <xf numFmtId="189" fontId="157" fillId="29" borderId="0">
      <alignment horizontal="right"/>
    </xf>
    <xf numFmtId="189" fontId="157" fillId="29" borderId="0">
      <alignment horizontal="right"/>
    </xf>
    <xf numFmtId="0" fontId="157" fillId="29" borderId="0">
      <alignment horizontal="right"/>
    </xf>
    <xf numFmtId="189" fontId="157" fillId="29" borderId="0">
      <alignment horizontal="right"/>
    </xf>
    <xf numFmtId="189" fontId="157" fillId="29" borderId="0">
      <alignment horizontal="right"/>
    </xf>
    <xf numFmtId="258" fontId="158" fillId="0" borderId="28" applyBorder="0" applyProtection="0">
      <alignment horizontal="right"/>
    </xf>
    <xf numFmtId="0" fontId="50" fillId="0" borderId="0" applyFont="0" applyFill="0" applyBorder="0" applyAlignment="0" applyProtection="0"/>
    <xf numFmtId="259" fontId="14" fillId="0" borderId="49">
      <alignment horizontal="center"/>
    </xf>
    <xf numFmtId="0" fontId="159" fillId="0" borderId="0">
      <alignment vertical="center"/>
    </xf>
    <xf numFmtId="40" fontId="120" fillId="0" borderId="0" applyFont="0" applyFill="0" applyBorder="0" applyAlignment="0" applyProtection="0"/>
    <xf numFmtId="41" fontId="160" fillId="0" borderId="0" applyFont="0" applyFill="0" applyBorder="0" applyAlignment="0" applyProtection="0"/>
    <xf numFmtId="0" fontId="26" fillId="0" borderId="0"/>
    <xf numFmtId="8" fontId="120" fillId="0" borderId="0" applyFont="0" applyFill="0" applyBorder="0" applyAlignment="0" applyProtection="0"/>
    <xf numFmtId="6" fontId="120"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 fillId="0" borderId="0"/>
    <xf numFmtId="9" fontId="1" fillId="0" borderId="0" applyFont="0" applyFill="0" applyBorder="0" applyAlignment="0" applyProtection="0"/>
    <xf numFmtId="0" fontId="163" fillId="0" borderId="0" applyNumberFormat="0" applyFill="0" applyBorder="0" applyAlignment="0" applyProtection="0"/>
    <xf numFmtId="0" fontId="22" fillId="0" borderId="0" applyNumberFormat="0" applyFill="0" applyBorder="0" applyAlignment="0" applyProtection="0"/>
    <xf numFmtId="0" fontId="163" fillId="0" borderId="0" applyNumberFormat="0" applyFill="0" applyBorder="0" applyAlignment="0" applyProtection="0"/>
    <xf numFmtId="0" fontId="22" fillId="0" borderId="0" applyNumberFormat="0" applyFill="0" applyBorder="0" applyAlignment="0" applyProtection="0"/>
    <xf numFmtId="0" fontId="165" fillId="31" borderId="0" applyNumberFormat="0" applyBorder="0" applyAlignment="0" applyProtection="0"/>
    <xf numFmtId="0" fontId="22" fillId="0" borderId="0" applyNumberFormat="0" applyFill="0" applyBorder="0" applyAlignment="0" applyProtection="0"/>
    <xf numFmtId="0" fontId="2" fillId="0" borderId="0"/>
    <xf numFmtId="0" fontId="2" fillId="0" borderId="0"/>
    <xf numFmtId="0" fontId="15" fillId="0" borderId="0"/>
    <xf numFmtId="43" fontId="164" fillId="0" borderId="0" applyFont="0" applyFill="0" applyBorder="0" applyAlignment="0" applyProtection="0"/>
    <xf numFmtId="0" fontId="166" fillId="0" borderId="62" applyNumberFormat="0" applyFill="0" applyAlignment="0" applyProtection="0"/>
    <xf numFmtId="0" fontId="164" fillId="0" borderId="0"/>
    <xf numFmtId="0" fontId="2" fillId="0" borderId="0"/>
    <xf numFmtId="9" fontId="2" fillId="0" borderId="0" applyFont="0" applyFill="0" applyBorder="0" applyAlignment="0" applyProtection="0"/>
    <xf numFmtId="44" fontId="7" fillId="0" borderId="0" applyFont="0" applyFill="0" applyBorder="0" applyAlignment="0" applyProtection="0"/>
    <xf numFmtId="0" fontId="7" fillId="0" borderId="0"/>
    <xf numFmtId="0" fontId="169" fillId="0" borderId="0" applyNumberForma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cellStyleXfs>
  <cellXfs count="1700">
    <xf numFmtId="0" fontId="0" fillId="0" borderId="0" xfId="0"/>
    <xf numFmtId="0" fontId="2" fillId="36" borderId="0" xfId="1347" applyFill="1"/>
    <xf numFmtId="0" fontId="170" fillId="0" borderId="0" xfId="0" applyFont="1"/>
    <xf numFmtId="0" fontId="23" fillId="0" borderId="0" xfId="5" applyFont="1"/>
    <xf numFmtId="0" fontId="23" fillId="0" borderId="0" xfId="5" applyFont="1" applyAlignment="1">
      <alignment horizontal="right"/>
    </xf>
    <xf numFmtId="168" fontId="172" fillId="0" borderId="0" xfId="0" applyNumberFormat="1" applyFont="1" applyAlignment="1">
      <alignment horizontal="center"/>
    </xf>
    <xf numFmtId="1" fontId="113" fillId="0" borderId="0" xfId="0" applyNumberFormat="1" applyFont="1" applyAlignment="1">
      <alignment horizontal="left"/>
    </xf>
    <xf numFmtId="0" fontId="172" fillId="0" borderId="0" xfId="0" applyFont="1"/>
    <xf numFmtId="175" fontId="173" fillId="8" borderId="15" xfId="0" applyNumberFormat="1" applyFont="1" applyFill="1" applyBorder="1" applyAlignment="1">
      <alignment horizontal="center"/>
    </xf>
    <xf numFmtId="175" fontId="173" fillId="8" borderId="0" xfId="0" applyNumberFormat="1" applyFont="1" applyFill="1" applyAlignment="1">
      <alignment horizontal="center"/>
    </xf>
    <xf numFmtId="0" fontId="173" fillId="8" borderId="15" xfId="0" applyFont="1" applyFill="1" applyBorder="1" applyAlignment="1">
      <alignment horizontal="left"/>
    </xf>
    <xf numFmtId="0" fontId="173" fillId="8" borderId="0" xfId="0" applyFont="1" applyFill="1" applyAlignment="1">
      <alignment horizontal="center"/>
    </xf>
    <xf numFmtId="0" fontId="173" fillId="8" borderId="6" xfId="0" applyFont="1" applyFill="1" applyBorder="1" applyAlignment="1">
      <alignment horizontal="center"/>
    </xf>
    <xf numFmtId="0" fontId="15" fillId="0" borderId="75" xfId="0" applyFont="1" applyBorder="1"/>
    <xf numFmtId="179" fontId="23" fillId="0" borderId="76" xfId="22" applyNumberFormat="1" applyFont="1" applyBorder="1" applyAlignment="1">
      <alignment horizontal="center"/>
    </xf>
    <xf numFmtId="176" fontId="23" fillId="0" borderId="76" xfId="22" applyNumberFormat="1" applyFont="1" applyBorder="1" applyAlignment="1">
      <alignment horizontal="center" vertical="center"/>
    </xf>
    <xf numFmtId="0" fontId="15" fillId="4" borderId="76" xfId="0" applyFont="1" applyFill="1" applyBorder="1" applyAlignment="1">
      <alignment horizontal="center"/>
    </xf>
    <xf numFmtId="0" fontId="15" fillId="0" borderId="86" xfId="0" applyFont="1" applyBorder="1"/>
    <xf numFmtId="168" fontId="15" fillId="4" borderId="87" xfId="22" applyNumberFormat="1" applyFont="1" applyFill="1" applyBorder="1" applyAlignment="1">
      <alignment horizontal="center"/>
    </xf>
    <xf numFmtId="177" fontId="23" fillId="0" borderId="87" xfId="22" applyNumberFormat="1" applyFont="1" applyBorder="1" applyAlignment="1">
      <alignment horizontal="center" vertical="center"/>
    </xf>
    <xf numFmtId="165" fontId="23" fillId="0" borderId="87" xfId="2" applyNumberFormat="1" applyFont="1" applyBorder="1" applyAlignment="1">
      <alignment horizontal="center"/>
    </xf>
    <xf numFmtId="0" fontId="15" fillId="4" borderId="59" xfId="0" applyFont="1" applyFill="1" applyBorder="1"/>
    <xf numFmtId="0" fontId="15" fillId="0" borderId="8" xfId="0" applyFont="1" applyBorder="1"/>
    <xf numFmtId="168" fontId="15" fillId="0" borderId="66" xfId="22" applyNumberFormat="1" applyFont="1" applyFill="1" applyBorder="1" applyAlignment="1">
      <alignment horizontal="center"/>
    </xf>
    <xf numFmtId="177" fontId="23" fillId="0" borderId="66" xfId="22" applyNumberFormat="1" applyFont="1" applyFill="1" applyBorder="1" applyAlignment="1">
      <alignment horizontal="center" vertical="center"/>
    </xf>
    <xf numFmtId="165" fontId="23" fillId="0" borderId="66" xfId="2" applyNumberFormat="1" applyFont="1" applyBorder="1" applyAlignment="1">
      <alignment horizontal="center"/>
    </xf>
    <xf numFmtId="0" fontId="15" fillId="0" borderId="89" xfId="0" applyFont="1" applyBorder="1"/>
    <xf numFmtId="3" fontId="15" fillId="0" borderId="83" xfId="0" applyNumberFormat="1" applyFont="1" applyBorder="1" applyAlignment="1">
      <alignment horizontal="center"/>
    </xf>
    <xf numFmtId="8" fontId="15" fillId="0" borderId="66" xfId="0" applyNumberFormat="1" applyFont="1" applyBorder="1"/>
    <xf numFmtId="6" fontId="15" fillId="0" borderId="66" xfId="0" applyNumberFormat="1" applyFont="1" applyBorder="1"/>
    <xf numFmtId="6" fontId="172" fillId="0" borderId="0" xfId="0" applyNumberFormat="1" applyFont="1"/>
    <xf numFmtId="8" fontId="15" fillId="0" borderId="0" xfId="0" applyNumberFormat="1" applyFont="1"/>
    <xf numFmtId="6" fontId="15" fillId="0" borderId="0" xfId="0" applyNumberFormat="1" applyFont="1"/>
    <xf numFmtId="0" fontId="15" fillId="0" borderId="90" xfId="0" applyFont="1" applyBorder="1"/>
    <xf numFmtId="3" fontId="15" fillId="0" borderId="91" xfId="0" applyNumberFormat="1" applyFont="1" applyBorder="1"/>
    <xf numFmtId="0" fontId="15" fillId="0" borderId="0" xfId="0" applyFont="1"/>
    <xf numFmtId="177" fontId="23" fillId="0" borderId="0" xfId="22" applyNumberFormat="1" applyFont="1" applyFill="1" applyBorder="1" applyAlignment="1">
      <alignment horizontal="center" vertical="center"/>
    </xf>
    <xf numFmtId="165" fontId="23" fillId="0" borderId="0" xfId="2" applyNumberFormat="1" applyFont="1" applyAlignment="1">
      <alignment horizontal="center"/>
    </xf>
    <xf numFmtId="5" fontId="15" fillId="11" borderId="3" xfId="22" applyNumberFormat="1" applyFont="1" applyFill="1" applyBorder="1" applyAlignment="1">
      <alignment horizontal="center"/>
    </xf>
    <xf numFmtId="5" fontId="15" fillId="0" borderId="73" xfId="22" applyNumberFormat="1" applyFont="1" applyBorder="1" applyAlignment="1">
      <alignment horizontal="center"/>
    </xf>
    <xf numFmtId="0" fontId="15" fillId="0" borderId="68" xfId="0" applyFont="1" applyBorder="1"/>
    <xf numFmtId="5" fontId="23" fillId="0" borderId="69" xfId="22" applyNumberFormat="1" applyFont="1" applyBorder="1" applyAlignment="1">
      <alignment horizontal="center"/>
    </xf>
    <xf numFmtId="174" fontId="177" fillId="0" borderId="68" xfId="0" applyNumberFormat="1" applyFont="1" applyBorder="1" applyAlignment="1">
      <alignment horizontal="left"/>
    </xf>
    <xf numFmtId="5" fontId="15" fillId="0" borderId="69" xfId="22" applyNumberFormat="1" applyFont="1" applyBorder="1" applyAlignment="1">
      <alignment horizontal="center"/>
    </xf>
    <xf numFmtId="5" fontId="23" fillId="3" borderId="59" xfId="22" applyNumberFormat="1" applyFont="1" applyFill="1" applyBorder="1" applyAlignment="1">
      <alignment horizontal="center"/>
    </xf>
    <xf numFmtId="5" fontId="23" fillId="3" borderId="61" xfId="22" applyNumberFormat="1" applyFont="1" applyFill="1" applyBorder="1" applyAlignment="1">
      <alignment horizontal="center"/>
    </xf>
    <xf numFmtId="0" fontId="173" fillId="8" borderId="10" xfId="0" applyFont="1" applyFill="1" applyBorder="1" applyAlignment="1">
      <alignment horizontal="center"/>
    </xf>
    <xf numFmtId="0" fontId="176" fillId="0" borderId="66" xfId="0" applyFont="1" applyBorder="1" applyAlignment="1">
      <alignment horizontal="left"/>
    </xf>
    <xf numFmtId="5" fontId="176" fillId="0" borderId="66" xfId="0" applyNumberFormat="1" applyFont="1" applyBorder="1" applyAlignment="1">
      <alignment horizontal="center"/>
    </xf>
    <xf numFmtId="0" fontId="178" fillId="8" borderId="59" xfId="2" applyFont="1" applyFill="1" applyBorder="1" applyAlignment="1">
      <alignment horizontal="right" wrapText="1"/>
    </xf>
    <xf numFmtId="10" fontId="179" fillId="8" borderId="59" xfId="2" applyNumberFormat="1" applyFont="1" applyFill="1" applyBorder="1" applyAlignment="1">
      <alignment horizontal="center"/>
    </xf>
    <xf numFmtId="0" fontId="173" fillId="8" borderId="0" xfId="0" applyFont="1" applyFill="1" applyAlignment="1">
      <alignment horizontal="center" wrapText="1"/>
    </xf>
    <xf numFmtId="0" fontId="15" fillId="0" borderId="63" xfId="0" applyFont="1" applyBorder="1" applyAlignment="1">
      <alignment wrapText="1"/>
    </xf>
    <xf numFmtId="5" fontId="15" fillId="0" borderId="66" xfId="22" applyNumberFormat="1" applyFont="1" applyFill="1" applyBorder="1" applyAlignment="1">
      <alignment horizontal="center"/>
    </xf>
    <xf numFmtId="10" fontId="172" fillId="0" borderId="0" xfId="1" applyNumberFormat="1" applyFont="1"/>
    <xf numFmtId="264" fontId="175" fillId="0" borderId="0" xfId="0" applyNumberFormat="1" applyFont="1" applyAlignment="1">
      <alignment horizontal="center"/>
    </xf>
    <xf numFmtId="7" fontId="172" fillId="5" borderId="0" xfId="0" applyNumberFormat="1" applyFont="1" applyFill="1"/>
    <xf numFmtId="5" fontId="172" fillId="5" borderId="0" xfId="0" applyNumberFormat="1" applyFont="1" applyFill="1"/>
    <xf numFmtId="5" fontId="23" fillId="3" borderId="66" xfId="22" applyNumberFormat="1" applyFont="1" applyFill="1" applyBorder="1" applyAlignment="1">
      <alignment horizontal="center"/>
    </xf>
    <xf numFmtId="166" fontId="172" fillId="0" borderId="0" xfId="0" applyNumberFormat="1" applyFont="1"/>
    <xf numFmtId="7" fontId="172" fillId="0" borderId="0" xfId="0" applyNumberFormat="1" applyFont="1"/>
    <xf numFmtId="0" fontId="181" fillId="0" borderId="0" xfId="0" applyFont="1"/>
    <xf numFmtId="266" fontId="23" fillId="0" borderId="0" xfId="0" applyNumberFormat="1" applyFont="1"/>
    <xf numFmtId="6" fontId="23" fillId="0" borderId="0" xfId="1" applyNumberFormat="1" applyFont="1" applyFill="1" applyBorder="1" applyAlignment="1">
      <alignment horizontal="center"/>
    </xf>
    <xf numFmtId="0" fontId="176" fillId="0" borderId="66" xfId="0" applyFont="1" applyBorder="1" applyAlignment="1">
      <alignment horizontal="right"/>
    </xf>
    <xf numFmtId="6" fontId="176" fillId="0" borderId="66" xfId="0" applyNumberFormat="1" applyFont="1" applyBorder="1" applyAlignment="1">
      <alignment horizontal="center"/>
    </xf>
    <xf numFmtId="0" fontId="176" fillId="0" borderId="8" xfId="0" applyFont="1" applyBorder="1" applyAlignment="1">
      <alignment horizontal="right"/>
    </xf>
    <xf numFmtId="5" fontId="15" fillId="0" borderId="66" xfId="22" applyNumberFormat="1" applyFont="1" applyBorder="1"/>
    <xf numFmtId="0" fontId="172" fillId="0" borderId="15" xfId="0" applyFont="1" applyBorder="1" applyAlignment="1">
      <alignment horizontal="right"/>
    </xf>
    <xf numFmtId="37" fontId="15" fillId="0" borderId="61" xfId="22" applyNumberFormat="1" applyFont="1" applyBorder="1"/>
    <xf numFmtId="165" fontId="172" fillId="0" borderId="0" xfId="0" applyNumberFormat="1" applyFont="1"/>
    <xf numFmtId="166" fontId="23" fillId="0" borderId="61" xfId="22" applyNumberFormat="1" applyFont="1" applyBorder="1"/>
    <xf numFmtId="5" fontId="172" fillId="0" borderId="0" xfId="0" applyNumberFormat="1" applyFont="1"/>
    <xf numFmtId="0" fontId="173" fillId="0" borderId="61" xfId="0" applyFont="1" applyBorder="1" applyAlignment="1">
      <alignment horizontal="center"/>
    </xf>
    <xf numFmtId="0" fontId="173" fillId="0" borderId="15" xfId="0" applyFont="1" applyBorder="1" applyAlignment="1">
      <alignment horizontal="center"/>
    </xf>
    <xf numFmtId="0" fontId="172" fillId="0" borderId="0" xfId="0" applyFont="1" applyAlignment="1">
      <alignment horizontal="right"/>
    </xf>
    <xf numFmtId="0" fontId="170" fillId="0" borderId="0" xfId="0" applyFont="1" applyAlignment="1">
      <alignment horizontal="center"/>
    </xf>
    <xf numFmtId="0" fontId="172" fillId="36" borderId="0" xfId="1347" applyFont="1" applyFill="1"/>
    <xf numFmtId="14" fontId="183" fillId="36" borderId="0" xfId="1347" applyNumberFormat="1" applyFont="1" applyFill="1" applyAlignment="1">
      <alignment horizontal="center"/>
    </xf>
    <xf numFmtId="14" fontId="172" fillId="36" borderId="0" xfId="1347" applyNumberFormat="1" applyFont="1" applyFill="1" applyAlignment="1">
      <alignment horizontal="center"/>
    </xf>
    <xf numFmtId="0" fontId="176" fillId="36" borderId="0" xfId="1347" applyFont="1" applyFill="1" applyAlignment="1">
      <alignment horizontal="center" vertical="center"/>
    </xf>
    <xf numFmtId="0" fontId="15" fillId="36" borderId="0" xfId="1347" applyFont="1" applyFill="1" applyAlignment="1">
      <alignment horizontal="left" vertical="center" indent="1"/>
    </xf>
    <xf numFmtId="0" fontId="15" fillId="36" borderId="0" xfId="1347" applyFont="1" applyFill="1" applyAlignment="1">
      <alignment vertical="center"/>
    </xf>
    <xf numFmtId="5" fontId="172" fillId="36" borderId="0" xfId="1347" applyNumberFormat="1" applyFont="1" applyFill="1" applyAlignment="1">
      <alignment horizontal="center" vertical="center"/>
    </xf>
    <xf numFmtId="9" fontId="183" fillId="36" borderId="0" xfId="1347" applyNumberFormat="1" applyFont="1" applyFill="1" applyAlignment="1">
      <alignment horizontal="center" vertical="center"/>
    </xf>
    <xf numFmtId="0" fontId="172" fillId="36" borderId="0" xfId="1347" applyFont="1" applyFill="1" applyAlignment="1">
      <alignment vertical="center"/>
    </xf>
    <xf numFmtId="0" fontId="23" fillId="0" borderId="63" xfId="0" applyFont="1" applyBorder="1" applyAlignment="1">
      <alignment horizontal="right"/>
    </xf>
    <xf numFmtId="0" fontId="23" fillId="0" borderId="77" xfId="0" applyFont="1" applyBorder="1"/>
    <xf numFmtId="0" fontId="176" fillId="4" borderId="0" xfId="0" applyFont="1" applyFill="1" applyAlignment="1">
      <alignment horizontal="center" wrapText="1"/>
    </xf>
    <xf numFmtId="0" fontId="172" fillId="9" borderId="0" xfId="0" applyFont="1" applyFill="1"/>
    <xf numFmtId="0" fontId="172" fillId="10" borderId="0" xfId="0" applyFont="1" applyFill="1"/>
    <xf numFmtId="0" fontId="172" fillId="7" borderId="0" xfId="0" applyFont="1" applyFill="1"/>
    <xf numFmtId="0" fontId="172" fillId="0" borderId="67" xfId="0" applyFont="1" applyBorder="1" applyAlignment="1">
      <alignment horizontal="center"/>
    </xf>
    <xf numFmtId="9" fontId="185" fillId="0" borderId="83" xfId="0" applyNumberFormat="1" applyFont="1" applyBorder="1"/>
    <xf numFmtId="38" fontId="176" fillId="0" borderId="60" xfId="0" applyNumberFormat="1" applyFont="1" applyBorder="1"/>
    <xf numFmtId="5" fontId="176" fillId="0" borderId="8" xfId="0" applyNumberFormat="1" applyFont="1" applyBorder="1"/>
    <xf numFmtId="6" fontId="176" fillId="0" borderId="8" xfId="0" applyNumberFormat="1" applyFont="1" applyBorder="1"/>
    <xf numFmtId="0" fontId="172" fillId="0" borderId="93" xfId="0" applyFont="1" applyBorder="1"/>
    <xf numFmtId="6" fontId="172" fillId="0" borderId="106" xfId="0" applyNumberFormat="1" applyFont="1" applyBorder="1"/>
    <xf numFmtId="5" fontId="176" fillId="0" borderId="66" xfId="0" applyNumberFormat="1" applyFont="1" applyBorder="1"/>
    <xf numFmtId="5" fontId="176" fillId="0" borderId="14" xfId="0" applyNumberFormat="1" applyFont="1" applyBorder="1"/>
    <xf numFmtId="5" fontId="172" fillId="0" borderId="99" xfId="0" applyNumberFormat="1" applyFont="1" applyBorder="1"/>
    <xf numFmtId="0" fontId="172" fillId="0" borderId="100" xfId="0" applyFont="1" applyBorder="1"/>
    <xf numFmtId="169" fontId="172" fillId="0" borderId="101" xfId="18" applyNumberFormat="1" applyFont="1" applyBorder="1"/>
    <xf numFmtId="0" fontId="172" fillId="0" borderId="64" xfId="0" applyFont="1" applyBorder="1"/>
    <xf numFmtId="6" fontId="172" fillId="0" borderId="67" xfId="0" applyNumberFormat="1" applyFont="1" applyBorder="1"/>
    <xf numFmtId="0" fontId="172" fillId="4" borderId="0" xfId="0" applyFont="1" applyFill="1"/>
    <xf numFmtId="5" fontId="172" fillId="0" borderId="70" xfId="0" applyNumberFormat="1" applyFont="1" applyBorder="1"/>
    <xf numFmtId="5" fontId="172" fillId="0" borderId="73" xfId="0" applyNumberFormat="1" applyFont="1" applyBorder="1"/>
    <xf numFmtId="6" fontId="172" fillId="0" borderId="73" xfId="0" applyNumberFormat="1" applyFont="1" applyBorder="1"/>
    <xf numFmtId="37" fontId="176" fillId="0" borderId="2" xfId="0" applyNumberFormat="1" applyFont="1" applyBorder="1"/>
    <xf numFmtId="5" fontId="176" fillId="4" borderId="0" xfId="0" applyNumberFormat="1" applyFont="1" applyFill="1"/>
    <xf numFmtId="0" fontId="176" fillId="4" borderId="0" xfId="0" applyFont="1" applyFill="1" applyAlignment="1">
      <alignment wrapText="1"/>
    </xf>
    <xf numFmtId="0" fontId="176" fillId="0" borderId="0" xfId="0" applyFont="1" applyAlignment="1">
      <alignment horizontal="center" wrapText="1"/>
    </xf>
    <xf numFmtId="5" fontId="176" fillId="0" borderId="83" xfId="0" applyNumberFormat="1" applyFont="1" applyBorder="1"/>
    <xf numFmtId="9" fontId="23" fillId="0" borderId="109" xfId="0" applyNumberFormat="1" applyFont="1" applyBorder="1" applyAlignment="1">
      <alignment horizontal="center"/>
    </xf>
    <xf numFmtId="0" fontId="15" fillId="0" borderId="0" xfId="0" applyFont="1" applyAlignment="1">
      <alignment horizontal="left"/>
    </xf>
    <xf numFmtId="0" fontId="172" fillId="0" borderId="66" xfId="0" applyFont="1" applyBorder="1"/>
    <xf numFmtId="38" fontId="176" fillId="0" borderId="66" xfId="0" applyNumberFormat="1" applyFont="1" applyBorder="1"/>
    <xf numFmtId="5" fontId="176" fillId="0" borderId="57" xfId="0" applyNumberFormat="1" applyFont="1" applyBorder="1"/>
    <xf numFmtId="5" fontId="176" fillId="0" borderId="107" xfId="0" applyNumberFormat="1" applyFont="1" applyBorder="1"/>
    <xf numFmtId="5" fontId="176" fillId="0" borderId="108" xfId="0" applyNumberFormat="1" applyFont="1" applyBorder="1"/>
    <xf numFmtId="6" fontId="176" fillId="0" borderId="14" xfId="0" applyNumberFormat="1" applyFont="1" applyBorder="1"/>
    <xf numFmtId="0" fontId="172" fillId="0" borderId="57" xfId="0" applyFont="1" applyBorder="1"/>
    <xf numFmtId="38" fontId="176" fillId="0" borderId="15" xfId="0" applyNumberFormat="1" applyFont="1" applyBorder="1"/>
    <xf numFmtId="6" fontId="172" fillId="0" borderId="95" xfId="0" applyNumberFormat="1" applyFont="1" applyBorder="1"/>
    <xf numFmtId="5" fontId="176" fillId="4" borderId="8" xfId="0" applyNumberFormat="1" applyFont="1" applyFill="1" applyBorder="1"/>
    <xf numFmtId="5" fontId="176" fillId="4" borderId="66" xfId="0" applyNumberFormat="1" applyFont="1" applyFill="1" applyBorder="1"/>
    <xf numFmtId="5" fontId="176" fillId="4" borderId="65" xfId="0" applyNumberFormat="1" applyFont="1" applyFill="1" applyBorder="1"/>
    <xf numFmtId="6" fontId="176" fillId="4" borderId="8" xfId="0" applyNumberFormat="1" applyFont="1" applyFill="1" applyBorder="1"/>
    <xf numFmtId="0" fontId="176" fillId="0" borderId="104" xfId="0" applyFont="1" applyBorder="1" applyAlignment="1">
      <alignment horizontal="center"/>
    </xf>
    <xf numFmtId="0" fontId="172" fillId="0" borderId="67" xfId="0" applyFont="1" applyBorder="1"/>
    <xf numFmtId="38" fontId="176" fillId="0" borderId="83" xfId="0" applyNumberFormat="1" applyFont="1" applyBorder="1"/>
    <xf numFmtId="0" fontId="172" fillId="4" borderId="2" xfId="0" applyFont="1" applyFill="1" applyBorder="1"/>
    <xf numFmtId="6" fontId="172" fillId="0" borderId="100" xfId="0" applyNumberFormat="1" applyFont="1" applyBorder="1"/>
    <xf numFmtId="5" fontId="172" fillId="0" borderId="94" xfId="0" applyNumberFormat="1" applyFont="1" applyBorder="1"/>
    <xf numFmtId="169" fontId="172" fillId="0" borderId="105" xfId="18" applyNumberFormat="1" applyFont="1" applyBorder="1"/>
    <xf numFmtId="5" fontId="172" fillId="4" borderId="8" xfId="0" applyNumberFormat="1" applyFont="1" applyFill="1" applyBorder="1"/>
    <xf numFmtId="5" fontId="172" fillId="4" borderId="66" xfId="0" applyNumberFormat="1" applyFont="1" applyFill="1" applyBorder="1"/>
    <xf numFmtId="37" fontId="172" fillId="0" borderId="0" xfId="0" applyNumberFormat="1" applyFont="1"/>
    <xf numFmtId="177" fontId="23" fillId="0" borderId="0" xfId="22" applyNumberFormat="1" applyFont="1" applyFill="1" applyBorder="1" applyAlignment="1">
      <alignment horizontal="left" vertical="center"/>
    </xf>
    <xf numFmtId="0" fontId="171" fillId="37" borderId="66" xfId="0" applyFont="1" applyFill="1" applyBorder="1" applyAlignment="1">
      <alignment horizontal="center"/>
    </xf>
    <xf numFmtId="0" fontId="171" fillId="37" borderId="63" xfId="0" applyFont="1" applyFill="1" applyBorder="1" applyAlignment="1">
      <alignment horizontal="center"/>
    </xf>
    <xf numFmtId="0" fontId="171" fillId="37" borderId="3" xfId="0" applyFont="1" applyFill="1" applyBorder="1" applyAlignment="1">
      <alignment horizontal="center" wrapText="1"/>
    </xf>
    <xf numFmtId="0" fontId="23" fillId="9" borderId="94" xfId="1347" applyFont="1" applyFill="1" applyBorder="1" applyAlignment="1">
      <alignment horizontal="center"/>
    </xf>
    <xf numFmtId="0" fontId="23" fillId="9" borderId="95" xfId="1347" applyFont="1" applyFill="1" applyBorder="1" applyAlignment="1">
      <alignment horizontal="center"/>
    </xf>
    <xf numFmtId="172" fontId="176" fillId="0" borderId="66" xfId="0" applyNumberFormat="1" applyFont="1" applyBorder="1" applyAlignment="1">
      <alignment horizontal="center"/>
    </xf>
    <xf numFmtId="172" fontId="176" fillId="0" borderId="66" xfId="0" applyNumberFormat="1" applyFont="1" applyBorder="1"/>
    <xf numFmtId="0" fontId="176" fillId="0" borderId="0" xfId="0" applyFont="1"/>
    <xf numFmtId="0" fontId="176" fillId="0" borderId="15" xfId="0" applyFont="1" applyBorder="1" applyAlignment="1">
      <alignment horizontal="center"/>
    </xf>
    <xf numFmtId="0" fontId="172" fillId="9" borderId="102" xfId="0" applyFont="1" applyFill="1" applyBorder="1"/>
    <xf numFmtId="10" fontId="172" fillId="9" borderId="102" xfId="0" applyNumberFormat="1" applyFont="1" applyFill="1" applyBorder="1"/>
    <xf numFmtId="5" fontId="172" fillId="0" borderId="83" xfId="0" applyNumberFormat="1" applyFont="1" applyBorder="1"/>
    <xf numFmtId="6" fontId="172" fillId="0" borderId="94" xfId="0" applyNumberFormat="1" applyFont="1" applyBorder="1"/>
    <xf numFmtId="167" fontId="175" fillId="9" borderId="59" xfId="0" applyNumberFormat="1" applyFont="1" applyFill="1" applyBorder="1"/>
    <xf numFmtId="0" fontId="173" fillId="0" borderId="92" xfId="0" applyFont="1" applyBorder="1" applyAlignment="1">
      <alignment horizontal="center"/>
    </xf>
    <xf numFmtId="14" fontId="23" fillId="9" borderId="93" xfId="0" applyNumberFormat="1" applyFont="1" applyFill="1" applyBorder="1" applyAlignment="1">
      <alignment horizontal="right" vertical="center"/>
    </xf>
    <xf numFmtId="0" fontId="187" fillId="0" borderId="55" xfId="0" applyFont="1" applyBorder="1" applyAlignment="1">
      <alignment horizontal="center"/>
    </xf>
    <xf numFmtId="0" fontId="187" fillId="0" borderId="55" xfId="0" applyFont="1" applyBorder="1"/>
    <xf numFmtId="9" fontId="23" fillId="0" borderId="83" xfId="0" applyNumberFormat="1" applyFont="1" applyBorder="1" applyAlignment="1">
      <alignment horizontal="center"/>
    </xf>
    <xf numFmtId="0" fontId="172" fillId="4" borderId="112" xfId="0" applyFont="1" applyFill="1" applyBorder="1"/>
    <xf numFmtId="5" fontId="172" fillId="0" borderId="66" xfId="0" applyNumberFormat="1" applyFont="1" applyBorder="1"/>
    <xf numFmtId="5" fontId="176" fillId="0" borderId="0" xfId="0" applyNumberFormat="1" applyFont="1"/>
    <xf numFmtId="166" fontId="172" fillId="4" borderId="0" xfId="0" applyNumberFormat="1" applyFont="1" applyFill="1"/>
    <xf numFmtId="5" fontId="172" fillId="0" borderId="9" xfId="0" applyNumberFormat="1" applyFont="1" applyBorder="1"/>
    <xf numFmtId="0" fontId="171" fillId="37" borderId="101" xfId="0" applyFont="1" applyFill="1" applyBorder="1" applyAlignment="1">
      <alignment horizontal="center" wrapText="1"/>
    </xf>
    <xf numFmtId="49" fontId="170" fillId="37" borderId="109" xfId="0" applyNumberFormat="1" applyFont="1" applyFill="1" applyBorder="1" applyAlignment="1">
      <alignment horizontal="center" vertical="center" wrapText="1"/>
    </xf>
    <xf numFmtId="49" fontId="170" fillId="37" borderId="109" xfId="0" applyNumberFormat="1" applyFont="1" applyFill="1" applyBorder="1" applyAlignment="1">
      <alignment horizontal="center" vertical="center"/>
    </xf>
    <xf numFmtId="49" fontId="172" fillId="37" borderId="109" xfId="0" applyNumberFormat="1" applyFont="1" applyFill="1" applyBorder="1" applyAlignment="1">
      <alignment horizontal="center" vertical="center" wrapText="1"/>
    </xf>
    <xf numFmtId="0" fontId="176" fillId="0" borderId="65" xfId="0" applyFont="1" applyBorder="1"/>
    <xf numFmtId="166" fontId="170" fillId="0" borderId="0" xfId="0" applyNumberFormat="1" applyFont="1" applyAlignment="1">
      <alignment horizontal="center"/>
    </xf>
    <xf numFmtId="166" fontId="170" fillId="0" borderId="0" xfId="0" applyNumberFormat="1" applyFont="1"/>
    <xf numFmtId="0" fontId="15" fillId="0" borderId="93" xfId="0" applyFont="1" applyBorder="1" applyAlignment="1">
      <alignment wrapText="1"/>
    </xf>
    <xf numFmtId="6" fontId="172" fillId="0" borderId="15" xfId="0" applyNumberFormat="1" applyFont="1" applyBorder="1"/>
    <xf numFmtId="10" fontId="172" fillId="0" borderId="113" xfId="0" applyNumberFormat="1" applyFont="1" applyBorder="1"/>
    <xf numFmtId="10" fontId="176" fillId="0" borderId="113" xfId="0" applyNumberFormat="1" applyFont="1" applyBorder="1"/>
    <xf numFmtId="5" fontId="172" fillId="0" borderId="113" xfId="0" applyNumberFormat="1" applyFont="1" applyBorder="1"/>
    <xf numFmtId="6" fontId="172" fillId="0" borderId="98" xfId="0" applyNumberFormat="1" applyFont="1" applyBorder="1"/>
    <xf numFmtId="37" fontId="15" fillId="0" borderId="61" xfId="22" applyNumberFormat="1" applyFont="1" applyBorder="1" applyAlignment="1">
      <alignment horizontal="center"/>
    </xf>
    <xf numFmtId="166" fontId="23" fillId="0" borderId="61" xfId="22" applyNumberFormat="1" applyFont="1" applyBorder="1" applyAlignment="1">
      <alignment horizontal="center"/>
    </xf>
    <xf numFmtId="167" fontId="186" fillId="9" borderId="59" xfId="0" applyNumberFormat="1" applyFont="1" applyFill="1" applyBorder="1"/>
    <xf numFmtId="167" fontId="186" fillId="9" borderId="102" xfId="0" applyNumberFormat="1" applyFont="1" applyFill="1" applyBorder="1"/>
    <xf numFmtId="0" fontId="183" fillId="0" borderId="0" xfId="0" applyFont="1"/>
    <xf numFmtId="0" fontId="186" fillId="0" borderId="0" xfId="0" applyFont="1"/>
    <xf numFmtId="0" fontId="187" fillId="0" borderId="0" xfId="0" applyFont="1"/>
    <xf numFmtId="172" fontId="176" fillId="0" borderId="64" xfId="0" applyNumberFormat="1" applyFont="1" applyBorder="1"/>
    <xf numFmtId="0" fontId="187" fillId="0" borderId="103" xfId="0" applyFont="1" applyBorder="1" applyAlignment="1">
      <alignment horizontal="center"/>
    </xf>
    <xf numFmtId="0" fontId="187" fillId="0" borderId="103" xfId="0" applyFont="1" applyBorder="1"/>
    <xf numFmtId="172" fontId="176" fillId="0" borderId="115" xfId="0" applyNumberFormat="1" applyFont="1" applyBorder="1"/>
    <xf numFmtId="166" fontId="183" fillId="0" borderId="0" xfId="0" applyNumberFormat="1" applyFont="1"/>
    <xf numFmtId="167" fontId="186" fillId="9" borderId="83" xfId="0" applyNumberFormat="1" applyFont="1" applyFill="1" applyBorder="1"/>
    <xf numFmtId="6" fontId="183" fillId="0" borderId="0" xfId="0" applyNumberFormat="1" applyFont="1"/>
    <xf numFmtId="0" fontId="183" fillId="0" borderId="2" xfId="0" applyFont="1" applyBorder="1"/>
    <xf numFmtId="0" fontId="176" fillId="0" borderId="103" xfId="0" applyFont="1" applyBorder="1"/>
    <xf numFmtId="0" fontId="176" fillId="0" borderId="98" xfId="0" applyFont="1" applyBorder="1"/>
    <xf numFmtId="167" fontId="23" fillId="9" borderId="102" xfId="0" applyNumberFormat="1" applyFont="1" applyFill="1" applyBorder="1"/>
    <xf numFmtId="5" fontId="183" fillId="0" borderId="0" xfId="0" applyNumberFormat="1" applyFont="1"/>
    <xf numFmtId="0" fontId="15" fillId="0" borderId="121" xfId="0" applyFont="1" applyBorder="1"/>
    <xf numFmtId="0" fontId="176" fillId="0" borderId="115" xfId="0" applyFont="1" applyBorder="1" applyAlignment="1">
      <alignment horizontal="center"/>
    </xf>
    <xf numFmtId="6" fontId="172" fillId="0" borderId="115" xfId="0" applyNumberFormat="1" applyFont="1" applyBorder="1"/>
    <xf numFmtId="0" fontId="15" fillId="0" borderId="125" xfId="0" applyFont="1" applyBorder="1"/>
    <xf numFmtId="0" fontId="170" fillId="37" borderId="121" xfId="0" applyFont="1" applyFill="1" applyBorder="1" applyAlignment="1">
      <alignment horizontal="center" vertical="center" wrapText="1"/>
    </xf>
    <xf numFmtId="0" fontId="170" fillId="37" borderId="115" xfId="0" applyFont="1" applyFill="1" applyBorder="1" applyAlignment="1">
      <alignment horizontal="center" vertical="center"/>
    </xf>
    <xf numFmtId="0" fontId="170" fillId="37" borderId="115" xfId="0" applyFont="1" applyFill="1" applyBorder="1" applyAlignment="1">
      <alignment horizontal="center" vertical="center" wrapText="1"/>
    </xf>
    <xf numFmtId="9" fontId="182" fillId="37" borderId="117" xfId="0" applyNumberFormat="1" applyFont="1" applyFill="1" applyBorder="1" applyAlignment="1">
      <alignment horizontal="center" vertical="center" wrapText="1"/>
    </xf>
    <xf numFmtId="9" fontId="182" fillId="37" borderId="117" xfId="0" applyNumberFormat="1" applyFont="1" applyFill="1" applyBorder="1" applyAlignment="1">
      <alignment horizontal="center" vertical="center"/>
    </xf>
    <xf numFmtId="0" fontId="170" fillId="37" borderId="123" xfId="0" applyFont="1" applyFill="1" applyBorder="1" applyAlignment="1">
      <alignment horizontal="center" vertical="center" wrapText="1"/>
    </xf>
    <xf numFmtId="0" fontId="170" fillId="37" borderId="122" xfId="0" applyFont="1" applyFill="1" applyBorder="1" applyAlignment="1">
      <alignment horizontal="center" vertical="center" wrapText="1"/>
    </xf>
    <xf numFmtId="0" fontId="170" fillId="37" borderId="122" xfId="0" applyFont="1" applyFill="1" applyBorder="1" applyAlignment="1">
      <alignment horizontal="center" vertical="center"/>
    </xf>
    <xf numFmtId="9" fontId="182" fillId="37" borderId="124" xfId="0" applyNumberFormat="1" applyFont="1" applyFill="1" applyBorder="1" applyAlignment="1">
      <alignment horizontal="center" vertical="center"/>
    </xf>
    <xf numFmtId="49" fontId="170" fillId="37" borderId="128" xfId="0" applyNumberFormat="1" applyFont="1" applyFill="1" applyBorder="1" applyAlignment="1">
      <alignment horizontal="center" vertical="center"/>
    </xf>
    <xf numFmtId="0" fontId="171" fillId="37" borderId="123" xfId="0" applyFont="1" applyFill="1" applyBorder="1" applyAlignment="1">
      <alignment horizontal="center" vertical="center" wrapText="1"/>
    </xf>
    <xf numFmtId="9" fontId="182" fillId="37" borderId="124" xfId="0" applyNumberFormat="1" applyFont="1" applyFill="1" applyBorder="1" applyAlignment="1">
      <alignment horizontal="center" vertical="center" wrapText="1"/>
    </xf>
    <xf numFmtId="0" fontId="23" fillId="0" borderId="115" xfId="2" applyFont="1" applyBorder="1"/>
    <xf numFmtId="178" fontId="15" fillId="0" borderId="121" xfId="0" applyNumberFormat="1" applyFont="1" applyBorder="1" applyAlignment="1">
      <alignment horizontal="left"/>
    </xf>
    <xf numFmtId="38" fontId="186" fillId="0" borderId="115" xfId="22" applyNumberFormat="1" applyFont="1" applyBorder="1" applyAlignment="1">
      <alignment horizontal="center"/>
    </xf>
    <xf numFmtId="38" fontId="15" fillId="0" borderId="115" xfId="22" applyNumberFormat="1" applyFont="1" applyBorder="1" applyAlignment="1">
      <alignment horizontal="center"/>
    </xf>
    <xf numFmtId="8" fontId="15" fillId="0" borderId="115" xfId="0" applyNumberFormat="1" applyFont="1" applyBorder="1" applyAlignment="1">
      <alignment horizontal="center"/>
    </xf>
    <xf numFmtId="164" fontId="15" fillId="0" borderId="115" xfId="22" applyNumberFormat="1" applyFont="1" applyBorder="1" applyAlignment="1">
      <alignment horizontal="center"/>
    </xf>
    <xf numFmtId="178" fontId="15" fillId="0" borderId="63" xfId="0" applyNumberFormat="1" applyFont="1" applyBorder="1" applyAlignment="1">
      <alignment horizontal="left"/>
    </xf>
    <xf numFmtId="38" fontId="186" fillId="0" borderId="66" xfId="22" applyNumberFormat="1" applyFont="1" applyBorder="1" applyAlignment="1">
      <alignment horizontal="center"/>
    </xf>
    <xf numFmtId="8" fontId="172" fillId="0" borderId="115" xfId="0" applyNumberFormat="1" applyFont="1" applyBorder="1" applyAlignment="1">
      <alignment horizontal="center"/>
    </xf>
    <xf numFmtId="164" fontId="15" fillId="0" borderId="119" xfId="22" applyNumberFormat="1" applyFont="1" applyBorder="1" applyAlignment="1">
      <alignment horizontal="center"/>
    </xf>
    <xf numFmtId="6" fontId="176" fillId="0" borderId="115" xfId="0" applyNumberFormat="1" applyFont="1" applyBorder="1" applyAlignment="1">
      <alignment horizontal="center"/>
    </xf>
    <xf numFmtId="0" fontId="24" fillId="0" borderId="121" xfId="14" applyFont="1" applyBorder="1"/>
    <xf numFmtId="3" fontId="186" fillId="0" borderId="115" xfId="14" applyNumberFormat="1" applyFont="1" applyBorder="1" applyAlignment="1">
      <alignment horizontal="center"/>
    </xf>
    <xf numFmtId="6" fontId="15" fillId="0" borderId="115" xfId="0" applyNumberFormat="1" applyFont="1" applyBorder="1"/>
    <xf numFmtId="0" fontId="24" fillId="0" borderId="125" xfId="14" applyFont="1" applyBorder="1"/>
    <xf numFmtId="3" fontId="186" fillId="0" borderId="126" xfId="14" applyNumberFormat="1" applyFont="1" applyBorder="1" applyAlignment="1">
      <alignment horizontal="center"/>
    </xf>
    <xf numFmtId="6" fontId="15" fillId="0" borderId="126" xfId="0" applyNumberFormat="1" applyFont="1" applyBorder="1"/>
    <xf numFmtId="0" fontId="173" fillId="8" borderId="96" xfId="0" applyFont="1" applyFill="1" applyBorder="1" applyAlignment="1">
      <alignment horizontal="left"/>
    </xf>
    <xf numFmtId="3" fontId="173" fillId="8" borderId="98" xfId="0" applyNumberFormat="1" applyFont="1" applyFill="1" applyBorder="1"/>
    <xf numFmtId="3" fontId="186" fillId="0" borderId="117" xfId="0" applyNumberFormat="1" applyFont="1" applyBorder="1"/>
    <xf numFmtId="0" fontId="173" fillId="8" borderId="96" xfId="0" applyFont="1" applyFill="1" applyBorder="1"/>
    <xf numFmtId="0" fontId="15" fillId="0" borderId="121" xfId="0" applyFont="1" applyBorder="1" applyAlignment="1">
      <alignment horizontal="right"/>
    </xf>
    <xf numFmtId="168" fontId="15" fillId="0" borderId="117" xfId="22" applyNumberFormat="1" applyFont="1" applyFill="1" applyBorder="1" applyAlignment="1">
      <alignment horizontal="center"/>
    </xf>
    <xf numFmtId="280" fontId="15" fillId="0" borderId="121" xfId="0" applyNumberFormat="1" applyFont="1" applyBorder="1" applyAlignment="1">
      <alignment horizontal="right"/>
    </xf>
    <xf numFmtId="168" fontId="15" fillId="0" borderId="124" xfId="22" applyNumberFormat="1" applyFont="1" applyFill="1" applyBorder="1" applyAlignment="1">
      <alignment horizontal="center"/>
    </xf>
    <xf numFmtId="0" fontId="173" fillId="8" borderId="79" xfId="0" applyFont="1" applyFill="1" applyBorder="1" applyAlignment="1">
      <alignment horizontal="left"/>
    </xf>
    <xf numFmtId="0" fontId="173" fillId="8" borderId="80" xfId="0" applyFont="1" applyFill="1" applyBorder="1" applyAlignment="1">
      <alignment horizontal="center"/>
    </xf>
    <xf numFmtId="0" fontId="173" fillId="8" borderId="81" xfId="0" applyFont="1" applyFill="1" applyBorder="1" applyAlignment="1">
      <alignment horizontal="center"/>
    </xf>
    <xf numFmtId="0" fontId="15" fillId="11" borderId="63" xfId="0" applyFont="1" applyFill="1" applyBorder="1"/>
    <xf numFmtId="5" fontId="15" fillId="11" borderId="66" xfId="22" applyNumberFormat="1" applyFont="1" applyFill="1" applyBorder="1" applyAlignment="1">
      <alignment horizontal="center"/>
    </xf>
    <xf numFmtId="165" fontId="15" fillId="11" borderId="66" xfId="22" applyNumberFormat="1" applyFont="1" applyFill="1" applyBorder="1" applyAlignment="1">
      <alignment horizontal="center"/>
    </xf>
    <xf numFmtId="260" fontId="15" fillId="0" borderId="118" xfId="0" applyNumberFormat="1" applyFont="1" applyBorder="1" applyAlignment="1">
      <alignment horizontal="left"/>
    </xf>
    <xf numFmtId="260" fontId="15" fillId="0" borderId="115" xfId="0" applyNumberFormat="1" applyFont="1" applyBorder="1" applyAlignment="1">
      <alignment horizontal="left"/>
    </xf>
    <xf numFmtId="5" fontId="23" fillId="0" borderId="115" xfId="22" applyNumberFormat="1" applyFont="1" applyBorder="1" applyAlignment="1">
      <alignment horizontal="center"/>
    </xf>
    <xf numFmtId="260" fontId="23" fillId="0" borderId="114" xfId="0" applyNumberFormat="1" applyFont="1" applyBorder="1" applyAlignment="1">
      <alignment horizontal="left"/>
    </xf>
    <xf numFmtId="5" fontId="15" fillId="0" borderId="115" xfId="22" applyNumberFormat="1" applyFont="1" applyBorder="1" applyAlignment="1">
      <alignment horizontal="center"/>
    </xf>
    <xf numFmtId="7" fontId="15" fillId="0" borderId="115" xfId="22" applyNumberFormat="1" applyFont="1" applyBorder="1" applyAlignment="1">
      <alignment horizontal="center"/>
    </xf>
    <xf numFmtId="5" fontId="23" fillId="3" borderId="90" xfId="22" applyNumberFormat="1" applyFont="1" applyFill="1" applyBorder="1" applyAlignment="1">
      <alignment horizontal="left"/>
    </xf>
    <xf numFmtId="165" fontId="23" fillId="3" borderId="91" xfId="22" applyNumberFormat="1" applyFont="1" applyFill="1" applyBorder="1" applyAlignment="1">
      <alignment horizontal="center"/>
    </xf>
    <xf numFmtId="0" fontId="176" fillId="30" borderId="79" xfId="0" applyFont="1" applyFill="1" applyBorder="1"/>
    <xf numFmtId="166" fontId="176" fillId="30" borderId="80" xfId="0" applyNumberFormat="1" applyFont="1" applyFill="1" applyBorder="1" applyAlignment="1">
      <alignment horizontal="center"/>
    </xf>
    <xf numFmtId="165" fontId="176" fillId="30" borderId="80" xfId="0" applyNumberFormat="1" applyFont="1" applyFill="1" applyBorder="1" applyAlignment="1">
      <alignment horizontal="center"/>
    </xf>
    <xf numFmtId="0" fontId="173" fillId="8" borderId="92" xfId="2" applyFont="1" applyFill="1" applyBorder="1"/>
    <xf numFmtId="166" fontId="173" fillId="8" borderId="124" xfId="2" applyNumberFormat="1" applyFont="1" applyFill="1" applyBorder="1"/>
    <xf numFmtId="5" fontId="15" fillId="0" borderId="94" xfId="22" applyNumberFormat="1" applyFont="1" applyFill="1" applyBorder="1" applyAlignment="1">
      <alignment horizontal="center"/>
    </xf>
    <xf numFmtId="261" fontId="186" fillId="0" borderId="115" xfId="0" applyNumberFormat="1" applyFont="1" applyBorder="1" applyAlignment="1">
      <alignment horizontal="center"/>
    </xf>
    <xf numFmtId="0" fontId="172" fillId="0" borderId="115" xfId="0" applyFont="1" applyBorder="1" applyAlignment="1">
      <alignment horizontal="center" wrapText="1"/>
    </xf>
    <xf numFmtId="5" fontId="15" fillId="0" borderId="66" xfId="22" applyNumberFormat="1" applyFont="1" applyBorder="1" applyAlignment="1">
      <alignment horizontal="center"/>
    </xf>
    <xf numFmtId="0" fontId="172" fillId="0" borderId="115" xfId="0" applyFont="1" applyBorder="1" applyAlignment="1">
      <alignment horizontal="center"/>
    </xf>
    <xf numFmtId="5" fontId="15" fillId="0" borderId="115" xfId="22" applyNumberFormat="1" applyFont="1" applyFill="1" applyBorder="1" applyAlignment="1">
      <alignment horizontal="center"/>
    </xf>
    <xf numFmtId="5" fontId="172" fillId="0" borderId="115" xfId="22" applyNumberFormat="1" applyFont="1" applyFill="1" applyBorder="1" applyAlignment="1">
      <alignment horizontal="center"/>
    </xf>
    <xf numFmtId="10" fontId="172" fillId="0" borderId="115" xfId="1" applyNumberFormat="1" applyFont="1" applyBorder="1" applyAlignment="1">
      <alignment horizontal="center"/>
    </xf>
    <xf numFmtId="182" fontId="15" fillId="0" borderId="121" xfId="0" applyNumberFormat="1" applyFont="1" applyBorder="1"/>
    <xf numFmtId="269" fontId="172" fillId="0" borderId="126" xfId="1" applyNumberFormat="1" applyFont="1" applyBorder="1" applyAlignment="1">
      <alignment horizontal="center"/>
    </xf>
    <xf numFmtId="5" fontId="15" fillId="0" borderId="126" xfId="22" applyNumberFormat="1" applyFont="1" applyBorder="1" applyAlignment="1">
      <alignment horizontal="center"/>
    </xf>
    <xf numFmtId="0" fontId="23" fillId="3" borderId="83" xfId="0" applyFont="1" applyFill="1" applyBorder="1"/>
    <xf numFmtId="0" fontId="172" fillId="3" borderId="83" xfId="0" applyFont="1" applyFill="1" applyBorder="1"/>
    <xf numFmtId="0" fontId="23" fillId="3" borderId="93" xfId="0" applyFont="1" applyFill="1" applyBorder="1"/>
    <xf numFmtId="167" fontId="23" fillId="3" borderId="95" xfId="1" applyNumberFormat="1" applyFont="1" applyFill="1" applyBorder="1" applyAlignment="1">
      <alignment horizontal="center"/>
    </xf>
    <xf numFmtId="0" fontId="23" fillId="3" borderId="121" xfId="0" applyFont="1" applyFill="1" applyBorder="1"/>
    <xf numFmtId="167" fontId="23" fillId="3" borderId="117" xfId="1" applyNumberFormat="1" applyFont="1" applyFill="1" applyBorder="1" applyAlignment="1">
      <alignment horizontal="center"/>
    </xf>
    <xf numFmtId="293" fontId="186" fillId="3" borderId="123" xfId="0" applyNumberFormat="1" applyFont="1" applyFill="1" applyBorder="1" applyAlignment="1">
      <alignment horizontal="left"/>
    </xf>
    <xf numFmtId="6" fontId="23" fillId="3" borderId="124" xfId="1" applyNumberFormat="1" applyFont="1" applyFill="1" applyBorder="1" applyAlignment="1">
      <alignment horizontal="center"/>
    </xf>
    <xf numFmtId="175" fontId="173" fillId="6" borderId="81" xfId="0" applyNumberFormat="1" applyFont="1" applyFill="1" applyBorder="1"/>
    <xf numFmtId="0" fontId="176" fillId="0" borderId="77" xfId="0" applyFont="1" applyBorder="1" applyAlignment="1">
      <alignment horizontal="left"/>
    </xf>
    <xf numFmtId="0" fontId="176" fillId="0" borderId="92" xfId="0" applyFont="1" applyBorder="1" applyAlignment="1">
      <alignment horizontal="center"/>
    </xf>
    <xf numFmtId="0" fontId="176" fillId="0" borderId="78" xfId="0" applyFont="1" applyBorder="1" applyAlignment="1">
      <alignment horizontal="center"/>
    </xf>
    <xf numFmtId="6" fontId="176" fillId="0" borderId="115" xfId="0" applyNumberFormat="1" applyFont="1" applyBorder="1" applyAlignment="1">
      <alignment horizontal="center" vertical="center"/>
    </xf>
    <xf numFmtId="181" fontId="15" fillId="0" borderId="125" xfId="0" applyNumberFormat="1" applyFont="1" applyBorder="1" applyAlignment="1">
      <alignment horizontal="right"/>
    </xf>
    <xf numFmtId="5" fontId="15" fillId="0" borderId="127" xfId="22" applyNumberFormat="1" applyFont="1" applyBorder="1" applyAlignment="1">
      <alignment horizontal="center" vertical="center"/>
    </xf>
    <xf numFmtId="0" fontId="173" fillId="0" borderId="77" xfId="0" applyFont="1" applyBorder="1" applyAlignment="1">
      <alignment horizontal="center"/>
    </xf>
    <xf numFmtId="0" fontId="173" fillId="0" borderId="78" xfId="0" applyFont="1" applyBorder="1" applyAlignment="1">
      <alignment horizontal="center"/>
    </xf>
    <xf numFmtId="0" fontId="176" fillId="0" borderId="103" xfId="0" applyFont="1" applyBorder="1" applyAlignment="1">
      <alignment horizontal="center"/>
    </xf>
    <xf numFmtId="0" fontId="15" fillId="0" borderId="100" xfId="0" applyFont="1" applyBorder="1"/>
    <xf numFmtId="37" fontId="15" fillId="0" borderId="101" xfId="22" applyNumberFormat="1" applyFont="1" applyBorder="1" applyAlignment="1">
      <alignment horizontal="center"/>
    </xf>
    <xf numFmtId="37" fontId="15" fillId="0" borderId="101" xfId="22" applyNumberFormat="1" applyFont="1" applyBorder="1"/>
    <xf numFmtId="5" fontId="15" fillId="0" borderId="130" xfId="22" applyNumberFormat="1" applyFont="1" applyBorder="1" applyAlignment="1">
      <alignment horizontal="center"/>
    </xf>
    <xf numFmtId="37" fontId="15" fillId="0" borderId="130" xfId="22" applyNumberFormat="1" applyFont="1" applyBorder="1"/>
    <xf numFmtId="0" fontId="15" fillId="0" borderId="77" xfId="0" applyFont="1" applyBorder="1"/>
    <xf numFmtId="0" fontId="15" fillId="0" borderId="129" xfId="0" applyFont="1" applyBorder="1"/>
    <xf numFmtId="37" fontId="15" fillId="0" borderId="130" xfId="22" applyNumberFormat="1" applyFont="1" applyBorder="1" applyAlignment="1">
      <alignment horizontal="center"/>
    </xf>
    <xf numFmtId="0" fontId="15" fillId="0" borderId="113" xfId="0" applyFont="1" applyBorder="1" applyAlignment="1">
      <alignment horizontal="right"/>
    </xf>
    <xf numFmtId="166" fontId="172" fillId="0" borderId="109" xfId="18" applyNumberFormat="1" applyFont="1" applyBorder="1" applyAlignment="1">
      <alignment horizontal="center"/>
    </xf>
    <xf numFmtId="166" fontId="172" fillId="0" borderId="131" xfId="0" applyNumberFormat="1" applyFont="1" applyBorder="1" applyAlignment="1">
      <alignment horizontal="right"/>
    </xf>
    <xf numFmtId="166" fontId="172" fillId="0" borderId="128" xfId="0" applyNumberFormat="1" applyFont="1" applyBorder="1" applyAlignment="1">
      <alignment horizontal="center"/>
    </xf>
    <xf numFmtId="0" fontId="15" fillId="0" borderId="113" xfId="0" applyFont="1" applyBorder="1"/>
    <xf numFmtId="171" fontId="15" fillId="0" borderId="109" xfId="1" applyNumberFormat="1" applyFont="1" applyFill="1" applyBorder="1" applyAlignment="1">
      <alignment horizontal="center"/>
    </xf>
    <xf numFmtId="0" fontId="23" fillId="0" borderId="113" xfId="0" applyFont="1" applyBorder="1"/>
    <xf numFmtId="9" fontId="15" fillId="0" borderId="109" xfId="0" applyNumberFormat="1" applyFont="1" applyBorder="1" applyAlignment="1">
      <alignment horizontal="center"/>
    </xf>
    <xf numFmtId="10" fontId="15" fillId="0" borderId="109" xfId="0" applyNumberFormat="1" applyFont="1" applyBorder="1" applyAlignment="1">
      <alignment horizontal="center"/>
    </xf>
    <xf numFmtId="14" fontId="23" fillId="9" borderId="123" xfId="0" applyNumberFormat="1" applyFont="1" applyFill="1" applyBorder="1" applyAlignment="1">
      <alignment horizontal="right" vertical="center"/>
    </xf>
    <xf numFmtId="14" fontId="23" fillId="9" borderId="122" xfId="1347" applyNumberFormat="1" applyFont="1" applyFill="1" applyBorder="1"/>
    <xf numFmtId="14" fontId="23" fillId="9" borderId="122" xfId="1347" applyNumberFormat="1" applyFont="1" applyFill="1" applyBorder="1" applyAlignment="1">
      <alignment horizontal="center"/>
    </xf>
    <xf numFmtId="172" fontId="172" fillId="0" borderId="115" xfId="0" applyNumberFormat="1" applyFont="1" applyBorder="1"/>
    <xf numFmtId="172" fontId="172" fillId="0" borderId="115" xfId="0" applyNumberFormat="1" applyFont="1" applyBorder="1" applyAlignment="1">
      <alignment horizontal="center"/>
    </xf>
    <xf numFmtId="0" fontId="172" fillId="9" borderId="79" xfId="0" applyFont="1" applyFill="1" applyBorder="1"/>
    <xf numFmtId="10" fontId="172" fillId="9" borderId="96" xfId="0" applyNumberFormat="1" applyFont="1" applyFill="1" applyBorder="1"/>
    <xf numFmtId="167" fontId="23" fillId="9" borderId="83" xfId="0" applyNumberFormat="1" applyFont="1" applyFill="1" applyBorder="1"/>
    <xf numFmtId="167" fontId="175" fillId="9" borderId="83" xfId="0" applyNumberFormat="1" applyFont="1" applyFill="1" applyBorder="1"/>
    <xf numFmtId="0" fontId="172" fillId="0" borderId="110" xfId="0" applyFont="1" applyBorder="1"/>
    <xf numFmtId="38" fontId="172" fillId="0" borderId="115" xfId="0" applyNumberFormat="1" applyFont="1" applyBorder="1"/>
    <xf numFmtId="5" fontId="183" fillId="0" borderId="115" xfId="0" applyNumberFormat="1" applyFont="1" applyBorder="1"/>
    <xf numFmtId="5" fontId="172" fillId="0" borderId="115" xfId="0" applyNumberFormat="1" applyFont="1" applyBorder="1"/>
    <xf numFmtId="5" fontId="186" fillId="0" borderId="115" xfId="0" applyNumberFormat="1" applyFont="1" applyBorder="1"/>
    <xf numFmtId="0" fontId="183" fillId="0" borderId="115" xfId="0" applyFont="1" applyBorder="1"/>
    <xf numFmtId="38" fontId="183" fillId="0" borderId="115" xfId="0" applyNumberFormat="1" applyFont="1" applyBorder="1"/>
    <xf numFmtId="38" fontId="186" fillId="0" borderId="115" xfId="0" applyNumberFormat="1" applyFont="1" applyBorder="1"/>
    <xf numFmtId="5" fontId="175" fillId="0" borderId="115" xfId="0" applyNumberFormat="1" applyFont="1" applyBorder="1"/>
    <xf numFmtId="5" fontId="15" fillId="0" borderId="115" xfId="0" applyNumberFormat="1" applyFont="1" applyBorder="1"/>
    <xf numFmtId="0" fontId="172" fillId="0" borderId="115" xfId="0" applyFont="1" applyBorder="1"/>
    <xf numFmtId="6" fontId="183" fillId="0" borderId="115" xfId="0" applyNumberFormat="1" applyFont="1" applyBorder="1"/>
    <xf numFmtId="166" fontId="172" fillId="0" borderId="115" xfId="0" applyNumberFormat="1" applyFont="1" applyBorder="1"/>
    <xf numFmtId="5" fontId="183" fillId="0" borderId="115" xfId="0" applyNumberFormat="1" applyFont="1" applyBorder="1" applyAlignment="1">
      <alignment horizontal="center" wrapText="1"/>
    </xf>
    <xf numFmtId="38" fontId="172" fillId="0" borderId="126" xfId="0" applyNumberFormat="1" applyFont="1" applyBorder="1"/>
    <xf numFmtId="5" fontId="183" fillId="0" borderId="126" xfId="0" applyNumberFormat="1" applyFont="1" applyBorder="1"/>
    <xf numFmtId="5" fontId="172" fillId="0" borderId="126" xfId="0" applyNumberFormat="1" applyFont="1" applyBorder="1"/>
    <xf numFmtId="0" fontId="172" fillId="0" borderId="123" xfId="0" applyFont="1" applyBorder="1"/>
    <xf numFmtId="6" fontId="172" fillId="0" borderId="111" xfId="0" applyNumberFormat="1" applyFont="1" applyBorder="1"/>
    <xf numFmtId="0" fontId="172" fillId="0" borderId="116" xfId="0" applyFont="1" applyBorder="1"/>
    <xf numFmtId="0" fontId="172" fillId="0" borderId="114" xfId="0" applyFont="1" applyBorder="1"/>
    <xf numFmtId="6" fontId="172" fillId="0" borderId="113" xfId="0" applyNumberFormat="1" applyFont="1" applyBorder="1"/>
    <xf numFmtId="5" fontId="172" fillId="0" borderId="116" xfId="0" applyNumberFormat="1" applyFont="1" applyBorder="1"/>
    <xf numFmtId="5" fontId="172" fillId="4" borderId="116" xfId="0" applyNumberFormat="1" applyFont="1" applyFill="1" applyBorder="1"/>
    <xf numFmtId="5" fontId="172" fillId="4" borderId="115" xfId="0" applyNumberFormat="1" applyFont="1" applyFill="1" applyBorder="1"/>
    <xf numFmtId="0" fontId="172" fillId="0" borderId="131" xfId="0" applyFont="1" applyBorder="1"/>
    <xf numFmtId="6" fontId="172" fillId="0" borderId="128" xfId="0" applyNumberFormat="1" applyFont="1" applyBorder="1"/>
    <xf numFmtId="0" fontId="176" fillId="4" borderId="114" xfId="0" applyFont="1" applyFill="1" applyBorder="1" applyAlignment="1">
      <alignment horizontal="center"/>
    </xf>
    <xf numFmtId="6" fontId="172" fillId="4" borderId="115" xfId="0" applyNumberFormat="1" applyFont="1" applyFill="1" applyBorder="1"/>
    <xf numFmtId="166" fontId="172" fillId="4" borderId="115" xfId="0" applyNumberFormat="1" applyFont="1" applyFill="1" applyBorder="1"/>
    <xf numFmtId="0" fontId="172" fillId="4" borderId="115" xfId="0" applyFont="1" applyFill="1" applyBorder="1"/>
    <xf numFmtId="37" fontId="176" fillId="4" borderId="115" xfId="0" applyNumberFormat="1" applyFont="1" applyFill="1" applyBorder="1"/>
    <xf numFmtId="37" fontId="176" fillId="0" borderId="116" xfId="0" applyNumberFormat="1" applyFont="1" applyBorder="1"/>
    <xf numFmtId="5" fontId="172" fillId="0" borderId="119" xfId="0" applyNumberFormat="1" applyFont="1" applyBorder="1"/>
    <xf numFmtId="5" fontId="176" fillId="0" borderId="119" xfId="0" applyNumberFormat="1" applyFont="1" applyBorder="1"/>
    <xf numFmtId="37" fontId="176" fillId="0" borderId="115" xfId="0" applyNumberFormat="1" applyFont="1" applyBorder="1"/>
    <xf numFmtId="5" fontId="176" fillId="4" borderId="115" xfId="0" applyNumberFormat="1" applyFont="1" applyFill="1" applyBorder="1"/>
    <xf numFmtId="5" fontId="176" fillId="0" borderId="115" xfId="0" applyNumberFormat="1" applyFont="1" applyBorder="1"/>
    <xf numFmtId="10" fontId="176" fillId="0" borderId="114" xfId="0" applyNumberFormat="1" applyFont="1" applyBorder="1"/>
    <xf numFmtId="0" fontId="176" fillId="4" borderId="115" xfId="0" applyFont="1" applyFill="1" applyBorder="1" applyAlignment="1">
      <alignment horizontal="center" wrapText="1"/>
    </xf>
    <xf numFmtId="0" fontId="176" fillId="4" borderId="115" xfId="0" applyFont="1" applyFill="1" applyBorder="1" applyAlignment="1">
      <alignment horizontal="center" vertical="center" wrapText="1"/>
    </xf>
    <xf numFmtId="0" fontId="176" fillId="0" borderId="115" xfId="0" applyFont="1" applyBorder="1" applyAlignment="1">
      <alignment horizontal="center" wrapText="1"/>
    </xf>
    <xf numFmtId="0" fontId="176" fillId="4" borderId="110" xfId="0" applyFont="1" applyFill="1" applyBorder="1" applyAlignment="1">
      <alignment horizontal="center"/>
    </xf>
    <xf numFmtId="8" fontId="186" fillId="0" borderId="115" xfId="0" applyNumberFormat="1" applyFont="1" applyBorder="1" applyAlignment="1">
      <alignment horizontal="center"/>
    </xf>
    <xf numFmtId="38" fontId="175" fillId="0" borderId="115" xfId="22" applyNumberFormat="1" applyFont="1" applyBorder="1" applyAlignment="1">
      <alignment horizontal="center"/>
    </xf>
    <xf numFmtId="8" fontId="175" fillId="0" borderId="115" xfId="0" applyNumberFormat="1" applyFont="1" applyBorder="1" applyAlignment="1">
      <alignment horizontal="center"/>
    </xf>
    <xf numFmtId="38" fontId="175" fillId="0" borderId="66" xfId="22" applyNumberFormat="1" applyFont="1" applyBorder="1" applyAlignment="1">
      <alignment horizontal="center"/>
    </xf>
    <xf numFmtId="279" fontId="15" fillId="0" borderId="121" xfId="0" applyNumberFormat="1" applyFont="1" applyBorder="1" applyAlignment="1">
      <alignment horizontal="right"/>
    </xf>
    <xf numFmtId="278" fontId="15" fillId="0" borderId="123" xfId="0" applyNumberFormat="1" applyFont="1" applyBorder="1"/>
    <xf numFmtId="267" fontId="175" fillId="0" borderId="115" xfId="0" applyNumberFormat="1" applyFont="1" applyBorder="1" applyAlignment="1">
      <alignment horizontal="center"/>
    </xf>
    <xf numFmtId="272" fontId="175" fillId="0" borderId="115" xfId="0" applyNumberFormat="1" applyFont="1" applyBorder="1" applyAlignment="1">
      <alignment horizontal="center"/>
    </xf>
    <xf numFmtId="261" fontId="175" fillId="0" borderId="115" xfId="0" applyNumberFormat="1" applyFont="1" applyBorder="1" applyAlignment="1">
      <alignment horizontal="center"/>
    </xf>
    <xf numFmtId="5" fontId="175" fillId="0" borderId="66" xfId="22" applyNumberFormat="1" applyFont="1" applyFill="1" applyBorder="1" applyAlignment="1">
      <alignment horizontal="center"/>
    </xf>
    <xf numFmtId="262" fontId="175" fillId="0" borderId="115" xfId="0" applyNumberFormat="1" applyFont="1" applyBorder="1" applyAlignment="1">
      <alignment horizontal="center"/>
    </xf>
    <xf numFmtId="5" fontId="175" fillId="0" borderId="115" xfId="22" applyNumberFormat="1" applyFont="1" applyFill="1" applyBorder="1" applyAlignment="1">
      <alignment horizontal="center"/>
    </xf>
    <xf numFmtId="263" fontId="175" fillId="0" borderId="115" xfId="0" applyNumberFormat="1" applyFont="1" applyBorder="1" applyAlignment="1">
      <alignment horizontal="center"/>
    </xf>
    <xf numFmtId="271" fontId="175" fillId="0" borderId="115" xfId="0" applyNumberFormat="1" applyFont="1" applyBorder="1" applyAlignment="1">
      <alignment horizontal="center"/>
    </xf>
    <xf numFmtId="268" fontId="175" fillId="0" borderId="115" xfId="0" applyNumberFormat="1" applyFont="1" applyBorder="1" applyAlignment="1">
      <alignment horizontal="center"/>
    </xf>
    <xf numFmtId="270" fontId="175" fillId="0" borderId="115" xfId="0" applyNumberFormat="1" applyFont="1" applyBorder="1" applyAlignment="1">
      <alignment horizontal="center"/>
    </xf>
    <xf numFmtId="265" fontId="175" fillId="0" borderId="115" xfId="0" applyNumberFormat="1" applyFont="1" applyBorder="1" applyAlignment="1">
      <alignment horizontal="center"/>
    </xf>
    <xf numFmtId="274" fontId="180" fillId="0" borderId="115" xfId="0" applyNumberFormat="1" applyFont="1" applyBorder="1" applyAlignment="1">
      <alignment horizontal="center"/>
    </xf>
    <xf numFmtId="5" fontId="175" fillId="0" borderId="126" xfId="22" applyNumberFormat="1" applyFont="1" applyFill="1" applyBorder="1" applyAlignment="1">
      <alignment horizontal="center"/>
    </xf>
    <xf numFmtId="273" fontId="23" fillId="3" borderId="121" xfId="0" applyNumberFormat="1" applyFont="1" applyFill="1" applyBorder="1"/>
    <xf numFmtId="180" fontId="175" fillId="0" borderId="63" xfId="0" applyNumberFormat="1" applyFont="1" applyBorder="1" applyAlignment="1">
      <alignment horizontal="right"/>
    </xf>
    <xf numFmtId="5" fontId="23" fillId="0" borderId="66" xfId="0" applyNumberFormat="1" applyFont="1" applyBorder="1"/>
    <xf numFmtId="173" fontId="175" fillId="0" borderId="129" xfId="0" applyNumberFormat="1" applyFont="1" applyBorder="1" applyAlignment="1" applyProtection="1">
      <alignment horizontal="left"/>
      <protection locked="0"/>
    </xf>
    <xf numFmtId="5" fontId="15" fillId="0" borderId="130" xfId="22" applyNumberFormat="1" applyFont="1" applyBorder="1"/>
    <xf numFmtId="172" fontId="176" fillId="0" borderId="115" xfId="0" applyNumberFormat="1" applyFont="1" applyBorder="1" applyAlignment="1">
      <alignment horizontal="center"/>
    </xf>
    <xf numFmtId="0" fontId="186" fillId="0" borderId="115" xfId="0" applyFont="1" applyBorder="1"/>
    <xf numFmtId="0" fontId="186" fillId="0" borderId="116" xfId="0" applyFont="1" applyBorder="1"/>
    <xf numFmtId="0" fontId="186" fillId="0" borderId="112" xfId="0" applyFont="1" applyBorder="1"/>
    <xf numFmtId="38" fontId="186" fillId="0" borderId="116" xfId="0" applyNumberFormat="1" applyFont="1" applyBorder="1"/>
    <xf numFmtId="5" fontId="186" fillId="0" borderId="116" xfId="0" applyNumberFormat="1" applyFont="1" applyBorder="1"/>
    <xf numFmtId="5" fontId="186" fillId="0" borderId="112" xfId="0" applyNumberFormat="1" applyFont="1" applyBorder="1"/>
    <xf numFmtId="0" fontId="183" fillId="0" borderId="116" xfId="0" applyFont="1" applyBorder="1"/>
    <xf numFmtId="0" fontId="183" fillId="0" borderId="112" xfId="0" applyFont="1" applyBorder="1"/>
    <xf numFmtId="5" fontId="183" fillId="0" borderId="116" xfId="0" applyNumberFormat="1" applyFont="1" applyBorder="1"/>
    <xf numFmtId="5" fontId="183" fillId="0" borderId="112" xfId="0" applyNumberFormat="1" applyFont="1" applyBorder="1"/>
    <xf numFmtId="0" fontId="193" fillId="0" borderId="115" xfId="0" applyFont="1" applyBorder="1"/>
    <xf numFmtId="166" fontId="183" fillId="0" borderId="115" xfId="0" applyNumberFormat="1" applyFont="1" applyBorder="1"/>
    <xf numFmtId="38" fontId="183" fillId="0" borderId="116" xfId="0" applyNumberFormat="1" applyFont="1" applyBorder="1"/>
    <xf numFmtId="0" fontId="172" fillId="0" borderId="132" xfId="0" applyFont="1" applyBorder="1"/>
    <xf numFmtId="0" fontId="183" fillId="0" borderId="133" xfId="0" applyFont="1" applyBorder="1"/>
    <xf numFmtId="0" fontId="183" fillId="0" borderId="126" xfId="0" applyFont="1" applyBorder="1"/>
    <xf numFmtId="6" fontId="176" fillId="4" borderId="115" xfId="0" applyNumberFormat="1" applyFont="1" applyFill="1" applyBorder="1"/>
    <xf numFmtId="6" fontId="172" fillId="0" borderId="122" xfId="0" applyNumberFormat="1" applyFont="1" applyBorder="1"/>
    <xf numFmtId="166" fontId="176" fillId="4" borderId="115" xfId="0" applyNumberFormat="1" applyFont="1" applyFill="1" applyBorder="1"/>
    <xf numFmtId="0" fontId="176" fillId="4" borderId="115" xfId="0" applyFont="1" applyFill="1" applyBorder="1" applyAlignment="1">
      <alignment wrapText="1"/>
    </xf>
    <xf numFmtId="0" fontId="176" fillId="4" borderId="115" xfId="0" applyFont="1" applyFill="1" applyBorder="1" applyAlignment="1">
      <alignment horizontal="center"/>
    </xf>
    <xf numFmtId="166" fontId="172" fillId="0" borderId="114" xfId="0" applyNumberFormat="1" applyFont="1" applyBorder="1"/>
    <xf numFmtId="166" fontId="176" fillId="0" borderId="115" xfId="0" applyNumberFormat="1" applyFont="1" applyBorder="1"/>
    <xf numFmtId="8" fontId="23" fillId="0" borderId="115" xfId="0" applyNumberFormat="1" applyFont="1" applyBorder="1"/>
    <xf numFmtId="8" fontId="23" fillId="0" borderId="126" xfId="0" applyNumberFormat="1" applyFont="1" applyBorder="1"/>
    <xf numFmtId="7" fontId="15" fillId="11" borderId="66" xfId="22" applyNumberFormat="1" applyFont="1" applyFill="1" applyBorder="1" applyAlignment="1">
      <alignment horizontal="center"/>
    </xf>
    <xf numFmtId="173" fontId="15" fillId="0" borderId="129" xfId="0" applyNumberFormat="1" applyFont="1" applyBorder="1" applyAlignment="1" applyProtection="1">
      <alignment horizontal="left"/>
      <protection locked="0"/>
    </xf>
    <xf numFmtId="0" fontId="176" fillId="0" borderId="115" xfId="0" applyFont="1" applyBorder="1" applyAlignment="1">
      <alignment horizontal="right"/>
    </xf>
    <xf numFmtId="14" fontId="23" fillId="9" borderId="124" xfId="1347" applyNumberFormat="1" applyFont="1" applyFill="1" applyBorder="1" applyAlignment="1">
      <alignment horizontal="center"/>
    </xf>
    <xf numFmtId="5" fontId="172" fillId="0" borderId="110" xfId="0" applyNumberFormat="1" applyFont="1" applyBorder="1"/>
    <xf numFmtId="6" fontId="172" fillId="0" borderId="124" xfId="0" applyNumberFormat="1" applyFont="1" applyBorder="1"/>
    <xf numFmtId="0" fontId="172" fillId="4" borderId="116" xfId="0" applyFont="1" applyFill="1" applyBorder="1"/>
    <xf numFmtId="6" fontId="172" fillId="0" borderId="119" xfId="0" applyNumberFormat="1" applyFont="1" applyBorder="1"/>
    <xf numFmtId="6" fontId="172" fillId="4" borderId="119" xfId="0" applyNumberFormat="1" applyFont="1" applyFill="1" applyBorder="1"/>
    <xf numFmtId="5" fontId="172" fillId="0" borderId="112" xfId="0" applyNumberFormat="1" applyFont="1" applyBorder="1"/>
    <xf numFmtId="10" fontId="172" fillId="0" borderId="115" xfId="0" applyNumberFormat="1" applyFont="1" applyBorder="1"/>
    <xf numFmtId="5" fontId="176" fillId="0" borderId="116" xfId="0" applyNumberFormat="1" applyFont="1" applyBorder="1"/>
    <xf numFmtId="10" fontId="176" fillId="0" borderId="115" xfId="0" applyNumberFormat="1" applyFont="1" applyBorder="1"/>
    <xf numFmtId="3" fontId="175" fillId="0" borderId="117" xfId="0" applyNumberFormat="1" applyFont="1" applyBorder="1"/>
    <xf numFmtId="0" fontId="176" fillId="0" borderId="131" xfId="0" applyFont="1" applyBorder="1" applyAlignment="1">
      <alignment horizontal="left"/>
    </xf>
    <xf numFmtId="172" fontId="172" fillId="0" borderId="119" xfId="0" applyNumberFormat="1" applyFont="1" applyBorder="1"/>
    <xf numFmtId="172" fontId="172" fillId="0" borderId="116" xfId="0" applyNumberFormat="1" applyFont="1" applyBorder="1"/>
    <xf numFmtId="0" fontId="175" fillId="0" borderId="115" xfId="0" applyFont="1" applyBorder="1"/>
    <xf numFmtId="0" fontId="175" fillId="0" borderId="116" xfId="0" applyFont="1" applyBorder="1"/>
    <xf numFmtId="7" fontId="186" fillId="0" borderId="115" xfId="0" applyNumberFormat="1" applyFont="1" applyBorder="1"/>
    <xf numFmtId="5" fontId="175" fillId="0" borderId="116" xfId="0" applyNumberFormat="1" applyFont="1" applyBorder="1"/>
    <xf numFmtId="0" fontId="172" fillId="0" borderId="126" xfId="0" applyFont="1" applyBorder="1"/>
    <xf numFmtId="0" fontId="183" fillId="0" borderId="119" xfId="0" applyFont="1" applyBorder="1"/>
    <xf numFmtId="0" fontId="172" fillId="0" borderId="133" xfId="0" applyFont="1" applyBorder="1"/>
    <xf numFmtId="0" fontId="172" fillId="4" borderId="119" xfId="0" applyFont="1" applyFill="1" applyBorder="1"/>
    <xf numFmtId="5" fontId="172" fillId="0" borderId="131" xfId="0" applyNumberFormat="1" applyFont="1" applyBorder="1"/>
    <xf numFmtId="5" fontId="172" fillId="0" borderId="122" xfId="0" applyNumberFormat="1" applyFont="1" applyBorder="1"/>
    <xf numFmtId="0" fontId="172" fillId="4" borderId="114" xfId="0" applyFont="1" applyFill="1" applyBorder="1"/>
    <xf numFmtId="6" fontId="172" fillId="0" borderId="114" xfId="0" applyNumberFormat="1" applyFont="1" applyBorder="1"/>
    <xf numFmtId="167" fontId="174" fillId="0" borderId="115" xfId="1" applyNumberFormat="1" applyFont="1" applyBorder="1"/>
    <xf numFmtId="175" fontId="173" fillId="8" borderId="96" xfId="0" applyNumberFormat="1" applyFont="1" applyFill="1" applyBorder="1" applyAlignment="1">
      <alignment horizontal="center"/>
    </xf>
    <xf numFmtId="6" fontId="15" fillId="0" borderId="115" xfId="22" applyNumberFormat="1" applyFont="1" applyBorder="1" applyAlignment="1">
      <alignment horizontal="center"/>
    </xf>
    <xf numFmtId="290" fontId="175" fillId="0" borderId="115" xfId="0" applyNumberFormat="1" applyFont="1" applyBorder="1" applyAlignment="1">
      <alignment horizontal="center"/>
    </xf>
    <xf numFmtId="291" fontId="175" fillId="0" borderId="115" xfId="0" applyNumberFormat="1" applyFont="1" applyBorder="1" applyAlignment="1">
      <alignment horizontal="center"/>
    </xf>
    <xf numFmtId="175" fontId="176" fillId="35" borderId="81" xfId="0" applyNumberFormat="1" applyFont="1" applyFill="1" applyBorder="1"/>
    <xf numFmtId="175" fontId="173" fillId="6" borderId="78" xfId="0" applyNumberFormat="1" applyFont="1" applyFill="1" applyBorder="1"/>
    <xf numFmtId="5" fontId="172" fillId="0" borderId="115" xfId="0" applyNumberFormat="1" applyFont="1" applyBorder="1" applyAlignment="1">
      <alignment horizontal="center"/>
    </xf>
    <xf numFmtId="5" fontId="15" fillId="0" borderId="126" xfId="0" applyNumberFormat="1" applyFont="1" applyBorder="1"/>
    <xf numFmtId="5" fontId="176" fillId="4" borderId="116" xfId="0" applyNumberFormat="1" applyFont="1" applyFill="1" applyBorder="1"/>
    <xf numFmtId="3" fontId="175" fillId="0" borderId="115" xfId="14" applyNumberFormat="1" applyFont="1" applyBorder="1" applyAlignment="1">
      <alignment horizontal="center"/>
    </xf>
    <xf numFmtId="8" fontId="175" fillId="0" borderId="115" xfId="0" applyNumberFormat="1" applyFont="1" applyBorder="1"/>
    <xf numFmtId="3" fontId="175" fillId="0" borderId="126" xfId="14" applyNumberFormat="1" applyFont="1" applyBorder="1" applyAlignment="1">
      <alignment horizontal="center"/>
    </xf>
    <xf numFmtId="8" fontId="175" fillId="0" borderId="126" xfId="0" applyNumberFormat="1" applyFont="1" applyBorder="1"/>
    <xf numFmtId="6" fontId="183" fillId="0" borderId="116" xfId="0" applyNumberFormat="1" applyFont="1" applyBorder="1"/>
    <xf numFmtId="166" fontId="172" fillId="4" borderId="119" xfId="0" applyNumberFormat="1" applyFont="1" applyFill="1" applyBorder="1"/>
    <xf numFmtId="6" fontId="15" fillId="0" borderId="115" xfId="0" applyNumberFormat="1" applyFont="1" applyBorder="1" applyAlignment="1">
      <alignment horizontal="center"/>
    </xf>
    <xf numFmtId="296" fontId="15" fillId="0" borderId="118" xfId="0" applyNumberFormat="1" applyFont="1" applyBorder="1" applyAlignment="1">
      <alignment horizontal="left"/>
    </xf>
    <xf numFmtId="167" fontId="175" fillId="9" borderId="102" xfId="0" applyNumberFormat="1" applyFont="1" applyFill="1" applyBorder="1"/>
    <xf numFmtId="172" fontId="176" fillId="0" borderId="115" xfId="0" applyNumberFormat="1" applyFont="1" applyBorder="1" applyAlignment="1">
      <alignment horizontal="right"/>
    </xf>
    <xf numFmtId="167" fontId="23" fillId="9" borderId="137" xfId="0" applyNumberFormat="1" applyFont="1" applyFill="1" applyBorder="1"/>
    <xf numFmtId="167" fontId="175" fillId="9" borderId="137" xfId="0" applyNumberFormat="1" applyFont="1" applyFill="1" applyBorder="1"/>
    <xf numFmtId="9" fontId="23" fillId="0" borderId="137" xfId="0" applyNumberFormat="1" applyFont="1" applyBorder="1" applyAlignment="1">
      <alignment horizontal="center"/>
    </xf>
    <xf numFmtId="168" fontId="172" fillId="0" borderId="0" xfId="1360" applyNumberFormat="1" applyFont="1"/>
    <xf numFmtId="0" fontId="172" fillId="0" borderId="63" xfId="0" applyFont="1" applyBorder="1" applyAlignment="1">
      <alignment wrapText="1"/>
    </xf>
    <xf numFmtId="8" fontId="172" fillId="0" borderId="0" xfId="0" applyNumberFormat="1" applyFont="1"/>
    <xf numFmtId="0" fontId="176" fillId="0" borderId="0" xfId="0" applyFont="1" applyAlignment="1">
      <alignment horizontal="left" vertical="center" wrapText="1"/>
    </xf>
    <xf numFmtId="0" fontId="172" fillId="0" borderId="0" xfId="0" applyFont="1" applyAlignment="1">
      <alignment wrapText="1"/>
    </xf>
    <xf numFmtId="10" fontId="183" fillId="36" borderId="0" xfId="1347" applyNumberFormat="1" applyFont="1" applyFill="1" applyAlignment="1">
      <alignment horizontal="center" vertical="center"/>
    </xf>
    <xf numFmtId="0" fontId="190" fillId="0" borderId="0" xfId="0" applyFont="1" applyAlignment="1">
      <alignment horizontal="center" vertical="center"/>
    </xf>
    <xf numFmtId="0" fontId="191" fillId="0" borderId="0" xfId="0" applyFont="1" applyAlignment="1">
      <alignment horizontal="center" vertical="center"/>
    </xf>
    <xf numFmtId="166" fontId="190" fillId="0" borderId="0" xfId="0" applyNumberFormat="1" applyFont="1" applyAlignment="1">
      <alignment horizontal="center" vertical="center"/>
    </xf>
    <xf numFmtId="288" fontId="190" fillId="0" borderId="0" xfId="0" applyNumberFormat="1" applyFont="1" applyAlignment="1">
      <alignment horizontal="center" vertical="center"/>
    </xf>
    <xf numFmtId="281" fontId="190" fillId="0" borderId="0" xfId="0" applyNumberFormat="1" applyFont="1" applyAlignment="1">
      <alignment horizontal="center" vertical="center"/>
    </xf>
    <xf numFmtId="6" fontId="191" fillId="0" borderId="0" xfId="0" applyNumberFormat="1" applyFont="1" applyAlignment="1">
      <alignment horizontal="center" vertical="center"/>
    </xf>
    <xf numFmtId="10" fontId="190" fillId="0" borderId="0" xfId="0" applyNumberFormat="1" applyFont="1" applyAlignment="1">
      <alignment horizontal="center" vertical="center"/>
    </xf>
    <xf numFmtId="225" fontId="172" fillId="0" borderId="0" xfId="0" applyNumberFormat="1" applyFont="1"/>
    <xf numFmtId="5" fontId="183" fillId="0" borderId="119" xfId="0" applyNumberFormat="1" applyFont="1" applyBorder="1"/>
    <xf numFmtId="5" fontId="172" fillId="0" borderId="132" xfId="0" applyNumberFormat="1" applyFont="1" applyBorder="1"/>
    <xf numFmtId="0" fontId="0" fillId="0" borderId="150" xfId="0" applyBorder="1"/>
    <xf numFmtId="0" fontId="172" fillId="0" borderId="150" xfId="0" applyFont="1" applyBorder="1"/>
    <xf numFmtId="5" fontId="15" fillId="0" borderId="127" xfId="22" applyNumberFormat="1" applyFont="1" applyBorder="1" applyAlignment="1">
      <alignment horizontal="center"/>
    </xf>
    <xf numFmtId="8" fontId="15" fillId="0" borderId="126" xfId="0" applyNumberFormat="1" applyFont="1" applyBorder="1" applyAlignment="1">
      <alignment horizontal="center"/>
    </xf>
    <xf numFmtId="6" fontId="15" fillId="0" borderId="66" xfId="0" applyNumberFormat="1" applyFont="1" applyBorder="1" applyAlignment="1">
      <alignment horizontal="center"/>
    </xf>
    <xf numFmtId="0" fontId="176" fillId="0" borderId="65" xfId="0" applyFont="1" applyBorder="1" applyAlignment="1">
      <alignment horizontal="left"/>
    </xf>
    <xf numFmtId="3" fontId="190" fillId="0" borderId="0" xfId="0" applyNumberFormat="1" applyFont="1" applyAlignment="1">
      <alignment horizontal="center" vertical="center"/>
    </xf>
    <xf numFmtId="0" fontId="184" fillId="3" borderId="15" xfId="0" applyFont="1" applyFill="1" applyBorder="1" applyAlignment="1">
      <alignment horizontal="left"/>
    </xf>
    <xf numFmtId="38" fontId="23" fillId="41" borderId="112" xfId="22" applyNumberFormat="1" applyFont="1" applyFill="1" applyBorder="1" applyAlignment="1">
      <alignment horizontal="center"/>
    </xf>
    <xf numFmtId="8" fontId="23" fillId="41" borderId="112" xfId="0" applyNumberFormat="1" applyFont="1" applyFill="1" applyBorder="1" applyAlignment="1">
      <alignment horizontal="center"/>
    </xf>
    <xf numFmtId="0" fontId="184" fillId="3" borderId="113" xfId="0" applyFont="1" applyFill="1" applyBorder="1" applyAlignment="1">
      <alignment horizontal="left"/>
    </xf>
    <xf numFmtId="38" fontId="172" fillId="0" borderId="0" xfId="0" applyNumberFormat="1" applyFont="1"/>
    <xf numFmtId="14" fontId="23" fillId="9" borderId="15" xfId="0" applyNumberFormat="1" applyFont="1" applyFill="1" applyBorder="1" applyAlignment="1">
      <alignment horizontal="right" vertical="center"/>
    </xf>
    <xf numFmtId="14" fontId="23" fillId="9" borderId="57" xfId="1347" applyNumberFormat="1" applyFont="1" applyFill="1" applyBorder="1"/>
    <xf numFmtId="0" fontId="187" fillId="0" borderId="0" xfId="0" applyFont="1" applyAlignment="1">
      <alignment horizontal="center"/>
    </xf>
    <xf numFmtId="14" fontId="23" fillId="9" borderId="118" xfId="0" applyNumberFormat="1" applyFont="1" applyFill="1" applyBorder="1" applyAlignment="1">
      <alignment horizontal="right" vertical="center"/>
    </xf>
    <xf numFmtId="14" fontId="23" fillId="9" borderId="119" xfId="1347" applyNumberFormat="1" applyFont="1" applyFill="1" applyBorder="1"/>
    <xf numFmtId="14" fontId="23" fillId="9" borderId="120" xfId="1347" applyNumberFormat="1" applyFont="1" applyFill="1" applyBorder="1"/>
    <xf numFmtId="0" fontId="187" fillId="0" borderId="140" xfId="0" applyFont="1" applyBorder="1" applyAlignment="1">
      <alignment horizontal="center"/>
    </xf>
    <xf numFmtId="14" fontId="23" fillId="9" borderId="141" xfId="0" applyNumberFormat="1" applyFont="1" applyFill="1" applyBorder="1" applyAlignment="1">
      <alignment horizontal="right" vertical="center"/>
    </xf>
    <xf numFmtId="0" fontId="187" fillId="0" borderId="138" xfId="0" applyFont="1" applyBorder="1" applyAlignment="1">
      <alignment horizontal="center"/>
    </xf>
    <xf numFmtId="0" fontId="172" fillId="0" borderId="142" xfId="0" applyFont="1" applyBorder="1"/>
    <xf numFmtId="0" fontId="187" fillId="0" borderId="142" xfId="0" applyFont="1" applyBorder="1" applyAlignment="1">
      <alignment horizontal="center"/>
    </xf>
    <xf numFmtId="0" fontId="187" fillId="0" borderId="103" xfId="0" applyFont="1" applyBorder="1" applyAlignment="1">
      <alignment horizontal="center" wrapText="1"/>
    </xf>
    <xf numFmtId="0" fontId="187" fillId="0" borderId="0" xfId="0" applyFont="1" applyAlignment="1">
      <alignment horizontal="center" wrapText="1"/>
    </xf>
    <xf numFmtId="0" fontId="172" fillId="0" borderId="0" xfId="0" applyFont="1" applyAlignment="1">
      <alignment horizontal="center" wrapText="1"/>
    </xf>
    <xf numFmtId="14" fontId="23" fillId="9" borderId="137" xfId="1347" applyNumberFormat="1" applyFont="1" applyFill="1" applyBorder="1" applyAlignment="1">
      <alignment horizontal="center"/>
    </xf>
    <xf numFmtId="0" fontId="176" fillId="0" borderId="0" xfId="0" applyFont="1" applyAlignment="1">
      <alignment horizontal="left"/>
    </xf>
    <xf numFmtId="0" fontId="176" fillId="0" borderId="0" xfId="0" applyFont="1" applyAlignment="1">
      <alignment wrapText="1"/>
    </xf>
    <xf numFmtId="0" fontId="23" fillId="9" borderId="148" xfId="1347" applyFont="1" applyFill="1" applyBorder="1" applyAlignment="1">
      <alignment horizontal="center"/>
    </xf>
    <xf numFmtId="14" fontId="23" fillId="9" borderId="111" xfId="1347" applyNumberFormat="1" applyFont="1" applyFill="1" applyBorder="1"/>
    <xf numFmtId="172" fontId="176" fillId="0" borderId="84" xfId="0" applyNumberFormat="1" applyFont="1" applyBorder="1" applyAlignment="1">
      <alignment horizontal="center"/>
    </xf>
    <xf numFmtId="172" fontId="176" fillId="0" borderId="146" xfId="0" applyNumberFormat="1" applyFont="1" applyBorder="1"/>
    <xf numFmtId="172" fontId="176" fillId="0" borderId="85" xfId="0" applyNumberFormat="1" applyFont="1" applyBorder="1"/>
    <xf numFmtId="5" fontId="15" fillId="0" borderId="115" xfId="22" applyNumberFormat="1" applyFont="1" applyBorder="1" applyAlignment="1"/>
    <xf numFmtId="14" fontId="23" fillId="9" borderId="57" xfId="1347" applyNumberFormat="1" applyFont="1" applyFill="1" applyBorder="1" applyAlignment="1">
      <alignment horizontal="center"/>
    </xf>
    <xf numFmtId="168" fontId="176" fillId="35" borderId="115" xfId="1360" applyNumberFormat="1" applyFont="1" applyFill="1" applyBorder="1"/>
    <xf numFmtId="168" fontId="172" fillId="0" borderId="115" xfId="1360" applyNumberFormat="1" applyFont="1" applyBorder="1"/>
    <xf numFmtId="168" fontId="172" fillId="0" borderId="115" xfId="1360" applyNumberFormat="1" applyFont="1" applyFill="1" applyBorder="1"/>
    <xf numFmtId="168" fontId="176" fillId="5" borderId="115" xfId="1360" applyNumberFormat="1" applyFont="1" applyFill="1" applyBorder="1"/>
    <xf numFmtId="272" fontId="175" fillId="0" borderId="115" xfId="0" applyNumberFormat="1" applyFont="1" applyBorder="1" applyAlignment="1">
      <alignment horizontal="left"/>
    </xf>
    <xf numFmtId="261" fontId="175" fillId="0" borderId="115" xfId="0" applyNumberFormat="1" applyFont="1" applyBorder="1" applyAlignment="1">
      <alignment horizontal="left"/>
    </xf>
    <xf numFmtId="263" fontId="175" fillId="0" borderId="115" xfId="0" applyNumberFormat="1" applyFont="1" applyBorder="1" applyAlignment="1">
      <alignment horizontal="left"/>
    </xf>
    <xf numFmtId="268" fontId="175" fillId="0" borderId="115" xfId="0" applyNumberFormat="1" applyFont="1" applyBorder="1" applyAlignment="1">
      <alignment horizontal="left"/>
    </xf>
    <xf numFmtId="286" fontId="175" fillId="0" borderId="115" xfId="0" applyNumberFormat="1" applyFont="1" applyBorder="1" applyAlignment="1">
      <alignment horizontal="left"/>
    </xf>
    <xf numFmtId="282" fontId="175" fillId="0" borderId="115" xfId="0" applyNumberFormat="1" applyFont="1" applyBorder="1" applyAlignment="1">
      <alignment horizontal="left"/>
    </xf>
    <xf numFmtId="262" fontId="175" fillId="0" borderId="115" xfId="0" applyNumberFormat="1" applyFont="1" applyBorder="1" applyAlignment="1">
      <alignment horizontal="left"/>
    </xf>
    <xf numFmtId="301" fontId="175" fillId="0" borderId="115" xfId="0" applyNumberFormat="1" applyFont="1" applyBorder="1" applyAlignment="1">
      <alignment horizontal="left"/>
    </xf>
    <xf numFmtId="271" fontId="175" fillId="0" borderId="115" xfId="0" applyNumberFormat="1" applyFont="1" applyBorder="1" applyAlignment="1">
      <alignment horizontal="left"/>
    </xf>
    <xf numFmtId="270" fontId="175" fillId="0" borderId="115" xfId="0" applyNumberFormat="1" applyFont="1" applyBorder="1" applyAlignment="1">
      <alignment horizontal="left"/>
    </xf>
    <xf numFmtId="265" fontId="175" fillId="0" borderId="115" xfId="0" applyNumberFormat="1" applyFont="1" applyBorder="1" applyAlignment="1">
      <alignment horizontal="left"/>
    </xf>
    <xf numFmtId="0" fontId="172" fillId="0" borderId="0" xfId="0" applyFont="1" applyAlignment="1">
      <alignment horizontal="left" wrapText="1"/>
    </xf>
    <xf numFmtId="6" fontId="172" fillId="0" borderId="0" xfId="18" applyNumberFormat="1" applyFont="1" applyFill="1" applyBorder="1" applyAlignment="1">
      <alignment horizontal="left"/>
    </xf>
    <xf numFmtId="43" fontId="172" fillId="0" borderId="0" xfId="1360" applyFont="1" applyFill="1" applyBorder="1"/>
    <xf numFmtId="176" fontId="172" fillId="0" borderId="0" xfId="0" applyNumberFormat="1" applyFont="1"/>
    <xf numFmtId="38" fontId="15" fillId="0" borderId="115" xfId="22" applyNumberFormat="1" applyFont="1" applyFill="1" applyBorder="1" applyAlignment="1">
      <alignment horizontal="center"/>
    </xf>
    <xf numFmtId="164" fontId="15" fillId="0" borderId="117" xfId="22" applyNumberFormat="1" applyFont="1" applyBorder="1" applyAlignment="1">
      <alignment horizontal="center"/>
    </xf>
    <xf numFmtId="6" fontId="176" fillId="0" borderId="117" xfId="0" applyNumberFormat="1" applyFont="1" applyBorder="1" applyAlignment="1">
      <alignment horizontal="center"/>
    </xf>
    <xf numFmtId="0" fontId="23" fillId="3" borderId="63" xfId="0" applyFont="1" applyFill="1" applyBorder="1"/>
    <xf numFmtId="167" fontId="23" fillId="3" borderId="3" xfId="1" applyNumberFormat="1" applyFont="1" applyFill="1" applyBorder="1" applyAlignment="1">
      <alignment horizontal="center"/>
    </xf>
    <xf numFmtId="9" fontId="172" fillId="0" borderId="0" xfId="13" applyFont="1" applyFill="1" applyBorder="1"/>
    <xf numFmtId="168" fontId="172" fillId="0" borderId="0" xfId="1360" applyNumberFormat="1" applyFont="1" applyFill="1" applyBorder="1" applyAlignment="1">
      <alignment vertical="center"/>
    </xf>
    <xf numFmtId="168" fontId="172" fillId="0" borderId="0" xfId="1360" applyNumberFormat="1" applyFont="1" applyFill="1" applyBorder="1"/>
    <xf numFmtId="0" fontId="176" fillId="0" borderId="0" xfId="0" applyFont="1" applyAlignment="1">
      <alignment horizontal="center" vertical="center" wrapText="1"/>
    </xf>
    <xf numFmtId="168" fontId="176" fillId="0" borderId="0" xfId="0" applyNumberFormat="1" applyFont="1"/>
    <xf numFmtId="168" fontId="176" fillId="0" borderId="0" xfId="1360" applyNumberFormat="1" applyFont="1" applyFill="1" applyBorder="1"/>
    <xf numFmtId="0" fontId="173" fillId="8" borderId="77" xfId="0" applyFont="1" applyFill="1" applyBorder="1" applyAlignment="1">
      <alignment horizontal="left"/>
    </xf>
    <xf numFmtId="0" fontId="173" fillId="8" borderId="92" xfId="0" applyFont="1" applyFill="1" applyBorder="1" applyAlignment="1">
      <alignment horizontal="center"/>
    </xf>
    <xf numFmtId="0" fontId="173" fillId="8" borderId="92" xfId="0" applyFont="1" applyFill="1" applyBorder="1" applyAlignment="1">
      <alignment horizontal="center" wrapText="1"/>
    </xf>
    <xf numFmtId="0" fontId="173" fillId="8" borderId="78" xfId="0" applyFont="1" applyFill="1" applyBorder="1" applyAlignment="1">
      <alignment horizontal="center"/>
    </xf>
    <xf numFmtId="14" fontId="23" fillId="0" borderId="15" xfId="0" applyNumberFormat="1" applyFont="1" applyBorder="1" applyAlignment="1">
      <alignment horizontal="center" vertical="center" wrapText="1"/>
    </xf>
    <xf numFmtId="14" fontId="23" fillId="0" borderId="137" xfId="1347" applyNumberFormat="1" applyFont="1" applyBorder="1" applyAlignment="1">
      <alignment horizontal="center"/>
    </xf>
    <xf numFmtId="14" fontId="23" fillId="0" borderId="137" xfId="1347" applyNumberFormat="1" applyFont="1" applyBorder="1" applyAlignment="1">
      <alignment horizontal="center" wrapText="1"/>
    </xf>
    <xf numFmtId="297" fontId="176" fillId="0" borderId="0" xfId="0" applyNumberFormat="1" applyFont="1" applyAlignment="1">
      <alignment wrapText="1"/>
    </xf>
    <xf numFmtId="8" fontId="172" fillId="0" borderId="0" xfId="0" applyNumberFormat="1" applyFont="1" applyAlignment="1">
      <alignment horizontal="center"/>
    </xf>
    <xf numFmtId="298" fontId="172" fillId="0" borderId="0" xfId="0" applyNumberFormat="1" applyFont="1" applyAlignment="1">
      <alignment horizontal="left"/>
    </xf>
    <xf numFmtId="6" fontId="172" fillId="0" borderId="0" xfId="18" applyNumberFormat="1" applyFont="1" applyFill="1" applyBorder="1" applyAlignment="1">
      <alignment horizontal="right"/>
    </xf>
    <xf numFmtId="168" fontId="176" fillId="0" borderId="0" xfId="0" applyNumberFormat="1" applyFont="1" applyAlignment="1">
      <alignment horizontal="center" vertical="center" wrapText="1"/>
    </xf>
    <xf numFmtId="168" fontId="172" fillId="0" borderId="0" xfId="0" applyNumberFormat="1" applyFont="1"/>
    <xf numFmtId="43" fontId="176" fillId="0" borderId="0" xfId="0" applyNumberFormat="1" applyFont="1"/>
    <xf numFmtId="3" fontId="15" fillId="0" borderId="59" xfId="0" applyNumberFormat="1" applyFont="1" applyBorder="1" applyAlignment="1">
      <alignment horizontal="center"/>
    </xf>
    <xf numFmtId="0" fontId="172" fillId="0" borderId="92" xfId="0" applyFont="1" applyBorder="1"/>
    <xf numFmtId="5" fontId="172" fillId="0" borderId="8" xfId="0" applyNumberFormat="1" applyFont="1" applyBorder="1"/>
    <xf numFmtId="0" fontId="191" fillId="0" borderId="119" xfId="0" applyFont="1" applyBorder="1" applyAlignment="1">
      <alignment horizontal="center" vertical="center" wrapText="1"/>
    </xf>
    <xf numFmtId="0" fontId="191" fillId="0" borderId="115" xfId="0" applyFont="1" applyBorder="1" applyAlignment="1">
      <alignment horizontal="center" vertical="center" wrapText="1"/>
    </xf>
    <xf numFmtId="0" fontId="190" fillId="0" borderId="84" xfId="0" applyFont="1" applyBorder="1" applyAlignment="1">
      <alignment horizontal="center" vertical="center"/>
    </xf>
    <xf numFmtId="166" fontId="190" fillId="0" borderId="146" xfId="0" applyNumberFormat="1" applyFont="1" applyBorder="1" applyAlignment="1">
      <alignment horizontal="center" vertical="center"/>
    </xf>
    <xf numFmtId="0" fontId="171" fillId="0" borderId="144" xfId="0" applyFont="1" applyBorder="1" applyAlignment="1">
      <alignment horizontal="center" vertical="center" wrapText="1"/>
    </xf>
    <xf numFmtId="0" fontId="171" fillId="0" borderId="147" xfId="0" applyFont="1" applyBorder="1" applyAlignment="1">
      <alignment horizontal="center" vertical="center" wrapText="1"/>
    </xf>
    <xf numFmtId="0" fontId="171" fillId="0" borderId="147" xfId="0" applyFont="1" applyBorder="1" applyAlignment="1">
      <alignment horizontal="center" vertical="center"/>
    </xf>
    <xf numFmtId="0" fontId="171" fillId="0" borderId="149" xfId="0" applyFont="1" applyBorder="1" applyAlignment="1">
      <alignment horizontal="center" vertical="center" wrapText="1"/>
    </xf>
    <xf numFmtId="3" fontId="170" fillId="0" borderId="0" xfId="0" applyNumberFormat="1" applyFont="1"/>
    <xf numFmtId="179" fontId="191" fillId="0" borderId="115" xfId="0" applyNumberFormat="1" applyFont="1" applyBorder="1" applyAlignment="1">
      <alignment horizontal="center" vertical="center"/>
    </xf>
    <xf numFmtId="292" fontId="191" fillId="0" borderId="115" xfId="0" applyNumberFormat="1" applyFont="1" applyBorder="1" applyAlignment="1">
      <alignment horizontal="center" vertical="center" wrapText="1"/>
    </xf>
    <xf numFmtId="3" fontId="191" fillId="0" borderId="115" xfId="0" applyNumberFormat="1" applyFont="1" applyBorder="1" applyAlignment="1">
      <alignment horizontal="center" vertical="center" wrapText="1"/>
    </xf>
    <xf numFmtId="294" fontId="191" fillId="0" borderId="115" xfId="0" applyNumberFormat="1" applyFont="1" applyBorder="1" applyAlignment="1">
      <alignment horizontal="center" vertical="center"/>
    </xf>
    <xf numFmtId="283" fontId="191" fillId="0" borderId="115" xfId="0" applyNumberFormat="1" applyFont="1" applyBorder="1" applyAlignment="1">
      <alignment horizontal="center" vertical="center" wrapText="1"/>
    </xf>
    <xf numFmtId="283" fontId="191" fillId="0" borderId="115" xfId="0" applyNumberFormat="1" applyFont="1" applyBorder="1" applyAlignment="1">
      <alignment horizontal="center" vertical="center"/>
    </xf>
    <xf numFmtId="284" fontId="191" fillId="0" borderId="115" xfId="0" applyNumberFormat="1" applyFont="1" applyBorder="1" applyAlignment="1">
      <alignment horizontal="center" vertical="center"/>
    </xf>
    <xf numFmtId="287" fontId="191" fillId="0" borderId="115" xfId="0" applyNumberFormat="1" applyFont="1" applyBorder="1" applyAlignment="1">
      <alignment horizontal="center" vertical="center"/>
    </xf>
    <xf numFmtId="292" fontId="191" fillId="0" borderId="115" xfId="0" applyNumberFormat="1" applyFont="1" applyBorder="1" applyAlignment="1">
      <alignment horizontal="center" vertical="center"/>
    </xf>
    <xf numFmtId="3" fontId="191" fillId="0" borderId="119" xfId="0" applyNumberFormat="1" applyFont="1" applyBorder="1" applyAlignment="1">
      <alignment horizontal="center" vertical="center" wrapText="1"/>
    </xf>
    <xf numFmtId="179" fontId="191" fillId="0" borderId="119" xfId="0" applyNumberFormat="1" applyFont="1" applyBorder="1" applyAlignment="1">
      <alignment horizontal="center" vertical="center"/>
    </xf>
    <xf numFmtId="283" fontId="191" fillId="0" borderId="119" xfId="0" applyNumberFormat="1" applyFont="1" applyBorder="1" applyAlignment="1">
      <alignment horizontal="center" vertical="center"/>
    </xf>
    <xf numFmtId="3" fontId="191" fillId="0" borderId="115" xfId="0" applyNumberFormat="1" applyFont="1" applyBorder="1" applyAlignment="1">
      <alignment horizontal="center" vertical="center"/>
    </xf>
    <xf numFmtId="3" fontId="191" fillId="0" borderId="119" xfId="0" applyNumberFormat="1" applyFont="1" applyBorder="1" applyAlignment="1">
      <alignment horizontal="center" vertical="center"/>
    </xf>
    <xf numFmtId="0" fontId="171" fillId="0" borderId="144" xfId="0" applyFont="1" applyBorder="1" applyAlignment="1">
      <alignment vertical="center"/>
    </xf>
    <xf numFmtId="0" fontId="171" fillId="0" borderId="121" xfId="0" applyFont="1" applyBorder="1" applyAlignment="1">
      <alignment vertical="center" wrapText="1"/>
    </xf>
    <xf numFmtId="0" fontId="171" fillId="0" borderId="123" xfId="0" applyFont="1" applyBorder="1" applyAlignment="1">
      <alignment vertical="center" wrapText="1"/>
    </xf>
    <xf numFmtId="0" fontId="171" fillId="0" borderId="141" xfId="0" applyFont="1" applyBorder="1" applyAlignment="1">
      <alignment vertical="center"/>
    </xf>
    <xf numFmtId="10" fontId="190" fillId="41" borderId="142" xfId="0" applyNumberFormat="1" applyFont="1" applyFill="1" applyBorder="1" applyAlignment="1">
      <alignment horizontal="center" vertical="center"/>
    </xf>
    <xf numFmtId="0" fontId="15" fillId="0" borderId="91" xfId="0" applyFont="1" applyBorder="1"/>
    <xf numFmtId="168" fontId="15" fillId="0" borderId="87" xfId="22" applyNumberFormat="1" applyFont="1" applyFill="1" applyBorder="1" applyAlignment="1">
      <alignment horizontal="center"/>
    </xf>
    <xf numFmtId="0" fontId="172" fillId="0" borderId="0" xfId="0" applyFont="1" applyAlignment="1">
      <alignment vertical="top" wrapText="1"/>
    </xf>
    <xf numFmtId="166" fontId="173" fillId="8" borderId="124" xfId="2" applyNumberFormat="1" applyFont="1" applyFill="1" applyBorder="1" applyAlignment="1">
      <alignment horizontal="center"/>
    </xf>
    <xf numFmtId="293" fontId="176" fillId="3" borderId="123" xfId="0" applyNumberFormat="1" applyFont="1" applyFill="1" applyBorder="1" applyAlignment="1">
      <alignment horizontal="left"/>
    </xf>
    <xf numFmtId="273" fontId="23" fillId="3" borderId="84" xfId="0" applyNumberFormat="1" applyFont="1" applyFill="1" applyBorder="1"/>
    <xf numFmtId="6" fontId="23" fillId="3" borderId="85" xfId="1" applyNumberFormat="1" applyFont="1" applyFill="1" applyBorder="1" applyAlignment="1">
      <alignment horizontal="center"/>
    </xf>
    <xf numFmtId="167" fontId="15" fillId="0" borderId="109" xfId="0" applyNumberFormat="1" applyFont="1" applyBorder="1" applyAlignment="1">
      <alignment horizontal="center"/>
    </xf>
    <xf numFmtId="164" fontId="15" fillId="0" borderId="117" xfId="22" applyNumberFormat="1" applyFont="1" applyFill="1" applyBorder="1" applyAlignment="1">
      <alignment horizontal="center"/>
    </xf>
    <xf numFmtId="295" fontId="173" fillId="8" borderId="92" xfId="0" applyNumberFormat="1" applyFont="1" applyFill="1" applyBorder="1" applyAlignment="1">
      <alignment horizontal="center"/>
    </xf>
    <xf numFmtId="0" fontId="15" fillId="0" borderId="76" xfId="0" applyFont="1" applyBorder="1" applyAlignment="1">
      <alignment horizontal="center"/>
    </xf>
    <xf numFmtId="5" fontId="15" fillId="11" borderId="115" xfId="22" applyNumberFormat="1" applyFont="1" applyFill="1" applyBorder="1" applyAlignment="1">
      <alignment horizontal="center"/>
    </xf>
    <xf numFmtId="165" fontId="15" fillId="11" borderId="115" xfId="22" applyNumberFormat="1" applyFont="1" applyFill="1" applyBorder="1" applyAlignment="1">
      <alignment horizontal="center"/>
    </xf>
    <xf numFmtId="0" fontId="176" fillId="0" borderId="0" xfId="0" applyFont="1" applyAlignment="1">
      <alignment horizontal="center"/>
    </xf>
    <xf numFmtId="0" fontId="176" fillId="0" borderId="6" xfId="0" applyFont="1" applyBorder="1" applyAlignment="1">
      <alignment horizontal="center"/>
    </xf>
    <xf numFmtId="0" fontId="176" fillId="0" borderId="15" xfId="0" applyFont="1" applyBorder="1" applyAlignment="1">
      <alignment horizontal="left"/>
    </xf>
    <xf numFmtId="0" fontId="176" fillId="0" borderId="121" xfId="0" applyFont="1" applyBorder="1" applyAlignment="1">
      <alignment horizontal="right"/>
    </xf>
    <xf numFmtId="180" fontId="186" fillId="0" borderId="121" xfId="0" applyNumberFormat="1" applyFont="1" applyBorder="1" applyAlignment="1">
      <alignment horizontal="right"/>
    </xf>
    <xf numFmtId="5" fontId="15" fillId="0" borderId="117" xfId="22" applyNumberFormat="1" applyFont="1" applyBorder="1" applyAlignment="1">
      <alignment horizontal="center"/>
    </xf>
    <xf numFmtId="0" fontId="23" fillId="0" borderId="90" xfId="0" applyFont="1" applyBorder="1" applyAlignment="1">
      <alignment horizontal="right"/>
    </xf>
    <xf numFmtId="5" fontId="23" fillId="0" borderId="59" xfId="0" applyNumberFormat="1" applyFont="1" applyBorder="1" applyAlignment="1">
      <alignment horizontal="center"/>
    </xf>
    <xf numFmtId="5" fontId="23" fillId="0" borderId="91" xfId="0" applyNumberFormat="1" applyFont="1" applyBorder="1" applyAlignment="1">
      <alignment horizontal="center"/>
    </xf>
    <xf numFmtId="167" fontId="23" fillId="0" borderId="109" xfId="0" applyNumberFormat="1" applyFont="1" applyBorder="1" applyAlignment="1">
      <alignment horizontal="center"/>
    </xf>
    <xf numFmtId="167" fontId="170" fillId="0" borderId="117" xfId="0" applyNumberFormat="1" applyFont="1" applyBorder="1" applyAlignment="1">
      <alignment horizontal="center" vertical="center"/>
    </xf>
    <xf numFmtId="167" fontId="170" fillId="0" borderId="120" xfId="0" applyNumberFormat="1" applyFont="1" applyBorder="1" applyAlignment="1">
      <alignment horizontal="center" vertical="center"/>
    </xf>
    <xf numFmtId="6" fontId="172" fillId="4" borderId="116" xfId="0" applyNumberFormat="1" applyFont="1" applyFill="1" applyBorder="1"/>
    <xf numFmtId="5" fontId="172" fillId="0" borderId="2" xfId="0" applyNumberFormat="1" applyFont="1" applyBorder="1"/>
    <xf numFmtId="10" fontId="172" fillId="0" borderId="66" xfId="0" applyNumberFormat="1" applyFont="1" applyBorder="1"/>
    <xf numFmtId="167" fontId="186" fillId="0" borderId="66" xfId="1" applyNumberFormat="1" applyFont="1" applyBorder="1" applyAlignment="1">
      <alignment horizontal="center"/>
    </xf>
    <xf numFmtId="175" fontId="173" fillId="0" borderId="0" xfId="0" applyNumberFormat="1" applyFont="1" applyAlignment="1">
      <alignment horizontal="center"/>
    </xf>
    <xf numFmtId="0" fontId="23" fillId="0" borderId="0" xfId="2" applyFont="1"/>
    <xf numFmtId="0" fontId="173" fillId="0" borderId="0" xfId="0" applyFont="1" applyAlignment="1">
      <alignment horizontal="center"/>
    </xf>
    <xf numFmtId="0" fontId="23" fillId="0" borderId="0" xfId="0" applyFont="1" applyAlignment="1">
      <alignment horizontal="center"/>
    </xf>
    <xf numFmtId="168" fontId="15" fillId="0" borderId="0" xfId="1360" applyNumberFormat="1" applyFont="1" applyFill="1" applyBorder="1" applyAlignment="1">
      <alignment horizontal="center"/>
    </xf>
    <xf numFmtId="168" fontId="23" fillId="0" borderId="0" xfId="1360" applyNumberFormat="1" applyFont="1" applyFill="1" applyBorder="1" applyAlignment="1">
      <alignment horizontal="center"/>
    </xf>
    <xf numFmtId="168" fontId="23" fillId="0" borderId="0" xfId="1360" applyNumberFormat="1" applyFont="1" applyFill="1" applyAlignment="1">
      <alignment horizontal="center"/>
    </xf>
    <xf numFmtId="168" fontId="176" fillId="0" borderId="0" xfId="0" applyNumberFormat="1" applyFont="1" applyAlignment="1">
      <alignment horizontal="center"/>
    </xf>
    <xf numFmtId="164" fontId="15" fillId="0" borderId="0" xfId="22" applyNumberFormat="1" applyFont="1" applyFill="1" applyBorder="1" applyAlignment="1">
      <alignment horizontal="center"/>
    </xf>
    <xf numFmtId="167" fontId="186" fillId="0" borderId="137" xfId="1" applyNumberFormat="1" applyFont="1" applyBorder="1" applyAlignment="1">
      <alignment horizontal="center"/>
    </xf>
    <xf numFmtId="0" fontId="23" fillId="3" borderId="0" xfId="0" applyFont="1" applyFill="1" applyAlignment="1">
      <alignment horizontal="center"/>
    </xf>
    <xf numFmtId="0" fontId="23" fillId="3" borderId="0" xfId="0" applyFont="1" applyFill="1" applyAlignment="1">
      <alignment horizontal="center" wrapText="1"/>
    </xf>
    <xf numFmtId="0" fontId="23" fillId="3" borderId="6" xfId="0" applyFont="1" applyFill="1" applyBorder="1" applyAlignment="1">
      <alignment horizontal="center"/>
    </xf>
    <xf numFmtId="0" fontId="175" fillId="3" borderId="0" xfId="0" applyFont="1" applyFill="1" applyAlignment="1">
      <alignment horizontal="center"/>
    </xf>
    <xf numFmtId="0" fontId="15" fillId="11" borderId="67" xfId="0" applyFont="1" applyFill="1" applyBorder="1"/>
    <xf numFmtId="0" fontId="15" fillId="0" borderId="60" xfId="0" applyFont="1" applyBorder="1"/>
    <xf numFmtId="165" fontId="15" fillId="0" borderId="115" xfId="22" applyNumberFormat="1" applyFont="1" applyFill="1" applyBorder="1" applyAlignment="1">
      <alignment horizontal="center"/>
    </xf>
    <xf numFmtId="5" fontId="23" fillId="0" borderId="115" xfId="22" applyNumberFormat="1" applyFont="1" applyFill="1" applyBorder="1" applyAlignment="1">
      <alignment horizontal="center"/>
    </xf>
    <xf numFmtId="7" fontId="15" fillId="0" borderId="115" xfId="22" applyNumberFormat="1" applyFont="1" applyFill="1" applyBorder="1" applyAlignment="1">
      <alignment horizontal="center"/>
    </xf>
    <xf numFmtId="5" fontId="15" fillId="0" borderId="117" xfId="22" applyNumberFormat="1" applyFont="1" applyFill="1" applyBorder="1" applyAlignment="1">
      <alignment horizontal="center"/>
    </xf>
    <xf numFmtId="260" fontId="15" fillId="0" borderId="113" xfId="0" applyNumberFormat="1" applyFont="1" applyBorder="1" applyAlignment="1">
      <alignment horizontal="left"/>
    </xf>
    <xf numFmtId="260" fontId="23" fillId="0" borderId="113" xfId="0" applyNumberFormat="1" applyFont="1" applyBorder="1" applyAlignment="1">
      <alignment horizontal="left"/>
    </xf>
    <xf numFmtId="5" fontId="23" fillId="0" borderId="127" xfId="22" applyNumberFormat="1" applyFont="1" applyFill="1" applyBorder="1" applyAlignment="1">
      <alignment horizontal="center"/>
    </xf>
    <xf numFmtId="0" fontId="176" fillId="0" borderId="63" xfId="0" applyFont="1" applyBorder="1" applyAlignment="1">
      <alignment horizontal="left"/>
    </xf>
    <xf numFmtId="5" fontId="176" fillId="0" borderId="3" xfId="0" applyNumberFormat="1" applyFont="1" applyBorder="1" applyAlignment="1">
      <alignment horizontal="center"/>
    </xf>
    <xf numFmtId="5" fontId="172" fillId="0" borderId="66" xfId="22" applyNumberFormat="1" applyFont="1" applyFill="1" applyBorder="1" applyAlignment="1">
      <alignment horizontal="center"/>
    </xf>
    <xf numFmtId="300" fontId="175" fillId="0" borderId="115" xfId="0" applyNumberFormat="1" applyFont="1" applyBorder="1" applyAlignment="1">
      <alignment horizontal="left"/>
    </xf>
    <xf numFmtId="274" fontId="175" fillId="0" borderId="115" xfId="0" applyNumberFormat="1" applyFont="1" applyBorder="1" applyAlignment="1">
      <alignment horizontal="left"/>
    </xf>
    <xf numFmtId="0" fontId="175" fillId="0" borderId="115" xfId="0" applyFont="1" applyBorder="1" applyAlignment="1">
      <alignment horizontal="left" wrapText="1"/>
    </xf>
    <xf numFmtId="0" fontId="175" fillId="0" borderId="115" xfId="0" applyFont="1" applyBorder="1" applyAlignment="1">
      <alignment horizontal="left"/>
    </xf>
    <xf numFmtId="0" fontId="173" fillId="8" borderId="157" xfId="0" applyFont="1" applyFill="1" applyBorder="1" applyAlignment="1">
      <alignment horizontal="left"/>
    </xf>
    <xf numFmtId="0" fontId="15" fillId="0" borderId="160" xfId="0" applyFont="1" applyBorder="1"/>
    <xf numFmtId="260" fontId="15" fillId="0" borderId="121" xfId="0" applyNumberFormat="1" applyFont="1" applyBorder="1" applyAlignment="1">
      <alignment horizontal="left"/>
    </xf>
    <xf numFmtId="5" fontId="23" fillId="0" borderId="117" xfId="22" applyNumberFormat="1" applyFont="1" applyBorder="1" applyAlignment="1">
      <alignment horizontal="center"/>
    </xf>
    <xf numFmtId="0" fontId="176" fillId="30" borderId="157" xfId="0" applyFont="1" applyFill="1" applyBorder="1"/>
    <xf numFmtId="166" fontId="176" fillId="30" borderId="158" xfId="0" applyNumberFormat="1" applyFont="1" applyFill="1" applyBorder="1" applyAlignment="1">
      <alignment horizontal="center"/>
    </xf>
    <xf numFmtId="165" fontId="176" fillId="30" borderId="158" xfId="0" applyNumberFormat="1" applyFont="1" applyFill="1" applyBorder="1" applyAlignment="1">
      <alignment horizontal="center"/>
    </xf>
    <xf numFmtId="166" fontId="176" fillId="30" borderId="159" xfId="0" applyNumberFormat="1" applyFont="1" applyFill="1" applyBorder="1" applyAlignment="1">
      <alignment horizontal="center"/>
    </xf>
    <xf numFmtId="0" fontId="173" fillId="8" borderId="156" xfId="0" applyFont="1" applyFill="1" applyBorder="1" applyAlignment="1">
      <alignment horizontal="center"/>
    </xf>
    <xf numFmtId="0" fontId="176" fillId="0" borderId="162" xfId="0" applyFont="1" applyBorder="1" applyAlignment="1">
      <alignment horizontal="center"/>
    </xf>
    <xf numFmtId="0" fontId="176" fillId="0" borderId="145" xfId="0" applyFont="1" applyBorder="1" applyAlignment="1">
      <alignment horizontal="center"/>
    </xf>
    <xf numFmtId="0" fontId="176" fillId="0" borderId="63" xfId="0" applyFont="1" applyBorder="1" applyAlignment="1">
      <alignment horizontal="right"/>
    </xf>
    <xf numFmtId="14" fontId="23" fillId="9" borderId="119" xfId="1347" applyNumberFormat="1" applyFont="1" applyFill="1" applyBorder="1" applyAlignment="1">
      <alignment horizontal="center"/>
    </xf>
    <xf numFmtId="14" fontId="23" fillId="9" borderId="115" xfId="0" applyNumberFormat="1" applyFont="1" applyFill="1" applyBorder="1" applyAlignment="1">
      <alignment horizontal="right" vertical="center"/>
    </xf>
    <xf numFmtId="0" fontId="176" fillId="0" borderId="115" xfId="0" applyFont="1" applyBorder="1"/>
    <xf numFmtId="14" fontId="23" fillId="9" borderId="115" xfId="1347" applyNumberFormat="1" applyFont="1" applyFill="1" applyBorder="1" applyAlignment="1">
      <alignment horizontal="center"/>
    </xf>
    <xf numFmtId="6" fontId="172" fillId="4" borderId="67" xfId="0" applyNumberFormat="1" applyFont="1" applyFill="1" applyBorder="1"/>
    <xf numFmtId="175" fontId="173" fillId="8" borderId="157" xfId="0" applyNumberFormat="1" applyFont="1" applyFill="1" applyBorder="1" applyAlignment="1">
      <alignment horizontal="center"/>
    </xf>
    <xf numFmtId="175" fontId="173" fillId="8" borderId="158" xfId="0" applyNumberFormat="1" applyFont="1" applyFill="1" applyBorder="1" applyAlignment="1">
      <alignment horizontal="center"/>
    </xf>
    <xf numFmtId="0" fontId="172" fillId="0" borderId="15" xfId="0" applyFont="1" applyBorder="1"/>
    <xf numFmtId="38" fontId="186" fillId="0" borderId="66" xfId="22" applyNumberFormat="1" applyFont="1" applyFill="1" applyBorder="1" applyAlignment="1">
      <alignment horizontal="center"/>
    </xf>
    <xf numFmtId="0" fontId="172" fillId="0" borderId="66" xfId="0" applyFont="1" applyBorder="1" applyAlignment="1">
      <alignment horizontal="center"/>
    </xf>
    <xf numFmtId="43" fontId="172" fillId="0" borderId="0" xfId="0" applyNumberFormat="1" applyFont="1"/>
    <xf numFmtId="286" fontId="175" fillId="0" borderId="66" xfId="0" applyNumberFormat="1" applyFont="1" applyBorder="1" applyAlignment="1">
      <alignment horizontal="left"/>
    </xf>
    <xf numFmtId="0" fontId="173" fillId="8" borderId="77" xfId="2" applyFont="1" applyFill="1" applyBorder="1"/>
    <xf numFmtId="0" fontId="173" fillId="8" borderId="78" xfId="0" applyFont="1" applyFill="1" applyBorder="1" applyAlignment="1">
      <alignment horizontal="center" wrapText="1"/>
    </xf>
    <xf numFmtId="5" fontId="15" fillId="0" borderId="115" xfId="22" applyNumberFormat="1" applyFont="1" applyBorder="1" applyAlignment="1">
      <alignment horizontal="center" vertical="center"/>
    </xf>
    <xf numFmtId="5" fontId="15" fillId="0" borderId="126" xfId="22" applyNumberFormat="1" applyFont="1" applyBorder="1" applyAlignment="1">
      <alignment horizontal="center" vertical="center"/>
    </xf>
    <xf numFmtId="6" fontId="176" fillId="0" borderId="117" xfId="0" applyNumberFormat="1" applyFont="1" applyBorder="1" applyAlignment="1">
      <alignment horizontal="center" vertical="center"/>
    </xf>
    <xf numFmtId="5" fontId="15" fillId="0" borderId="117" xfId="22" applyNumberFormat="1" applyFont="1" applyBorder="1" applyAlignment="1">
      <alignment horizontal="center" vertical="center"/>
    </xf>
    <xf numFmtId="0" fontId="172" fillId="0" borderId="63" xfId="0" applyFont="1" applyBorder="1"/>
    <xf numFmtId="6" fontId="172" fillId="0" borderId="64" xfId="0" applyNumberFormat="1" applyFont="1" applyBorder="1"/>
    <xf numFmtId="0" fontId="15" fillId="0" borderId="90" xfId="0" applyFont="1" applyBorder="1" applyAlignment="1">
      <alignment wrapText="1"/>
    </xf>
    <xf numFmtId="38" fontId="176" fillId="0" borderId="77" xfId="0" applyNumberFormat="1" applyFont="1" applyBorder="1"/>
    <xf numFmtId="5" fontId="176" fillId="0" borderId="59" xfId="0" applyNumberFormat="1" applyFont="1" applyBorder="1"/>
    <xf numFmtId="6" fontId="176" fillId="0" borderId="88" xfId="0" applyNumberFormat="1" applyFont="1" applyBorder="1"/>
    <xf numFmtId="5" fontId="176" fillId="0" borderId="88" xfId="0" applyNumberFormat="1" applyFont="1" applyBorder="1"/>
    <xf numFmtId="0" fontId="0" fillId="0" borderId="92" xfId="0" applyBorder="1"/>
    <xf numFmtId="0" fontId="172" fillId="0" borderId="122" xfId="0" applyFont="1" applyBorder="1"/>
    <xf numFmtId="0" fontId="172" fillId="0" borderId="153" xfId="0" applyFont="1" applyBorder="1"/>
    <xf numFmtId="8" fontId="195" fillId="0" borderId="115" xfId="0" applyNumberFormat="1" applyFont="1" applyBorder="1" applyAlignment="1">
      <alignment horizontal="center"/>
    </xf>
    <xf numFmtId="302" fontId="172" fillId="0" borderId="121" xfId="0" applyNumberFormat="1" applyFont="1" applyBorder="1" applyAlignment="1">
      <alignment horizontal="left"/>
    </xf>
    <xf numFmtId="303" fontId="172" fillId="0" borderId="121" xfId="0" applyNumberFormat="1" applyFont="1" applyBorder="1" applyAlignment="1">
      <alignment horizontal="left"/>
    </xf>
    <xf numFmtId="304" fontId="172" fillId="0" borderId="121" xfId="0" applyNumberFormat="1" applyFont="1" applyBorder="1" applyAlignment="1">
      <alignment horizontal="left"/>
    </xf>
    <xf numFmtId="305" fontId="172" fillId="0" borderId="121" xfId="0" applyNumberFormat="1" applyFont="1" applyBorder="1" applyAlignment="1">
      <alignment horizontal="left"/>
    </xf>
    <xf numFmtId="0" fontId="197" fillId="3" borderId="113" xfId="0" applyFont="1" applyFill="1" applyBorder="1" applyAlignment="1">
      <alignment horizontal="left"/>
    </xf>
    <xf numFmtId="38" fontId="176" fillId="41" borderId="112" xfId="22" applyNumberFormat="1" applyFont="1" applyFill="1" applyBorder="1" applyAlignment="1">
      <alignment horizontal="center"/>
    </xf>
    <xf numFmtId="8" fontId="176" fillId="41" borderId="112" xfId="0" applyNumberFormat="1" applyFont="1" applyFill="1" applyBorder="1" applyAlignment="1">
      <alignment horizontal="center"/>
    </xf>
    <xf numFmtId="0" fontId="173" fillId="8" borderId="155" xfId="0" applyFont="1" applyFill="1" applyBorder="1" applyAlignment="1">
      <alignment horizontal="center"/>
    </xf>
    <xf numFmtId="5" fontId="15" fillId="11" borderId="117" xfId="22" applyNumberFormat="1" applyFont="1" applyFill="1" applyBorder="1" applyAlignment="1">
      <alignment horizontal="center"/>
    </xf>
    <xf numFmtId="0" fontId="173" fillId="8" borderId="77" xfId="0" applyFont="1" applyFill="1" applyBorder="1"/>
    <xf numFmtId="272" fontId="175" fillId="0" borderId="114" xfId="0" applyNumberFormat="1" applyFont="1" applyBorder="1" applyAlignment="1">
      <alignment horizontal="left"/>
    </xf>
    <xf numFmtId="5" fontId="15" fillId="11" borderId="10" xfId="22" applyNumberFormat="1" applyFont="1" applyFill="1" applyBorder="1" applyAlignment="1">
      <alignment horizontal="center"/>
    </xf>
    <xf numFmtId="0" fontId="172" fillId="43" borderId="162" xfId="0" applyFont="1" applyFill="1" applyBorder="1"/>
    <xf numFmtId="0" fontId="172" fillId="42" borderId="115" xfId="0" applyFont="1" applyFill="1" applyBorder="1"/>
    <xf numFmtId="5" fontId="172" fillId="42" borderId="115" xfId="0" applyNumberFormat="1" applyFont="1" applyFill="1" applyBorder="1"/>
    <xf numFmtId="10" fontId="172" fillId="42" borderId="115" xfId="0" applyNumberFormat="1" applyFont="1" applyFill="1" applyBorder="1"/>
    <xf numFmtId="10" fontId="176" fillId="42" borderId="115" xfId="0" applyNumberFormat="1" applyFont="1" applyFill="1" applyBorder="1"/>
    <xf numFmtId="3" fontId="172" fillId="0" borderId="115" xfId="0" applyNumberFormat="1" applyFont="1" applyBorder="1" applyAlignment="1">
      <alignment horizontal="right"/>
    </xf>
    <xf numFmtId="168" fontId="172" fillId="35" borderId="115" xfId="1360" applyNumberFormat="1" applyFont="1" applyFill="1" applyBorder="1"/>
    <xf numFmtId="0" fontId="172" fillId="42" borderId="160" xfId="0" applyFont="1" applyFill="1" applyBorder="1"/>
    <xf numFmtId="0" fontId="172" fillId="42" borderId="113" xfId="0" applyFont="1" applyFill="1" applyBorder="1"/>
    <xf numFmtId="0" fontId="172" fillId="42" borderId="131" xfId="0" applyFont="1" applyFill="1" applyBorder="1"/>
    <xf numFmtId="3" fontId="172" fillId="0" borderId="67" xfId="0" applyNumberFormat="1" applyFont="1" applyBorder="1" applyAlignment="1">
      <alignment horizontal="right"/>
    </xf>
    <xf numFmtId="3" fontId="172" fillId="0" borderId="113" xfId="0" applyNumberFormat="1" applyFont="1" applyBorder="1" applyAlignment="1">
      <alignment horizontal="right"/>
    </xf>
    <xf numFmtId="3" fontId="172" fillId="0" borderId="99" xfId="0" applyNumberFormat="1" applyFont="1" applyBorder="1" applyAlignment="1">
      <alignment horizontal="right"/>
    </xf>
    <xf numFmtId="10" fontId="172" fillId="43" borderId="14" xfId="0" applyNumberFormat="1" applyFont="1" applyFill="1" applyBorder="1"/>
    <xf numFmtId="0" fontId="172" fillId="43" borderId="137" xfId="0" applyFont="1" applyFill="1" applyBorder="1"/>
    <xf numFmtId="0" fontId="172" fillId="43" borderId="151" xfId="0" applyFont="1" applyFill="1" applyBorder="1"/>
    <xf numFmtId="0" fontId="172" fillId="0" borderId="121" xfId="0" applyFont="1" applyBorder="1"/>
    <xf numFmtId="182" fontId="172" fillId="0" borderId="121" xfId="0" applyNumberFormat="1" applyFont="1" applyBorder="1"/>
    <xf numFmtId="0" fontId="172" fillId="0" borderId="125" xfId="0" applyFont="1" applyBorder="1"/>
    <xf numFmtId="14" fontId="170" fillId="40" borderId="120" xfId="0" applyNumberFormat="1" applyFont="1" applyFill="1" applyBorder="1" applyAlignment="1">
      <alignment horizontal="center" vertical="center"/>
    </xf>
    <xf numFmtId="14" fontId="170" fillId="40" borderId="124" xfId="0" applyNumberFormat="1" applyFont="1" applyFill="1" applyBorder="1" applyAlignment="1">
      <alignment horizontal="center" vertical="center"/>
    </xf>
    <xf numFmtId="0" fontId="173" fillId="6" borderId="78" xfId="0" applyFont="1" applyFill="1" applyBorder="1" applyAlignment="1">
      <alignment horizontal="center"/>
    </xf>
    <xf numFmtId="5" fontId="15" fillId="0" borderId="74" xfId="22" applyNumberFormat="1" applyFont="1" applyBorder="1" applyAlignment="1">
      <alignment horizontal="center"/>
    </xf>
    <xf numFmtId="5" fontId="23" fillId="0" borderId="126" xfId="22" applyNumberFormat="1" applyFont="1" applyBorder="1" applyAlignment="1">
      <alignment horizontal="center"/>
    </xf>
    <xf numFmtId="5" fontId="23" fillId="0" borderId="74" xfId="22" applyNumberFormat="1" applyFont="1" applyBorder="1" applyAlignment="1">
      <alignment horizontal="center"/>
    </xf>
    <xf numFmtId="168" fontId="15" fillId="0" borderId="92" xfId="22" applyNumberFormat="1" applyFont="1" applyFill="1" applyBorder="1" applyAlignment="1">
      <alignment horizontal="center"/>
    </xf>
    <xf numFmtId="278" fontId="15" fillId="0" borderId="92" xfId="0" applyNumberFormat="1" applyFont="1" applyBorder="1"/>
    <xf numFmtId="168" fontId="15" fillId="0" borderId="0" xfId="22" applyNumberFormat="1" applyFont="1" applyFill="1" applyBorder="1" applyAlignment="1">
      <alignment horizontal="center"/>
    </xf>
    <xf numFmtId="303" fontId="15" fillId="0" borderId="121" xfId="2" applyNumberFormat="1" applyFont="1" applyBorder="1" applyAlignment="1">
      <alignment horizontal="left"/>
    </xf>
    <xf numFmtId="304" fontId="15" fillId="0" borderId="121" xfId="2" applyNumberFormat="1" applyFont="1" applyBorder="1" applyAlignment="1">
      <alignment horizontal="left"/>
    </xf>
    <xf numFmtId="305" fontId="15" fillId="0" borderId="121" xfId="2" applyNumberFormat="1" applyFont="1" applyBorder="1" applyAlignment="1">
      <alignment horizontal="left"/>
    </xf>
    <xf numFmtId="164" fontId="15" fillId="0" borderId="127" xfId="22" applyNumberFormat="1" applyFont="1" applyBorder="1" applyAlignment="1">
      <alignment horizontal="center"/>
    </xf>
    <xf numFmtId="6" fontId="176" fillId="0" borderId="168" xfId="0" applyNumberFormat="1" applyFont="1" applyBorder="1" applyAlignment="1">
      <alignment horizontal="center"/>
    </xf>
    <xf numFmtId="6" fontId="15" fillId="0" borderId="91" xfId="0" applyNumberFormat="1" applyFont="1" applyBorder="1" applyAlignment="1">
      <alignment horizontal="center"/>
    </xf>
    <xf numFmtId="6" fontId="23" fillId="0" borderId="91" xfId="0" applyNumberFormat="1" applyFont="1" applyBorder="1" applyAlignment="1">
      <alignment horizontal="center"/>
    </xf>
    <xf numFmtId="0" fontId="173" fillId="8" borderId="161" xfId="0" applyFont="1" applyFill="1" applyBorder="1" applyAlignment="1">
      <alignment horizontal="left"/>
    </xf>
    <xf numFmtId="0" fontId="173" fillId="8" borderId="161" xfId="0" applyFont="1" applyFill="1" applyBorder="1"/>
    <xf numFmtId="3" fontId="173" fillId="8" borderId="156" xfId="0" applyNumberFormat="1" applyFont="1" applyFill="1" applyBorder="1"/>
    <xf numFmtId="3" fontId="186" fillId="0" borderId="117" xfId="0" applyNumberFormat="1" applyFont="1" applyBorder="1" applyAlignment="1">
      <alignment horizontal="center"/>
    </xf>
    <xf numFmtId="3" fontId="186" fillId="0" borderId="127" xfId="0" applyNumberFormat="1" applyFont="1" applyBorder="1" applyAlignment="1">
      <alignment horizontal="center"/>
    </xf>
    <xf numFmtId="3" fontId="15" fillId="0" borderId="91" xfId="0" applyNumberFormat="1" applyFont="1" applyBorder="1" applyAlignment="1">
      <alignment horizontal="center"/>
    </xf>
    <xf numFmtId="3" fontId="172" fillId="0" borderId="0" xfId="0" applyNumberFormat="1" applyFont="1"/>
    <xf numFmtId="175" fontId="173" fillId="8" borderId="162" xfId="0" applyNumberFormat="1" applyFont="1" applyFill="1" applyBorder="1" applyAlignment="1">
      <alignment horizontal="center"/>
    </xf>
    <xf numFmtId="3" fontId="172" fillId="0" borderId="117" xfId="0" applyNumberFormat="1" applyFont="1" applyBorder="1" applyAlignment="1">
      <alignment horizontal="center"/>
    </xf>
    <xf numFmtId="3" fontId="172" fillId="0" borderId="124" xfId="0" applyNumberFormat="1" applyFont="1" applyBorder="1" applyAlignment="1">
      <alignment horizontal="center"/>
    </xf>
    <xf numFmtId="6" fontId="15" fillId="0" borderId="117" xfId="0" applyNumberFormat="1" applyFont="1" applyBorder="1" applyAlignment="1">
      <alignment horizontal="center"/>
    </xf>
    <xf numFmtId="6" fontId="15" fillId="0" borderId="127" xfId="0" applyNumberFormat="1" applyFont="1" applyBorder="1" applyAlignment="1">
      <alignment horizontal="center"/>
    </xf>
    <xf numFmtId="8" fontId="15" fillId="0" borderId="59" xfId="0" applyNumberFormat="1" applyFont="1" applyBorder="1" applyAlignment="1">
      <alignment horizontal="center"/>
    </xf>
    <xf numFmtId="3" fontId="15" fillId="0" borderId="0" xfId="0" applyNumberFormat="1" applyFont="1" applyAlignment="1">
      <alignment horizontal="center"/>
    </xf>
    <xf numFmtId="8" fontId="15" fillId="0" borderId="0" xfId="0" applyNumberFormat="1" applyFont="1" applyAlignment="1">
      <alignment horizontal="center"/>
    </xf>
    <xf numFmtId="6" fontId="15" fillId="0" borderId="0" xfId="0" applyNumberFormat="1" applyFont="1" applyAlignment="1">
      <alignment horizontal="center"/>
    </xf>
    <xf numFmtId="5" fontId="15" fillId="0" borderId="3" xfId="22" applyNumberFormat="1" applyFont="1" applyFill="1" applyBorder="1" applyAlignment="1">
      <alignment horizontal="center"/>
    </xf>
    <xf numFmtId="0" fontId="23" fillId="3" borderId="90" xfId="0" applyFont="1" applyFill="1" applyBorder="1"/>
    <xf numFmtId="0" fontId="172" fillId="3" borderId="59" xfId="0" applyFont="1" applyFill="1" applyBorder="1"/>
    <xf numFmtId="5" fontId="23" fillId="3" borderId="91" xfId="22" applyNumberFormat="1" applyFont="1" applyFill="1" applyBorder="1" applyAlignment="1">
      <alignment horizontal="center"/>
    </xf>
    <xf numFmtId="5" fontId="172" fillId="0" borderId="126" xfId="22" applyNumberFormat="1" applyFont="1" applyFill="1" applyBorder="1" applyAlignment="1">
      <alignment horizontal="center"/>
    </xf>
    <xf numFmtId="5" fontId="15" fillId="0" borderId="127" xfId="22" applyNumberFormat="1" applyFont="1" applyFill="1" applyBorder="1" applyAlignment="1">
      <alignment horizontal="center"/>
    </xf>
    <xf numFmtId="0" fontId="176" fillId="0" borderId="121" xfId="0" applyFont="1" applyBorder="1" applyAlignment="1">
      <alignment horizontal="left"/>
    </xf>
    <xf numFmtId="0" fontId="176" fillId="0" borderId="117" xfId="0" applyFont="1" applyBorder="1" applyAlignment="1">
      <alignment horizontal="center"/>
    </xf>
    <xf numFmtId="180" fontId="175" fillId="0" borderId="121" xfId="0" applyNumberFormat="1" applyFont="1" applyBorder="1" applyAlignment="1">
      <alignment horizontal="right"/>
    </xf>
    <xf numFmtId="181" fontId="15" fillId="0" borderId="121" xfId="0" applyNumberFormat="1" applyFont="1" applyBorder="1" applyAlignment="1">
      <alignment horizontal="right"/>
    </xf>
    <xf numFmtId="0" fontId="23" fillId="0" borderId="123" xfId="0" applyFont="1" applyBorder="1" applyAlignment="1">
      <alignment horizontal="right"/>
    </xf>
    <xf numFmtId="5" fontId="23" fillId="0" borderId="122" xfId="0" applyNumberFormat="1" applyFont="1" applyBorder="1" applyAlignment="1">
      <alignment horizontal="center"/>
    </xf>
    <xf numFmtId="5" fontId="23" fillId="0" borderId="124" xfId="0" applyNumberFormat="1" applyFont="1" applyBorder="1" applyAlignment="1">
      <alignment horizontal="center"/>
    </xf>
    <xf numFmtId="175" fontId="173" fillId="6" borderId="166" xfId="0" applyNumberFormat="1" applyFont="1" applyFill="1" applyBorder="1" applyAlignment="1">
      <alignment horizontal="center"/>
    </xf>
    <xf numFmtId="0" fontId="173" fillId="6" borderId="77" xfId="0" applyFont="1" applyFill="1" applyBorder="1"/>
    <xf numFmtId="0" fontId="173" fillId="6" borderId="157" xfId="0" applyFont="1" applyFill="1" applyBorder="1"/>
    <xf numFmtId="175" fontId="173" fillId="6" borderId="159" xfId="0" applyNumberFormat="1" applyFont="1" applyFill="1" applyBorder="1" applyAlignment="1">
      <alignment horizontal="center"/>
    </xf>
    <xf numFmtId="0" fontId="15" fillId="0" borderId="131" xfId="0" applyFont="1" applyBorder="1"/>
    <xf numFmtId="9" fontId="15" fillId="0" borderId="128" xfId="0" applyNumberFormat="1" applyFont="1" applyBorder="1" applyAlignment="1">
      <alignment horizontal="center"/>
    </xf>
    <xf numFmtId="164" fontId="15" fillId="0" borderId="3" xfId="22" applyNumberFormat="1" applyFont="1" applyBorder="1" applyAlignment="1">
      <alignment horizontal="center"/>
    </xf>
    <xf numFmtId="164" fontId="23" fillId="0" borderId="169" xfId="22" applyNumberFormat="1" applyFont="1" applyBorder="1" applyAlignment="1">
      <alignment horizontal="center"/>
    </xf>
    <xf numFmtId="167" fontId="186" fillId="0" borderId="158" xfId="1" applyNumberFormat="1" applyFont="1" applyBorder="1" applyAlignment="1">
      <alignment horizontal="center" vertical="center"/>
    </xf>
    <xf numFmtId="0" fontId="23" fillId="0" borderId="159" xfId="2" applyFont="1" applyBorder="1" applyAlignment="1">
      <alignment vertical="center"/>
    </xf>
    <xf numFmtId="6" fontId="15" fillId="0" borderId="122" xfId="0" applyNumberFormat="1" applyFont="1" applyBorder="1" applyAlignment="1">
      <alignment horizontal="center"/>
    </xf>
    <xf numFmtId="3" fontId="15" fillId="0" borderId="0" xfId="0" applyNumberFormat="1" applyFont="1"/>
    <xf numFmtId="278" fontId="186" fillId="0" borderId="92" xfId="0" applyNumberFormat="1" applyFont="1" applyBorder="1"/>
    <xf numFmtId="306" fontId="172" fillId="0" borderId="0" xfId="0" applyNumberFormat="1" applyFont="1"/>
    <xf numFmtId="5" fontId="15" fillId="0" borderId="116" xfId="22" applyNumberFormat="1" applyFont="1" applyBorder="1" applyAlignment="1"/>
    <xf numFmtId="260" fontId="15" fillId="0" borderId="125" xfId="0" applyNumberFormat="1" applyFont="1" applyBorder="1" applyAlignment="1">
      <alignment horizontal="left"/>
    </xf>
    <xf numFmtId="307" fontId="15" fillId="0" borderId="126" xfId="22" applyNumberFormat="1" applyFont="1" applyFill="1" applyBorder="1" applyAlignment="1">
      <alignment horizontal="center"/>
    </xf>
    <xf numFmtId="308" fontId="15" fillId="0" borderId="126" xfId="22" applyNumberFormat="1" applyFont="1" applyBorder="1" applyAlignment="1">
      <alignment horizontal="center"/>
    </xf>
    <xf numFmtId="9" fontId="176" fillId="0" borderId="66" xfId="1" applyFont="1" applyBorder="1" applyAlignment="1">
      <alignment horizontal="center"/>
    </xf>
    <xf numFmtId="175" fontId="173" fillId="32" borderId="159" xfId="0" applyNumberFormat="1" applyFont="1" applyFill="1" applyBorder="1" applyAlignment="1">
      <alignment horizontal="center"/>
    </xf>
    <xf numFmtId="0" fontId="173" fillId="8" borderId="157" xfId="2" applyFont="1" applyFill="1" applyBorder="1"/>
    <xf numFmtId="10" fontId="179" fillId="8" borderId="164" xfId="2" applyNumberFormat="1" applyFont="1" applyFill="1" applyBorder="1" applyAlignment="1">
      <alignment horizontal="center"/>
    </xf>
    <xf numFmtId="166" fontId="173" fillId="8" borderId="154" xfId="2" applyNumberFormat="1" applyFont="1" applyFill="1" applyBorder="1" applyAlignment="1">
      <alignment horizontal="center"/>
    </xf>
    <xf numFmtId="299" fontId="175" fillId="0" borderId="0" xfId="0" applyNumberFormat="1" applyFont="1" applyAlignment="1">
      <alignment horizontal="left"/>
    </xf>
    <xf numFmtId="264" fontId="175" fillId="0" borderId="0" xfId="0" applyNumberFormat="1" applyFont="1" applyAlignment="1">
      <alignment horizontal="left"/>
    </xf>
    <xf numFmtId="175" fontId="173" fillId="33" borderId="159" xfId="0" applyNumberFormat="1" applyFont="1" applyFill="1" applyBorder="1" applyAlignment="1">
      <alignment horizontal="center"/>
    </xf>
    <xf numFmtId="0" fontId="178" fillId="8" borderId="164" xfId="2" applyFont="1" applyFill="1" applyBorder="1" applyAlignment="1">
      <alignment horizontal="center" wrapText="1"/>
    </xf>
    <xf numFmtId="5" fontId="15" fillId="0" borderId="3" xfId="22" applyNumberFormat="1" applyFont="1" applyBorder="1" applyAlignment="1">
      <alignment horizontal="center"/>
    </xf>
    <xf numFmtId="293" fontId="23" fillId="3" borderId="123" xfId="0" applyNumberFormat="1" applyFont="1" applyFill="1" applyBorder="1" applyAlignment="1">
      <alignment horizontal="left"/>
    </xf>
    <xf numFmtId="273" fontId="23" fillId="3" borderId="84" xfId="0" applyNumberFormat="1" applyFont="1" applyFill="1" applyBorder="1" applyAlignment="1">
      <alignment horizontal="left"/>
    </xf>
    <xf numFmtId="171" fontId="15" fillId="0" borderId="0" xfId="1" applyNumberFormat="1" applyFont="1" applyFill="1" applyBorder="1" applyAlignment="1">
      <alignment horizontal="center"/>
    </xf>
    <xf numFmtId="37" fontId="15" fillId="0" borderId="0" xfId="22" applyNumberFormat="1" applyFont="1" applyFill="1" applyBorder="1"/>
    <xf numFmtId="166" fontId="23" fillId="0" borderId="0" xfId="22" applyNumberFormat="1" applyFont="1" applyFill="1" applyBorder="1"/>
    <xf numFmtId="0" fontId="173" fillId="0" borderId="0" xfId="0" applyFont="1"/>
    <xf numFmtId="166" fontId="172" fillId="0" borderId="0" xfId="18" applyNumberFormat="1" applyFont="1" applyFill="1" applyBorder="1" applyAlignment="1">
      <alignment horizontal="center"/>
    </xf>
    <xf numFmtId="166" fontId="172" fillId="0" borderId="0" xfId="0" applyNumberFormat="1" applyFont="1" applyAlignment="1">
      <alignment horizontal="center"/>
    </xf>
    <xf numFmtId="9" fontId="23" fillId="0" borderId="0" xfId="0" applyNumberFormat="1" applyFont="1" applyAlignment="1">
      <alignment horizontal="center"/>
    </xf>
    <xf numFmtId="9" fontId="15" fillId="0" borderId="0" xfId="0" applyNumberFormat="1" applyFont="1" applyAlignment="1">
      <alignment horizontal="center"/>
    </xf>
    <xf numFmtId="10" fontId="15" fillId="0" borderId="0" xfId="0" applyNumberFormat="1" applyFont="1" applyAlignment="1">
      <alignment horizontal="center"/>
    </xf>
    <xf numFmtId="10" fontId="15" fillId="0" borderId="128" xfId="0" applyNumberFormat="1" applyFont="1" applyBorder="1" applyAlignment="1">
      <alignment horizontal="center"/>
    </xf>
    <xf numFmtId="179" fontId="23" fillId="0" borderId="76" xfId="22" applyNumberFormat="1" applyFont="1" applyFill="1" applyBorder="1" applyAlignment="1">
      <alignment horizontal="center"/>
    </xf>
    <xf numFmtId="176" fontId="23" fillId="0" borderId="76" xfId="22" applyNumberFormat="1" applyFont="1" applyFill="1" applyBorder="1" applyAlignment="1">
      <alignment horizontal="center" vertical="center"/>
    </xf>
    <xf numFmtId="177" fontId="23" fillId="0" borderId="87" xfId="22" applyNumberFormat="1" applyFont="1" applyFill="1" applyBorder="1" applyAlignment="1">
      <alignment horizontal="center" vertical="center"/>
    </xf>
    <xf numFmtId="168" fontId="23" fillId="41" borderId="136" xfId="1360" applyNumberFormat="1" applyFont="1" applyFill="1" applyBorder="1" applyAlignment="1"/>
    <xf numFmtId="168" fontId="23" fillId="3" borderId="6" xfId="1360" applyNumberFormat="1" applyFont="1" applyFill="1" applyBorder="1" applyAlignment="1"/>
    <xf numFmtId="168" fontId="23" fillId="41" borderId="134" xfId="1360" applyNumberFormat="1" applyFont="1" applyFill="1" applyBorder="1" applyAlignment="1"/>
    <xf numFmtId="168" fontId="176" fillId="0" borderId="168" xfId="0" applyNumberFormat="1" applyFont="1" applyBorder="1"/>
    <xf numFmtId="3" fontId="15" fillId="0" borderId="170" xfId="0" applyNumberFormat="1" applyFont="1" applyBorder="1" applyAlignment="1">
      <alignment horizontal="center"/>
    </xf>
    <xf numFmtId="3" fontId="15" fillId="0" borderId="171" xfId="0" applyNumberFormat="1" applyFont="1" applyBorder="1" applyAlignment="1">
      <alignment horizontal="center"/>
    </xf>
    <xf numFmtId="3" fontId="15" fillId="0" borderId="3" xfId="0" applyNumberFormat="1" applyFont="1" applyBorder="1" applyAlignment="1">
      <alignment horizontal="center"/>
    </xf>
    <xf numFmtId="3" fontId="15" fillId="0" borderId="117" xfId="0" applyNumberFormat="1" applyFont="1" applyBorder="1" applyAlignment="1">
      <alignment horizontal="center"/>
    </xf>
    <xf numFmtId="3" fontId="15" fillId="0" borderId="124" xfId="0" applyNumberFormat="1" applyFont="1" applyBorder="1" applyAlignment="1">
      <alignment horizontal="center"/>
    </xf>
    <xf numFmtId="278" fontId="15" fillId="0" borderId="0" xfId="0" applyNumberFormat="1" applyFont="1"/>
    <xf numFmtId="5" fontId="176" fillId="0" borderId="59" xfId="0" applyNumberFormat="1" applyFont="1" applyBorder="1" applyAlignment="1">
      <alignment horizontal="center"/>
    </xf>
    <xf numFmtId="5" fontId="176" fillId="0" borderId="91" xfId="0" applyNumberFormat="1" applyFont="1" applyBorder="1" applyAlignment="1">
      <alignment horizontal="center"/>
    </xf>
    <xf numFmtId="5" fontId="23" fillId="3" borderId="78" xfId="22" applyNumberFormat="1" applyFont="1" applyFill="1" applyBorder="1" applyAlignment="1">
      <alignment horizontal="center"/>
    </xf>
    <xf numFmtId="165" fontId="23" fillId="3" borderId="87" xfId="22" applyNumberFormat="1" applyFont="1" applyFill="1" applyBorder="1" applyAlignment="1">
      <alignment horizontal="center"/>
    </xf>
    <xf numFmtId="0" fontId="15" fillId="0" borderId="0" xfId="0" applyFont="1" applyAlignment="1">
      <alignment horizontal="center"/>
    </xf>
    <xf numFmtId="0" fontId="178" fillId="8" borderId="59" xfId="2" applyFont="1" applyFill="1" applyBorder="1" applyAlignment="1">
      <alignment horizontal="center" wrapText="1"/>
    </xf>
    <xf numFmtId="0" fontId="172" fillId="0" borderId="0" xfId="0" applyFont="1" applyAlignment="1">
      <alignment vertical="center"/>
    </xf>
    <xf numFmtId="0" fontId="173" fillId="8" borderId="15" xfId="0" applyFont="1" applyFill="1" applyBorder="1" applyAlignment="1">
      <alignment vertical="center"/>
    </xf>
    <xf numFmtId="273" fontId="23" fillId="3" borderId="123" xfId="0" applyNumberFormat="1" applyFont="1" applyFill="1" applyBorder="1"/>
    <xf numFmtId="0" fontId="173" fillId="8" borderId="0" xfId="0" applyFont="1" applyFill="1" applyAlignment="1">
      <alignment horizontal="center" vertical="center" wrapText="1"/>
    </xf>
    <xf numFmtId="0" fontId="173" fillId="8" borderId="6" xfId="0" applyFont="1" applyFill="1" applyBorder="1" applyAlignment="1">
      <alignment horizontal="center" vertical="center" wrapText="1"/>
    </xf>
    <xf numFmtId="175" fontId="173" fillId="6" borderId="143" xfId="0" applyNumberFormat="1" applyFont="1" applyFill="1" applyBorder="1" applyAlignment="1">
      <alignment horizontal="center"/>
    </xf>
    <xf numFmtId="3" fontId="173" fillId="6" borderId="159" xfId="0" applyNumberFormat="1" applyFont="1" applyFill="1" applyBorder="1"/>
    <xf numFmtId="6" fontId="176" fillId="0" borderId="91" xfId="0" applyNumberFormat="1" applyFont="1" applyBorder="1" applyAlignment="1">
      <alignment horizontal="center"/>
    </xf>
    <xf numFmtId="6" fontId="176" fillId="0" borderId="127" xfId="0" applyNumberFormat="1" applyFont="1" applyBorder="1" applyAlignment="1">
      <alignment horizontal="center"/>
    </xf>
    <xf numFmtId="3" fontId="173" fillId="6" borderId="159" xfId="0" applyNumberFormat="1" applyFont="1" applyFill="1" applyBorder="1" applyAlignment="1">
      <alignment horizontal="center"/>
    </xf>
    <xf numFmtId="0" fontId="23" fillId="0" borderId="151" xfId="2" applyFont="1" applyBorder="1"/>
    <xf numFmtId="309" fontId="15" fillId="0" borderId="121" xfId="2" applyNumberFormat="1" applyFont="1" applyBorder="1" applyAlignment="1">
      <alignment horizontal="left"/>
    </xf>
    <xf numFmtId="310" fontId="15" fillId="0" borderId="121" xfId="2" applyNumberFormat="1" applyFont="1" applyBorder="1" applyAlignment="1">
      <alignment horizontal="left"/>
    </xf>
    <xf numFmtId="6" fontId="23" fillId="0" borderId="115" xfId="0" applyNumberFormat="1" applyFont="1" applyBorder="1" applyAlignment="1">
      <alignment horizontal="center"/>
    </xf>
    <xf numFmtId="0" fontId="15" fillId="0" borderId="173" xfId="0" applyFont="1" applyBorder="1"/>
    <xf numFmtId="3" fontId="15" fillId="0" borderId="174" xfId="0" applyNumberFormat="1" applyFont="1" applyBorder="1" applyAlignment="1">
      <alignment horizontal="center"/>
    </xf>
    <xf numFmtId="3" fontId="15" fillId="0" borderId="78" xfId="0" applyNumberFormat="1" applyFont="1" applyBorder="1" applyAlignment="1">
      <alignment horizontal="center"/>
    </xf>
    <xf numFmtId="0" fontId="15" fillId="0" borderId="123" xfId="0" applyFont="1" applyBorder="1"/>
    <xf numFmtId="1" fontId="23" fillId="0" borderId="0" xfId="0" applyNumberFormat="1" applyFont="1" applyAlignment="1">
      <alignment horizontal="left"/>
    </xf>
    <xf numFmtId="0" fontId="15" fillId="0" borderId="63" xfId="0" applyFont="1" applyBorder="1" applyAlignment="1">
      <alignment horizontal="right"/>
    </xf>
    <xf numFmtId="175" fontId="173" fillId="8" borderId="156" xfId="0" applyNumberFormat="1" applyFont="1" applyFill="1" applyBorder="1" applyAlignment="1">
      <alignment horizontal="center"/>
    </xf>
    <xf numFmtId="5" fontId="23" fillId="0" borderId="126" xfId="22" applyNumberFormat="1" applyFont="1" applyBorder="1" applyAlignment="1"/>
    <xf numFmtId="0" fontId="173" fillId="8" borderId="157" xfId="0" applyFont="1" applyFill="1" applyBorder="1" applyAlignment="1">
      <alignment horizontal="left" vertical="center"/>
    </xf>
    <xf numFmtId="0" fontId="173" fillId="8" borderId="158" xfId="0" applyFont="1" applyFill="1" applyBorder="1" applyAlignment="1">
      <alignment horizontal="center" vertical="center"/>
    </xf>
    <xf numFmtId="0" fontId="173" fillId="8" borderId="159" xfId="0" applyFont="1" applyFill="1" applyBorder="1" applyAlignment="1">
      <alignment horizontal="center" vertical="center"/>
    </xf>
    <xf numFmtId="0" fontId="15" fillId="0" borderId="160" xfId="0" applyFont="1" applyBorder="1" applyAlignment="1">
      <alignment vertical="center"/>
    </xf>
    <xf numFmtId="5" fontId="15" fillId="11" borderId="66" xfId="22" applyNumberFormat="1" applyFont="1" applyFill="1" applyBorder="1" applyAlignment="1">
      <alignment horizontal="center" vertical="center"/>
    </xf>
    <xf numFmtId="173" fontId="15" fillId="0" borderId="129" xfId="0" applyNumberFormat="1" applyFont="1" applyBorder="1" applyAlignment="1" applyProtection="1">
      <alignment horizontal="left" vertical="center"/>
      <protection locked="0"/>
    </xf>
    <xf numFmtId="166" fontId="173" fillId="8" borderId="91" xfId="2" applyNumberFormat="1" applyFont="1" applyFill="1" applyBorder="1" applyAlignment="1">
      <alignment horizontal="center" vertical="center"/>
    </xf>
    <xf numFmtId="0" fontId="173" fillId="8" borderId="156" xfId="0" applyFont="1" applyFill="1" applyBorder="1" applyAlignment="1">
      <alignment horizontal="center" vertical="center"/>
    </xf>
    <xf numFmtId="5" fontId="15" fillId="0" borderId="147" xfId="22" applyNumberFormat="1" applyFont="1" applyBorder="1" applyAlignment="1">
      <alignment vertical="center"/>
    </xf>
    <xf numFmtId="5" fontId="15" fillId="0" borderId="9" xfId="22" applyNumberFormat="1" applyFont="1" applyBorder="1" applyAlignment="1">
      <alignment vertical="center"/>
    </xf>
    <xf numFmtId="260" fontId="15" fillId="0" borderId="121" xfId="0" applyNumberFormat="1" applyFont="1" applyBorder="1" applyAlignment="1">
      <alignment horizontal="left" vertical="center"/>
    </xf>
    <xf numFmtId="5" fontId="23" fillId="0" borderId="115" xfId="22" applyNumberFormat="1" applyFont="1" applyBorder="1" applyAlignment="1">
      <alignment horizontal="center" vertical="center"/>
    </xf>
    <xf numFmtId="5" fontId="23" fillId="0" borderId="114" xfId="22" applyNumberFormat="1" applyFont="1" applyBorder="1" applyAlignment="1">
      <alignment horizontal="center" vertical="center"/>
    </xf>
    <xf numFmtId="5" fontId="23" fillId="0" borderId="117" xfId="22" applyNumberFormat="1" applyFont="1" applyBorder="1" applyAlignment="1">
      <alignment horizontal="center" vertical="center"/>
    </xf>
    <xf numFmtId="260" fontId="23" fillId="0" borderId="113" xfId="0" applyNumberFormat="1" applyFont="1" applyBorder="1" applyAlignment="1">
      <alignment horizontal="left" vertical="center"/>
    </xf>
    <xf numFmtId="7" fontId="15" fillId="0" borderId="114" xfId="22" applyNumberFormat="1" applyFont="1" applyBorder="1" applyAlignment="1">
      <alignment horizontal="center" vertical="center"/>
    </xf>
    <xf numFmtId="0" fontId="15" fillId="0" borderId="68" xfId="0" applyFont="1" applyBorder="1" applyAlignment="1">
      <alignment vertical="center"/>
    </xf>
    <xf numFmtId="5" fontId="23" fillId="0" borderId="126" xfId="22" applyNumberFormat="1" applyFont="1" applyBorder="1" applyAlignment="1">
      <alignment vertical="center"/>
    </xf>
    <xf numFmtId="5" fontId="23" fillId="0" borderId="127" xfId="22" applyNumberFormat="1" applyFont="1" applyBorder="1" applyAlignment="1">
      <alignment horizontal="center" vertical="center"/>
    </xf>
    <xf numFmtId="174" fontId="177" fillId="0" borderId="68" xfId="0" applyNumberFormat="1" applyFont="1" applyBorder="1" applyAlignment="1">
      <alignment horizontal="left" vertical="center"/>
    </xf>
    <xf numFmtId="5" fontId="15" fillId="0" borderId="74" xfId="22" applyNumberFormat="1" applyFont="1" applyBorder="1" applyAlignment="1">
      <alignment horizontal="center" vertical="center"/>
    </xf>
    <xf numFmtId="5" fontId="23" fillId="3" borderId="90" xfId="22" applyNumberFormat="1" applyFont="1" applyFill="1" applyBorder="1" applyAlignment="1">
      <alignment horizontal="left" vertical="center"/>
    </xf>
    <xf numFmtId="5" fontId="23" fillId="3" borderId="59" xfId="22" applyNumberFormat="1" applyFont="1" applyFill="1" applyBorder="1" applyAlignment="1">
      <alignment horizontal="center" vertical="center"/>
    </xf>
    <xf numFmtId="5" fontId="23" fillId="3" borderId="61" xfId="22" applyNumberFormat="1" applyFont="1" applyFill="1" applyBorder="1" applyAlignment="1">
      <alignment horizontal="center" vertical="center"/>
    </xf>
    <xf numFmtId="0" fontId="173" fillId="8" borderId="77" xfId="0" applyFont="1" applyFill="1" applyBorder="1" applyAlignment="1">
      <alignment horizontal="left" vertical="center"/>
    </xf>
    <xf numFmtId="0" fontId="173" fillId="8" borderId="92" xfId="0" applyFont="1" applyFill="1" applyBorder="1" applyAlignment="1">
      <alignment horizontal="center" vertical="center"/>
    </xf>
    <xf numFmtId="0" fontId="173" fillId="8" borderId="78" xfId="0" applyFont="1" applyFill="1" applyBorder="1" applyAlignment="1">
      <alignment horizontal="center" vertical="center"/>
    </xf>
    <xf numFmtId="5" fontId="176" fillId="0" borderId="66" xfId="0" applyNumberFormat="1" applyFont="1" applyBorder="1" applyAlignment="1">
      <alignment horizontal="center" vertical="center"/>
    </xf>
    <xf numFmtId="5" fontId="176" fillId="0" borderId="3" xfId="0" applyNumberFormat="1" applyFont="1" applyBorder="1" applyAlignment="1">
      <alignment horizontal="center" vertical="center"/>
    </xf>
    <xf numFmtId="0" fontId="176" fillId="30" borderId="157" xfId="0" applyFont="1" applyFill="1" applyBorder="1" applyAlignment="1">
      <alignment vertical="center"/>
    </xf>
    <xf numFmtId="166" fontId="176" fillId="30" borderId="158" xfId="0" applyNumberFormat="1" applyFont="1" applyFill="1" applyBorder="1" applyAlignment="1">
      <alignment horizontal="center" vertical="center"/>
    </xf>
    <xf numFmtId="165" fontId="176" fillId="30" borderId="158" xfId="0" applyNumberFormat="1" applyFont="1" applyFill="1" applyBorder="1" applyAlignment="1">
      <alignment horizontal="center" vertical="center"/>
    </xf>
    <xf numFmtId="166" fontId="176" fillId="30" borderId="159" xfId="0" applyNumberFormat="1" applyFont="1" applyFill="1" applyBorder="1" applyAlignment="1">
      <alignment horizontal="center" vertical="center"/>
    </xf>
    <xf numFmtId="0" fontId="173" fillId="8" borderId="77" xfId="2" applyFont="1" applyFill="1" applyBorder="1" applyAlignment="1">
      <alignment vertical="center"/>
    </xf>
    <xf numFmtId="10" fontId="179" fillId="8" borderId="59" xfId="2" applyNumberFormat="1" applyFont="1" applyFill="1" applyBorder="1" applyAlignment="1">
      <alignment horizontal="center" vertical="center"/>
    </xf>
    <xf numFmtId="166" fontId="173" fillId="8" borderId="124" xfId="2" applyNumberFormat="1" applyFont="1" applyFill="1" applyBorder="1" applyAlignment="1">
      <alignment horizontal="center" vertical="center"/>
    </xf>
    <xf numFmtId="267" fontId="175" fillId="0" borderId="115" xfId="0" applyNumberFormat="1" applyFont="1" applyBorder="1" applyAlignment="1">
      <alignment horizontal="left" vertical="center"/>
    </xf>
    <xf numFmtId="0" fontId="178" fillId="8" borderId="59" xfId="2" applyFont="1" applyFill="1" applyBorder="1" applyAlignment="1">
      <alignment horizontal="center" vertical="center" wrapText="1"/>
    </xf>
    <xf numFmtId="0" fontId="172" fillId="0" borderId="165" xfId="0" applyFont="1" applyBorder="1" applyAlignment="1">
      <alignment vertical="center" wrapText="1"/>
    </xf>
    <xf numFmtId="5" fontId="172" fillId="0" borderId="147" xfId="22" applyNumberFormat="1" applyFont="1" applyFill="1" applyBorder="1" applyAlignment="1">
      <alignment horizontal="center" vertical="center"/>
    </xf>
    <xf numFmtId="273" fontId="23" fillId="3" borderId="123" xfId="0" applyNumberFormat="1" applyFont="1" applyFill="1" applyBorder="1" applyAlignment="1">
      <alignment horizontal="left"/>
    </xf>
    <xf numFmtId="175" fontId="173" fillId="6" borderId="156" xfId="0" applyNumberFormat="1" applyFont="1" applyFill="1" applyBorder="1" applyAlignment="1">
      <alignment horizontal="center"/>
    </xf>
    <xf numFmtId="5" fontId="23" fillId="0" borderId="0" xfId="0" applyNumberFormat="1" applyFont="1" applyAlignment="1">
      <alignment horizontal="center"/>
    </xf>
    <xf numFmtId="5" fontId="23" fillId="0" borderId="0" xfId="22" applyNumberFormat="1" applyFont="1" applyBorder="1" applyAlignment="1">
      <alignment horizontal="center"/>
    </xf>
    <xf numFmtId="0" fontId="23" fillId="0" borderId="0" xfId="0" applyFont="1" applyAlignment="1">
      <alignment horizontal="right"/>
    </xf>
    <xf numFmtId="5" fontId="23" fillId="0" borderId="91" xfId="22" applyNumberFormat="1" applyFont="1" applyBorder="1" applyAlignment="1">
      <alignment horizontal="center"/>
    </xf>
    <xf numFmtId="0" fontId="173" fillId="6" borderId="161" xfId="0" applyFont="1" applyFill="1" applyBorder="1"/>
    <xf numFmtId="0" fontId="15" fillId="0" borderId="63" xfId="0" applyFont="1" applyBorder="1"/>
    <xf numFmtId="173" fontId="15" fillId="0" borderId="121" xfId="0" applyNumberFormat="1" applyFont="1" applyBorder="1" applyAlignment="1" applyProtection="1">
      <alignment horizontal="left"/>
      <protection locked="0"/>
    </xf>
    <xf numFmtId="166" fontId="23" fillId="0" borderId="78" xfId="22" applyNumberFormat="1" applyFont="1" applyBorder="1" applyAlignment="1">
      <alignment horizontal="center"/>
    </xf>
    <xf numFmtId="0" fontId="23" fillId="0" borderId="86" xfId="0" applyFont="1" applyBorder="1"/>
    <xf numFmtId="0" fontId="172" fillId="0" borderId="121" xfId="0" applyFont="1" applyBorder="1" applyAlignment="1">
      <alignment horizontal="right"/>
    </xf>
    <xf numFmtId="37" fontId="15" fillId="0" borderId="117" xfId="22" applyNumberFormat="1" applyFont="1" applyBorder="1" applyAlignment="1">
      <alignment horizontal="center"/>
    </xf>
    <xf numFmtId="37" fontId="15" fillId="0" borderId="127" xfId="22" applyNumberFormat="1" applyFont="1" applyBorder="1" applyAlignment="1">
      <alignment horizontal="center"/>
    </xf>
    <xf numFmtId="37" fontId="15" fillId="0" borderId="3" xfId="22" applyNumberFormat="1" applyFont="1" applyBorder="1" applyAlignment="1">
      <alignment horizontal="center"/>
    </xf>
    <xf numFmtId="0" fontId="173" fillId="8" borderId="92" xfId="0" applyFont="1" applyFill="1" applyBorder="1" applyAlignment="1">
      <alignment horizontal="center" vertical="center" wrapText="1"/>
    </xf>
    <xf numFmtId="165" fontId="172" fillId="0" borderId="66" xfId="1360" applyNumberFormat="1" applyFont="1" applyFill="1" applyBorder="1" applyAlignment="1">
      <alignment horizontal="center"/>
    </xf>
    <xf numFmtId="164" fontId="15" fillId="0" borderId="175" xfId="22" applyNumberFormat="1" applyFont="1" applyFill="1" applyBorder="1" applyAlignment="1">
      <alignment horizontal="center"/>
    </xf>
    <xf numFmtId="175" fontId="173" fillId="8" borderId="176" xfId="0" applyNumberFormat="1" applyFont="1" applyFill="1" applyBorder="1" applyAlignment="1">
      <alignment horizontal="center"/>
    </xf>
    <xf numFmtId="175" fontId="173" fillId="8" borderId="177" xfId="0" applyNumberFormat="1" applyFont="1" applyFill="1" applyBorder="1" applyAlignment="1">
      <alignment horizontal="center"/>
    </xf>
    <xf numFmtId="167" fontId="186" fillId="0" borderId="179" xfId="1" applyNumberFormat="1" applyFont="1" applyBorder="1" applyAlignment="1">
      <alignment horizontal="center"/>
    </xf>
    <xf numFmtId="0" fontId="23" fillId="0" borderId="180" xfId="2" applyFont="1" applyBorder="1"/>
    <xf numFmtId="0" fontId="173" fillId="8" borderId="181" xfId="0" applyFont="1" applyFill="1" applyBorder="1" applyAlignment="1">
      <alignment horizontal="left"/>
    </xf>
    <xf numFmtId="0" fontId="173" fillId="8" borderId="182" xfId="0" applyFont="1" applyFill="1" applyBorder="1" applyAlignment="1">
      <alignment horizontal="center"/>
    </xf>
    <xf numFmtId="0" fontId="173" fillId="8" borderId="183" xfId="0" applyFont="1" applyFill="1" applyBorder="1" applyAlignment="1">
      <alignment horizontal="center"/>
    </xf>
    <xf numFmtId="0" fontId="172" fillId="0" borderId="121" xfId="0" applyFont="1" applyBorder="1" applyAlignment="1">
      <alignment horizontal="left"/>
    </xf>
    <xf numFmtId="0" fontId="23" fillId="0" borderId="90" xfId="0" applyFont="1" applyBorder="1"/>
    <xf numFmtId="3" fontId="23" fillId="0" borderId="59" xfId="0" applyNumberFormat="1" applyFont="1" applyBorder="1" applyAlignment="1">
      <alignment horizontal="center"/>
    </xf>
    <xf numFmtId="8" fontId="23" fillId="0" borderId="59" xfId="0" applyNumberFormat="1" applyFont="1" applyBorder="1" applyAlignment="1">
      <alignment horizontal="center"/>
    </xf>
    <xf numFmtId="3" fontId="173" fillId="8" borderId="98" xfId="0" applyNumberFormat="1" applyFont="1" applyFill="1" applyBorder="1" applyAlignment="1">
      <alignment horizontal="center"/>
    </xf>
    <xf numFmtId="0" fontId="173" fillId="8" borderId="176" xfId="0" applyFont="1" applyFill="1" applyBorder="1"/>
    <xf numFmtId="175" fontId="173" fillId="8" borderId="178" xfId="0" applyNumberFormat="1" applyFont="1" applyFill="1" applyBorder="1" applyAlignment="1">
      <alignment horizontal="center"/>
    </xf>
    <xf numFmtId="5" fontId="15" fillId="11" borderId="137" xfId="22" applyNumberFormat="1" applyFont="1" applyFill="1" applyBorder="1" applyAlignment="1">
      <alignment horizontal="center"/>
    </xf>
    <xf numFmtId="165" fontId="15" fillId="11" borderId="137" xfId="22" applyNumberFormat="1" applyFont="1" applyFill="1" applyBorder="1" applyAlignment="1">
      <alignment horizontal="center"/>
    </xf>
    <xf numFmtId="174" fontId="15" fillId="0" borderId="68" xfId="0" applyNumberFormat="1" applyFont="1" applyBorder="1" applyAlignment="1">
      <alignment horizontal="left"/>
    </xf>
    <xf numFmtId="175" fontId="173" fillId="32" borderId="177" xfId="0" applyNumberFormat="1" applyFont="1" applyFill="1" applyBorder="1" applyAlignment="1">
      <alignment horizontal="center"/>
    </xf>
    <xf numFmtId="0" fontId="173" fillId="32" borderId="178" xfId="0" applyFont="1" applyFill="1" applyBorder="1" applyAlignment="1">
      <alignment horizontal="center"/>
    </xf>
    <xf numFmtId="0" fontId="173" fillId="8" borderId="176" xfId="0" applyFont="1" applyFill="1" applyBorder="1" applyAlignment="1">
      <alignment horizontal="left"/>
    </xf>
    <xf numFmtId="0" fontId="173" fillId="8" borderId="177" xfId="0" applyFont="1" applyFill="1" applyBorder="1" applyAlignment="1">
      <alignment horizontal="center"/>
    </xf>
    <xf numFmtId="0" fontId="173" fillId="8" borderId="178" xfId="0" applyFont="1" applyFill="1" applyBorder="1" applyAlignment="1">
      <alignment horizontal="center"/>
    </xf>
    <xf numFmtId="0" fontId="176" fillId="30" borderId="176" xfId="0" applyFont="1" applyFill="1" applyBorder="1"/>
    <xf numFmtId="166" fontId="176" fillId="30" borderId="177" xfId="0" applyNumberFormat="1" applyFont="1" applyFill="1" applyBorder="1" applyAlignment="1">
      <alignment horizontal="center"/>
    </xf>
    <xf numFmtId="165" fontId="176" fillId="30" borderId="177" xfId="0" applyNumberFormat="1" applyFont="1" applyFill="1" applyBorder="1" applyAlignment="1">
      <alignment horizontal="center"/>
    </xf>
    <xf numFmtId="166" fontId="176" fillId="30" borderId="178" xfId="0" applyNumberFormat="1" applyFont="1" applyFill="1" applyBorder="1" applyAlignment="1">
      <alignment horizontal="center"/>
    </xf>
    <xf numFmtId="293" fontId="15" fillId="3" borderId="123" xfId="0" applyNumberFormat="1" applyFont="1" applyFill="1" applyBorder="1" applyAlignment="1">
      <alignment horizontal="left"/>
    </xf>
    <xf numFmtId="0" fontId="23" fillId="3" borderId="184" xfId="0" applyFont="1" applyFill="1" applyBorder="1"/>
    <xf numFmtId="167" fontId="23" fillId="3" borderId="185" xfId="1" applyNumberFormat="1" applyFont="1" applyFill="1" applyBorder="1" applyAlignment="1">
      <alignment horizontal="center"/>
    </xf>
    <xf numFmtId="273" fontId="15" fillId="3" borderId="123" xfId="0" applyNumberFormat="1" applyFont="1" applyFill="1" applyBorder="1" applyAlignment="1">
      <alignment horizontal="left"/>
    </xf>
    <xf numFmtId="5" fontId="23" fillId="0" borderId="59" xfId="0" applyNumberFormat="1" applyFont="1" applyBorder="1" applyAlignment="1">
      <alignment horizontal="center" vertical="center"/>
    </xf>
    <xf numFmtId="5" fontId="23" fillId="0" borderId="91" xfId="0" applyNumberFormat="1" applyFont="1" applyBorder="1" applyAlignment="1">
      <alignment horizontal="center" vertical="center"/>
    </xf>
    <xf numFmtId="175" fontId="173" fillId="6" borderId="178" xfId="0" applyNumberFormat="1" applyFont="1" applyFill="1" applyBorder="1" applyAlignment="1">
      <alignment horizontal="center"/>
    </xf>
    <xf numFmtId="175" fontId="173" fillId="6" borderId="183" xfId="0" applyNumberFormat="1" applyFont="1" applyFill="1" applyBorder="1" applyAlignment="1">
      <alignment horizontal="center"/>
    </xf>
    <xf numFmtId="0" fontId="176" fillId="0" borderId="121" xfId="0" applyFont="1" applyBorder="1" applyAlignment="1">
      <alignment horizontal="right" vertical="center"/>
    </xf>
    <xf numFmtId="181" fontId="15" fillId="0" borderId="125" xfId="0" applyNumberFormat="1" applyFont="1" applyBorder="1" applyAlignment="1">
      <alignment horizontal="right" vertical="center"/>
    </xf>
    <xf numFmtId="0" fontId="23" fillId="0" borderId="90" xfId="0" applyFont="1" applyBorder="1" applyAlignment="1">
      <alignment horizontal="right" vertical="center"/>
    </xf>
    <xf numFmtId="180" fontId="175" fillId="0" borderId="121" xfId="0" applyNumberFormat="1" applyFont="1" applyBorder="1" applyAlignment="1">
      <alignment horizontal="right" vertical="center"/>
    </xf>
    <xf numFmtId="173" fontId="172" fillId="0" borderId="129" xfId="0" applyNumberFormat="1" applyFont="1" applyBorder="1" applyAlignment="1" applyProtection="1">
      <alignment horizontal="left"/>
      <protection locked="0"/>
    </xf>
    <xf numFmtId="0" fontId="173" fillId="6" borderId="176" xfId="0" applyFont="1" applyFill="1" applyBorder="1"/>
    <xf numFmtId="0" fontId="176" fillId="0" borderId="187" xfId="0" applyFont="1" applyBorder="1" applyAlignment="1">
      <alignment horizontal="center"/>
    </xf>
    <xf numFmtId="0" fontId="15" fillId="0" borderId="186" xfId="0" applyFont="1" applyBorder="1"/>
    <xf numFmtId="37" fontId="15" fillId="0" borderId="188" xfId="22" applyNumberFormat="1" applyFont="1" applyBorder="1" applyAlignment="1">
      <alignment horizontal="center"/>
    </xf>
    <xf numFmtId="0" fontId="173" fillId="6" borderId="181" xfId="0" applyFont="1" applyFill="1" applyBorder="1"/>
    <xf numFmtId="0" fontId="173" fillId="6" borderId="183" xfId="0" applyFont="1" applyFill="1" applyBorder="1" applyAlignment="1">
      <alignment horizontal="center"/>
    </xf>
    <xf numFmtId="175" fontId="173" fillId="8" borderId="67" xfId="0" applyNumberFormat="1" applyFont="1" applyFill="1" applyBorder="1" applyAlignment="1">
      <alignment horizontal="center"/>
    </xf>
    <xf numFmtId="175" fontId="173" fillId="8" borderId="65" xfId="0" applyNumberFormat="1" applyFont="1" applyFill="1" applyBorder="1" applyAlignment="1">
      <alignment horizontal="center"/>
    </xf>
    <xf numFmtId="164" fontId="23" fillId="41" borderId="136" xfId="22" applyNumberFormat="1" applyFont="1" applyFill="1" applyBorder="1" applyAlignment="1">
      <alignment horizontal="center"/>
    </xf>
    <xf numFmtId="0" fontId="15" fillId="0" borderId="91" xfId="0" applyFont="1" applyBorder="1" applyAlignment="1">
      <alignment horizontal="center"/>
    </xf>
    <xf numFmtId="164" fontId="23" fillId="41" borderId="134" xfId="22" applyNumberFormat="1" applyFont="1" applyFill="1" applyBorder="1" applyAlignment="1">
      <alignment horizontal="center"/>
    </xf>
    <xf numFmtId="177" fontId="23" fillId="0" borderId="0" xfId="22" applyNumberFormat="1" applyFont="1" applyBorder="1" applyAlignment="1">
      <alignment horizontal="center" vertical="center"/>
    </xf>
    <xf numFmtId="3" fontId="15" fillId="0" borderId="126" xfId="14" applyNumberFormat="1" applyFont="1" applyBorder="1" applyAlignment="1">
      <alignment horizontal="center"/>
    </xf>
    <xf numFmtId="0" fontId="173" fillId="8" borderId="181" xfId="0" applyFont="1" applyFill="1" applyBorder="1"/>
    <xf numFmtId="175" fontId="173" fillId="8" borderId="183" xfId="0" applyNumberFormat="1" applyFont="1" applyFill="1" applyBorder="1" applyAlignment="1">
      <alignment horizontal="center"/>
    </xf>
    <xf numFmtId="0" fontId="23" fillId="0" borderId="3" xfId="2" applyFont="1" applyBorder="1" applyAlignment="1">
      <alignment horizontal="center"/>
    </xf>
    <xf numFmtId="5" fontId="15" fillId="0" borderId="13" xfId="22" applyNumberFormat="1" applyFont="1" applyBorder="1" applyAlignment="1"/>
    <xf numFmtId="5" fontId="172" fillId="0" borderId="137" xfId="22" applyNumberFormat="1" applyFont="1" applyFill="1" applyBorder="1" applyAlignment="1">
      <alignment horizontal="center"/>
    </xf>
    <xf numFmtId="3" fontId="173" fillId="6" borderId="178" xfId="0" applyNumberFormat="1" applyFont="1" applyFill="1" applyBorder="1" applyAlignment="1">
      <alignment horizontal="center"/>
    </xf>
    <xf numFmtId="0" fontId="172" fillId="0" borderId="63" xfId="0" applyFont="1" applyBorder="1" applyAlignment="1">
      <alignment horizontal="right"/>
    </xf>
    <xf numFmtId="6" fontId="172" fillId="0" borderId="66" xfId="0" applyNumberFormat="1" applyFont="1" applyBorder="1" applyAlignment="1">
      <alignment horizontal="center"/>
    </xf>
    <xf numFmtId="6" fontId="172" fillId="0" borderId="117" xfId="0" applyNumberFormat="1" applyFont="1" applyBorder="1" applyAlignment="1">
      <alignment horizontal="center"/>
    </xf>
    <xf numFmtId="0" fontId="172" fillId="0" borderId="0" xfId="0" applyFont="1" applyAlignment="1">
      <alignment horizontal="center"/>
    </xf>
    <xf numFmtId="175" fontId="173" fillId="8" borderId="186" xfId="0" applyNumberFormat="1" applyFont="1" applyFill="1" applyBorder="1" applyAlignment="1">
      <alignment horizontal="center"/>
    </xf>
    <xf numFmtId="175" fontId="173" fillId="8" borderId="189" xfId="0" applyNumberFormat="1" applyFont="1" applyFill="1" applyBorder="1" applyAlignment="1">
      <alignment horizontal="center"/>
    </xf>
    <xf numFmtId="167" fontId="186" fillId="0" borderId="190" xfId="1" applyNumberFormat="1" applyFont="1" applyBorder="1" applyAlignment="1">
      <alignment horizontal="center"/>
    </xf>
    <xf numFmtId="0" fontId="23" fillId="0" borderId="185" xfId="2" applyFont="1" applyBorder="1"/>
    <xf numFmtId="9" fontId="172" fillId="0" borderId="0" xfId="0" applyNumberFormat="1" applyFont="1" applyAlignment="1">
      <alignment horizontal="center"/>
    </xf>
    <xf numFmtId="286" fontId="175" fillId="0" borderId="64" xfId="0" applyNumberFormat="1" applyFont="1" applyBorder="1" applyAlignment="1">
      <alignment horizontal="left"/>
    </xf>
    <xf numFmtId="0" fontId="173" fillId="8" borderId="176" xfId="0" applyFont="1" applyFill="1" applyBorder="1" applyAlignment="1">
      <alignment vertical="center"/>
    </xf>
    <xf numFmtId="0" fontId="173" fillId="8" borderId="177" xfId="0" applyFont="1" applyFill="1" applyBorder="1" applyAlignment="1">
      <alignment horizontal="center" vertical="center" wrapText="1"/>
    </xf>
    <xf numFmtId="0" fontId="173" fillId="8" borderId="178" xfId="0" applyFont="1" applyFill="1" applyBorder="1" applyAlignment="1">
      <alignment horizontal="center" vertical="center" wrapText="1"/>
    </xf>
    <xf numFmtId="5" fontId="15" fillId="0" borderId="10" xfId="22" applyNumberFormat="1" applyFont="1" applyBorder="1" applyAlignment="1">
      <alignment horizontal="center"/>
    </xf>
    <xf numFmtId="5" fontId="15" fillId="0" borderId="136" xfId="22" applyNumberFormat="1" applyFont="1" applyBorder="1" applyAlignment="1">
      <alignment horizontal="center"/>
    </xf>
    <xf numFmtId="175" fontId="173" fillId="6" borderId="185" xfId="0" applyNumberFormat="1" applyFont="1" applyFill="1" applyBorder="1" applyAlignment="1">
      <alignment horizontal="center"/>
    </xf>
    <xf numFmtId="166" fontId="172" fillId="0" borderId="136" xfId="18" applyNumberFormat="1" applyFont="1" applyBorder="1" applyAlignment="1">
      <alignment horizontal="center"/>
    </xf>
    <xf numFmtId="166" fontId="172" fillId="0" borderId="104" xfId="0" applyNumberFormat="1" applyFont="1" applyBorder="1" applyAlignment="1">
      <alignment horizontal="center"/>
    </xf>
    <xf numFmtId="0" fontId="15" fillId="0" borderId="184" xfId="0" applyFont="1" applyBorder="1" applyAlignment="1">
      <alignment horizontal="right"/>
    </xf>
    <xf numFmtId="166" fontId="172" fillId="0" borderId="123" xfId="0" applyNumberFormat="1" applyFont="1" applyBorder="1" applyAlignment="1">
      <alignment horizontal="right"/>
    </xf>
    <xf numFmtId="173" fontId="15" fillId="0" borderId="125" xfId="0" applyNumberFormat="1" applyFont="1" applyBorder="1" applyAlignment="1" applyProtection="1">
      <alignment horizontal="left"/>
      <protection locked="0"/>
    </xf>
    <xf numFmtId="0" fontId="23" fillId="0" borderId="63" xfId="0" applyFont="1" applyBorder="1"/>
    <xf numFmtId="166" fontId="23" fillId="0" borderId="3" xfId="22" applyNumberFormat="1" applyFont="1" applyBorder="1" applyAlignment="1">
      <alignment horizontal="center"/>
    </xf>
    <xf numFmtId="0" fontId="0" fillId="0" borderId="0" xfId="0" applyAlignment="1">
      <alignment horizontal="center"/>
    </xf>
    <xf numFmtId="3" fontId="0" fillId="0" borderId="0" xfId="0" applyNumberFormat="1" applyAlignment="1">
      <alignment horizontal="center"/>
    </xf>
    <xf numFmtId="166" fontId="0" fillId="0" borderId="0" xfId="0" applyNumberFormat="1" applyAlignment="1">
      <alignment horizontal="center"/>
    </xf>
    <xf numFmtId="165" fontId="0" fillId="0" borderId="0" xfId="0" applyNumberFormat="1" applyAlignment="1">
      <alignment horizontal="center"/>
    </xf>
    <xf numFmtId="0" fontId="198" fillId="42" borderId="0" xfId="0" applyFont="1" applyFill="1"/>
    <xf numFmtId="0" fontId="198" fillId="42" borderId="0" xfId="0" applyFont="1" applyFill="1" applyAlignment="1">
      <alignment horizontal="center"/>
    </xf>
    <xf numFmtId="0" fontId="198" fillId="0" borderId="0" xfId="0" applyFont="1"/>
    <xf numFmtId="0" fontId="0" fillId="0" borderId="0" xfId="0" applyAlignment="1">
      <alignment horizontal="left"/>
    </xf>
    <xf numFmtId="165" fontId="15" fillId="0" borderId="0" xfId="0" applyNumberFormat="1" applyFont="1"/>
    <xf numFmtId="312" fontId="15" fillId="0" borderId="121" xfId="0" applyNumberFormat="1" applyFont="1" applyBorder="1" applyAlignment="1">
      <alignment horizontal="right"/>
    </xf>
    <xf numFmtId="313" fontId="15" fillId="0" borderId="129" xfId="0" applyNumberFormat="1" applyFont="1" applyBorder="1" applyAlignment="1" applyProtection="1">
      <alignment horizontal="left"/>
      <protection locked="0"/>
    </xf>
    <xf numFmtId="0" fontId="176" fillId="46" borderId="6" xfId="0" applyFont="1" applyFill="1" applyBorder="1" applyAlignment="1">
      <alignment horizontal="center"/>
    </xf>
    <xf numFmtId="0" fontId="197" fillId="46" borderId="15" xfId="0" applyFont="1" applyFill="1" applyBorder="1" applyAlignment="1">
      <alignment horizontal="left"/>
    </xf>
    <xf numFmtId="305" fontId="176" fillId="41" borderId="63" xfId="2" applyNumberFormat="1" applyFont="1" applyFill="1" applyBorder="1" applyAlignment="1">
      <alignment horizontal="left"/>
    </xf>
    <xf numFmtId="38" fontId="176" fillId="41" borderId="115" xfId="22" applyNumberFormat="1" applyFont="1" applyFill="1" applyBorder="1" applyAlignment="1">
      <alignment horizontal="center"/>
    </xf>
    <xf numFmtId="8" fontId="176" fillId="41" borderId="115" xfId="0" applyNumberFormat="1" applyFont="1" applyFill="1" applyBorder="1" applyAlignment="1">
      <alignment horizontal="center"/>
    </xf>
    <xf numFmtId="164" fontId="176" fillId="41" borderId="120" xfId="22" applyNumberFormat="1" applyFont="1" applyFill="1" applyBorder="1" applyAlignment="1">
      <alignment horizontal="center"/>
    </xf>
    <xf numFmtId="166" fontId="23" fillId="0" borderId="87" xfId="22" applyNumberFormat="1" applyFont="1" applyBorder="1" applyAlignment="1">
      <alignment horizontal="center" vertical="center"/>
    </xf>
    <xf numFmtId="302" fontId="15" fillId="0" borderId="63" xfId="2" applyNumberFormat="1" applyFont="1" applyBorder="1" applyAlignment="1">
      <alignment horizontal="left"/>
    </xf>
    <xf numFmtId="38" fontId="15" fillId="0" borderId="66" xfId="22" applyNumberFormat="1" applyFont="1" applyFill="1" applyBorder="1" applyAlignment="1">
      <alignment horizontal="center"/>
    </xf>
    <xf numFmtId="8" fontId="15" fillId="0" borderId="66" xfId="0" applyNumberFormat="1" applyFont="1" applyBorder="1" applyAlignment="1">
      <alignment horizontal="center"/>
    </xf>
    <xf numFmtId="0" fontId="23" fillId="0" borderId="179" xfId="2" applyFont="1" applyBorder="1"/>
    <xf numFmtId="0" fontId="172" fillId="0" borderId="178" xfId="0" applyFont="1" applyBorder="1"/>
    <xf numFmtId="0" fontId="176" fillId="46" borderId="0" xfId="0" applyFont="1" applyFill="1" applyAlignment="1">
      <alignment horizontal="center"/>
    </xf>
    <xf numFmtId="302" fontId="15" fillId="0" borderId="184" xfId="2" applyNumberFormat="1" applyFont="1" applyBorder="1" applyAlignment="1">
      <alignment horizontal="left"/>
    </xf>
    <xf numFmtId="38" fontId="15" fillId="0" borderId="190" xfId="22" applyNumberFormat="1" applyFont="1" applyFill="1" applyBorder="1" applyAlignment="1">
      <alignment horizontal="center"/>
    </xf>
    <xf numFmtId="8" fontId="15" fillId="0" borderId="190" xfId="0" applyNumberFormat="1" applyFont="1" applyBorder="1" applyAlignment="1">
      <alignment horizontal="center"/>
    </xf>
    <xf numFmtId="164" fontId="15" fillId="0" borderId="185" xfId="22" applyNumberFormat="1" applyFont="1" applyFill="1" applyBorder="1" applyAlignment="1">
      <alignment horizontal="center"/>
    </xf>
    <xf numFmtId="164" fontId="176" fillId="41" borderId="117" xfId="22" applyNumberFormat="1" applyFont="1" applyFill="1" applyBorder="1" applyAlignment="1">
      <alignment horizontal="center"/>
    </xf>
    <xf numFmtId="0" fontId="197" fillId="46" borderId="77" xfId="0" applyFont="1" applyFill="1" applyBorder="1" applyAlignment="1">
      <alignment horizontal="left"/>
    </xf>
    <xf numFmtId="0" fontId="176" fillId="46" borderId="92" xfId="0" applyFont="1" applyFill="1" applyBorder="1" applyAlignment="1">
      <alignment horizontal="center"/>
    </xf>
    <xf numFmtId="0" fontId="176" fillId="46" borderId="78" xfId="0" applyFont="1" applyFill="1" applyBorder="1" applyAlignment="1">
      <alignment horizontal="center"/>
    </xf>
    <xf numFmtId="164" fontId="15" fillId="0" borderId="3" xfId="22" applyNumberFormat="1" applyFont="1" applyFill="1" applyBorder="1" applyAlignment="1">
      <alignment horizontal="center"/>
    </xf>
    <xf numFmtId="205" fontId="15" fillId="0" borderId="0" xfId="0" applyNumberFormat="1" applyFont="1"/>
    <xf numFmtId="7" fontId="15" fillId="0" borderId="0" xfId="0" applyNumberFormat="1" applyFont="1"/>
    <xf numFmtId="3" fontId="15" fillId="0" borderId="185" xfId="0" applyNumberFormat="1" applyFont="1" applyBorder="1" applyAlignment="1">
      <alignment horizontal="center"/>
    </xf>
    <xf numFmtId="0" fontId="172" fillId="0" borderId="0" xfId="0" applyFont="1" applyAlignment="1">
      <alignment horizontal="left" vertical="top" wrapText="1"/>
    </xf>
    <xf numFmtId="3" fontId="173" fillId="8" borderId="182" xfId="0" applyNumberFormat="1" applyFont="1" applyFill="1" applyBorder="1" applyAlignment="1">
      <alignment horizontal="center"/>
    </xf>
    <xf numFmtId="3" fontId="186" fillId="0" borderId="114" xfId="0" applyNumberFormat="1" applyFont="1" applyBorder="1" applyAlignment="1">
      <alignment horizontal="center"/>
    </xf>
    <xf numFmtId="5" fontId="15" fillId="11" borderId="185" xfId="22" applyNumberFormat="1" applyFont="1" applyFill="1" applyBorder="1" applyAlignment="1">
      <alignment horizontal="center"/>
    </xf>
    <xf numFmtId="5" fontId="23" fillId="0" borderId="10" xfId="22" applyNumberFormat="1" applyFont="1" applyFill="1" applyBorder="1" applyAlignment="1">
      <alignment horizontal="center"/>
    </xf>
    <xf numFmtId="260" fontId="23" fillId="0" borderId="67" xfId="0" applyNumberFormat="1" applyFont="1" applyBorder="1" applyAlignment="1">
      <alignment horizontal="left"/>
    </xf>
    <xf numFmtId="166" fontId="173" fillId="8" borderId="171" xfId="2" applyNumberFormat="1" applyFont="1" applyFill="1" applyBorder="1" applyAlignment="1">
      <alignment horizontal="center"/>
    </xf>
    <xf numFmtId="314" fontId="175" fillId="0" borderId="115" xfId="0" applyNumberFormat="1" applyFont="1" applyBorder="1" applyAlignment="1">
      <alignment horizontal="left"/>
    </xf>
    <xf numFmtId="0" fontId="199" fillId="0" borderId="0" xfId="0" applyFont="1"/>
    <xf numFmtId="315" fontId="175" fillId="0" borderId="115" xfId="0" applyNumberFormat="1" applyFont="1" applyBorder="1" applyAlignment="1">
      <alignment horizontal="left"/>
    </xf>
    <xf numFmtId="9" fontId="172" fillId="0" borderId="0" xfId="1" applyFont="1"/>
    <xf numFmtId="167" fontId="172" fillId="0" borderId="0" xfId="1" applyNumberFormat="1" applyFont="1"/>
    <xf numFmtId="316" fontId="175" fillId="0" borderId="115" xfId="0" applyNumberFormat="1" applyFont="1" applyBorder="1" applyAlignment="1">
      <alignment horizontal="left"/>
    </xf>
    <xf numFmtId="317" fontId="175" fillId="0" borderId="115" xfId="0" applyNumberFormat="1" applyFont="1" applyBorder="1" applyAlignment="1">
      <alignment horizontal="left"/>
    </xf>
    <xf numFmtId="318" fontId="175" fillId="0" borderId="115" xfId="0" applyNumberFormat="1" applyFont="1" applyBorder="1" applyAlignment="1">
      <alignment horizontal="left"/>
    </xf>
    <xf numFmtId="319" fontId="175" fillId="0" borderId="115" xfId="0" applyNumberFormat="1" applyFont="1" applyBorder="1" applyAlignment="1">
      <alignment horizontal="left"/>
    </xf>
    <xf numFmtId="224" fontId="172" fillId="0" borderId="0" xfId="0" applyNumberFormat="1" applyFont="1"/>
    <xf numFmtId="321" fontId="175" fillId="0" borderId="115" xfId="0" applyNumberFormat="1" applyFont="1" applyBorder="1" applyAlignment="1">
      <alignment horizontal="left"/>
    </xf>
    <xf numFmtId="271" fontId="175" fillId="0" borderId="126" xfId="1" applyNumberFormat="1" applyFont="1" applyFill="1" applyBorder="1" applyAlignment="1">
      <alignment horizontal="left"/>
    </xf>
    <xf numFmtId="271" fontId="175" fillId="0" borderId="126" xfId="0" applyNumberFormat="1" applyFont="1" applyBorder="1" applyAlignment="1">
      <alignment horizontal="left"/>
    </xf>
    <xf numFmtId="8" fontId="15" fillId="0" borderId="15" xfId="0" applyNumberFormat="1" applyFont="1" applyBorder="1" applyAlignment="1">
      <alignment vertical="top" wrapText="1"/>
    </xf>
    <xf numFmtId="8" fontId="15" fillId="0" borderId="0" xfId="0" applyNumberFormat="1" applyFont="1" applyAlignment="1">
      <alignment vertical="top" wrapText="1"/>
    </xf>
    <xf numFmtId="300" fontId="175" fillId="0" borderId="66" xfId="0" applyNumberFormat="1" applyFont="1" applyBorder="1" applyAlignment="1">
      <alignment horizontal="left"/>
    </xf>
    <xf numFmtId="179" fontId="23" fillId="0" borderId="195" xfId="22" applyNumberFormat="1" applyFont="1" applyBorder="1" applyAlignment="1">
      <alignment horizontal="center"/>
    </xf>
    <xf numFmtId="6" fontId="176" fillId="41" borderId="112" xfId="0" applyNumberFormat="1" applyFont="1" applyFill="1" applyBorder="1" applyAlignment="1">
      <alignment horizontal="center"/>
    </xf>
    <xf numFmtId="176" fontId="23" fillId="0" borderId="170" xfId="22" applyNumberFormat="1" applyFont="1" applyBorder="1" applyAlignment="1">
      <alignment horizontal="center" vertical="center"/>
    </xf>
    <xf numFmtId="176" fontId="23" fillId="0" borderId="126" xfId="22" applyNumberFormat="1" applyFont="1" applyBorder="1" applyAlignment="1">
      <alignment horizontal="center" vertical="center"/>
    </xf>
    <xf numFmtId="0" fontId="15" fillId="0" borderId="126" xfId="0" applyFont="1" applyBorder="1" applyAlignment="1">
      <alignment horizontal="center"/>
    </xf>
    <xf numFmtId="6" fontId="176" fillId="0" borderId="126" xfId="0" applyNumberFormat="1" applyFont="1" applyBorder="1" applyAlignment="1">
      <alignment horizontal="center"/>
    </xf>
    <xf numFmtId="0" fontId="197" fillId="46" borderId="181" xfId="0" applyFont="1" applyFill="1" applyBorder="1" applyAlignment="1">
      <alignment horizontal="left"/>
    </xf>
    <xf numFmtId="0" fontId="176" fillId="46" borderId="182" xfId="0" applyFont="1" applyFill="1" applyBorder="1" applyAlignment="1">
      <alignment horizontal="center"/>
    </xf>
    <xf numFmtId="0" fontId="176" fillId="46" borderId="183" xfId="0" applyFont="1" applyFill="1" applyBorder="1" applyAlignment="1">
      <alignment horizontal="center"/>
    </xf>
    <xf numFmtId="305" fontId="176" fillId="41" borderId="113" xfId="2" applyNumberFormat="1" applyFont="1" applyFill="1" applyBorder="1" applyAlignment="1">
      <alignment horizontal="left"/>
    </xf>
    <xf numFmtId="6" fontId="176" fillId="41" borderId="136" xfId="22" applyNumberFormat="1" applyFont="1" applyFill="1" applyBorder="1" applyAlignment="1">
      <alignment horizontal="center"/>
    </xf>
    <xf numFmtId="6" fontId="176" fillId="46" borderId="6" xfId="0" applyNumberFormat="1" applyFont="1" applyFill="1" applyBorder="1" applyAlignment="1">
      <alignment horizontal="center"/>
    </xf>
    <xf numFmtId="164" fontId="176" fillId="41" borderId="136" xfId="22" applyNumberFormat="1" applyFont="1" applyFill="1" applyBorder="1" applyAlignment="1">
      <alignment horizontal="center"/>
    </xf>
    <xf numFmtId="6" fontId="23" fillId="0" borderId="59" xfId="0" applyNumberFormat="1" applyFont="1" applyBorder="1" applyAlignment="1">
      <alignment horizontal="center"/>
    </xf>
    <xf numFmtId="5" fontId="15" fillId="0" borderId="3" xfId="22" applyNumberFormat="1" applyFont="1" applyFill="1" applyBorder="1" applyAlignment="1">
      <alignment horizontal="center" vertical="center"/>
    </xf>
    <xf numFmtId="205" fontId="172" fillId="0" borderId="0" xfId="0" applyNumberFormat="1" applyFont="1"/>
    <xf numFmtId="3" fontId="173" fillId="8" borderId="183" xfId="0" applyNumberFormat="1" applyFont="1" applyFill="1" applyBorder="1" applyAlignment="1">
      <alignment horizontal="center"/>
    </xf>
    <xf numFmtId="3" fontId="15" fillId="0" borderId="168" xfId="0" applyNumberFormat="1" applyFont="1" applyBorder="1" applyAlignment="1">
      <alignment horizontal="center"/>
    </xf>
    <xf numFmtId="3" fontId="0" fillId="9" borderId="0" xfId="0" applyNumberFormat="1" applyFill="1" applyAlignment="1">
      <alignment horizontal="center"/>
    </xf>
    <xf numFmtId="0" fontId="0" fillId="44" borderId="110" xfId="0" applyFill="1" applyBorder="1" applyAlignment="1">
      <alignment horizontal="center"/>
    </xf>
    <xf numFmtId="3" fontId="0" fillId="44" borderId="9" xfId="0" applyNumberFormat="1" applyFill="1" applyBorder="1" applyAlignment="1">
      <alignment horizontal="center"/>
    </xf>
    <xf numFmtId="0" fontId="0" fillId="44" borderId="2" xfId="0" applyFill="1" applyBorder="1" applyAlignment="1">
      <alignment horizontal="center"/>
    </xf>
    <xf numFmtId="0" fontId="0" fillId="44" borderId="64" xfId="0" applyFill="1" applyBorder="1" applyAlignment="1">
      <alignment horizontal="center"/>
    </xf>
    <xf numFmtId="3" fontId="0" fillId="44" borderId="65" xfId="0" applyNumberFormat="1" applyFill="1" applyBorder="1" applyAlignment="1">
      <alignment horizontal="center"/>
    </xf>
    <xf numFmtId="0" fontId="0" fillId="44" borderId="8" xfId="0" applyFill="1" applyBorder="1" applyAlignment="1">
      <alignment horizontal="center"/>
    </xf>
    <xf numFmtId="3" fontId="0" fillId="44" borderId="0" xfId="0" applyNumberFormat="1" applyFill="1" applyAlignment="1">
      <alignment horizontal="center"/>
    </xf>
    <xf numFmtId="0" fontId="0" fillId="44" borderId="57" xfId="0" applyFill="1" applyBorder="1" applyAlignment="1">
      <alignment horizontal="center"/>
    </xf>
    <xf numFmtId="0" fontId="0" fillId="44" borderId="167" xfId="0" applyFill="1" applyBorder="1" applyAlignment="1">
      <alignment horizontal="center"/>
    </xf>
    <xf numFmtId="0" fontId="0" fillId="44" borderId="65" xfId="0" applyFill="1" applyBorder="1" applyAlignment="1">
      <alignment horizontal="center"/>
    </xf>
    <xf numFmtId="0" fontId="0" fillId="45" borderId="0" xfId="0" applyFill="1" applyAlignment="1">
      <alignment horizontal="center"/>
    </xf>
    <xf numFmtId="3" fontId="0" fillId="45" borderId="0" xfId="0" applyNumberFormat="1" applyFill="1" applyAlignment="1">
      <alignment horizontal="center"/>
    </xf>
    <xf numFmtId="3" fontId="173" fillId="8" borderId="183" xfId="0" applyNumberFormat="1" applyFont="1" applyFill="1" applyBorder="1"/>
    <xf numFmtId="0" fontId="23" fillId="0" borderId="68" xfId="0" applyFont="1" applyBorder="1"/>
    <xf numFmtId="322" fontId="175" fillId="0" borderId="115" xfId="0" applyNumberFormat="1" applyFont="1" applyBorder="1" applyAlignment="1">
      <alignment horizontal="left"/>
    </xf>
    <xf numFmtId="3" fontId="186" fillId="0" borderId="136" xfId="0" applyNumberFormat="1" applyFont="1" applyBorder="1" applyAlignment="1">
      <alignment horizontal="center"/>
    </xf>
    <xf numFmtId="3" fontId="186" fillId="0" borderId="134" xfId="0" applyNumberFormat="1" applyFont="1" applyBorder="1" applyAlignment="1">
      <alignment horizontal="center"/>
    </xf>
    <xf numFmtId="3" fontId="15" fillId="0" borderId="196" xfId="0" applyNumberFormat="1" applyFont="1" applyBorder="1" applyAlignment="1">
      <alignment horizontal="center"/>
    </xf>
    <xf numFmtId="3" fontId="15" fillId="0" borderId="134" xfId="0" applyNumberFormat="1" applyFont="1" applyBorder="1" applyAlignment="1">
      <alignment horizontal="center"/>
    </xf>
    <xf numFmtId="3" fontId="0" fillId="45" borderId="9" xfId="0" applyNumberFormat="1" applyFill="1" applyBorder="1" applyAlignment="1">
      <alignment horizontal="center"/>
    </xf>
    <xf numFmtId="0" fontId="0" fillId="45" borderId="65" xfId="0" applyFill="1" applyBorder="1" applyAlignment="1">
      <alignment horizontal="center"/>
    </xf>
    <xf numFmtId="3" fontId="0" fillId="45" borderId="65" xfId="0" applyNumberFormat="1" applyFill="1" applyBorder="1" applyAlignment="1">
      <alignment horizontal="center"/>
    </xf>
    <xf numFmtId="3" fontId="0" fillId="9" borderId="112" xfId="0" applyNumberFormat="1" applyFill="1" applyBorder="1" applyAlignment="1">
      <alignment horizontal="center"/>
    </xf>
    <xf numFmtId="0" fontId="0" fillId="45" borderId="110" xfId="0" applyFill="1" applyBorder="1" applyAlignment="1">
      <alignment horizontal="center"/>
    </xf>
    <xf numFmtId="0" fontId="0" fillId="45" borderId="2" xfId="0" applyFill="1" applyBorder="1" applyAlignment="1">
      <alignment horizontal="center"/>
    </xf>
    <xf numFmtId="0" fontId="0" fillId="45" borderId="64" xfId="0" applyFill="1" applyBorder="1" applyAlignment="1">
      <alignment horizontal="center"/>
    </xf>
    <xf numFmtId="0" fontId="0" fillId="45" borderId="8" xfId="0" applyFill="1" applyBorder="1" applyAlignment="1">
      <alignment horizontal="center"/>
    </xf>
    <xf numFmtId="0" fontId="0" fillId="45" borderId="57" xfId="0" applyFill="1" applyBorder="1" applyAlignment="1">
      <alignment horizontal="center"/>
    </xf>
    <xf numFmtId="0" fontId="0" fillId="45" borderId="167" xfId="0" applyFill="1" applyBorder="1" applyAlignment="1">
      <alignment horizontal="center"/>
    </xf>
    <xf numFmtId="0" fontId="0" fillId="0" borderId="65" xfId="0" applyBorder="1"/>
    <xf numFmtId="0" fontId="0" fillId="0" borderId="65" xfId="0" applyBorder="1" applyAlignment="1">
      <alignment horizontal="center"/>
    </xf>
    <xf numFmtId="3" fontId="0" fillId="0" borderId="65" xfId="0" applyNumberFormat="1" applyBorder="1" applyAlignment="1">
      <alignment horizontal="center"/>
    </xf>
    <xf numFmtId="166" fontId="0" fillId="0" borderId="65" xfId="0" applyNumberFormat="1" applyBorder="1" applyAlignment="1">
      <alignment horizontal="center"/>
    </xf>
    <xf numFmtId="165" fontId="0" fillId="0" borderId="65" xfId="0" applyNumberFormat="1" applyBorder="1" applyAlignment="1">
      <alignment horizontal="center"/>
    </xf>
    <xf numFmtId="0" fontId="198" fillId="42" borderId="65" xfId="0" applyFont="1" applyFill="1" applyBorder="1" applyAlignment="1">
      <alignment horizontal="center"/>
    </xf>
    <xf numFmtId="0" fontId="198" fillId="42" borderId="65" xfId="0" applyFont="1" applyFill="1" applyBorder="1"/>
    <xf numFmtId="17" fontId="0" fillId="0" borderId="0" xfId="0" applyNumberFormat="1" applyAlignment="1">
      <alignment horizontal="center"/>
    </xf>
    <xf numFmtId="0" fontId="198" fillId="45" borderId="112" xfId="0" applyFont="1" applyFill="1" applyBorder="1" applyAlignment="1">
      <alignment horizontal="center"/>
    </xf>
    <xf numFmtId="0" fontId="0" fillId="45" borderId="116" xfId="0" applyFill="1" applyBorder="1" applyAlignment="1">
      <alignment horizontal="center"/>
    </xf>
    <xf numFmtId="0" fontId="198" fillId="9" borderId="112" xfId="0" applyFont="1" applyFill="1" applyBorder="1" applyAlignment="1">
      <alignment horizontal="center"/>
    </xf>
    <xf numFmtId="0" fontId="198" fillId="9" borderId="116" xfId="0" applyFont="1" applyFill="1" applyBorder="1" applyAlignment="1">
      <alignment horizontal="center"/>
    </xf>
    <xf numFmtId="0" fontId="0" fillId="9" borderId="57" xfId="0" applyFill="1" applyBorder="1" applyAlignment="1">
      <alignment horizontal="center"/>
    </xf>
    <xf numFmtId="0" fontId="0" fillId="9" borderId="167" xfId="0" applyFill="1" applyBorder="1" applyAlignment="1">
      <alignment horizontal="center"/>
    </xf>
    <xf numFmtId="0" fontId="0" fillId="9" borderId="64" xfId="0" applyFill="1" applyBorder="1" applyAlignment="1">
      <alignment horizontal="center"/>
    </xf>
    <xf numFmtId="0" fontId="0" fillId="9" borderId="65" xfId="0" applyFill="1" applyBorder="1" applyAlignment="1">
      <alignment horizontal="center"/>
    </xf>
    <xf numFmtId="0" fontId="0" fillId="9" borderId="8" xfId="0" applyFill="1" applyBorder="1" applyAlignment="1">
      <alignment horizontal="center"/>
    </xf>
    <xf numFmtId="0" fontId="0" fillId="9" borderId="0" xfId="0" applyFill="1" applyAlignment="1">
      <alignment horizontal="center"/>
    </xf>
    <xf numFmtId="0" fontId="0" fillId="9" borderId="116" xfId="0" applyFill="1" applyBorder="1" applyAlignment="1">
      <alignment horizontal="center"/>
    </xf>
    <xf numFmtId="0" fontId="0" fillId="9" borderId="114" xfId="0" applyFill="1" applyBorder="1" applyAlignment="1">
      <alignment horizontal="center"/>
    </xf>
    <xf numFmtId="0" fontId="198" fillId="45" borderId="110" xfId="0" applyFont="1" applyFill="1" applyBorder="1" applyAlignment="1">
      <alignment horizontal="left"/>
    </xf>
    <xf numFmtId="0" fontId="198" fillId="45" borderId="9" xfId="0" applyFont="1" applyFill="1" applyBorder="1" applyAlignment="1">
      <alignment horizontal="left"/>
    </xf>
    <xf numFmtId="0" fontId="0" fillId="45" borderId="2" xfId="0" applyFill="1" applyBorder="1" applyAlignment="1">
      <alignment horizontal="left"/>
    </xf>
    <xf numFmtId="0" fontId="198" fillId="45" borderId="114" xfId="0" applyFont="1" applyFill="1" applyBorder="1" applyAlignment="1">
      <alignment horizontal="left"/>
    </xf>
    <xf numFmtId="0" fontId="198" fillId="44" borderId="114" xfId="0" applyFont="1" applyFill="1" applyBorder="1" applyAlignment="1">
      <alignment horizontal="left"/>
    </xf>
    <xf numFmtId="0" fontId="198" fillId="44" borderId="112" xfId="0" applyFont="1" applyFill="1" applyBorder="1" applyAlignment="1">
      <alignment horizontal="left"/>
    </xf>
    <xf numFmtId="0" fontId="198" fillId="44" borderId="116" xfId="0" applyFont="1" applyFill="1" applyBorder="1" applyAlignment="1">
      <alignment horizontal="left"/>
    </xf>
    <xf numFmtId="0" fontId="198" fillId="9" borderId="114" xfId="0" applyFont="1" applyFill="1" applyBorder="1" applyAlignment="1">
      <alignment horizontal="left"/>
    </xf>
    <xf numFmtId="8" fontId="23" fillId="0" borderId="126" xfId="0" applyNumberFormat="1" applyFont="1" applyBorder="1" applyAlignment="1">
      <alignment horizontal="center"/>
    </xf>
    <xf numFmtId="3" fontId="171" fillId="0" borderId="147" xfId="0" applyNumberFormat="1" applyFont="1" applyBorder="1" applyAlignment="1">
      <alignment horizontal="center" vertical="center" wrapText="1"/>
    </xf>
    <xf numFmtId="3" fontId="171" fillId="0" borderId="149" xfId="0" applyNumberFormat="1" applyFont="1" applyBorder="1" applyAlignment="1">
      <alignment horizontal="center" vertical="center" wrapText="1"/>
    </xf>
    <xf numFmtId="9" fontId="170" fillId="0" borderId="0" xfId="1" applyFont="1"/>
    <xf numFmtId="0" fontId="23" fillId="0" borderId="63" xfId="0" applyFont="1" applyBorder="1" applyAlignment="1">
      <alignment horizontal="right" vertical="center" wrapText="1"/>
    </xf>
    <xf numFmtId="0" fontId="172" fillId="0" borderId="66" xfId="0" applyFont="1" applyBorder="1" applyAlignment="1">
      <alignment horizontal="center" vertical="center" wrapText="1"/>
    </xf>
    <xf numFmtId="0" fontId="172" fillId="0" borderId="3" xfId="0" applyFont="1" applyBorder="1" applyAlignment="1">
      <alignment horizontal="center" vertical="center" wrapText="1"/>
    </xf>
    <xf numFmtId="0" fontId="23" fillId="0" borderId="121" xfId="0" applyFont="1" applyBorder="1" applyAlignment="1">
      <alignment horizontal="right" vertical="center" wrapText="1"/>
    </xf>
    <xf numFmtId="6" fontId="172" fillId="0" borderId="115" xfId="0" applyNumberFormat="1" applyFont="1" applyBorder="1" applyAlignment="1">
      <alignment horizontal="center" vertical="center" wrapText="1"/>
    </xf>
    <xf numFmtId="6" fontId="172" fillId="0" borderId="117" xfId="0" applyNumberFormat="1" applyFont="1" applyBorder="1" applyAlignment="1">
      <alignment horizontal="center" vertical="center" wrapText="1"/>
    </xf>
    <xf numFmtId="0" fontId="23" fillId="0" borderId="113" xfId="0" applyFont="1" applyBorder="1" applyAlignment="1">
      <alignment horizontal="center" vertical="center" wrapText="1"/>
    </xf>
    <xf numFmtId="0" fontId="23" fillId="0" borderId="112" xfId="0" applyFont="1" applyBorder="1" applyAlignment="1">
      <alignment horizontal="center" vertical="center" wrapText="1"/>
    </xf>
    <xf numFmtId="0" fontId="23" fillId="0" borderId="136" xfId="0" applyFont="1" applyBorder="1" applyAlignment="1">
      <alignment horizontal="center" vertical="center" wrapText="1"/>
    </xf>
    <xf numFmtId="0" fontId="23" fillId="47" borderId="121" xfId="0" applyFont="1" applyFill="1" applyBorder="1" applyAlignment="1">
      <alignment vertical="center" wrapText="1"/>
    </xf>
    <xf numFmtId="0" fontId="15" fillId="0" borderId="121" xfId="0" applyFont="1" applyBorder="1" applyAlignment="1">
      <alignment vertical="center" wrapText="1"/>
    </xf>
    <xf numFmtId="0" fontId="15" fillId="0" borderId="125" xfId="0" applyFont="1" applyBorder="1" applyAlignment="1">
      <alignment vertical="center" wrapText="1"/>
    </xf>
    <xf numFmtId="6" fontId="172" fillId="0" borderId="126" xfId="0" applyNumberFormat="1" applyFont="1" applyBorder="1" applyAlignment="1">
      <alignment horizontal="center" vertical="center" wrapText="1"/>
    </xf>
    <xf numFmtId="6" fontId="172" fillId="0" borderId="127" xfId="0" applyNumberFormat="1" applyFont="1" applyBorder="1" applyAlignment="1">
      <alignment horizontal="center" vertical="center" wrapText="1"/>
    </xf>
    <xf numFmtId="0" fontId="172" fillId="0" borderId="63" xfId="0" applyFont="1" applyBorder="1" applyAlignment="1">
      <alignment vertical="center" wrapText="1"/>
    </xf>
    <xf numFmtId="6" fontId="172" fillId="0" borderId="66" xfId="0" applyNumberFormat="1" applyFont="1" applyBorder="1" applyAlignment="1">
      <alignment horizontal="center" vertical="center" wrapText="1"/>
    </xf>
    <xf numFmtId="6" fontId="172" fillId="0" borderId="3" xfId="0" applyNumberFormat="1" applyFont="1" applyBorder="1" applyAlignment="1">
      <alignment horizontal="center" vertical="center" wrapText="1"/>
    </xf>
    <xf numFmtId="0" fontId="23" fillId="48" borderId="121" xfId="0" applyFont="1" applyFill="1" applyBorder="1" applyAlignment="1">
      <alignment vertical="center" wrapText="1"/>
    </xf>
    <xf numFmtId="6" fontId="23" fillId="48" borderId="115" xfId="0" applyNumberFormat="1" applyFont="1" applyFill="1" applyBorder="1" applyAlignment="1">
      <alignment horizontal="center" vertical="center" wrapText="1"/>
    </xf>
    <xf numFmtId="6" fontId="23" fillId="48" borderId="117" xfId="0" applyNumberFormat="1" applyFont="1" applyFill="1" applyBorder="1" applyAlignment="1">
      <alignment horizontal="center" vertical="center" wrapText="1"/>
    </xf>
    <xf numFmtId="0" fontId="23" fillId="0" borderId="121" xfId="0" applyFont="1" applyBorder="1" applyAlignment="1">
      <alignment vertical="center" wrapText="1"/>
    </xf>
    <xf numFmtId="6" fontId="172" fillId="47" borderId="115" xfId="0" applyNumberFormat="1" applyFont="1" applyFill="1" applyBorder="1" applyAlignment="1">
      <alignment horizontal="center" vertical="center" wrapText="1"/>
    </xf>
    <xf numFmtId="6" fontId="172" fillId="47" borderId="117" xfId="0" applyNumberFormat="1" applyFont="1" applyFill="1" applyBorder="1" applyAlignment="1">
      <alignment horizontal="center" vertical="center" wrapText="1"/>
    </xf>
    <xf numFmtId="0" fontId="15" fillId="0" borderId="68" xfId="0" applyFont="1" applyBorder="1" applyAlignment="1">
      <alignment vertical="center" wrapText="1"/>
    </xf>
    <xf numFmtId="6" fontId="172" fillId="0" borderId="195" xfId="0" applyNumberFormat="1" applyFont="1" applyBorder="1" applyAlignment="1">
      <alignment horizontal="center" vertical="center" wrapText="1"/>
    </xf>
    <xf numFmtId="6" fontId="172" fillId="0" borderId="169" xfId="0" applyNumberFormat="1" applyFont="1" applyBorder="1" applyAlignment="1">
      <alignment horizontal="center" vertical="center" wrapText="1"/>
    </xf>
    <xf numFmtId="0" fontId="23" fillId="48" borderId="123" xfId="0" applyFont="1" applyFill="1" applyBorder="1" applyAlignment="1">
      <alignment vertical="center" wrapText="1"/>
    </xf>
    <xf numFmtId="6" fontId="23" fillId="48" borderId="122" xfId="0" applyNumberFormat="1" applyFont="1" applyFill="1" applyBorder="1" applyAlignment="1">
      <alignment horizontal="center" vertical="center" wrapText="1"/>
    </xf>
    <xf numFmtId="6" fontId="23" fillId="48" borderId="124" xfId="0" applyNumberFormat="1" applyFont="1" applyFill="1" applyBorder="1" applyAlignment="1">
      <alignment horizontal="center" vertical="center" wrapText="1"/>
    </xf>
    <xf numFmtId="0" fontId="23" fillId="47" borderId="63" xfId="0" applyFont="1" applyFill="1" applyBorder="1" applyAlignment="1">
      <alignment horizontal="left" vertical="center" wrapText="1"/>
    </xf>
    <xf numFmtId="0" fontId="176" fillId="47" borderId="66" xfId="0" applyFont="1" applyFill="1" applyBorder="1" applyAlignment="1">
      <alignment horizontal="center" vertical="center" wrapText="1"/>
    </xf>
    <xf numFmtId="0" fontId="176" fillId="47" borderId="3" xfId="0" applyFont="1" applyFill="1" applyBorder="1" applyAlignment="1">
      <alignment horizontal="center" vertical="center" wrapText="1"/>
    </xf>
    <xf numFmtId="0" fontId="23" fillId="0" borderId="123" xfId="0" applyFont="1" applyBorder="1" applyAlignment="1">
      <alignment vertical="center" wrapText="1"/>
    </xf>
    <xf numFmtId="6" fontId="172" fillId="0" borderId="122" xfId="0" applyNumberFormat="1" applyFont="1" applyBorder="1" applyAlignment="1">
      <alignment horizontal="center" vertical="center" wrapText="1"/>
    </xf>
    <xf numFmtId="6" fontId="172" fillId="0" borderId="124" xfId="0" applyNumberFormat="1" applyFont="1" applyBorder="1" applyAlignment="1">
      <alignment horizontal="center" vertical="center" wrapText="1"/>
    </xf>
    <xf numFmtId="38" fontId="23" fillId="0" borderId="115" xfId="22" applyNumberFormat="1" applyFont="1" applyFill="1" applyBorder="1" applyAlignment="1">
      <alignment horizontal="center"/>
    </xf>
    <xf numFmtId="168" fontId="15" fillId="0" borderId="117" xfId="1360" applyNumberFormat="1" applyFont="1" applyFill="1" applyBorder="1" applyAlignment="1"/>
    <xf numFmtId="38" fontId="176" fillId="0" borderId="115" xfId="22" applyNumberFormat="1" applyFont="1" applyFill="1" applyBorder="1" applyAlignment="1">
      <alignment horizontal="center"/>
    </xf>
    <xf numFmtId="323" fontId="172" fillId="0" borderId="121" xfId="0" applyNumberFormat="1" applyFont="1" applyBorder="1" applyAlignment="1">
      <alignment horizontal="left"/>
    </xf>
    <xf numFmtId="324" fontId="172" fillId="0" borderId="121" xfId="0" applyNumberFormat="1" applyFont="1" applyBorder="1" applyAlignment="1">
      <alignment horizontal="left"/>
    </xf>
    <xf numFmtId="325" fontId="172" fillId="0" borderId="121" xfId="0" applyNumberFormat="1" applyFont="1" applyBorder="1" applyAlignment="1">
      <alignment horizontal="left"/>
    </xf>
    <xf numFmtId="326" fontId="172" fillId="0" borderId="121" xfId="0" applyNumberFormat="1" applyFont="1" applyBorder="1" applyAlignment="1">
      <alignment horizontal="left"/>
    </xf>
    <xf numFmtId="327" fontId="172" fillId="0" borderId="121" xfId="0" applyNumberFormat="1" applyFont="1" applyBorder="1" applyAlignment="1">
      <alignment horizontal="left"/>
    </xf>
    <xf numFmtId="328" fontId="172" fillId="0" borderId="121" xfId="0" applyNumberFormat="1" applyFont="1" applyBorder="1" applyAlignment="1">
      <alignment horizontal="left"/>
    </xf>
    <xf numFmtId="329" fontId="172" fillId="0" borderId="121" xfId="0" applyNumberFormat="1" applyFont="1" applyBorder="1" applyAlignment="1">
      <alignment horizontal="left"/>
    </xf>
    <xf numFmtId="330" fontId="172" fillId="0" borderId="121" xfId="0" applyNumberFormat="1" applyFont="1" applyBorder="1" applyAlignment="1">
      <alignment horizontal="left"/>
    </xf>
    <xf numFmtId="331" fontId="23" fillId="41" borderId="113" xfId="0" applyNumberFormat="1" applyFont="1" applyFill="1" applyBorder="1" applyAlignment="1">
      <alignment horizontal="left"/>
    </xf>
    <xf numFmtId="0" fontId="176" fillId="3" borderId="0" xfId="0" applyFont="1" applyFill="1" applyAlignment="1">
      <alignment horizontal="center"/>
    </xf>
    <xf numFmtId="0" fontId="176" fillId="3" borderId="0" xfId="0" applyFont="1" applyFill="1" applyAlignment="1">
      <alignment horizontal="center" wrapText="1"/>
    </xf>
    <xf numFmtId="38" fontId="172" fillId="0" borderId="115" xfId="22" applyNumberFormat="1" applyFont="1" applyFill="1" applyBorder="1" applyAlignment="1">
      <alignment horizontal="center"/>
    </xf>
    <xf numFmtId="38" fontId="172" fillId="41" borderId="112" xfId="22" applyNumberFormat="1" applyFont="1" applyFill="1" applyBorder="1" applyAlignment="1">
      <alignment horizontal="center"/>
    </xf>
    <xf numFmtId="8" fontId="172" fillId="41" borderId="112" xfId="0" applyNumberFormat="1" applyFont="1" applyFill="1" applyBorder="1" applyAlignment="1">
      <alignment horizontal="center"/>
    </xf>
    <xf numFmtId="0" fontId="172" fillId="3" borderId="0" xfId="0" applyFont="1" applyFill="1" applyAlignment="1">
      <alignment horizontal="center"/>
    </xf>
    <xf numFmtId="0" fontId="172" fillId="3" borderId="0" xfId="0" applyFont="1" applyFill="1" applyAlignment="1">
      <alignment horizontal="center" wrapText="1"/>
    </xf>
    <xf numFmtId="332" fontId="176" fillId="41" borderId="113" xfId="0" applyNumberFormat="1" applyFont="1" applyFill="1" applyBorder="1" applyAlignment="1">
      <alignment horizontal="left"/>
    </xf>
    <xf numFmtId="165" fontId="172" fillId="0" borderId="0" xfId="0" applyNumberFormat="1" applyFont="1" applyAlignment="1">
      <alignment wrapText="1"/>
    </xf>
    <xf numFmtId="3" fontId="15" fillId="0" borderId="114" xfId="14" applyNumberFormat="1" applyFont="1" applyBorder="1" applyAlignment="1">
      <alignment horizontal="center"/>
    </xf>
    <xf numFmtId="0" fontId="173" fillId="8" borderId="190" xfId="0" applyFont="1" applyFill="1" applyBorder="1" applyAlignment="1">
      <alignment horizontal="center"/>
    </xf>
    <xf numFmtId="0" fontId="173" fillId="8" borderId="185" xfId="0" applyFont="1" applyFill="1" applyBorder="1" applyAlignment="1">
      <alignment horizontal="center"/>
    </xf>
    <xf numFmtId="169" fontId="172" fillId="0" borderId="0" xfId="18" applyNumberFormat="1" applyFont="1"/>
    <xf numFmtId="44" fontId="172" fillId="0" borderId="0" xfId="18" applyFont="1"/>
    <xf numFmtId="333" fontId="175" fillId="0" borderId="115" xfId="0" applyNumberFormat="1" applyFont="1" applyBorder="1" applyAlignment="1">
      <alignment horizontal="left"/>
    </xf>
    <xf numFmtId="0" fontId="171" fillId="0" borderId="148" xfId="0" applyFont="1" applyBorder="1" applyAlignment="1">
      <alignment horizontal="center" vertical="center"/>
    </xf>
    <xf numFmtId="3" fontId="13" fillId="0" borderId="121" xfId="0" applyNumberFormat="1" applyFont="1" applyBorder="1" applyAlignment="1">
      <alignment horizontal="center" vertical="center"/>
    </xf>
    <xf numFmtId="0" fontId="13" fillId="0" borderId="121" xfId="0" applyFont="1" applyBorder="1" applyAlignment="1">
      <alignment horizontal="center" vertical="center"/>
    </xf>
    <xf numFmtId="3" fontId="13" fillId="0" borderId="118" xfId="0" applyNumberFormat="1" applyFont="1" applyBorder="1" applyAlignment="1">
      <alignment horizontal="center" vertical="center"/>
    </xf>
    <xf numFmtId="167" fontId="191" fillId="0" borderId="114" xfId="1" applyNumberFormat="1" applyFont="1" applyBorder="1" applyAlignment="1">
      <alignment horizontal="center" vertical="center"/>
    </xf>
    <xf numFmtId="167" fontId="191" fillId="0" borderId="110" xfId="1" applyNumberFormat="1" applyFont="1" applyBorder="1" applyAlignment="1">
      <alignment horizontal="center" vertical="center"/>
    </xf>
    <xf numFmtId="167" fontId="190" fillId="0" borderId="85" xfId="0" applyNumberFormat="1" applyFont="1" applyBorder="1" applyAlignment="1">
      <alignment horizontal="center" vertical="center"/>
    </xf>
    <xf numFmtId="169" fontId="172" fillId="0" borderId="0" xfId="18" applyNumberFormat="1" applyFont="1" applyAlignment="1">
      <alignment wrapText="1"/>
    </xf>
    <xf numFmtId="334" fontId="175" fillId="0" borderId="115" xfId="0" applyNumberFormat="1" applyFont="1" applyBorder="1" applyAlignment="1">
      <alignment horizontal="left"/>
    </xf>
    <xf numFmtId="3" fontId="0" fillId="0" borderId="0" xfId="0" applyNumberFormat="1"/>
    <xf numFmtId="0" fontId="198" fillId="49" borderId="65" xfId="0" applyFont="1" applyFill="1" applyBorder="1"/>
    <xf numFmtId="0" fontId="198" fillId="49" borderId="65" xfId="0" applyFont="1" applyFill="1" applyBorder="1" applyAlignment="1">
      <alignment horizontal="center"/>
    </xf>
    <xf numFmtId="5" fontId="0" fillId="0" borderId="0" xfId="0" applyNumberFormat="1" applyAlignment="1">
      <alignment horizontal="center"/>
    </xf>
    <xf numFmtId="5" fontId="15" fillId="0" borderId="0" xfId="0" applyNumberFormat="1" applyFont="1"/>
    <xf numFmtId="260" fontId="15" fillId="0" borderId="129" xfId="0" applyNumberFormat="1" applyFont="1" applyBorder="1" applyAlignment="1">
      <alignment horizontal="left"/>
    </xf>
    <xf numFmtId="224" fontId="15" fillId="0" borderId="0" xfId="0" applyNumberFormat="1" applyFont="1"/>
    <xf numFmtId="311" fontId="15" fillId="0" borderId="199" xfId="0" applyNumberFormat="1" applyFont="1" applyBorder="1" applyAlignment="1">
      <alignment horizontal="left" vertical="center"/>
    </xf>
    <xf numFmtId="7" fontId="172" fillId="0" borderId="0" xfId="0" applyNumberFormat="1" applyFont="1" applyAlignment="1">
      <alignment wrapText="1"/>
    </xf>
    <xf numFmtId="5" fontId="15" fillId="0" borderId="195" xfId="22" applyNumberFormat="1" applyFont="1" applyBorder="1" applyAlignment="1"/>
    <xf numFmtId="5" fontId="15" fillId="0" borderId="126" xfId="22" applyNumberFormat="1" applyFont="1" applyBorder="1" applyAlignment="1"/>
    <xf numFmtId="5" fontId="15" fillId="11" borderId="134" xfId="22" applyNumberFormat="1" applyFont="1" applyFill="1" applyBorder="1" applyAlignment="1">
      <alignment horizontal="center"/>
    </xf>
    <xf numFmtId="7" fontId="0" fillId="0" borderId="0" xfId="0" applyNumberFormat="1" applyAlignment="1">
      <alignment horizontal="center"/>
    </xf>
    <xf numFmtId="3" fontId="0" fillId="0" borderId="65" xfId="0" applyNumberFormat="1" applyBorder="1"/>
    <xf numFmtId="5" fontId="0" fillId="0" borderId="65" xfId="0" applyNumberFormat="1" applyBorder="1" applyAlignment="1">
      <alignment horizontal="center"/>
    </xf>
    <xf numFmtId="5" fontId="0" fillId="0" borderId="9" xfId="0" applyNumberFormat="1" applyBorder="1" applyAlignment="1">
      <alignment horizontal="center"/>
    </xf>
    <xf numFmtId="9" fontId="0" fillId="0" borderId="0" xfId="1" applyFont="1" applyAlignment="1">
      <alignment horizontal="center"/>
    </xf>
    <xf numFmtId="9" fontId="0" fillId="0" borderId="65" xfId="1" applyFont="1" applyBorder="1" applyAlignment="1">
      <alignment horizontal="center"/>
    </xf>
    <xf numFmtId="3" fontId="0" fillId="0" borderId="0" xfId="0" quotePrefix="1" applyNumberFormat="1" applyAlignment="1">
      <alignment horizontal="center"/>
    </xf>
    <xf numFmtId="9" fontId="0" fillId="0" borderId="0" xfId="1" applyFont="1" applyFill="1" applyBorder="1" applyAlignment="1">
      <alignment horizontal="center"/>
    </xf>
    <xf numFmtId="0" fontId="201" fillId="50" borderId="0" xfId="0" applyFont="1" applyFill="1"/>
    <xf numFmtId="0" fontId="0" fillId="9" borderId="115" xfId="0" applyFill="1" applyBorder="1" applyAlignment="1">
      <alignment horizontal="center"/>
    </xf>
    <xf numFmtId="0" fontId="0" fillId="44" borderId="115" xfId="0" applyFill="1" applyBorder="1" applyAlignment="1">
      <alignment horizontal="center"/>
    </xf>
    <xf numFmtId="0" fontId="200" fillId="50" borderId="0" xfId="0" applyFont="1" applyFill="1"/>
    <xf numFmtId="0" fontId="0" fillId="45" borderId="115" xfId="0" applyFill="1" applyBorder="1" applyAlignment="1">
      <alignment horizontal="center"/>
    </xf>
    <xf numFmtId="0" fontId="15" fillId="36" borderId="0" xfId="1347" applyFont="1" applyFill="1" applyAlignment="1">
      <alignment horizontal="left" vertical="center"/>
    </xf>
    <xf numFmtId="6" fontId="172" fillId="0" borderId="6" xfId="0" applyNumberFormat="1" applyFont="1" applyBorder="1" applyAlignment="1">
      <alignment horizontal="center" vertical="center"/>
    </xf>
    <xf numFmtId="6" fontId="15" fillId="0" borderId="6" xfId="2" applyNumberFormat="1" applyFont="1" applyBorder="1" applyAlignment="1">
      <alignment horizontal="center" vertical="center"/>
    </xf>
    <xf numFmtId="6" fontId="15" fillId="0" borderId="82" xfId="2" applyNumberFormat="1" applyFont="1" applyBorder="1" applyAlignment="1">
      <alignment horizontal="center" vertical="center"/>
    </xf>
    <xf numFmtId="6" fontId="15" fillId="0" borderId="74" xfId="2" applyNumberFormat="1" applyFont="1" applyBorder="1" applyAlignment="1">
      <alignment horizontal="center" vertical="center"/>
    </xf>
    <xf numFmtId="14" fontId="172" fillId="36" borderId="0" xfId="1347" applyNumberFormat="1" applyFont="1" applyFill="1" applyAlignment="1">
      <alignment horizontal="center" vertical="center"/>
    </xf>
    <xf numFmtId="336" fontId="15" fillId="0" borderId="15" xfId="0" applyNumberFormat="1" applyFont="1" applyBorder="1" applyAlignment="1">
      <alignment horizontal="left" vertical="center" wrapText="1"/>
    </xf>
    <xf numFmtId="0" fontId="15" fillId="0" borderId="15" xfId="0" applyFont="1" applyBorder="1" applyAlignment="1">
      <alignment horizontal="left" vertical="center" wrapText="1"/>
    </xf>
    <xf numFmtId="275" fontId="15" fillId="0" borderId="15" xfId="2" applyNumberFormat="1" applyFont="1" applyBorder="1" applyAlignment="1">
      <alignment horizontal="left" vertical="center" wrapText="1"/>
    </xf>
    <xf numFmtId="276" fontId="15" fillId="0" borderId="60" xfId="2" applyNumberFormat="1" applyFont="1" applyBorder="1" applyAlignment="1">
      <alignment horizontal="left" vertical="center" wrapText="1"/>
    </xf>
    <xf numFmtId="166" fontId="172" fillId="0" borderId="82" xfId="0" applyNumberFormat="1" applyFont="1" applyBorder="1" applyAlignment="1">
      <alignment horizontal="center" vertical="center"/>
    </xf>
    <xf numFmtId="337" fontId="15" fillId="0" borderId="15" xfId="0" applyNumberFormat="1" applyFont="1" applyBorder="1" applyAlignment="1">
      <alignment horizontal="left" vertical="center" wrapText="1" indent="1"/>
    </xf>
    <xf numFmtId="338" fontId="15" fillId="0" borderId="15" xfId="0" applyNumberFormat="1" applyFont="1" applyBorder="1" applyAlignment="1">
      <alignment horizontal="left" vertical="center" wrapText="1" indent="1"/>
    </xf>
    <xf numFmtId="339" fontId="15" fillId="0" borderId="15" xfId="0" applyNumberFormat="1" applyFont="1" applyBorder="1" applyAlignment="1">
      <alignment horizontal="left" vertical="center" wrapText="1" indent="1"/>
    </xf>
    <xf numFmtId="340" fontId="15" fillId="0" borderId="60" xfId="0" applyNumberFormat="1" applyFont="1" applyBorder="1" applyAlignment="1">
      <alignment horizontal="left" vertical="center" wrapText="1" indent="1"/>
    </xf>
    <xf numFmtId="335" fontId="23" fillId="0" borderId="181" xfId="0" applyNumberFormat="1" applyFont="1" applyBorder="1" applyAlignment="1">
      <alignment horizontal="left" vertical="center" wrapText="1"/>
    </xf>
    <xf numFmtId="6" fontId="172" fillId="0" borderId="182" xfId="0" applyNumberFormat="1" applyFont="1" applyBorder="1" applyAlignment="1">
      <alignment horizontal="center" vertical="center"/>
    </xf>
    <xf numFmtId="6" fontId="172" fillId="0" borderId="183" xfId="0" applyNumberFormat="1" applyFont="1" applyBorder="1" applyAlignment="1">
      <alignment horizontal="center" vertical="center"/>
    </xf>
    <xf numFmtId="166" fontId="172" fillId="0" borderId="0" xfId="0" applyNumberFormat="1" applyFont="1" applyAlignment="1">
      <alignment horizontal="center" vertical="center"/>
    </xf>
    <xf numFmtId="166" fontId="172" fillId="0" borderId="6" xfId="0" applyNumberFormat="1" applyFont="1" applyBorder="1" applyAlignment="1">
      <alignment horizontal="center" vertical="center"/>
    </xf>
    <xf numFmtId="166" fontId="172" fillId="0" borderId="74" xfId="0" applyNumberFormat="1" applyFont="1" applyBorder="1" applyAlignment="1">
      <alignment horizontal="center" vertical="center"/>
    </xf>
    <xf numFmtId="6" fontId="172" fillId="0" borderId="0" xfId="0" applyNumberFormat="1" applyFont="1" applyAlignment="1">
      <alignment horizontal="center" vertical="center"/>
    </xf>
    <xf numFmtId="6" fontId="15" fillId="0" borderId="0" xfId="2" applyNumberFormat="1" applyFont="1" applyAlignment="1">
      <alignment horizontal="center" vertical="center"/>
    </xf>
    <xf numFmtId="0" fontId="23" fillId="48" borderId="77" xfId="0" applyFont="1" applyFill="1" applyBorder="1" applyAlignment="1">
      <alignment horizontal="left" vertical="center" wrapText="1"/>
    </xf>
    <xf numFmtId="6" fontId="23" fillId="48" borderId="92" xfId="0" applyNumberFormat="1" applyFont="1" applyFill="1" applyBorder="1" applyAlignment="1">
      <alignment horizontal="center" vertical="center"/>
    </xf>
    <xf numFmtId="6" fontId="23" fillId="48" borderId="78" xfId="0" applyNumberFormat="1" applyFont="1" applyFill="1" applyBorder="1" applyAlignment="1">
      <alignment horizontal="center" vertical="center"/>
    </xf>
    <xf numFmtId="0" fontId="23" fillId="48" borderId="63" xfId="0" applyFont="1" applyFill="1" applyBorder="1" applyAlignment="1">
      <alignment horizontal="left" wrapText="1"/>
    </xf>
    <xf numFmtId="0" fontId="176" fillId="48" borderId="115" xfId="0" applyFont="1" applyFill="1" applyBorder="1" applyAlignment="1">
      <alignment horizontal="center"/>
    </xf>
    <xf numFmtId="0" fontId="176" fillId="48" borderId="66" xfId="0" applyFont="1" applyFill="1" applyBorder="1" applyAlignment="1">
      <alignment horizontal="center"/>
    </xf>
    <xf numFmtId="0" fontId="176" fillId="48" borderId="3" xfId="0" applyFont="1" applyFill="1" applyBorder="1" applyAlignment="1">
      <alignment horizontal="center"/>
    </xf>
    <xf numFmtId="0" fontId="23" fillId="48" borderId="121" xfId="0" applyFont="1" applyFill="1" applyBorder="1" applyAlignment="1">
      <alignment horizontal="left" wrapText="1"/>
    </xf>
    <xf numFmtId="6" fontId="172" fillId="48" borderId="115" xfId="0" applyNumberFormat="1" applyFont="1" applyFill="1" applyBorder="1" applyAlignment="1">
      <alignment horizontal="center"/>
    </xf>
    <xf numFmtId="6" fontId="172" fillId="48" borderId="117" xfId="0" applyNumberFormat="1" applyFont="1" applyFill="1" applyBorder="1" applyAlignment="1">
      <alignment horizontal="center"/>
    </xf>
    <xf numFmtId="3" fontId="176" fillId="47" borderId="66" xfId="0" applyNumberFormat="1" applyFont="1" applyFill="1" applyBorder="1" applyAlignment="1">
      <alignment horizontal="center" vertical="center" wrapText="1"/>
    </xf>
    <xf numFmtId="3" fontId="176" fillId="47" borderId="3" xfId="0" applyNumberFormat="1" applyFont="1" applyFill="1" applyBorder="1" applyAlignment="1">
      <alignment horizontal="center" vertical="center" wrapText="1"/>
    </xf>
    <xf numFmtId="6" fontId="186" fillId="36" borderId="0" xfId="1347" applyNumberFormat="1" applyFont="1" applyFill="1" applyAlignment="1">
      <alignment horizontal="left" vertical="center"/>
    </xf>
    <xf numFmtId="0" fontId="23" fillId="36" borderId="0" xfId="1347" applyFont="1" applyFill="1" applyAlignment="1">
      <alignment horizontal="center" vertical="center"/>
    </xf>
    <xf numFmtId="0" fontId="196" fillId="36" borderId="0" xfId="1347" applyFont="1" applyFill="1"/>
    <xf numFmtId="182" fontId="15" fillId="36" borderId="0" xfId="0" applyNumberFormat="1" applyFont="1" applyFill="1"/>
    <xf numFmtId="274" fontId="186" fillId="36" borderId="0" xfId="0" applyNumberFormat="1" applyFont="1" applyFill="1" applyAlignment="1">
      <alignment horizontal="center"/>
    </xf>
    <xf numFmtId="0" fontId="15" fillId="36" borderId="15" xfId="1347" applyFont="1" applyFill="1" applyBorder="1" applyAlignment="1">
      <alignment horizontal="left" vertical="center"/>
    </xf>
    <xf numFmtId="6" fontId="186" fillId="36" borderId="6" xfId="1347" applyNumberFormat="1" applyFont="1" applyFill="1" applyBorder="1" applyAlignment="1">
      <alignment horizontal="center" vertical="center"/>
    </xf>
    <xf numFmtId="0" fontId="172" fillId="36" borderId="15" xfId="1347" applyFont="1" applyFill="1" applyBorder="1" applyAlignment="1">
      <alignment horizontal="left" vertical="center"/>
    </xf>
    <xf numFmtId="166" fontId="186" fillId="36" borderId="6" xfId="1347" applyNumberFormat="1" applyFont="1" applyFill="1" applyBorder="1" applyAlignment="1">
      <alignment horizontal="center" vertical="center"/>
    </xf>
    <xf numFmtId="14" fontId="15" fillId="36" borderId="15" xfId="1347" applyNumberFormat="1" applyFont="1" applyFill="1" applyBorder="1" applyAlignment="1">
      <alignment horizontal="left" vertical="center" wrapText="1"/>
    </xf>
    <xf numFmtId="14" fontId="172" fillId="36" borderId="15" xfId="1347" applyNumberFormat="1" applyFont="1" applyFill="1" applyBorder="1" applyAlignment="1">
      <alignment horizontal="left" vertical="center" wrapText="1"/>
    </xf>
    <xf numFmtId="14" fontId="172" fillId="36" borderId="15" xfId="1347" applyNumberFormat="1" applyFont="1" applyFill="1" applyBorder="1" applyAlignment="1">
      <alignment horizontal="left" vertical="center"/>
    </xf>
    <xf numFmtId="0" fontId="23" fillId="36" borderId="113" xfId="1347" applyFont="1" applyFill="1" applyBorder="1" applyAlignment="1">
      <alignment vertical="center"/>
    </xf>
    <xf numFmtId="0" fontId="23" fillId="36" borderId="136" xfId="1347" applyFont="1" applyFill="1" applyBorder="1" applyAlignment="1">
      <alignment horizontal="center" vertical="center"/>
    </xf>
    <xf numFmtId="14" fontId="176" fillId="36" borderId="113" xfId="1347" applyNumberFormat="1" applyFont="1" applyFill="1" applyBorder="1" applyAlignment="1">
      <alignment horizontal="left" vertical="center"/>
    </xf>
    <xf numFmtId="14" fontId="176" fillId="36" borderId="136" xfId="1347" applyNumberFormat="1" applyFont="1" applyFill="1" applyBorder="1" applyAlignment="1">
      <alignment horizontal="center" vertical="center"/>
    </xf>
    <xf numFmtId="14" fontId="172" fillId="36" borderId="67" xfId="1347" applyNumberFormat="1" applyFont="1" applyFill="1" applyBorder="1" applyAlignment="1">
      <alignment horizontal="left" vertical="center"/>
    </xf>
    <xf numFmtId="0" fontId="15" fillId="36" borderId="121" xfId="1347" applyFont="1" applyFill="1" applyBorder="1" applyAlignment="1">
      <alignment vertical="center"/>
    </xf>
    <xf numFmtId="0" fontId="15" fillId="36" borderId="123" xfId="1347" applyFont="1" applyFill="1" applyBorder="1" applyAlignment="1">
      <alignment vertical="center"/>
    </xf>
    <xf numFmtId="10" fontId="186" fillId="36" borderId="6" xfId="1347" applyNumberFormat="1" applyFont="1" applyFill="1" applyBorder="1" applyAlignment="1">
      <alignment horizontal="center" vertical="center"/>
    </xf>
    <xf numFmtId="0" fontId="23" fillId="36" borderId="0" xfId="0" applyFont="1" applyFill="1" applyAlignment="1">
      <alignment vertical="center" wrapText="1"/>
    </xf>
    <xf numFmtId="6" fontId="23" fillId="36" borderId="0" xfId="0" applyNumberFormat="1" applyFont="1" applyFill="1" applyAlignment="1">
      <alignment horizontal="center" vertical="center" wrapText="1"/>
    </xf>
    <xf numFmtId="0" fontId="23" fillId="48" borderId="118" xfId="0" applyFont="1" applyFill="1" applyBorder="1" applyAlignment="1">
      <alignment vertical="center"/>
    </xf>
    <xf numFmtId="0" fontId="23" fillId="48" borderId="120" xfId="0" applyFont="1" applyFill="1" applyBorder="1" applyAlignment="1">
      <alignment horizontal="center" vertical="center" wrapText="1"/>
    </xf>
    <xf numFmtId="0" fontId="15" fillId="0" borderId="184" xfId="0" applyFont="1" applyBorder="1" applyAlignment="1">
      <alignment vertical="center" wrapText="1"/>
    </xf>
    <xf numFmtId="0" fontId="172" fillId="0" borderId="121" xfId="1347" applyFont="1" applyBorder="1" applyAlignment="1">
      <alignment vertical="center" wrapText="1"/>
    </xf>
    <xf numFmtId="0" fontId="172" fillId="0" borderId="121" xfId="1347" applyFont="1" applyBorder="1" applyAlignment="1">
      <alignment vertical="center"/>
    </xf>
    <xf numFmtId="0" fontId="15" fillId="0" borderId="121" xfId="0" applyFont="1" applyBorder="1" applyAlignment="1">
      <alignment vertical="center"/>
    </xf>
    <xf numFmtId="182" fontId="15" fillId="0" borderId="123" xfId="0" applyNumberFormat="1" applyFont="1" applyBorder="1" applyAlignment="1">
      <alignment vertical="center"/>
    </xf>
    <xf numFmtId="9" fontId="186" fillId="36" borderId="6" xfId="1" applyFont="1" applyFill="1" applyBorder="1" applyAlignment="1">
      <alignment horizontal="center" vertical="center"/>
    </xf>
    <xf numFmtId="9" fontId="186" fillId="36" borderId="10" xfId="1" applyFont="1" applyFill="1" applyBorder="1" applyAlignment="1">
      <alignment horizontal="center" vertical="center"/>
    </xf>
    <xf numFmtId="0" fontId="172" fillId="36" borderId="77" xfId="1347" applyFont="1" applyFill="1" applyBorder="1" applyAlignment="1">
      <alignment horizontal="left" vertical="center"/>
    </xf>
    <xf numFmtId="0" fontId="172" fillId="36" borderId="121" xfId="1347" applyFont="1" applyFill="1" applyBorder="1" applyAlignment="1">
      <alignment vertical="center"/>
    </xf>
    <xf numFmtId="0" fontId="172" fillId="36" borderId="0" xfId="1347" applyFont="1" applyFill="1" applyAlignment="1">
      <alignment horizontal="left" vertical="center"/>
    </xf>
    <xf numFmtId="182" fontId="15" fillId="36" borderId="0" xfId="0" applyNumberFormat="1" applyFont="1" applyFill="1" applyAlignment="1">
      <alignment vertical="center"/>
    </xf>
    <xf numFmtId="274" fontId="186" fillId="36" borderId="0" xfId="0" applyNumberFormat="1" applyFont="1" applyFill="1" applyAlignment="1">
      <alignment horizontal="center" vertical="center"/>
    </xf>
    <xf numFmtId="289" fontId="170" fillId="47" borderId="119" xfId="0" applyNumberFormat="1" applyFont="1" applyFill="1" applyBorder="1" applyAlignment="1">
      <alignment horizontal="center" vertical="center" wrapText="1"/>
    </xf>
    <xf numFmtId="14" fontId="170" fillId="42" borderId="119" xfId="0" applyNumberFormat="1" applyFont="1" applyFill="1" applyBorder="1" applyAlignment="1">
      <alignment horizontal="center" vertical="center"/>
    </xf>
    <xf numFmtId="14" fontId="170" fillId="42" borderId="116" xfId="0" applyNumberFormat="1" applyFont="1" applyFill="1" applyBorder="1" applyAlignment="1">
      <alignment horizontal="center" vertical="center"/>
    </xf>
    <xf numFmtId="14" fontId="170" fillId="42" borderId="116" xfId="0" applyNumberFormat="1" applyFont="1" applyFill="1" applyBorder="1" applyAlignment="1">
      <alignment horizontal="center" vertical="center" wrapText="1"/>
    </xf>
    <xf numFmtId="14" fontId="170" fillId="40" borderId="119" xfId="0" applyNumberFormat="1" applyFont="1" applyFill="1" applyBorder="1" applyAlignment="1">
      <alignment horizontal="center" vertical="center"/>
    </xf>
    <xf numFmtId="14" fontId="170" fillId="40" borderId="122" xfId="0" applyNumberFormat="1" applyFont="1" applyFill="1" applyBorder="1" applyAlignment="1">
      <alignment horizontal="center" vertical="center"/>
    </xf>
    <xf numFmtId="3" fontId="170" fillId="47" borderId="118" xfId="0" applyNumberFormat="1" applyFont="1" applyFill="1" applyBorder="1" applyAlignment="1">
      <alignment horizontal="center" vertical="center"/>
    </xf>
    <xf numFmtId="3" fontId="170" fillId="47" borderId="2" xfId="0" applyNumberFormat="1" applyFont="1" applyFill="1" applyBorder="1" applyAlignment="1">
      <alignment horizontal="center" vertical="center"/>
    </xf>
    <xf numFmtId="14" fontId="170" fillId="47" borderId="119" xfId="0" applyNumberFormat="1" applyFont="1" applyFill="1" applyBorder="1" applyAlignment="1">
      <alignment horizontal="center" vertical="center"/>
    </xf>
    <xf numFmtId="14" fontId="170" fillId="47" borderId="120" xfId="0" applyNumberFormat="1" applyFont="1" applyFill="1" applyBorder="1" applyAlignment="1">
      <alignment horizontal="center" vertical="center"/>
    </xf>
    <xf numFmtId="14" fontId="170" fillId="47" borderId="116" xfId="0" applyNumberFormat="1" applyFont="1" applyFill="1" applyBorder="1" applyAlignment="1">
      <alignment horizontal="center" vertical="center"/>
    </xf>
    <xf numFmtId="3" fontId="170" fillId="42" borderId="118" xfId="0" applyNumberFormat="1" applyFont="1" applyFill="1" applyBorder="1" applyAlignment="1">
      <alignment horizontal="center" vertical="center"/>
    </xf>
    <xf numFmtId="3" fontId="170" fillId="42" borderId="2" xfId="0" applyNumberFormat="1" applyFont="1" applyFill="1" applyBorder="1" applyAlignment="1">
      <alignment horizontal="center" vertical="center"/>
    </xf>
    <xf numFmtId="289" fontId="170" fillId="42" borderId="119" xfId="0" applyNumberFormat="1" applyFont="1" applyFill="1" applyBorder="1" applyAlignment="1">
      <alignment horizontal="center" vertical="center" wrapText="1"/>
    </xf>
    <xf numFmtId="14" fontId="170" fillId="42" borderId="120" xfId="0" applyNumberFormat="1" applyFont="1" applyFill="1" applyBorder="1" applyAlignment="1">
      <alignment horizontal="center" vertical="center"/>
    </xf>
    <xf numFmtId="3" fontId="170" fillId="40" borderId="118" xfId="0" applyNumberFormat="1" applyFont="1" applyFill="1" applyBorder="1" applyAlignment="1">
      <alignment horizontal="center" vertical="center"/>
    </xf>
    <xf numFmtId="3" fontId="170" fillId="40" borderId="2" xfId="0" applyNumberFormat="1" applyFont="1" applyFill="1" applyBorder="1" applyAlignment="1">
      <alignment horizontal="center" vertical="center"/>
    </xf>
    <xf numFmtId="289" fontId="170" fillId="40" borderId="119" xfId="0" applyNumberFormat="1" applyFont="1" applyFill="1" applyBorder="1" applyAlignment="1">
      <alignment horizontal="center" vertical="center" wrapText="1"/>
    </xf>
    <xf numFmtId="14" fontId="170" fillId="40" borderId="116" xfId="0" applyNumberFormat="1" applyFont="1" applyFill="1" applyBorder="1" applyAlignment="1">
      <alignment horizontal="center" vertical="center" wrapText="1"/>
    </xf>
    <xf numFmtId="0" fontId="170" fillId="40" borderId="123" xfId="0" applyFont="1" applyFill="1" applyBorder="1" applyAlignment="1">
      <alignment horizontal="center" vertical="center"/>
    </xf>
    <xf numFmtId="0" fontId="170" fillId="40" borderId="153" xfId="0" applyFont="1" applyFill="1" applyBorder="1" applyAlignment="1">
      <alignment horizontal="center" vertical="center"/>
    </xf>
    <xf numFmtId="289" fontId="170" fillId="40" borderId="122" xfId="0" applyNumberFormat="1" applyFont="1" applyFill="1" applyBorder="1" applyAlignment="1">
      <alignment horizontal="center" vertical="center" wrapText="1"/>
    </xf>
    <xf numFmtId="14" fontId="170" fillId="40" borderId="153" xfId="0" applyNumberFormat="1" applyFont="1" applyFill="1" applyBorder="1" applyAlignment="1">
      <alignment horizontal="center" vertical="center" wrapText="1"/>
    </xf>
    <xf numFmtId="0" fontId="171" fillId="0" borderId="165" xfId="0" applyFont="1" applyBorder="1" applyAlignment="1">
      <alignment horizontal="center" vertical="center" wrapText="1"/>
    </xf>
    <xf numFmtId="0" fontId="171" fillId="0" borderId="152" xfId="0" applyFont="1" applyBorder="1" applyAlignment="1">
      <alignment horizontal="center" vertical="center" wrapText="1"/>
    </xf>
    <xf numFmtId="0" fontId="171" fillId="0" borderId="166" xfId="0" applyFont="1" applyBorder="1" applyAlignment="1">
      <alignment horizontal="center" vertical="center" wrapText="1"/>
    </xf>
    <xf numFmtId="3" fontId="171" fillId="0" borderId="115" xfId="0" applyNumberFormat="1" applyFont="1" applyBorder="1" applyAlignment="1">
      <alignment horizontal="center" vertical="center"/>
    </xf>
    <xf numFmtId="3" fontId="170" fillId="0" borderId="115" xfId="0" applyNumberFormat="1" applyFont="1" applyBorder="1" applyAlignment="1">
      <alignment horizontal="center" vertical="center"/>
    </xf>
    <xf numFmtId="3" fontId="170" fillId="0" borderId="117" xfId="0" applyNumberFormat="1" applyFont="1" applyBorder="1" applyAlignment="1">
      <alignment horizontal="center" vertical="center"/>
    </xf>
    <xf numFmtId="3" fontId="170" fillId="0" borderId="122" xfId="0" applyNumberFormat="1" applyFont="1" applyBorder="1" applyAlignment="1">
      <alignment horizontal="center" vertical="center"/>
    </xf>
    <xf numFmtId="3" fontId="170" fillId="0" borderId="124" xfId="0" applyNumberFormat="1" applyFont="1" applyBorder="1" applyAlignment="1">
      <alignment horizontal="center" vertical="center"/>
    </xf>
    <xf numFmtId="3" fontId="171" fillId="0" borderId="146" xfId="0" applyNumberFormat="1" applyFont="1" applyBorder="1" applyAlignment="1">
      <alignment horizontal="center" vertical="center"/>
    </xf>
    <xf numFmtId="3" fontId="171" fillId="0" borderId="85" xfId="0" applyNumberFormat="1" applyFont="1" applyBorder="1" applyAlignment="1">
      <alignment horizontal="center" vertical="center"/>
    </xf>
    <xf numFmtId="3" fontId="171" fillId="0" borderId="147" xfId="0" applyNumberFormat="1" applyFont="1" applyBorder="1" applyAlignment="1">
      <alignment horizontal="center" vertical="center"/>
    </xf>
    <xf numFmtId="5" fontId="172" fillId="0" borderId="0" xfId="0" applyNumberFormat="1" applyFont="1" applyAlignment="1">
      <alignment wrapText="1"/>
    </xf>
    <xf numFmtId="341" fontId="176" fillId="0" borderId="90" xfId="0" applyNumberFormat="1" applyFont="1" applyBorder="1" applyAlignment="1">
      <alignment horizontal="left"/>
    </xf>
    <xf numFmtId="341" fontId="176" fillId="0" borderId="63" xfId="0" applyNumberFormat="1" applyFont="1" applyBorder="1" applyAlignment="1">
      <alignment horizontal="left" vertical="center"/>
    </xf>
    <xf numFmtId="341" fontId="176" fillId="0" borderId="63" xfId="0" applyNumberFormat="1" applyFont="1" applyBorder="1" applyAlignment="1">
      <alignment horizontal="left"/>
    </xf>
    <xf numFmtId="14" fontId="172" fillId="48" borderId="15" xfId="1347" applyNumberFormat="1" applyFont="1" applyFill="1" applyBorder="1" applyAlignment="1">
      <alignment horizontal="left" vertical="center"/>
    </xf>
    <xf numFmtId="1" fontId="186" fillId="48" borderId="120" xfId="1" applyNumberFormat="1" applyFont="1" applyFill="1" applyBorder="1" applyAlignment="1">
      <alignment horizontal="center" vertical="center"/>
    </xf>
    <xf numFmtId="6" fontId="172" fillId="36" borderId="0" xfId="0" applyNumberFormat="1" applyFont="1" applyFill="1" applyAlignment="1">
      <alignment horizontal="center" vertical="center" wrapText="1"/>
    </xf>
    <xf numFmtId="0" fontId="176" fillId="48" borderId="131" xfId="1347" applyFont="1" applyFill="1" applyBorder="1" applyAlignment="1">
      <alignment vertical="center"/>
    </xf>
    <xf numFmtId="5" fontId="176" fillId="48" borderId="124" xfId="1347" applyNumberFormat="1" applyFont="1" applyFill="1" applyBorder="1" applyAlignment="1">
      <alignment horizontal="center" vertical="center"/>
    </xf>
    <xf numFmtId="5" fontId="172" fillId="36" borderId="0" xfId="1347" applyNumberFormat="1" applyFont="1" applyFill="1" applyAlignment="1">
      <alignment horizontal="left" vertical="center"/>
    </xf>
    <xf numFmtId="165" fontId="170" fillId="0" borderId="0" xfId="0" applyNumberFormat="1" applyFont="1"/>
    <xf numFmtId="10" fontId="170" fillId="0" borderId="0" xfId="0" applyNumberFormat="1" applyFont="1"/>
    <xf numFmtId="0" fontId="176" fillId="36" borderId="113" xfId="1347" applyFont="1" applyFill="1" applyBorder="1" applyAlignment="1">
      <alignment vertical="center"/>
    </xf>
    <xf numFmtId="0" fontId="176" fillId="36" borderId="136" xfId="1347" applyFont="1" applyFill="1" applyBorder="1" applyAlignment="1">
      <alignment horizontal="center" vertical="center"/>
    </xf>
    <xf numFmtId="10" fontId="186" fillId="36" borderId="136" xfId="1347" applyNumberFormat="1" applyFont="1" applyFill="1" applyBorder="1" applyAlignment="1">
      <alignment horizontal="center" vertical="center"/>
    </xf>
    <xf numFmtId="0" fontId="176" fillId="36" borderId="113" xfId="1347" applyFont="1" applyFill="1" applyBorder="1" applyAlignment="1">
      <alignment horizontal="left" vertical="center"/>
    </xf>
    <xf numFmtId="9" fontId="186" fillId="36" borderId="6" xfId="1347" applyNumberFormat="1" applyFont="1" applyFill="1" applyBorder="1" applyAlignment="1">
      <alignment horizontal="center" vertical="center"/>
    </xf>
    <xf numFmtId="9" fontId="186" fillId="36" borderId="78" xfId="1347" applyNumberFormat="1" applyFont="1" applyFill="1" applyBorder="1" applyAlignment="1">
      <alignment horizontal="center" vertical="center"/>
    </xf>
    <xf numFmtId="5" fontId="199" fillId="0" borderId="0" xfId="0" applyNumberFormat="1" applyFont="1"/>
    <xf numFmtId="9" fontId="15" fillId="0" borderId="0" xfId="1" applyFont="1"/>
    <xf numFmtId="166" fontId="172" fillId="0" borderId="65" xfId="0" applyNumberFormat="1" applyFont="1" applyBorder="1" applyAlignment="1">
      <alignment horizontal="center"/>
    </xf>
    <xf numFmtId="166" fontId="176" fillId="0" borderId="0" xfId="0" applyNumberFormat="1" applyFont="1" applyAlignment="1">
      <alignment horizontal="center"/>
    </xf>
    <xf numFmtId="0" fontId="172" fillId="0" borderId="107" xfId="0" applyFont="1" applyBorder="1" applyAlignment="1">
      <alignment wrapText="1"/>
    </xf>
    <xf numFmtId="0" fontId="172" fillId="0" borderId="121" xfId="0" applyFont="1" applyBorder="1" applyAlignment="1">
      <alignment wrapText="1"/>
    </xf>
    <xf numFmtId="0" fontId="202" fillId="0" borderId="0" xfId="0" applyFont="1" applyAlignment="1">
      <alignment vertical="center"/>
    </xf>
    <xf numFmtId="0" fontId="202" fillId="51" borderId="0" xfId="0" applyFont="1" applyFill="1" applyAlignment="1">
      <alignment vertical="center"/>
    </xf>
    <xf numFmtId="9" fontId="172" fillId="0" borderId="0" xfId="1" applyFont="1" applyFill="1" applyBorder="1" applyAlignment="1">
      <alignment horizontal="center" vertical="center" wrapText="1"/>
    </xf>
    <xf numFmtId="3" fontId="172" fillId="0" borderId="65" xfId="0" applyNumberFormat="1" applyFont="1" applyBorder="1" applyAlignment="1">
      <alignment horizontal="center" vertical="center"/>
    </xf>
    <xf numFmtId="0" fontId="198" fillId="0" borderId="114" xfId="0" applyFont="1" applyBorder="1"/>
    <xf numFmtId="0" fontId="198" fillId="0" borderId="112" xfId="0" applyFont="1" applyBorder="1" applyAlignment="1">
      <alignment horizontal="center"/>
    </xf>
    <xf numFmtId="0" fontId="198" fillId="0" borderId="116" xfId="0" applyFont="1" applyBorder="1" applyAlignment="1">
      <alignment horizontal="center"/>
    </xf>
    <xf numFmtId="0" fontId="0" fillId="0" borderId="57" xfId="0" applyBorder="1"/>
    <xf numFmtId="3" fontId="172" fillId="0" borderId="167" xfId="0" applyNumberFormat="1" applyFont="1" applyBorder="1" applyAlignment="1">
      <alignment horizontal="center" vertical="center"/>
    </xf>
    <xf numFmtId="0" fontId="0" fillId="0" borderId="64" xfId="0" applyBorder="1"/>
    <xf numFmtId="3" fontId="172" fillId="0" borderId="8" xfId="0" applyNumberFormat="1" applyFont="1" applyBorder="1" applyAlignment="1">
      <alignment horizontal="center" vertical="center"/>
    </xf>
    <xf numFmtId="167" fontId="0" fillId="0" borderId="65" xfId="1" applyNumberFormat="1" applyFont="1" applyBorder="1" applyAlignment="1">
      <alignment horizontal="center"/>
    </xf>
    <xf numFmtId="167" fontId="198" fillId="47" borderId="8" xfId="1" applyNumberFormat="1" applyFont="1" applyFill="1" applyBorder="1" applyAlignment="1">
      <alignment horizontal="center"/>
    </xf>
    <xf numFmtId="167" fontId="172" fillId="0" borderId="65" xfId="0" applyNumberFormat="1" applyFont="1" applyBorder="1" applyAlignment="1">
      <alignment horizontal="center"/>
    </xf>
    <xf numFmtId="10" fontId="172" fillId="0" borderId="65" xfId="0" applyNumberFormat="1" applyFont="1" applyBorder="1" applyAlignment="1">
      <alignment horizontal="center"/>
    </xf>
    <xf numFmtId="0" fontId="201" fillId="51" borderId="0" xfId="0" applyFont="1" applyFill="1"/>
    <xf numFmtId="167" fontId="170" fillId="0" borderId="0" xfId="1" applyNumberFormat="1" applyFont="1"/>
    <xf numFmtId="320" fontId="175" fillId="0" borderId="66" xfId="0" applyNumberFormat="1" applyFont="1" applyBorder="1" applyAlignment="1">
      <alignment horizontal="left"/>
    </xf>
    <xf numFmtId="342" fontId="175" fillId="0" borderId="115" xfId="0" applyNumberFormat="1" applyFont="1" applyBorder="1" applyAlignment="1">
      <alignment horizontal="left"/>
    </xf>
    <xf numFmtId="343" fontId="175" fillId="0" borderId="0" xfId="0" applyNumberFormat="1" applyFont="1" applyAlignment="1">
      <alignment horizontal="left"/>
    </xf>
    <xf numFmtId="9" fontId="172" fillId="0" borderId="0" xfId="0" applyNumberFormat="1" applyFont="1"/>
    <xf numFmtId="0" fontId="186" fillId="36" borderId="117" xfId="1347" applyFont="1" applyFill="1" applyBorder="1" applyAlignment="1">
      <alignment horizontal="center" vertical="center"/>
    </xf>
    <xf numFmtId="38" fontId="176" fillId="36" borderId="117" xfId="1347" applyNumberFormat="1" applyFont="1" applyFill="1" applyBorder="1" applyAlignment="1">
      <alignment horizontal="center" vertical="center"/>
    </xf>
    <xf numFmtId="6" fontId="186" fillId="36" borderId="117" xfId="1347" applyNumberFormat="1" applyFont="1" applyFill="1" applyBorder="1" applyAlignment="1">
      <alignment horizontal="center" vertical="center"/>
    </xf>
    <xf numFmtId="6" fontId="186" fillId="36" borderId="124" xfId="1347" applyNumberFormat="1" applyFont="1" applyFill="1" applyBorder="1" applyAlignment="1">
      <alignment horizontal="center" vertical="center"/>
    </xf>
    <xf numFmtId="285" fontId="186" fillId="0" borderId="185" xfId="0" applyNumberFormat="1" applyFont="1" applyBorder="1" applyAlignment="1">
      <alignment horizontal="center" vertical="center"/>
    </xf>
    <xf numFmtId="285" fontId="186" fillId="0" borderId="117" xfId="0" applyNumberFormat="1" applyFont="1" applyBorder="1" applyAlignment="1">
      <alignment horizontal="center" vertical="center"/>
    </xf>
    <xf numFmtId="267" fontId="186" fillId="0" borderId="117" xfId="0" applyNumberFormat="1" applyFont="1" applyBorder="1" applyAlignment="1">
      <alignment horizontal="center" vertical="center"/>
    </xf>
    <xf numFmtId="299" fontId="186" fillId="0" borderId="117" xfId="0" applyNumberFormat="1" applyFont="1" applyBorder="1" applyAlignment="1">
      <alignment horizontal="center" vertical="center"/>
    </xf>
    <xf numFmtId="0" fontId="172" fillId="0" borderId="117" xfId="1347" applyFont="1" applyBorder="1" applyAlignment="1">
      <alignment horizontal="center" vertical="center"/>
    </xf>
    <xf numFmtId="261" fontId="186" fillId="0" borderId="117" xfId="0" applyNumberFormat="1" applyFont="1" applyBorder="1" applyAlignment="1">
      <alignment horizontal="center" vertical="center"/>
    </xf>
    <xf numFmtId="262" fontId="186" fillId="0" borderId="117" xfId="0" applyNumberFormat="1" applyFont="1" applyBorder="1" applyAlignment="1">
      <alignment horizontal="center" vertical="center"/>
    </xf>
    <xf numFmtId="0" fontId="186" fillId="0" borderId="117" xfId="0" applyFont="1" applyBorder="1" applyAlignment="1">
      <alignment horizontal="center" vertical="center"/>
    </xf>
    <xf numFmtId="263" fontId="186" fillId="0" borderId="117" xfId="0" applyNumberFormat="1" applyFont="1" applyBorder="1" applyAlignment="1">
      <alignment horizontal="center" vertical="center"/>
    </xf>
    <xf numFmtId="271" fontId="186" fillId="0" borderId="117" xfId="0" applyNumberFormat="1" applyFont="1" applyBorder="1" applyAlignment="1">
      <alignment horizontal="center" vertical="center"/>
    </xf>
    <xf numFmtId="10" fontId="186" fillId="0" borderId="117" xfId="1" applyNumberFormat="1" applyFont="1" applyFill="1" applyBorder="1" applyAlignment="1">
      <alignment horizontal="center" vertical="center"/>
    </xf>
    <xf numFmtId="291" fontId="186" fillId="0" borderId="117" xfId="0" applyNumberFormat="1" applyFont="1" applyBorder="1" applyAlignment="1">
      <alignment horizontal="center" vertical="center"/>
    </xf>
    <xf numFmtId="268" fontId="186" fillId="0" borderId="117" xfId="0" applyNumberFormat="1" applyFont="1" applyBorder="1" applyAlignment="1">
      <alignment horizontal="center" vertical="center"/>
    </xf>
    <xf numFmtId="264" fontId="186" fillId="0" borderId="117" xfId="0" applyNumberFormat="1" applyFont="1" applyBorder="1" applyAlignment="1">
      <alignment horizontal="center" vertical="center"/>
    </xf>
    <xf numFmtId="319" fontId="186" fillId="0" borderId="117" xfId="0" applyNumberFormat="1" applyFont="1" applyBorder="1" applyAlignment="1">
      <alignment horizontal="center" vertical="center"/>
    </xf>
    <xf numFmtId="265" fontId="186" fillId="0" borderId="117" xfId="0" applyNumberFormat="1" applyFont="1" applyBorder="1" applyAlignment="1">
      <alignment horizontal="center" vertical="center"/>
    </xf>
    <xf numFmtId="274" fontId="186" fillId="0" borderId="124" xfId="0" applyNumberFormat="1" applyFont="1" applyBorder="1" applyAlignment="1">
      <alignment horizontal="center" vertical="center"/>
    </xf>
    <xf numFmtId="0" fontId="2" fillId="0" borderId="0" xfId="1347"/>
    <xf numFmtId="0" fontId="167" fillId="0" borderId="0" xfId="1347" applyFont="1"/>
    <xf numFmtId="166" fontId="2" fillId="36" borderId="121" xfId="1358" applyNumberFormat="1" applyFont="1" applyFill="1" applyBorder="1" applyAlignment="1">
      <alignment horizontal="center" vertical="center"/>
    </xf>
    <xf numFmtId="3" fontId="2" fillId="36" borderId="115" xfId="1347" applyNumberFormat="1" applyFill="1" applyBorder="1" applyAlignment="1">
      <alignment horizontal="center" vertical="center"/>
    </xf>
    <xf numFmtId="3" fontId="2" fillId="36" borderId="117" xfId="1347" applyNumberFormat="1" applyFill="1" applyBorder="1" applyAlignment="1">
      <alignment horizontal="center" vertical="center"/>
    </xf>
    <xf numFmtId="0" fontId="2" fillId="36" borderId="115" xfId="1347" applyFill="1" applyBorder="1" applyAlignment="1">
      <alignment horizontal="center" vertical="center"/>
    </xf>
    <xf numFmtId="0" fontId="194" fillId="48" borderId="115" xfId="1347" applyFont="1" applyFill="1" applyBorder="1" applyAlignment="1">
      <alignment horizontal="center" vertical="center"/>
    </xf>
    <xf numFmtId="0" fontId="2" fillId="36" borderId="121" xfId="1347" applyFill="1" applyBorder="1" applyAlignment="1">
      <alignment horizontal="center" vertical="center"/>
    </xf>
    <xf numFmtId="0" fontId="194" fillId="48" borderId="123" xfId="1347" applyFont="1" applyFill="1" applyBorder="1" applyAlignment="1">
      <alignment horizontal="center" vertical="center"/>
    </xf>
    <xf numFmtId="0" fontId="194" fillId="48" borderId="122" xfId="1347" applyFont="1" applyFill="1" applyBorder="1" applyAlignment="1">
      <alignment horizontal="center" vertical="center"/>
    </xf>
    <xf numFmtId="3" fontId="194" fillId="48" borderId="122" xfId="1347" applyNumberFormat="1" applyFont="1" applyFill="1" applyBorder="1" applyAlignment="1">
      <alignment horizontal="center" vertical="center"/>
    </xf>
    <xf numFmtId="166" fontId="194" fillId="48" borderId="123" xfId="1358" applyNumberFormat="1" applyFont="1" applyFill="1" applyBorder="1" applyAlignment="1">
      <alignment horizontal="center" vertical="center"/>
    </xf>
    <xf numFmtId="3" fontId="194" fillId="48" borderId="124" xfId="1347" applyNumberFormat="1" applyFont="1" applyFill="1" applyBorder="1" applyAlignment="1">
      <alignment horizontal="center" vertical="center"/>
    </xf>
    <xf numFmtId="0" fontId="194" fillId="48" borderId="121" xfId="1347" applyFont="1" applyFill="1" applyBorder="1" applyAlignment="1">
      <alignment horizontal="center" vertical="center" wrapText="1"/>
    </xf>
    <xf numFmtId="0" fontId="194" fillId="48" borderId="115" xfId="1347" applyFont="1" applyFill="1" applyBorder="1" applyAlignment="1">
      <alignment horizontal="center" vertical="center" wrapText="1"/>
    </xf>
    <xf numFmtId="166" fontId="194" fillId="48" borderId="121" xfId="1358" applyNumberFormat="1" applyFont="1" applyFill="1" applyBorder="1" applyAlignment="1">
      <alignment horizontal="center" vertical="center"/>
    </xf>
    <xf numFmtId="0" fontId="194" fillId="48" borderId="117" xfId="1347" applyFont="1" applyFill="1" applyBorder="1" applyAlignment="1">
      <alignment horizontal="center" vertical="center"/>
    </xf>
    <xf numFmtId="0" fontId="0" fillId="48" borderId="0" xfId="0" applyFill="1"/>
    <xf numFmtId="0" fontId="0" fillId="48" borderId="0" xfId="0" applyFill="1" applyAlignment="1">
      <alignment horizontal="center"/>
    </xf>
    <xf numFmtId="3" fontId="0" fillId="48" borderId="0" xfId="0" applyNumberFormat="1" applyFill="1" applyAlignment="1">
      <alignment horizontal="center"/>
    </xf>
    <xf numFmtId="166" fontId="0" fillId="48" borderId="0" xfId="0" applyNumberFormat="1" applyFill="1" applyAlignment="1">
      <alignment horizontal="center"/>
    </xf>
    <xf numFmtId="165" fontId="0" fillId="48" borderId="0" xfId="0" applyNumberFormat="1" applyFill="1" applyAlignment="1">
      <alignment horizontal="center"/>
    </xf>
    <xf numFmtId="0" fontId="0" fillId="48" borderId="65" xfId="0" applyFill="1" applyBorder="1"/>
    <xf numFmtId="0" fontId="0" fillId="48" borderId="65" xfId="0" applyFill="1" applyBorder="1" applyAlignment="1">
      <alignment horizontal="center"/>
    </xf>
    <xf numFmtId="3" fontId="0" fillId="48" borderId="65" xfId="0" applyNumberFormat="1" applyFill="1" applyBorder="1" applyAlignment="1">
      <alignment horizontal="center"/>
    </xf>
    <xf numFmtId="166" fontId="0" fillId="48" borderId="65" xfId="0" applyNumberFormat="1" applyFill="1" applyBorder="1" applyAlignment="1">
      <alignment horizontal="center"/>
    </xf>
    <xf numFmtId="165" fontId="0" fillId="48" borderId="65" xfId="0" applyNumberFormat="1" applyFill="1" applyBorder="1" applyAlignment="1">
      <alignment horizontal="center"/>
    </xf>
    <xf numFmtId="0" fontId="167" fillId="51" borderId="0" xfId="1347" applyFont="1" applyFill="1"/>
    <xf numFmtId="0" fontId="200" fillId="51" borderId="0" xfId="0" applyFont="1" applyFill="1"/>
    <xf numFmtId="0" fontId="198" fillId="0" borderId="0" xfId="0" applyFont="1" applyAlignment="1">
      <alignment horizontal="center"/>
    </xf>
    <xf numFmtId="3" fontId="198" fillId="0" borderId="0" xfId="0" applyNumberFormat="1" applyFont="1" applyAlignment="1">
      <alignment horizontal="center"/>
    </xf>
    <xf numFmtId="166" fontId="198" fillId="0" borderId="0" xfId="0" applyNumberFormat="1" applyFont="1" applyAlignment="1">
      <alignment horizontal="center"/>
    </xf>
    <xf numFmtId="165" fontId="198" fillId="0" borderId="0" xfId="0" applyNumberFormat="1" applyFont="1" applyAlignment="1">
      <alignment horizontal="center"/>
    </xf>
    <xf numFmtId="0" fontId="198" fillId="42" borderId="65" xfId="0" applyFont="1" applyFill="1" applyBorder="1" applyAlignment="1">
      <alignment horizontal="left"/>
    </xf>
    <xf numFmtId="49" fontId="0" fillId="0" borderId="0" xfId="0" applyNumberFormat="1" applyAlignment="1">
      <alignment horizontal="center"/>
    </xf>
    <xf numFmtId="0" fontId="194" fillId="0" borderId="0" xfId="1347" applyFont="1"/>
    <xf numFmtId="0" fontId="2" fillId="0" borderId="0" xfId="1347" applyAlignment="1">
      <alignment horizontal="center"/>
    </xf>
    <xf numFmtId="166" fontId="2" fillId="0" borderId="0" xfId="1347" applyNumberFormat="1" applyAlignment="1">
      <alignment horizontal="center"/>
    </xf>
    <xf numFmtId="0" fontId="200" fillId="0" borderId="0" xfId="0" applyFont="1"/>
    <xf numFmtId="165" fontId="170" fillId="0" borderId="0" xfId="0" applyNumberFormat="1" applyFont="1" applyAlignment="1">
      <alignment horizontal="center"/>
    </xf>
    <xf numFmtId="165" fontId="0" fillId="0" borderId="0" xfId="0" applyNumberFormat="1"/>
    <xf numFmtId="3" fontId="170" fillId="0" borderId="0" xfId="0" applyNumberFormat="1" applyFont="1" applyAlignment="1">
      <alignment horizontal="center"/>
    </xf>
    <xf numFmtId="7" fontId="172" fillId="0" borderId="115" xfId="22" applyNumberFormat="1" applyFont="1" applyFill="1" applyBorder="1" applyAlignment="1">
      <alignment horizontal="center"/>
    </xf>
    <xf numFmtId="7" fontId="199" fillId="0" borderId="0" xfId="0" applyNumberFormat="1" applyFont="1"/>
    <xf numFmtId="0" fontId="171" fillId="0" borderId="148" xfId="0" applyFont="1" applyBorder="1" applyAlignment="1">
      <alignment horizontal="center" vertical="center" wrapText="1"/>
    </xf>
    <xf numFmtId="168" fontId="191" fillId="0" borderId="114" xfId="1360" applyNumberFormat="1" applyFont="1" applyBorder="1" applyAlignment="1">
      <alignment horizontal="center" vertical="center"/>
    </xf>
    <xf numFmtId="168" fontId="191" fillId="0" borderId="115" xfId="1360" applyNumberFormat="1" applyFont="1" applyBorder="1" applyAlignment="1">
      <alignment horizontal="center" vertical="center"/>
    </xf>
    <xf numFmtId="168" fontId="191" fillId="0" borderId="110" xfId="1360" applyNumberFormat="1" applyFont="1" applyBorder="1" applyAlignment="1">
      <alignment horizontal="center" vertical="center"/>
    </xf>
    <xf numFmtId="168" fontId="190" fillId="0" borderId="197" xfId="1360" applyNumberFormat="1" applyFont="1" applyBorder="1" applyAlignment="1">
      <alignment horizontal="center" vertical="center"/>
    </xf>
    <xf numFmtId="167" fontId="190" fillId="0" borderId="177" xfId="1" applyNumberFormat="1" applyFont="1" applyBorder="1" applyAlignment="1">
      <alignment horizontal="center" vertical="center"/>
    </xf>
    <xf numFmtId="168" fontId="191" fillId="0" borderId="138" xfId="1360" applyNumberFormat="1" applyFont="1" applyBorder="1" applyAlignment="1">
      <alignment horizontal="center" vertical="center"/>
    </xf>
    <xf numFmtId="0" fontId="176" fillId="49" borderId="186" xfId="0" applyFont="1" applyFill="1" applyBorder="1" applyAlignment="1">
      <alignment horizontal="center" vertical="center" wrapText="1"/>
    </xf>
    <xf numFmtId="0" fontId="176" fillId="49" borderId="189" xfId="0" applyFont="1" applyFill="1" applyBorder="1" applyAlignment="1">
      <alignment horizontal="center" vertical="center" wrapText="1"/>
    </xf>
    <xf numFmtId="0" fontId="176" fillId="49" borderId="139" xfId="0" applyFont="1" applyFill="1" applyBorder="1" applyAlignment="1">
      <alignment horizontal="center" vertical="center" wrapText="1"/>
    </xf>
    <xf numFmtId="3" fontId="172" fillId="0" borderId="63" xfId="0" applyNumberFormat="1" applyFont="1" applyBorder="1" applyAlignment="1">
      <alignment horizontal="center" vertical="center"/>
    </xf>
    <xf numFmtId="3" fontId="172" fillId="0" borderId="0" xfId="0" applyNumberFormat="1" applyFont="1" applyAlignment="1">
      <alignment horizontal="center" vertical="center"/>
    </xf>
    <xf numFmtId="1" fontId="172" fillId="0" borderId="0" xfId="0" applyNumberFormat="1" applyFont="1" applyAlignment="1">
      <alignment horizontal="center" vertical="center"/>
    </xf>
    <xf numFmtId="1" fontId="172" fillId="0" borderId="6" xfId="0" applyNumberFormat="1" applyFont="1" applyBorder="1" applyAlignment="1">
      <alignment horizontal="center" vertical="center"/>
    </xf>
    <xf numFmtId="3" fontId="172" fillId="0" borderId="121" xfId="0" applyNumberFormat="1" applyFont="1" applyBorder="1" applyAlignment="1">
      <alignment horizontal="center" vertical="center"/>
    </xf>
    <xf numFmtId="0" fontId="172" fillId="0" borderId="0" xfId="0" applyFont="1" applyAlignment="1">
      <alignment horizontal="center" vertical="center"/>
    </xf>
    <xf numFmtId="38" fontId="172" fillId="0" borderId="0" xfId="0" applyNumberFormat="1" applyFont="1" applyAlignment="1">
      <alignment horizontal="center" vertical="center"/>
    </xf>
    <xf numFmtId="38" fontId="172" fillId="0" borderId="6" xfId="0" applyNumberFormat="1" applyFont="1" applyBorder="1" applyAlignment="1">
      <alignment horizontal="center" vertical="center"/>
    </xf>
    <xf numFmtId="9" fontId="172" fillId="0" borderId="92" xfId="1" applyFont="1" applyFill="1" applyBorder="1" applyAlignment="1">
      <alignment horizontal="center" vertical="center" wrapText="1"/>
    </xf>
    <xf numFmtId="3" fontId="172" fillId="0" borderId="92" xfId="0" applyNumberFormat="1" applyFont="1" applyBorder="1" applyAlignment="1">
      <alignment horizontal="center" vertical="center"/>
    </xf>
    <xf numFmtId="38" fontId="172" fillId="0" borderId="92" xfId="0" applyNumberFormat="1" applyFont="1" applyBorder="1" applyAlignment="1">
      <alignment horizontal="center" vertical="center"/>
    </xf>
    <xf numFmtId="38" fontId="172" fillId="0" borderId="78" xfId="0" applyNumberFormat="1" applyFont="1" applyBorder="1" applyAlignment="1">
      <alignment horizontal="center" vertical="center"/>
    </xf>
    <xf numFmtId="6" fontId="172" fillId="0" borderId="115" xfId="0" applyNumberFormat="1" applyFont="1" applyBorder="1" applyAlignment="1">
      <alignment horizontal="center" vertical="center"/>
    </xf>
    <xf numFmtId="2" fontId="172" fillId="0" borderId="65" xfId="1" applyNumberFormat="1" applyFont="1" applyBorder="1" applyAlignment="1">
      <alignment horizontal="center"/>
    </xf>
    <xf numFmtId="166" fontId="172" fillId="47" borderId="0" xfId="0" applyNumberFormat="1" applyFont="1" applyFill="1" applyAlignment="1">
      <alignment horizontal="center"/>
    </xf>
    <xf numFmtId="167" fontId="172" fillId="47" borderId="0" xfId="0" applyNumberFormat="1" applyFont="1" applyFill="1" applyAlignment="1">
      <alignment horizontal="center"/>
    </xf>
    <xf numFmtId="165" fontId="172" fillId="47" borderId="0" xfId="0" applyNumberFormat="1" applyFont="1" applyFill="1" applyAlignment="1">
      <alignment horizontal="center"/>
    </xf>
    <xf numFmtId="167" fontId="172" fillId="0" borderId="0" xfId="0" applyNumberFormat="1" applyFont="1" applyAlignment="1">
      <alignment horizontal="center"/>
    </xf>
    <xf numFmtId="10" fontId="172" fillId="0" borderId="0" xfId="0" applyNumberFormat="1" applyFont="1" applyAlignment="1">
      <alignment horizontal="center"/>
    </xf>
    <xf numFmtId="2" fontId="172" fillId="0" borderId="0" xfId="1" applyNumberFormat="1" applyFont="1" applyBorder="1" applyAlignment="1">
      <alignment horizontal="center"/>
    </xf>
    <xf numFmtId="2" fontId="172" fillId="47" borderId="0" xfId="0" applyNumberFormat="1" applyFont="1" applyFill="1" applyAlignment="1">
      <alignment horizontal="center"/>
    </xf>
    <xf numFmtId="166" fontId="176" fillId="0" borderId="77" xfId="0" applyNumberFormat="1" applyFont="1" applyBorder="1" applyAlignment="1">
      <alignment horizontal="center"/>
    </xf>
    <xf numFmtId="166" fontId="176" fillId="0" borderId="92" xfId="0" applyNumberFormat="1" applyFont="1" applyBorder="1" applyAlignment="1">
      <alignment horizontal="center"/>
    </xf>
    <xf numFmtId="0" fontId="172" fillId="0" borderId="92" xfId="0" applyFont="1" applyBorder="1" applyAlignment="1">
      <alignment horizontal="center"/>
    </xf>
    <xf numFmtId="166" fontId="176" fillId="0" borderId="78" xfId="0" applyNumberFormat="1" applyFont="1" applyBorder="1" applyAlignment="1">
      <alignment horizontal="center"/>
    </xf>
    <xf numFmtId="0" fontId="171" fillId="49" borderId="114" xfId="0" applyFont="1" applyFill="1" applyBorder="1" applyAlignment="1">
      <alignment horizontal="center"/>
    </xf>
    <xf numFmtId="0" fontId="171" fillId="49" borderId="112" xfId="0" applyFont="1" applyFill="1" applyBorder="1" applyAlignment="1">
      <alignment horizontal="center"/>
    </xf>
    <xf numFmtId="0" fontId="171" fillId="49" borderId="116" xfId="0" applyFont="1" applyFill="1" applyBorder="1" applyAlignment="1">
      <alignment horizontal="center"/>
    </xf>
    <xf numFmtId="166" fontId="172" fillId="47" borderId="57" xfId="0" applyNumberFormat="1" applyFont="1" applyFill="1" applyBorder="1" applyAlignment="1">
      <alignment horizontal="center"/>
    </xf>
    <xf numFmtId="165" fontId="172" fillId="47" borderId="167" xfId="0" applyNumberFormat="1" applyFont="1" applyFill="1" applyBorder="1" applyAlignment="1">
      <alignment horizontal="center"/>
    </xf>
    <xf numFmtId="166" fontId="172" fillId="0" borderId="57" xfId="0" applyNumberFormat="1" applyFont="1" applyBorder="1" applyAlignment="1">
      <alignment horizontal="center"/>
    </xf>
    <xf numFmtId="166" fontId="172" fillId="0" borderId="167" xfId="0" applyNumberFormat="1" applyFont="1" applyBorder="1" applyAlignment="1">
      <alignment horizontal="center"/>
    </xf>
    <xf numFmtId="166" fontId="172" fillId="47" borderId="167" xfId="0" applyNumberFormat="1" applyFont="1" applyFill="1" applyBorder="1" applyAlignment="1">
      <alignment horizontal="center"/>
    </xf>
    <xf numFmtId="166" fontId="172" fillId="0" borderId="64" xfId="0" applyNumberFormat="1" applyFont="1" applyBorder="1" applyAlignment="1">
      <alignment horizontal="center"/>
    </xf>
    <xf numFmtId="166" fontId="172" fillId="0" borderId="8" xfId="0" applyNumberFormat="1" applyFont="1" applyBorder="1" applyAlignment="1">
      <alignment horizontal="center"/>
    </xf>
    <xf numFmtId="0" fontId="176" fillId="0" borderId="176" xfId="0" applyFont="1" applyBorder="1" applyAlignment="1">
      <alignment horizontal="center" vertical="center"/>
    </xf>
    <xf numFmtId="0" fontId="176" fillId="0" borderId="177" xfId="0" applyFont="1" applyBorder="1" applyAlignment="1">
      <alignment horizontal="center" vertical="center"/>
    </xf>
    <xf numFmtId="3" fontId="176" fillId="0" borderId="177" xfId="0" applyNumberFormat="1" applyFont="1" applyBorder="1" applyAlignment="1">
      <alignment horizontal="center" vertical="center"/>
    </xf>
    <xf numFmtId="3" fontId="176" fillId="0" borderId="178" xfId="0" applyNumberFormat="1" applyFont="1" applyBorder="1" applyAlignment="1">
      <alignment horizontal="center" vertical="center"/>
    </xf>
    <xf numFmtId="344" fontId="15" fillId="0" borderId="121" xfId="0" applyNumberFormat="1" applyFont="1" applyBorder="1" applyAlignment="1">
      <alignment horizontal="left"/>
    </xf>
    <xf numFmtId="345" fontId="15" fillId="0" borderId="121" xfId="0" applyNumberFormat="1" applyFont="1" applyBorder="1" applyAlignment="1">
      <alignment horizontal="left"/>
    </xf>
    <xf numFmtId="346" fontId="15" fillId="0" borderId="63" xfId="0" applyNumberFormat="1" applyFont="1" applyBorder="1" applyAlignment="1">
      <alignment horizontal="left"/>
    </xf>
    <xf numFmtId="0" fontId="170" fillId="0" borderId="184" xfId="0" applyFont="1" applyBorder="1" applyAlignment="1">
      <alignment horizontal="center" vertical="center"/>
    </xf>
    <xf numFmtId="0" fontId="170" fillId="0" borderId="90" xfId="0" applyFont="1" applyBorder="1" applyAlignment="1">
      <alignment horizontal="center" vertical="center"/>
    </xf>
    <xf numFmtId="277" fontId="191" fillId="0" borderId="115" xfId="0" applyNumberFormat="1" applyFont="1" applyBorder="1" applyAlignment="1">
      <alignment horizontal="center" vertical="center"/>
    </xf>
    <xf numFmtId="277" fontId="191" fillId="0" borderId="119" xfId="0" applyNumberFormat="1" applyFont="1" applyBorder="1" applyAlignment="1">
      <alignment horizontal="center" vertical="center"/>
    </xf>
    <xf numFmtId="0" fontId="191" fillId="41" borderId="200" xfId="0" applyFont="1" applyFill="1" applyBorder="1" applyAlignment="1">
      <alignment horizontal="center" vertical="center"/>
    </xf>
    <xf numFmtId="3" fontId="190" fillId="0" borderId="84" xfId="0" applyNumberFormat="1" applyFont="1" applyBorder="1" applyAlignment="1">
      <alignment horizontal="center" vertical="center"/>
    </xf>
    <xf numFmtId="166" fontId="190" fillId="0" borderId="179" xfId="0" applyNumberFormat="1" applyFont="1" applyBorder="1" applyAlignment="1">
      <alignment horizontal="center" vertical="center"/>
    </xf>
    <xf numFmtId="281" fontId="190" fillId="0" borderId="180" xfId="0" applyNumberFormat="1" applyFont="1" applyBorder="1" applyAlignment="1">
      <alignment horizontal="center" vertical="center"/>
    </xf>
    <xf numFmtId="0" fontId="190" fillId="41" borderId="179" xfId="0" applyFont="1" applyFill="1" applyBorder="1" applyAlignment="1">
      <alignment horizontal="center" vertical="center"/>
    </xf>
    <xf numFmtId="179" fontId="190" fillId="0" borderId="179" xfId="0" applyNumberFormat="1" applyFont="1" applyBorder="1" applyAlignment="1">
      <alignment horizontal="center" vertical="center"/>
    </xf>
    <xf numFmtId="43" fontId="172" fillId="0" borderId="0" xfId="1360" applyFont="1"/>
    <xf numFmtId="348" fontId="23" fillId="0" borderId="76" xfId="0" applyNumberFormat="1" applyFont="1" applyBorder="1" applyAlignment="1">
      <alignment horizontal="center"/>
    </xf>
    <xf numFmtId="349" fontId="175" fillId="0" borderId="115" xfId="0" applyNumberFormat="1" applyFont="1" applyBorder="1" applyAlignment="1">
      <alignment horizontal="left"/>
    </xf>
    <xf numFmtId="350" fontId="175" fillId="0" borderId="115" xfId="0" applyNumberFormat="1" applyFont="1" applyBorder="1" applyAlignment="1">
      <alignment horizontal="left"/>
    </xf>
    <xf numFmtId="0" fontId="171" fillId="37" borderId="79" xfId="0" applyFont="1" applyFill="1" applyBorder="1" applyAlignment="1">
      <alignment horizontal="center"/>
    </xf>
    <xf numFmtId="0" fontId="171" fillId="37" borderId="80" xfId="0" applyFont="1" applyFill="1" applyBorder="1" applyAlignment="1">
      <alignment horizontal="center"/>
    </xf>
    <xf numFmtId="0" fontId="171" fillId="37" borderId="81" xfId="0" applyFont="1" applyFill="1" applyBorder="1" applyAlignment="1">
      <alignment horizontal="center"/>
    </xf>
    <xf numFmtId="0" fontId="194" fillId="48" borderId="115" xfId="1347" applyFont="1" applyFill="1" applyBorder="1" applyAlignment="1">
      <alignment horizontal="left" vertical="center"/>
    </xf>
    <xf numFmtId="0" fontId="194" fillId="48" borderId="117" xfId="1347" applyFont="1" applyFill="1" applyBorder="1" applyAlignment="1">
      <alignment horizontal="left" vertical="center"/>
    </xf>
    <xf numFmtId="0" fontId="2" fillId="0" borderId="0" xfId="1347" applyAlignment="1">
      <alignment horizontal="center"/>
    </xf>
    <xf numFmtId="166" fontId="194" fillId="42" borderId="186" xfId="1358" applyNumberFormat="1" applyFont="1" applyFill="1" applyBorder="1" applyAlignment="1">
      <alignment horizontal="center" vertical="center"/>
    </xf>
    <xf numFmtId="166" fontId="194" fillId="42" borderId="189" xfId="1358" applyNumberFormat="1" applyFont="1" applyFill="1" applyBorder="1" applyAlignment="1">
      <alignment horizontal="center" vertical="center"/>
    </xf>
    <xf numFmtId="166" fontId="194" fillId="42" borderId="139" xfId="1358" applyNumberFormat="1" applyFont="1" applyFill="1" applyBorder="1" applyAlignment="1">
      <alignment horizontal="center" vertical="center"/>
    </xf>
    <xf numFmtId="0" fontId="194" fillId="47" borderId="186" xfId="1347" applyFont="1" applyFill="1" applyBorder="1" applyAlignment="1">
      <alignment horizontal="center" vertical="center"/>
    </xf>
    <xf numFmtId="0" fontId="194" fillId="47" borderId="189" xfId="1347" applyFont="1" applyFill="1" applyBorder="1" applyAlignment="1">
      <alignment horizontal="center" vertical="center"/>
    </xf>
    <xf numFmtId="0" fontId="194" fillId="47" borderId="139" xfId="1347" applyFont="1" applyFill="1" applyBorder="1" applyAlignment="1">
      <alignment horizontal="center" vertical="center"/>
    </xf>
    <xf numFmtId="0" fontId="194" fillId="48" borderId="122" xfId="1347" applyFont="1" applyFill="1" applyBorder="1" applyAlignment="1">
      <alignment horizontal="center" vertical="center"/>
    </xf>
    <xf numFmtId="0" fontId="194" fillId="48" borderId="124" xfId="1347" applyFont="1" applyFill="1" applyBorder="1" applyAlignment="1">
      <alignment horizontal="center" vertical="center"/>
    </xf>
    <xf numFmtId="0" fontId="2" fillId="36" borderId="115" xfId="1347" applyFill="1" applyBorder="1" applyAlignment="1">
      <alignment horizontal="left" vertical="center"/>
    </xf>
    <xf numFmtId="0" fontId="2" fillId="36" borderId="117" xfId="1347" applyFill="1" applyBorder="1" applyAlignment="1">
      <alignment horizontal="left" vertical="center"/>
    </xf>
    <xf numFmtId="3" fontId="172" fillId="0" borderId="121" xfId="0" applyNumberFormat="1" applyFont="1" applyBorder="1" applyAlignment="1">
      <alignment horizontal="center" vertical="center"/>
    </xf>
    <xf numFmtId="0" fontId="172" fillId="0" borderId="121" xfId="0" applyFont="1" applyBorder="1" applyAlignment="1">
      <alignment horizontal="center" vertical="center"/>
    </xf>
    <xf numFmtId="0" fontId="172" fillId="0" borderId="123" xfId="0" applyFont="1" applyBorder="1" applyAlignment="1">
      <alignment horizontal="center" vertical="center"/>
    </xf>
    <xf numFmtId="1" fontId="172" fillId="0" borderId="0" xfId="0" applyNumberFormat="1" applyFont="1" applyAlignment="1">
      <alignment horizontal="center" vertical="center"/>
    </xf>
    <xf numFmtId="1" fontId="172" fillId="0" borderId="6" xfId="0" applyNumberFormat="1" applyFont="1" applyBorder="1" applyAlignment="1">
      <alignment horizontal="center" vertical="center"/>
    </xf>
    <xf numFmtId="0" fontId="176" fillId="40" borderId="186" xfId="0" applyFont="1" applyFill="1" applyBorder="1" applyAlignment="1">
      <alignment horizontal="center" vertical="center" wrapText="1"/>
    </xf>
    <xf numFmtId="0" fontId="176" fillId="40" borderId="189" xfId="0" applyFont="1" applyFill="1" applyBorder="1" applyAlignment="1">
      <alignment horizontal="center" vertical="center" wrapText="1"/>
    </xf>
    <xf numFmtId="0" fontId="176" fillId="40" borderId="139" xfId="0" applyFont="1" applyFill="1" applyBorder="1" applyAlignment="1">
      <alignment horizontal="center" vertical="center" wrapText="1"/>
    </xf>
    <xf numFmtId="0" fontId="23" fillId="0" borderId="113" xfId="0" applyFont="1" applyBorder="1" applyAlignment="1">
      <alignment horizontal="center" vertical="center" wrapText="1"/>
    </xf>
    <xf numFmtId="0" fontId="23" fillId="0" borderId="112" xfId="0" applyFont="1" applyBorder="1" applyAlignment="1">
      <alignment horizontal="center" vertical="center" wrapText="1"/>
    </xf>
    <xf numFmtId="0" fontId="23" fillId="0" borderId="136" xfId="0" applyFont="1" applyBorder="1" applyAlignment="1">
      <alignment horizontal="center" vertical="center" wrapText="1"/>
    </xf>
    <xf numFmtId="0" fontId="176" fillId="36" borderId="0" xfId="1347" applyFont="1" applyFill="1" applyAlignment="1">
      <alignment horizontal="center"/>
    </xf>
    <xf numFmtId="0" fontId="176" fillId="40" borderId="184" xfId="0" applyFont="1" applyFill="1" applyBorder="1" applyAlignment="1">
      <alignment horizontal="center" vertical="center" wrapText="1"/>
    </xf>
    <xf numFmtId="0" fontId="176" fillId="40" borderId="185" xfId="0" applyFont="1" applyFill="1" applyBorder="1" applyAlignment="1">
      <alignment horizontal="center" vertical="center" wrapText="1"/>
    </xf>
    <xf numFmtId="0" fontId="196" fillId="39" borderId="141" xfId="0" applyFont="1" applyFill="1" applyBorder="1" applyAlignment="1">
      <alignment horizontal="center" vertical="center"/>
    </xf>
    <xf numFmtId="0" fontId="196" fillId="39" borderId="142" xfId="0" applyFont="1" applyFill="1" applyBorder="1" applyAlignment="1">
      <alignment horizontal="center" vertical="center"/>
    </xf>
    <xf numFmtId="0" fontId="196" fillId="39" borderId="143" xfId="0" applyFont="1" applyFill="1" applyBorder="1" applyAlignment="1">
      <alignment horizontal="center" vertical="center"/>
    </xf>
    <xf numFmtId="0" fontId="188" fillId="38" borderId="157" xfId="0" applyFont="1" applyFill="1" applyBorder="1" applyAlignment="1">
      <alignment horizontal="center" vertical="center"/>
    </xf>
    <xf numFmtId="0" fontId="188" fillId="38" borderId="158" xfId="0" applyFont="1" applyFill="1" applyBorder="1" applyAlignment="1">
      <alignment horizontal="center" vertical="center"/>
    </xf>
    <xf numFmtId="0" fontId="188" fillId="38" borderId="159" xfId="0" applyFont="1" applyFill="1" applyBorder="1" applyAlignment="1">
      <alignment horizontal="center" vertical="center"/>
    </xf>
    <xf numFmtId="0" fontId="189" fillId="4" borderId="77" xfId="0" applyFont="1" applyFill="1" applyBorder="1" applyAlignment="1">
      <alignment horizontal="center" vertical="center"/>
    </xf>
    <xf numFmtId="0" fontId="189" fillId="4" borderId="92" xfId="0" applyFont="1" applyFill="1" applyBorder="1" applyAlignment="1">
      <alignment horizontal="center" vertical="center"/>
    </xf>
    <xf numFmtId="0" fontId="189" fillId="4" borderId="181" xfId="0" applyFont="1" applyFill="1" applyBorder="1" applyAlignment="1">
      <alignment horizontal="center" vertical="center"/>
    </xf>
    <xf numFmtId="0" fontId="189" fillId="4" borderId="182" xfId="0" applyFont="1" applyFill="1" applyBorder="1" applyAlignment="1">
      <alignment horizontal="center" vertical="center"/>
    </xf>
    <xf numFmtId="0" fontId="189" fillId="4" borderId="183" xfId="0" applyFont="1" applyFill="1" applyBorder="1" applyAlignment="1">
      <alignment horizontal="center" vertical="center"/>
    </xf>
    <xf numFmtId="0" fontId="170" fillId="0" borderId="189" xfId="0" applyFont="1" applyBorder="1" applyAlignment="1">
      <alignment horizontal="left" vertical="center" wrapText="1"/>
    </xf>
    <xf numFmtId="0" fontId="170" fillId="0" borderId="139" xfId="0" applyFont="1" applyBorder="1" applyAlignment="1">
      <alignment horizontal="left" vertical="center" wrapText="1"/>
    </xf>
    <xf numFmtId="0" fontId="170" fillId="0" borderId="111" xfId="0" applyFont="1" applyBorder="1" applyAlignment="1">
      <alignment horizontal="left" vertical="center" wrapText="1"/>
    </xf>
    <xf numFmtId="0" fontId="170" fillId="0" borderId="145" xfId="0" applyFont="1" applyBorder="1" applyAlignment="1">
      <alignment horizontal="left" vertical="center" wrapText="1"/>
    </xf>
    <xf numFmtId="0" fontId="170" fillId="0" borderId="104" xfId="0" applyFont="1" applyBorder="1" applyAlignment="1">
      <alignment horizontal="left" vertical="center" wrapText="1"/>
    </xf>
    <xf numFmtId="0" fontId="173" fillId="6" borderId="157" xfId="0" applyFont="1" applyFill="1" applyBorder="1" applyAlignment="1">
      <alignment horizontal="center"/>
    </xf>
    <xf numFmtId="0" fontId="173" fillId="6" borderId="159" xfId="0" applyFont="1" applyFill="1" applyBorder="1" applyAlignment="1">
      <alignment horizontal="center"/>
    </xf>
    <xf numFmtId="0" fontId="173" fillId="6" borderId="161" xfId="0" applyFont="1" applyFill="1" applyBorder="1" applyAlignment="1">
      <alignment horizontal="center"/>
    </xf>
    <xf numFmtId="0" fontId="173" fillId="6" borderId="156" xfId="0" applyFont="1" applyFill="1" applyBorder="1" applyAlignment="1">
      <alignment horizontal="center"/>
    </xf>
    <xf numFmtId="0" fontId="172" fillId="0" borderId="181" xfId="0" applyFont="1" applyBorder="1" applyAlignment="1">
      <alignment horizontal="left" vertical="top" wrapText="1"/>
    </xf>
    <xf numFmtId="0" fontId="172" fillId="0" borderId="182" xfId="0" applyFont="1" applyBorder="1" applyAlignment="1">
      <alignment horizontal="left" vertical="top" wrapText="1"/>
    </xf>
    <xf numFmtId="0" fontId="172" fillId="0" borderId="183" xfId="0" applyFont="1" applyBorder="1" applyAlignment="1">
      <alignment horizontal="left" vertical="top" wrapText="1"/>
    </xf>
    <xf numFmtId="0" fontId="172" fillId="0" borderId="15" xfId="0" applyFont="1" applyBorder="1" applyAlignment="1">
      <alignment horizontal="left" vertical="top" wrapText="1"/>
    </xf>
    <xf numFmtId="0" fontId="172" fillId="0" borderId="0" xfId="0" applyFont="1" applyAlignment="1">
      <alignment horizontal="left" vertical="top" wrapText="1"/>
    </xf>
    <xf numFmtId="0" fontId="172" fillId="0" borderId="6" xfId="0" applyFont="1" applyBorder="1" applyAlignment="1">
      <alignment horizontal="left" vertical="top" wrapText="1"/>
    </xf>
    <xf numFmtId="0" fontId="172" fillId="0" borderId="77" xfId="0" applyFont="1" applyBorder="1" applyAlignment="1">
      <alignment horizontal="left" vertical="top" wrapText="1"/>
    </xf>
    <xf numFmtId="0" fontId="172" fillId="0" borderId="92" xfId="0" applyFont="1" applyBorder="1" applyAlignment="1">
      <alignment horizontal="left" vertical="top" wrapText="1"/>
    </xf>
    <xf numFmtId="0" fontId="172" fillId="0" borderId="78" xfId="0" applyFont="1" applyBorder="1" applyAlignment="1">
      <alignment horizontal="left" vertical="top" wrapText="1"/>
    </xf>
    <xf numFmtId="5" fontId="15" fillId="0" borderId="65" xfId="22" applyNumberFormat="1" applyFont="1" applyFill="1" applyBorder="1" applyAlignment="1">
      <alignment horizontal="center"/>
    </xf>
    <xf numFmtId="0" fontId="15" fillId="0" borderId="192" xfId="0" applyFont="1" applyBorder="1" applyAlignment="1">
      <alignment horizontal="right"/>
    </xf>
    <xf numFmtId="0" fontId="15" fillId="0" borderId="193" xfId="0" applyFont="1" applyBorder="1" applyAlignment="1">
      <alignment horizontal="right"/>
    </xf>
    <xf numFmtId="0" fontId="15" fillId="0" borderId="194" xfId="0" applyFont="1" applyBorder="1" applyAlignment="1">
      <alignment horizontal="right"/>
    </xf>
    <xf numFmtId="0" fontId="173" fillId="6" borderId="160" xfId="0" applyFont="1" applyFill="1" applyBorder="1"/>
    <xf numFmtId="0" fontId="173" fillId="6" borderId="152" xfId="0" applyFont="1" applyFill="1" applyBorder="1"/>
    <xf numFmtId="175" fontId="192" fillId="34" borderId="176" xfId="0" applyNumberFormat="1" applyFont="1" applyFill="1" applyBorder="1" applyAlignment="1">
      <alignment horizontal="center"/>
    </xf>
    <xf numFmtId="175" fontId="192" fillId="34" borderId="177" xfId="0" applyNumberFormat="1" applyFont="1" applyFill="1" applyBorder="1" applyAlignment="1">
      <alignment horizontal="center"/>
    </xf>
    <xf numFmtId="0" fontId="173" fillId="32" borderId="176" xfId="0" applyFont="1" applyFill="1" applyBorder="1" applyAlignment="1">
      <alignment horizontal="center"/>
    </xf>
    <xf numFmtId="0" fontId="173" fillId="32" borderId="177" xfId="0" applyFont="1" applyFill="1" applyBorder="1" applyAlignment="1">
      <alignment horizontal="center"/>
    </xf>
    <xf numFmtId="0" fontId="173" fillId="32" borderId="178" xfId="0" applyFont="1" applyFill="1" applyBorder="1" applyAlignment="1">
      <alignment horizontal="center"/>
    </xf>
    <xf numFmtId="175" fontId="173" fillId="34" borderId="177" xfId="0" applyNumberFormat="1" applyFont="1" applyFill="1" applyBorder="1" applyAlignment="1">
      <alignment horizontal="center"/>
    </xf>
    <xf numFmtId="175" fontId="173" fillId="34" borderId="178" xfId="0" applyNumberFormat="1" applyFont="1" applyFill="1" applyBorder="1" applyAlignment="1">
      <alignment horizontal="center"/>
    </xf>
    <xf numFmtId="5" fontId="15" fillId="0" borderId="132" xfId="22" applyNumberFormat="1" applyFont="1" applyBorder="1" applyAlignment="1">
      <alignment horizontal="center"/>
    </xf>
    <xf numFmtId="5" fontId="15" fillId="0" borderId="133" xfId="22" applyNumberFormat="1" applyFont="1" applyBorder="1" applyAlignment="1">
      <alignment horizontal="center"/>
    </xf>
    <xf numFmtId="0" fontId="172" fillId="0" borderId="0" xfId="0" applyFont="1" applyAlignment="1">
      <alignment horizontal="left"/>
    </xf>
    <xf numFmtId="0" fontId="173" fillId="33" borderId="77" xfId="0" applyFont="1" applyFill="1" applyBorder="1" applyAlignment="1">
      <alignment horizontal="left"/>
    </xf>
    <xf numFmtId="0" fontId="173" fillId="33" borderId="92" xfId="0" applyFont="1" applyFill="1" applyBorder="1" applyAlignment="1">
      <alignment horizontal="left"/>
    </xf>
    <xf numFmtId="175" fontId="173" fillId="33" borderId="92" xfId="0" applyNumberFormat="1" applyFont="1" applyFill="1" applyBorder="1" applyAlignment="1">
      <alignment horizontal="center"/>
    </xf>
    <xf numFmtId="0" fontId="173" fillId="33" borderId="78" xfId="0" applyFont="1" applyFill="1" applyBorder="1" applyAlignment="1">
      <alignment horizontal="center"/>
    </xf>
    <xf numFmtId="0" fontId="176" fillId="0" borderId="0" xfId="0" applyFont="1" applyAlignment="1">
      <alignment horizontal="center" vertical="center"/>
    </xf>
    <xf numFmtId="0" fontId="176" fillId="0" borderId="78" xfId="0" applyFont="1" applyBorder="1" applyAlignment="1">
      <alignment horizontal="center" vertical="center"/>
    </xf>
    <xf numFmtId="0" fontId="176" fillId="0" borderId="65" xfId="0" applyFont="1" applyBorder="1" applyAlignment="1">
      <alignment horizontal="left"/>
    </xf>
    <xf numFmtId="175" fontId="173" fillId="34" borderId="158" xfId="0" applyNumberFormat="1" applyFont="1" applyFill="1" applyBorder="1" applyAlignment="1">
      <alignment horizontal="center"/>
    </xf>
    <xf numFmtId="175" fontId="173" fillId="34" borderId="159" xfId="0" applyNumberFormat="1" applyFont="1" applyFill="1" applyBorder="1" applyAlignment="1">
      <alignment horizontal="center"/>
    </xf>
    <xf numFmtId="0" fontId="173" fillId="32" borderId="157" xfId="0" applyFont="1" applyFill="1" applyBorder="1" applyAlignment="1">
      <alignment horizontal="left"/>
    </xf>
    <xf numFmtId="0" fontId="173" fillId="32" borderId="158" xfId="0" applyFont="1" applyFill="1" applyBorder="1" applyAlignment="1">
      <alignment horizontal="left"/>
    </xf>
    <xf numFmtId="0" fontId="173" fillId="33" borderId="157" xfId="0" applyFont="1" applyFill="1" applyBorder="1" applyAlignment="1">
      <alignment horizontal="left"/>
    </xf>
    <xf numFmtId="0" fontId="173" fillId="33" borderId="158" xfId="0" applyFont="1" applyFill="1" applyBorder="1" applyAlignment="1">
      <alignment horizontal="left"/>
    </xf>
    <xf numFmtId="0" fontId="173" fillId="6" borderId="141" xfId="0" applyFont="1" applyFill="1" applyBorder="1" applyAlignment="1">
      <alignment horizontal="left"/>
    </xf>
    <xf numFmtId="0" fontId="173" fillId="6" borderId="142" xfId="0" applyFont="1" applyFill="1" applyBorder="1" applyAlignment="1">
      <alignment horizontal="left"/>
    </xf>
    <xf numFmtId="175" fontId="192" fillId="34" borderId="157" xfId="0" applyNumberFormat="1" applyFont="1" applyFill="1" applyBorder="1" applyAlignment="1">
      <alignment horizontal="center"/>
    </xf>
    <xf numFmtId="175" fontId="192" fillId="34" borderId="158" xfId="0" applyNumberFormat="1" applyFont="1" applyFill="1" applyBorder="1" applyAlignment="1">
      <alignment horizontal="center"/>
    </xf>
    <xf numFmtId="3" fontId="176" fillId="0" borderId="0" xfId="0" applyNumberFormat="1" applyFont="1" applyAlignment="1">
      <alignment horizontal="center" vertical="center"/>
    </xf>
    <xf numFmtId="0" fontId="176" fillId="4" borderId="110" xfId="0" applyFont="1" applyFill="1" applyBorder="1" applyAlignment="1">
      <alignment horizontal="center"/>
    </xf>
    <xf numFmtId="0" fontId="176" fillId="4" borderId="2" xfId="0" applyFont="1" applyFill="1" applyBorder="1" applyAlignment="1">
      <alignment horizontal="center"/>
    </xf>
    <xf numFmtId="0" fontId="176" fillId="4" borderId="115" xfId="0" applyFont="1" applyFill="1" applyBorder="1" applyAlignment="1">
      <alignment horizontal="center"/>
    </xf>
    <xf numFmtId="8" fontId="15" fillId="0" borderId="181" xfId="0" applyNumberFormat="1" applyFont="1" applyBorder="1" applyAlignment="1">
      <alignment horizontal="left" vertical="top" wrapText="1"/>
    </xf>
    <xf numFmtId="8" fontId="15" fillId="0" borderId="182" xfId="0" applyNumberFormat="1" applyFont="1" applyBorder="1" applyAlignment="1">
      <alignment horizontal="left" vertical="top" wrapText="1"/>
    </xf>
    <xf numFmtId="8" fontId="15" fillId="0" borderId="183" xfId="0" applyNumberFormat="1" applyFont="1" applyBorder="1" applyAlignment="1">
      <alignment horizontal="left" vertical="top" wrapText="1"/>
    </xf>
    <xf numFmtId="8" fontId="15" fillId="0" borderId="15" xfId="0" applyNumberFormat="1" applyFont="1" applyBorder="1" applyAlignment="1">
      <alignment horizontal="left" vertical="top" wrapText="1"/>
    </xf>
    <xf numFmtId="8" fontId="15" fillId="0" borderId="0" xfId="0" applyNumberFormat="1" applyFont="1" applyAlignment="1">
      <alignment horizontal="left" vertical="top" wrapText="1"/>
    </xf>
    <xf numFmtId="8" fontId="15" fillId="0" borderId="6" xfId="0" applyNumberFormat="1" applyFont="1" applyBorder="1" applyAlignment="1">
      <alignment horizontal="left" vertical="top" wrapText="1"/>
    </xf>
    <xf numFmtId="8" fontId="15" fillId="0" borderId="77" xfId="0" applyNumberFormat="1" applyFont="1" applyBorder="1" applyAlignment="1">
      <alignment horizontal="left" vertical="top" wrapText="1"/>
    </xf>
    <xf numFmtId="8" fontId="15" fillId="0" borderId="92" xfId="0" applyNumberFormat="1" applyFont="1" applyBorder="1" applyAlignment="1">
      <alignment horizontal="left" vertical="top" wrapText="1"/>
    </xf>
    <xf numFmtId="8" fontId="15" fillId="0" borderId="78" xfId="0" applyNumberFormat="1" applyFont="1" applyBorder="1" applyAlignment="1">
      <alignment horizontal="left" vertical="top" wrapText="1"/>
    </xf>
    <xf numFmtId="5" fontId="15" fillId="0" borderId="126" xfId="22" applyNumberFormat="1" applyFont="1" applyFill="1" applyBorder="1" applyAlignment="1">
      <alignment horizontal="center"/>
    </xf>
    <xf numFmtId="0" fontId="173" fillId="6" borderId="157" xfId="0" applyFont="1" applyFill="1" applyBorder="1" applyAlignment="1">
      <alignment horizontal="left"/>
    </xf>
    <xf numFmtId="0" fontId="173" fillId="6" borderId="158" xfId="0" applyFont="1" applyFill="1" applyBorder="1" applyAlignment="1">
      <alignment horizontal="left"/>
    </xf>
    <xf numFmtId="5" fontId="15" fillId="0" borderId="13" xfId="22" applyNumberFormat="1" applyFont="1" applyBorder="1" applyAlignment="1">
      <alignment horizontal="center"/>
    </xf>
    <xf numFmtId="5" fontId="15" fillId="0" borderId="198" xfId="22" applyNumberFormat="1" applyFont="1" applyBorder="1" applyAlignment="1">
      <alignment horizontal="center"/>
    </xf>
    <xf numFmtId="3" fontId="173" fillId="32" borderId="177" xfId="0" applyNumberFormat="1" applyFont="1" applyFill="1" applyBorder="1" applyAlignment="1">
      <alignment horizontal="center"/>
    </xf>
    <xf numFmtId="0" fontId="173" fillId="32" borderId="176" xfId="0" applyFont="1" applyFill="1" applyBorder="1" applyAlignment="1">
      <alignment horizontal="left"/>
    </xf>
    <xf numFmtId="0" fontId="173" fillId="32" borderId="177" xfId="0" applyFont="1" applyFill="1" applyBorder="1" applyAlignment="1">
      <alignment horizontal="left"/>
    </xf>
    <xf numFmtId="3" fontId="173" fillId="33" borderId="158" xfId="0" applyNumberFormat="1" applyFont="1" applyFill="1" applyBorder="1" applyAlignment="1">
      <alignment horizontal="center"/>
    </xf>
    <xf numFmtId="0" fontId="173" fillId="33" borderId="159" xfId="0" applyFont="1" applyFill="1" applyBorder="1" applyAlignment="1">
      <alignment horizontal="center"/>
    </xf>
    <xf numFmtId="5" fontId="23" fillId="0" borderId="115" xfId="22" applyNumberFormat="1" applyFont="1" applyFill="1" applyBorder="1" applyAlignment="1">
      <alignment horizontal="center"/>
    </xf>
    <xf numFmtId="5" fontId="23" fillId="0" borderId="126" xfId="22" applyNumberFormat="1" applyFont="1" applyFill="1" applyBorder="1" applyAlignment="1">
      <alignment horizontal="center"/>
    </xf>
    <xf numFmtId="0" fontId="176" fillId="0" borderId="6" xfId="0" applyFont="1" applyBorder="1" applyAlignment="1">
      <alignment horizontal="center" vertical="center"/>
    </xf>
    <xf numFmtId="0" fontId="176" fillId="4" borderId="114" xfId="0" applyFont="1" applyFill="1" applyBorder="1" applyAlignment="1">
      <alignment horizontal="center"/>
    </xf>
    <xf numFmtId="0" fontId="176" fillId="4" borderId="116" xfId="0" applyFont="1" applyFill="1" applyBorder="1" applyAlignment="1">
      <alignment horizontal="center"/>
    </xf>
    <xf numFmtId="175" fontId="173" fillId="32" borderId="158" xfId="0" applyNumberFormat="1" applyFont="1" applyFill="1" applyBorder="1" applyAlignment="1">
      <alignment horizontal="center" vertical="center"/>
    </xf>
    <xf numFmtId="0" fontId="173" fillId="32" borderId="159" xfId="0" applyFont="1" applyFill="1" applyBorder="1" applyAlignment="1">
      <alignment horizontal="center" vertical="center"/>
    </xf>
    <xf numFmtId="0" fontId="173" fillId="32" borderId="157" xfId="0" applyFont="1" applyFill="1" applyBorder="1" applyAlignment="1">
      <alignment horizontal="left" vertical="center"/>
    </xf>
    <xf numFmtId="0" fontId="173" fillId="32" borderId="158" xfId="0" applyFont="1" applyFill="1" applyBorder="1" applyAlignment="1">
      <alignment horizontal="left" vertical="center"/>
    </xf>
    <xf numFmtId="0" fontId="173" fillId="32" borderId="157" xfId="0" applyFont="1" applyFill="1" applyBorder="1" applyAlignment="1">
      <alignment horizontal="center" vertical="center"/>
    </xf>
    <xf numFmtId="0" fontId="173" fillId="32" borderId="158" xfId="0" applyFont="1" applyFill="1" applyBorder="1" applyAlignment="1">
      <alignment horizontal="center" vertical="center"/>
    </xf>
    <xf numFmtId="5" fontId="15" fillId="0" borderId="132" xfId="22" applyNumberFormat="1" applyFont="1" applyBorder="1" applyAlignment="1">
      <alignment horizontal="center" vertical="center"/>
    </xf>
    <xf numFmtId="5" fontId="15" fillId="0" borderId="150" xfId="22" applyNumberFormat="1" applyFont="1" applyBorder="1" applyAlignment="1">
      <alignment horizontal="center" vertical="center"/>
    </xf>
    <xf numFmtId="0" fontId="15" fillId="0" borderId="77" xfId="0" applyFont="1" applyBorder="1" applyAlignment="1">
      <alignment horizontal="right" vertical="center"/>
    </xf>
    <xf numFmtId="0" fontId="15" fillId="0" borderId="92" xfId="0" applyFont="1" applyBorder="1" applyAlignment="1">
      <alignment horizontal="right" vertical="center"/>
    </xf>
    <xf numFmtId="0" fontId="15" fillId="0" borderId="88" xfId="0" applyFont="1" applyBorder="1" applyAlignment="1">
      <alignment horizontal="right" vertical="center"/>
    </xf>
    <xf numFmtId="0" fontId="173" fillId="6" borderId="160" xfId="0" applyFont="1" applyFill="1" applyBorder="1" applyAlignment="1">
      <alignment horizontal="left"/>
    </xf>
    <xf numFmtId="0" fontId="173" fillId="6" borderId="163" xfId="0" applyFont="1" applyFill="1" applyBorder="1" applyAlignment="1">
      <alignment horizontal="left"/>
    </xf>
    <xf numFmtId="5" fontId="15" fillId="0" borderId="71" xfId="22" applyNumberFormat="1" applyFont="1" applyBorder="1" applyAlignment="1">
      <alignment horizontal="center" vertical="center"/>
    </xf>
    <xf numFmtId="5" fontId="15" fillId="0" borderId="172" xfId="22" applyNumberFormat="1" applyFont="1" applyBorder="1" applyAlignment="1">
      <alignment horizontal="center" vertical="center"/>
    </xf>
    <xf numFmtId="0" fontId="173" fillId="33" borderId="157" xfId="0" applyFont="1" applyFill="1" applyBorder="1" applyAlignment="1">
      <alignment horizontal="left" vertical="center"/>
    </xf>
    <xf numFmtId="0" fontId="173" fillId="33" borderId="158" xfId="0" applyFont="1" applyFill="1" applyBorder="1" applyAlignment="1">
      <alignment horizontal="left" vertical="center"/>
    </xf>
    <xf numFmtId="175" fontId="173" fillId="33" borderId="158" xfId="0" applyNumberFormat="1" applyFont="1" applyFill="1" applyBorder="1" applyAlignment="1">
      <alignment horizontal="center" vertical="center"/>
    </xf>
    <xf numFmtId="0" fontId="173" fillId="33" borderId="159" xfId="0" applyFont="1" applyFill="1" applyBorder="1" applyAlignment="1">
      <alignment horizontal="center" vertical="center"/>
    </xf>
    <xf numFmtId="5" fontId="23" fillId="0" borderId="115" xfId="22" applyNumberFormat="1" applyFont="1" applyBorder="1" applyAlignment="1">
      <alignment horizontal="center" vertical="center"/>
    </xf>
    <xf numFmtId="5" fontId="23" fillId="0" borderId="114" xfId="22" applyNumberFormat="1" applyFont="1" applyBorder="1" applyAlignment="1">
      <alignment horizontal="center" vertical="center"/>
    </xf>
    <xf numFmtId="5" fontId="15" fillId="0" borderId="71" xfId="22" applyNumberFormat="1" applyFont="1" applyBorder="1" applyAlignment="1">
      <alignment horizontal="center"/>
    </xf>
    <xf numFmtId="5" fontId="15" fillId="0" borderId="172" xfId="22" applyNumberFormat="1" applyFont="1" applyBorder="1" applyAlignment="1">
      <alignment horizontal="center"/>
    </xf>
    <xf numFmtId="0" fontId="173" fillId="33" borderId="176" xfId="0" applyFont="1" applyFill="1" applyBorder="1" applyAlignment="1">
      <alignment horizontal="right"/>
    </xf>
    <xf numFmtId="0" fontId="173" fillId="33" borderId="177" xfId="0" applyFont="1" applyFill="1" applyBorder="1" applyAlignment="1">
      <alignment horizontal="right"/>
    </xf>
    <xf numFmtId="175" fontId="173" fillId="33" borderId="177" xfId="0" applyNumberFormat="1" applyFont="1" applyFill="1" applyBorder="1" applyAlignment="1">
      <alignment horizontal="center"/>
    </xf>
    <xf numFmtId="175" fontId="173" fillId="33" borderId="178" xfId="0" applyNumberFormat="1" applyFont="1" applyFill="1" applyBorder="1" applyAlignment="1">
      <alignment horizontal="center"/>
    </xf>
    <xf numFmtId="0" fontId="173" fillId="6" borderId="181" xfId="0" applyFont="1" applyFill="1" applyBorder="1" applyAlignment="1">
      <alignment horizontal="left"/>
    </xf>
    <xf numFmtId="0" fontId="173" fillId="6" borderId="182" xfId="0" applyFont="1" applyFill="1" applyBorder="1" applyAlignment="1">
      <alignment horizontal="left"/>
    </xf>
    <xf numFmtId="0" fontId="192" fillId="34" borderId="176" xfId="0" applyFont="1" applyFill="1" applyBorder="1" applyAlignment="1">
      <alignment horizontal="center"/>
    </xf>
    <xf numFmtId="0" fontId="192" fillId="34" borderId="178" xfId="0" applyFont="1" applyFill="1" applyBorder="1" applyAlignment="1">
      <alignment horizontal="center"/>
    </xf>
    <xf numFmtId="5" fontId="23" fillId="0" borderId="66" xfId="22" applyNumberFormat="1" applyFont="1" applyBorder="1" applyAlignment="1">
      <alignment horizontal="center"/>
    </xf>
    <xf numFmtId="0" fontId="173" fillId="6" borderId="176" xfId="0" applyFont="1" applyFill="1" applyBorder="1" applyAlignment="1">
      <alignment horizontal="left"/>
    </xf>
    <xf numFmtId="0" fontId="173" fillId="6" borderId="177" xfId="0" applyFont="1" applyFill="1" applyBorder="1" applyAlignment="1">
      <alignment horizontal="left"/>
    </xf>
    <xf numFmtId="0" fontId="173" fillId="33" borderId="176" xfId="0" applyFont="1" applyFill="1" applyBorder="1" applyAlignment="1">
      <alignment horizontal="left"/>
    </xf>
    <xf numFmtId="0" fontId="173" fillId="33" borderId="177" xfId="0" applyFont="1" applyFill="1" applyBorder="1" applyAlignment="1">
      <alignment horizontal="left"/>
    </xf>
    <xf numFmtId="3" fontId="173" fillId="33" borderId="177" xfId="0" applyNumberFormat="1" applyFont="1" applyFill="1" applyBorder="1" applyAlignment="1">
      <alignment horizontal="center"/>
    </xf>
    <xf numFmtId="0" fontId="173" fillId="33" borderId="178" xfId="0" applyFont="1" applyFill="1" applyBorder="1" applyAlignment="1">
      <alignment horizontal="center"/>
    </xf>
    <xf numFmtId="5" fontId="23" fillId="0" borderId="115" xfId="22" applyNumberFormat="1" applyFont="1" applyBorder="1" applyAlignment="1">
      <alignment horizontal="center"/>
    </xf>
    <xf numFmtId="0" fontId="173" fillId="6" borderId="186" xfId="0" applyFont="1" applyFill="1" applyBorder="1" applyAlignment="1">
      <alignment horizontal="left"/>
    </xf>
    <xf numFmtId="0" fontId="173" fillId="6" borderId="191" xfId="0" applyFont="1" applyFill="1" applyBorder="1" applyAlignment="1">
      <alignment horizontal="left"/>
    </xf>
    <xf numFmtId="0" fontId="173" fillId="6" borderId="77" xfId="0" applyFont="1" applyFill="1" applyBorder="1" applyAlignment="1">
      <alignment horizontal="center"/>
    </xf>
    <xf numFmtId="0" fontId="173" fillId="6" borderId="78" xfId="0" applyFont="1" applyFill="1" applyBorder="1" applyAlignment="1">
      <alignment horizontal="center"/>
    </xf>
    <xf numFmtId="0" fontId="173" fillId="6" borderId="181" xfId="0" applyFont="1" applyFill="1" applyBorder="1" applyAlignment="1">
      <alignment horizontal="center"/>
    </xf>
    <xf numFmtId="0" fontId="173" fillId="6" borderId="183" xfId="0" applyFont="1" applyFill="1" applyBorder="1" applyAlignment="1">
      <alignment horizontal="center"/>
    </xf>
    <xf numFmtId="0" fontId="176" fillId="0" borderId="140" xfId="0" applyFont="1" applyBorder="1" applyAlignment="1">
      <alignment horizontal="center" vertical="center"/>
    </xf>
    <xf numFmtId="0" fontId="176" fillId="0" borderId="135" xfId="0" applyFont="1" applyBorder="1" applyAlignment="1">
      <alignment horizontal="center" vertical="center"/>
    </xf>
    <xf numFmtId="0" fontId="176" fillId="0" borderId="15" xfId="0" applyFont="1" applyBorder="1" applyAlignment="1">
      <alignment horizontal="center" vertical="center"/>
    </xf>
    <xf numFmtId="5" fontId="23" fillId="0" borderId="13" xfId="22" applyNumberFormat="1" applyFont="1" applyBorder="1" applyAlignment="1">
      <alignment horizontal="center"/>
    </xf>
    <xf numFmtId="5" fontId="23" fillId="0" borderId="74" xfId="22" applyNumberFormat="1" applyFont="1" applyBorder="1" applyAlignment="1">
      <alignment horizontal="center"/>
    </xf>
    <xf numFmtId="5" fontId="15" fillId="0" borderId="110" xfId="22" applyNumberFormat="1" applyFont="1" applyBorder="1" applyAlignment="1">
      <alignment horizontal="center"/>
    </xf>
    <xf numFmtId="5" fontId="15" fillId="0" borderId="70" xfId="22" applyNumberFormat="1" applyFont="1" applyBorder="1" applyAlignment="1">
      <alignment horizontal="center"/>
    </xf>
    <xf numFmtId="175" fontId="192" fillId="34" borderId="79" xfId="0" applyNumberFormat="1" applyFont="1" applyFill="1" applyBorder="1" applyAlignment="1">
      <alignment horizontal="center"/>
    </xf>
    <xf numFmtId="175" fontId="192" fillId="34" borderId="80" xfId="0" applyNumberFormat="1" applyFont="1" applyFill="1" applyBorder="1" applyAlignment="1">
      <alignment horizontal="center"/>
    </xf>
    <xf numFmtId="175" fontId="173" fillId="34" borderId="54" xfId="0" applyNumberFormat="1" applyFont="1" applyFill="1" applyBorder="1" applyAlignment="1">
      <alignment horizontal="center"/>
    </xf>
    <xf numFmtId="0" fontId="173" fillId="32" borderId="79" xfId="0" applyFont="1" applyFill="1" applyBorder="1" applyAlignment="1">
      <alignment horizontal="right"/>
    </xf>
    <xf numFmtId="0" fontId="173" fillId="32" borderId="80" xfId="0" applyFont="1" applyFill="1" applyBorder="1" applyAlignment="1">
      <alignment horizontal="right"/>
    </xf>
    <xf numFmtId="175" fontId="173" fillId="32" borderId="80" xfId="0" applyNumberFormat="1" applyFont="1" applyFill="1" applyBorder="1" applyAlignment="1">
      <alignment horizontal="center"/>
    </xf>
    <xf numFmtId="0" fontId="173" fillId="32" borderId="81" xfId="0" applyFont="1" applyFill="1" applyBorder="1" applyAlignment="1">
      <alignment horizontal="center"/>
    </xf>
    <xf numFmtId="0" fontId="173" fillId="6" borderId="92" xfId="0" applyFont="1" applyFill="1" applyBorder="1" applyAlignment="1">
      <alignment horizontal="center"/>
    </xf>
    <xf numFmtId="0" fontId="173" fillId="6" borderId="96" xfId="0" applyFont="1" applyFill="1" applyBorder="1" applyAlignment="1">
      <alignment horizontal="center"/>
    </xf>
    <xf numFmtId="0" fontId="173" fillId="6" borderId="97" xfId="0" applyFont="1" applyFill="1" applyBorder="1" applyAlignment="1">
      <alignment horizontal="center"/>
    </xf>
    <xf numFmtId="0" fontId="173" fillId="6" borderId="98" xfId="0" applyFont="1" applyFill="1" applyBorder="1" applyAlignment="1">
      <alignment horizontal="center"/>
    </xf>
    <xf numFmtId="5" fontId="15" fillId="0" borderId="72" xfId="22" applyNumberFormat="1" applyFont="1" applyBorder="1" applyAlignment="1">
      <alignment horizontal="center"/>
    </xf>
    <xf numFmtId="0" fontId="172" fillId="5" borderId="57" xfId="0" applyFont="1" applyFill="1" applyBorder="1" applyAlignment="1">
      <alignment horizontal="left"/>
    </xf>
    <xf numFmtId="0" fontId="172" fillId="5" borderId="0" xfId="0" applyFont="1" applyFill="1" applyAlignment="1">
      <alignment horizontal="left"/>
    </xf>
    <xf numFmtId="0" fontId="173" fillId="33" borderId="96" xfId="0" applyFont="1" applyFill="1" applyBorder="1" applyAlignment="1">
      <alignment horizontal="right"/>
    </xf>
    <xf numFmtId="0" fontId="173" fillId="33" borderId="97" xfId="0" applyFont="1" applyFill="1" applyBorder="1" applyAlignment="1">
      <alignment horizontal="right"/>
    </xf>
    <xf numFmtId="175" fontId="173" fillId="33" borderId="97" xfId="0" applyNumberFormat="1" applyFont="1" applyFill="1" applyBorder="1" applyAlignment="1">
      <alignment horizontal="center"/>
    </xf>
    <xf numFmtId="0" fontId="173" fillId="33" borderId="97" xfId="0" applyFont="1" applyFill="1" applyBorder="1" applyAlignment="1">
      <alignment horizontal="center"/>
    </xf>
    <xf numFmtId="0" fontId="176" fillId="35" borderId="79" xfId="0" applyFont="1" applyFill="1" applyBorder="1" applyAlignment="1">
      <alignment horizontal="right"/>
    </xf>
    <xf numFmtId="0" fontId="176" fillId="35" borderId="80" xfId="0" applyFont="1" applyFill="1" applyBorder="1" applyAlignment="1">
      <alignment horizontal="right"/>
    </xf>
    <xf numFmtId="0" fontId="173" fillId="6" borderId="79" xfId="0" applyFont="1" applyFill="1" applyBorder="1" applyAlignment="1">
      <alignment horizontal="right"/>
    </xf>
    <xf numFmtId="0" fontId="173" fillId="6" borderId="80" xfId="0" applyFont="1" applyFill="1" applyBorder="1" applyAlignment="1">
      <alignment horizontal="right"/>
    </xf>
    <xf numFmtId="0" fontId="176" fillId="0" borderId="65" xfId="0" applyFont="1" applyBorder="1" applyAlignment="1">
      <alignment horizontal="center"/>
    </xf>
    <xf numFmtId="0" fontId="0" fillId="0" borderId="0" xfId="0" applyAlignment="1">
      <alignment wrapText="1"/>
    </xf>
    <xf numFmtId="0" fontId="171" fillId="0" borderId="201" xfId="0" applyFont="1" applyBorder="1" applyAlignment="1">
      <alignment horizontal="center" vertical="center" wrapText="1"/>
    </xf>
    <xf numFmtId="9" fontId="170" fillId="0" borderId="187" xfId="1" applyFont="1" applyBorder="1" applyAlignment="1">
      <alignment horizontal="center"/>
    </xf>
    <xf numFmtId="9" fontId="170" fillId="0" borderId="135" xfId="1" applyFont="1" applyBorder="1" applyAlignment="1">
      <alignment horizontal="center"/>
    </xf>
    <xf numFmtId="9" fontId="170" fillId="0" borderId="61" xfId="1" applyFont="1" applyBorder="1" applyAlignment="1">
      <alignment horizontal="center"/>
    </xf>
    <xf numFmtId="9" fontId="170" fillId="0" borderId="61" xfId="1" applyFont="1" applyBorder="1" applyAlignment="1">
      <alignment horizontal="center"/>
    </xf>
    <xf numFmtId="0" fontId="189" fillId="4" borderId="78" xfId="0" applyFont="1" applyFill="1" applyBorder="1" applyAlignment="1">
      <alignment horizontal="center" vertical="center"/>
    </xf>
    <xf numFmtId="168" fontId="191" fillId="0" borderId="119" xfId="1360" applyNumberFormat="1" applyFont="1" applyBorder="1" applyAlignment="1">
      <alignment horizontal="center" vertical="center"/>
    </xf>
    <xf numFmtId="168" fontId="190" fillId="0" borderId="146" xfId="1360" applyNumberFormat="1" applyFont="1" applyBorder="1" applyAlignment="1">
      <alignment horizontal="center" vertical="center"/>
    </xf>
  </cellXfs>
  <cellStyles count="1361">
    <cellStyle name="$ 0 decimal" xfId="131" xr:uid="{00000000-0005-0000-0000-00009F020000}"/>
    <cellStyle name="$ 1 decimal" xfId="132" xr:uid="{00000000-0005-0000-0000-0000A0020000}"/>
    <cellStyle name="$ 2 decimals" xfId="133" xr:uid="{00000000-0005-0000-0000-0000A1020000}"/>
    <cellStyle name="_%(SignOnly)" xfId="134" xr:uid="{00000000-0005-0000-0000-000000000000}"/>
    <cellStyle name="_%(SignSpaceOnly)" xfId="135" xr:uid="{00000000-0005-0000-0000-000001000000}"/>
    <cellStyle name="_%(SignSpaceOnly)_ControlTables" xfId="136" xr:uid="{00000000-0005-0000-0000-000002000000}"/>
    <cellStyle name="_%(SignSpaceOnly)_ControlTablesI" xfId="137" xr:uid="{00000000-0005-0000-0000-000003000000}"/>
    <cellStyle name="_%(SignSpaceOnly)_Database - Comparables" xfId="138" xr:uid="{00000000-0005-0000-0000-000004000000}"/>
    <cellStyle name="_%(SignSpaceOnly)_DB_Eye" xfId="139" xr:uid="{00000000-0005-0000-0000-000005000000}"/>
    <cellStyle name="_%(SignSpaceOnly)_Exec Summary" xfId="140" xr:uid="{00000000-0005-0000-0000-000006000000}"/>
    <cellStyle name="_%(SignSpaceOnly)_Exec Summary_1" xfId="141" xr:uid="{00000000-0005-0000-0000-000007000000}"/>
    <cellStyle name="_%(SignSpaceOnly)_Sheet1" xfId="142" xr:uid="{00000000-0005-0000-0000-000008000000}"/>
    <cellStyle name="_ARI Base Case July 25 TPS1" xfId="143" xr:uid="{00000000-0005-0000-0000-000009000000}"/>
    <cellStyle name="_Comma" xfId="144" xr:uid="{00000000-0005-0000-0000-00000A000000}"/>
    <cellStyle name="_Comma_3-Yr Eyechart" xfId="145" xr:uid="{00000000-0005-0000-0000-00000B000000}"/>
    <cellStyle name="_Comma_Asset Comparisons" xfId="146" xr:uid="{00000000-0005-0000-0000-00000C000000}"/>
    <cellStyle name="_Comma_Balance Sheet" xfId="147" xr:uid="{00000000-0005-0000-0000-00000D000000}"/>
    <cellStyle name="_Comma_Balance Sheet_ControlTables" xfId="148" xr:uid="{00000000-0005-0000-0000-00000E000000}"/>
    <cellStyle name="_Comma_Balance Sheet_ControlTablesI" xfId="149" xr:uid="{00000000-0005-0000-0000-00000F000000}"/>
    <cellStyle name="_Comma_Balance Sheet_Database - Comparables" xfId="150" xr:uid="{00000000-0005-0000-0000-000010000000}"/>
    <cellStyle name="_Comma_Balance Sheet_DB_Eye" xfId="151" xr:uid="{00000000-0005-0000-0000-000011000000}"/>
    <cellStyle name="_Comma_Balance Sheet_Exec Summary" xfId="152" xr:uid="{00000000-0005-0000-0000-000012000000}"/>
    <cellStyle name="_Comma_Balance Sheet_Existing Debt" xfId="153" xr:uid="{00000000-0005-0000-0000-000013000000}"/>
    <cellStyle name="_Comma_Balance Sheet_Kor-Port_LEQ_6-10-04_CR_Final-Struct_FINAL" xfId="154" xr:uid="{00000000-0005-0000-0000-000014000000}"/>
    <cellStyle name="_Comma_Balance Sheet_Mallard's_Landing_LEQ_8-17-04" xfId="155" xr:uid="{00000000-0005-0000-0000-000015000000}"/>
    <cellStyle name="_Comma_Balance Sheet_Quick Property Input" xfId="156" xr:uid="{00000000-0005-0000-0000-000016000000}"/>
    <cellStyle name="_Comma_Balance Sheet_Sheet1" xfId="157" xr:uid="{00000000-0005-0000-0000-000017000000}"/>
    <cellStyle name="_Comma_Balance Sheet_Sheet1_Data Tape" xfId="158" xr:uid="{00000000-0005-0000-0000-000018000000}"/>
    <cellStyle name="_Comma_Balance Sheet_Sheet1_Deal Assumptions" xfId="159" xr:uid="{00000000-0005-0000-0000-000019000000}"/>
    <cellStyle name="_Comma_Balance Sheet_Sheet1_RE Valuation 2" xfId="160" xr:uid="{00000000-0005-0000-0000-00001A000000}"/>
    <cellStyle name="_Comma_Balance Sheet_Sheet2" xfId="161" xr:uid="{00000000-0005-0000-0000-00001B000000}"/>
    <cellStyle name="_Comma_ControlTables" xfId="162" xr:uid="{00000000-0005-0000-0000-00001C000000}"/>
    <cellStyle name="_Comma_ControlTablesI" xfId="163" xr:uid="{00000000-0005-0000-0000-00001D000000}"/>
    <cellStyle name="_Comma_Cost Of Funds" xfId="164" xr:uid="{00000000-0005-0000-0000-00001E000000}"/>
    <cellStyle name="_Comma_Criteria" xfId="165" xr:uid="{00000000-0005-0000-0000-00001F000000}"/>
    <cellStyle name="_Comma_Criteria Test Export" xfId="166" xr:uid="{00000000-0005-0000-0000-000020000000}"/>
    <cellStyle name="_Comma_Criteria_ControlTables" xfId="167" xr:uid="{00000000-0005-0000-0000-000021000000}"/>
    <cellStyle name="_Comma_Criteria_ControlTablesI" xfId="168" xr:uid="{00000000-0005-0000-0000-000022000000}"/>
    <cellStyle name="_Comma_Criteria_Database - Comparables" xfId="169" xr:uid="{00000000-0005-0000-0000-000023000000}"/>
    <cellStyle name="_Comma_Criteria_DB_Eye" xfId="170" xr:uid="{00000000-0005-0000-0000-000024000000}"/>
    <cellStyle name="_Comma_Criteria_Exec Summary" xfId="171" xr:uid="{00000000-0005-0000-0000-000025000000}"/>
    <cellStyle name="_Comma_Criteria_Existing Debt" xfId="172" xr:uid="{00000000-0005-0000-0000-000026000000}"/>
    <cellStyle name="_Comma_Criteria_Kor-Port_LEQ_6-10-04_CR_Final-Struct_FINAL" xfId="173" xr:uid="{00000000-0005-0000-0000-000027000000}"/>
    <cellStyle name="_Comma_Criteria_Mallard's_Landing_LEQ_8-17-04" xfId="174" xr:uid="{00000000-0005-0000-0000-000028000000}"/>
    <cellStyle name="_Comma_Criteria_Quick Property Input" xfId="175" xr:uid="{00000000-0005-0000-0000-000029000000}"/>
    <cellStyle name="_Comma_Criteria_Sheet1" xfId="176" xr:uid="{00000000-0005-0000-0000-00002A000000}"/>
    <cellStyle name="_Comma_Criteria_Sheet1_Data Tape" xfId="177" xr:uid="{00000000-0005-0000-0000-00002B000000}"/>
    <cellStyle name="_Comma_Criteria_Sheet1_Deal Assumptions" xfId="178" xr:uid="{00000000-0005-0000-0000-00002C000000}"/>
    <cellStyle name="_Comma_Criteria_Sheet1_RE Valuation 2" xfId="179" xr:uid="{00000000-0005-0000-0000-00002D000000}"/>
    <cellStyle name="_Comma_Criteria_Sheet2" xfId="180" xr:uid="{00000000-0005-0000-0000-00002E000000}"/>
    <cellStyle name="_Comma_Data Tape" xfId="181" xr:uid="{00000000-0005-0000-0000-00002F000000}"/>
    <cellStyle name="_Comma_Data Tape_1" xfId="182" xr:uid="{00000000-0005-0000-0000-000030000000}"/>
    <cellStyle name="_Comma_Data Tape_ControlTables" xfId="183" xr:uid="{00000000-0005-0000-0000-000031000000}"/>
    <cellStyle name="_Comma_Data Tape_ControlTablesI" xfId="184" xr:uid="{00000000-0005-0000-0000-000032000000}"/>
    <cellStyle name="_Comma_Data Tape_Database - Comparables" xfId="185" xr:uid="{00000000-0005-0000-0000-000033000000}"/>
    <cellStyle name="_Comma_Data Tape_DB_Eye" xfId="186" xr:uid="{00000000-0005-0000-0000-000034000000}"/>
    <cellStyle name="_Comma_Data Tape_Exec Summary" xfId="187" xr:uid="{00000000-0005-0000-0000-000035000000}"/>
    <cellStyle name="_Comma_Data Tape_Existing Debt" xfId="188" xr:uid="{00000000-0005-0000-0000-000036000000}"/>
    <cellStyle name="_Comma_Data Tape_Kor-Port_LEQ_6-10-04_CR_Final-Struct_FINAL" xfId="189" xr:uid="{00000000-0005-0000-0000-000037000000}"/>
    <cellStyle name="_Comma_Data Tape_Mallard's_Landing_LEQ_8-17-04" xfId="190" xr:uid="{00000000-0005-0000-0000-000038000000}"/>
    <cellStyle name="_Comma_Data Tape_Quick Property Input" xfId="191" xr:uid="{00000000-0005-0000-0000-000039000000}"/>
    <cellStyle name="_Comma_Data Tape_Sheet1" xfId="192" xr:uid="{00000000-0005-0000-0000-00003A000000}"/>
    <cellStyle name="_Comma_Data Tape_Sheet1_Data Tape" xfId="193" xr:uid="{00000000-0005-0000-0000-00003B000000}"/>
    <cellStyle name="_Comma_Data Tape_Sheet1_Deal Assumptions" xfId="194" xr:uid="{00000000-0005-0000-0000-00003C000000}"/>
    <cellStyle name="_Comma_Data Tape_Sheet1_RE Valuation 2" xfId="195" xr:uid="{00000000-0005-0000-0000-00003D000000}"/>
    <cellStyle name="_Comma_Data Tape_Sheet2" xfId="196" xr:uid="{00000000-0005-0000-0000-00003E000000}"/>
    <cellStyle name="_Comma_Data_Tape" xfId="197" xr:uid="{00000000-0005-0000-0000-00003F000000}"/>
    <cellStyle name="_Comma_Database - Comparables" xfId="198" xr:uid="{00000000-0005-0000-0000-000040000000}"/>
    <cellStyle name="_Comma_Database - Economics" xfId="199" xr:uid="{00000000-0005-0000-0000-000041000000}"/>
    <cellStyle name="_Comma_DB Eye" xfId="200" xr:uid="{00000000-0005-0000-0000-000042000000}"/>
    <cellStyle name="_Comma_DB_Eye" xfId="201" xr:uid="{00000000-0005-0000-0000-000043000000}"/>
    <cellStyle name="_Comma_Deal Input" xfId="202" xr:uid="{00000000-0005-0000-0000-000044000000}"/>
    <cellStyle name="_Comma_Direct Cap Eye" xfId="203" xr:uid="{00000000-0005-0000-0000-000045000000}"/>
    <cellStyle name="_Comma_DPEM2005_vBetatest6" xfId="204" xr:uid="{00000000-0005-0000-0000-000046000000}"/>
    <cellStyle name="_Comma_ETR" xfId="205" xr:uid="{00000000-0005-0000-0000-000047000000}"/>
    <cellStyle name="_Comma_Exec Summary" xfId="206" xr:uid="{00000000-0005-0000-0000-000048000000}"/>
    <cellStyle name="_Comma_Existing Debt" xfId="207" xr:uid="{00000000-0005-0000-0000-000049000000}"/>
    <cellStyle name="_Comma_EyeChart" xfId="208" xr:uid="{00000000-0005-0000-0000-00004A000000}"/>
    <cellStyle name="_Comma_EyeChart 090503" xfId="209" xr:uid="{00000000-0005-0000-0000-00004B000000}"/>
    <cellStyle name="_Comma_Input" xfId="210" xr:uid="{00000000-0005-0000-0000-00004C000000}"/>
    <cellStyle name="_Comma_Input_1" xfId="211" xr:uid="{00000000-0005-0000-0000-00004D000000}"/>
    <cellStyle name="_Comma_Input_ControlTables" xfId="212" xr:uid="{00000000-0005-0000-0000-00004E000000}"/>
    <cellStyle name="_Comma_Input_ControlTablesI" xfId="213" xr:uid="{00000000-0005-0000-0000-00004F000000}"/>
    <cellStyle name="_Comma_Input_Data Tape" xfId="214" xr:uid="{00000000-0005-0000-0000-000050000000}"/>
    <cellStyle name="_Comma_Input_Database - Comparables" xfId="215" xr:uid="{00000000-0005-0000-0000-000051000000}"/>
    <cellStyle name="_Comma_Input_Database - Economics" xfId="216" xr:uid="{00000000-0005-0000-0000-000052000000}"/>
    <cellStyle name="_Comma_Input_DB_Eye" xfId="217" xr:uid="{00000000-0005-0000-0000-000053000000}"/>
    <cellStyle name="_Comma_Input_Exec Summary" xfId="218" xr:uid="{00000000-0005-0000-0000-000054000000}"/>
    <cellStyle name="_Comma_Input_Existing Debt" xfId="219" xr:uid="{00000000-0005-0000-0000-000055000000}"/>
    <cellStyle name="_Comma_Input_Kor-Port_LEQ_6-10-04_CR_Final-Struct_FINAL" xfId="220" xr:uid="{00000000-0005-0000-0000-000056000000}"/>
    <cellStyle name="_Comma_Input_Mallard's_Landing_LEQ_8-17-04" xfId="221" xr:uid="{00000000-0005-0000-0000-000057000000}"/>
    <cellStyle name="_Comma_Input_Quick Property Input" xfId="222" xr:uid="{00000000-0005-0000-0000-000058000000}"/>
    <cellStyle name="_Comma_Input_Sheet1" xfId="223" xr:uid="{00000000-0005-0000-0000-000059000000}"/>
    <cellStyle name="_Comma_Input_Sheet1_Data Tape" xfId="224" xr:uid="{00000000-0005-0000-0000-00005A000000}"/>
    <cellStyle name="_Comma_Input_Sheet1_Deal Assumptions" xfId="225" xr:uid="{00000000-0005-0000-0000-00005B000000}"/>
    <cellStyle name="_Comma_Input_Sheet1_RE Valuation 2" xfId="226" xr:uid="{00000000-0005-0000-0000-00005C000000}"/>
    <cellStyle name="_Comma_Input_Sheet2" xfId="227" xr:uid="{00000000-0005-0000-0000-00005D000000}"/>
    <cellStyle name="_Comma_JV Economics" xfId="228" xr:uid="{00000000-0005-0000-0000-00005E000000}"/>
    <cellStyle name="_Comma_M&amp;A Feed" xfId="229" xr:uid="{00000000-0005-0000-0000-00005F000000}"/>
    <cellStyle name="_Comma_NPV Case Eyechart" xfId="230" xr:uid="{00000000-0005-0000-0000-000060000000}"/>
    <cellStyle name="_Comma_Pools" xfId="231" xr:uid="{00000000-0005-0000-0000-000061000000}"/>
    <cellStyle name="_Comma_Pools_1" xfId="232" xr:uid="{00000000-0005-0000-0000-000062000000}"/>
    <cellStyle name="_Comma_Portfolio Valuation" xfId="233" xr:uid="{00000000-0005-0000-0000-000063000000}"/>
    <cellStyle name="_Comma_Pricing" xfId="234" xr:uid="{00000000-0005-0000-0000-000064000000}"/>
    <cellStyle name="_Comma_Prop 13" xfId="235" xr:uid="{00000000-0005-0000-0000-000065000000}"/>
    <cellStyle name="_Comma_Prop 13 Data" xfId="236" xr:uid="{00000000-0005-0000-0000-000066000000}"/>
    <cellStyle name="_Comma_Prop 13 Summary-11-10" xfId="237" xr:uid="{00000000-0005-0000-0000-000067000000}"/>
    <cellStyle name="_Comma_Property Assumptions" xfId="238" xr:uid="{00000000-0005-0000-0000-000068000000}"/>
    <cellStyle name="_Comma_Property Assumptions_1" xfId="239" xr:uid="{00000000-0005-0000-0000-000069000000}"/>
    <cellStyle name="_Comma_Quick Property Input" xfId="240" xr:uid="{00000000-0005-0000-0000-00006A000000}"/>
    <cellStyle name="_Comma_Senario Input Assumptions" xfId="241" xr:uid="{00000000-0005-0000-0000-00006B000000}"/>
    <cellStyle name="_Comma_Senario Input Assumptions_ControlTables" xfId="242" xr:uid="{00000000-0005-0000-0000-00006C000000}"/>
    <cellStyle name="_Comma_Senario Input Assumptions_ControlTablesI" xfId="243" xr:uid="{00000000-0005-0000-0000-00006D000000}"/>
    <cellStyle name="_Comma_Senario Input Assumptions_Database - Comparables" xfId="244" xr:uid="{00000000-0005-0000-0000-00006E000000}"/>
    <cellStyle name="_Comma_Senario Input Assumptions_DB_Eye" xfId="245" xr:uid="{00000000-0005-0000-0000-00006F000000}"/>
    <cellStyle name="_Comma_Senario Input Assumptions_Exec Summary" xfId="246" xr:uid="{00000000-0005-0000-0000-000070000000}"/>
    <cellStyle name="_Comma_Senario Input Assumptions_Existing Debt" xfId="247" xr:uid="{00000000-0005-0000-0000-000071000000}"/>
    <cellStyle name="_Comma_Senario Input Assumptions_Kor-Port_LEQ_6-10-04_CR_Final-Struct_FINAL" xfId="248" xr:uid="{00000000-0005-0000-0000-000072000000}"/>
    <cellStyle name="_Comma_Senario Input Assumptions_Mallard's_Landing_LEQ_8-17-04" xfId="249" xr:uid="{00000000-0005-0000-0000-000073000000}"/>
    <cellStyle name="_Comma_Senario Input Assumptions_Quick Property Input" xfId="250" xr:uid="{00000000-0005-0000-0000-000074000000}"/>
    <cellStyle name="_Comma_Senario Input Assumptions_Sheet1" xfId="251" xr:uid="{00000000-0005-0000-0000-000075000000}"/>
    <cellStyle name="_Comma_Senario Input Assumptions_Sheet1_Data Tape" xfId="252" xr:uid="{00000000-0005-0000-0000-000076000000}"/>
    <cellStyle name="_Comma_Senario Input Assumptions_Sheet1_Deal Assumptions" xfId="253" xr:uid="{00000000-0005-0000-0000-000077000000}"/>
    <cellStyle name="_Comma_Senario Input Assumptions_Sheet1_RE Valuation 2" xfId="254" xr:uid="{00000000-0005-0000-0000-000078000000}"/>
    <cellStyle name="_Comma_Senario Input Assumptions_Sheet2" xfId="255" xr:uid="{00000000-0005-0000-0000-000079000000}"/>
    <cellStyle name="_Comma_Sheet1" xfId="256" xr:uid="{00000000-0005-0000-0000-00007A000000}"/>
    <cellStyle name="_Comma_Sheet1_1" xfId="257" xr:uid="{00000000-0005-0000-0000-00007B000000}"/>
    <cellStyle name="_Comma_Sheet1_3-Yr Eyechart" xfId="258" xr:uid="{00000000-0005-0000-0000-00007C000000}"/>
    <cellStyle name="_Comma_Sheet1_Balance Sheet" xfId="259" xr:uid="{00000000-0005-0000-0000-00007D000000}"/>
    <cellStyle name="_Comma_Sheet1_Cost Of Funds" xfId="260" xr:uid="{00000000-0005-0000-0000-00007E000000}"/>
    <cellStyle name="_Comma_Sheet1_Criteria" xfId="261" xr:uid="{00000000-0005-0000-0000-00007F000000}"/>
    <cellStyle name="_Comma_Sheet1_Criteria Test Export" xfId="262" xr:uid="{00000000-0005-0000-0000-000080000000}"/>
    <cellStyle name="_Comma_Sheet1_Data Tape" xfId="263" xr:uid="{00000000-0005-0000-0000-000081000000}"/>
    <cellStyle name="_Comma_Sheet1_Data Tape_1" xfId="264" xr:uid="{00000000-0005-0000-0000-000082000000}"/>
    <cellStyle name="_Comma_Sheet1_Data_Tape" xfId="265" xr:uid="{00000000-0005-0000-0000-000083000000}"/>
    <cellStyle name="_Comma_Sheet1_Data_Tape_ControlTables" xfId="266" xr:uid="{00000000-0005-0000-0000-000084000000}"/>
    <cellStyle name="_Comma_Sheet1_Data_Tape_ControlTablesI" xfId="267" xr:uid="{00000000-0005-0000-0000-000085000000}"/>
    <cellStyle name="_Comma_Sheet1_Data_Tape_Database - Comparables" xfId="268" xr:uid="{00000000-0005-0000-0000-000086000000}"/>
    <cellStyle name="_Comma_Sheet1_Data_Tape_DB_Eye" xfId="269" xr:uid="{00000000-0005-0000-0000-000087000000}"/>
    <cellStyle name="_Comma_Sheet1_Data_Tape_Exec Summary" xfId="270" xr:uid="{00000000-0005-0000-0000-000088000000}"/>
    <cellStyle name="_Comma_Sheet1_Data_Tape_Existing Debt" xfId="271" xr:uid="{00000000-0005-0000-0000-000089000000}"/>
    <cellStyle name="_Comma_Sheet1_Data_Tape_Kor-Port_LEQ_6-10-04_CR_Final-Struct_FINAL" xfId="272" xr:uid="{00000000-0005-0000-0000-00008A000000}"/>
    <cellStyle name="_Comma_Sheet1_Data_Tape_Mallard's_Landing_LEQ_8-17-04" xfId="273" xr:uid="{00000000-0005-0000-0000-00008B000000}"/>
    <cellStyle name="_Comma_Sheet1_Data_Tape_Quick Property Input" xfId="274" xr:uid="{00000000-0005-0000-0000-00008C000000}"/>
    <cellStyle name="_Comma_Sheet1_Data_Tape_Sheet1" xfId="275" xr:uid="{00000000-0005-0000-0000-00008D000000}"/>
    <cellStyle name="_Comma_Sheet1_Data_Tape_Sheet1_Data Tape" xfId="276" xr:uid="{00000000-0005-0000-0000-00008E000000}"/>
    <cellStyle name="_Comma_Sheet1_Data_Tape_Sheet1_Deal Assumptions" xfId="277" xr:uid="{00000000-0005-0000-0000-00008F000000}"/>
    <cellStyle name="_Comma_Sheet1_Data_Tape_Sheet1_RE Valuation 2" xfId="278" xr:uid="{00000000-0005-0000-0000-000090000000}"/>
    <cellStyle name="_Comma_Sheet1_Data_Tape_Sheet2" xfId="279" xr:uid="{00000000-0005-0000-0000-000091000000}"/>
    <cellStyle name="_Comma_Sheet1_Database - Economics" xfId="280" xr:uid="{00000000-0005-0000-0000-000092000000}"/>
    <cellStyle name="_Comma_Sheet1_Deal Input" xfId="281" xr:uid="{00000000-0005-0000-0000-000093000000}"/>
    <cellStyle name="_Comma_Sheet1_Direct Cap Eye" xfId="282" xr:uid="{00000000-0005-0000-0000-000094000000}"/>
    <cellStyle name="_Comma_Sheet1_DPEM2005_vBetatest6" xfId="283" xr:uid="{00000000-0005-0000-0000-000095000000}"/>
    <cellStyle name="_Comma_Sheet1_ETR" xfId="284" xr:uid="{00000000-0005-0000-0000-000096000000}"/>
    <cellStyle name="_Comma_Sheet1_Existing Debt" xfId="285" xr:uid="{00000000-0005-0000-0000-000097000000}"/>
    <cellStyle name="_Comma_Sheet1_Input" xfId="286" xr:uid="{00000000-0005-0000-0000-000098000000}"/>
    <cellStyle name="_Comma_Sheet1_Input_1" xfId="287" xr:uid="{00000000-0005-0000-0000-000099000000}"/>
    <cellStyle name="_Comma_Sheet1_Input_Data Tape" xfId="288" xr:uid="{00000000-0005-0000-0000-00009A000000}"/>
    <cellStyle name="_Comma_Sheet1_Input_Database - Economics" xfId="289" xr:uid="{00000000-0005-0000-0000-00009B000000}"/>
    <cellStyle name="_Comma_Sheet1_M&amp;A Feed" xfId="290" xr:uid="{00000000-0005-0000-0000-00009C000000}"/>
    <cellStyle name="_Comma_Sheet1_NPV Case Eyechart" xfId="291" xr:uid="{00000000-0005-0000-0000-00009D000000}"/>
    <cellStyle name="_Comma_Sheet1_Pools" xfId="292" xr:uid="{00000000-0005-0000-0000-00009E000000}"/>
    <cellStyle name="_Comma_Sheet1_Pools_1" xfId="293" xr:uid="{00000000-0005-0000-0000-00009F000000}"/>
    <cellStyle name="_Comma_Sheet1_Pools_ControlTables" xfId="294" xr:uid="{00000000-0005-0000-0000-0000A0000000}"/>
    <cellStyle name="_Comma_Sheet1_Pools_ControlTablesI" xfId="295" xr:uid="{00000000-0005-0000-0000-0000A1000000}"/>
    <cellStyle name="_Comma_Sheet1_Pools_Database - Comparables" xfId="296" xr:uid="{00000000-0005-0000-0000-0000A2000000}"/>
    <cellStyle name="_Comma_Sheet1_Pools_DB_Eye" xfId="297" xr:uid="{00000000-0005-0000-0000-0000A3000000}"/>
    <cellStyle name="_Comma_Sheet1_Pools_Exec Summary" xfId="298" xr:uid="{00000000-0005-0000-0000-0000A4000000}"/>
    <cellStyle name="_Comma_Sheet1_Pools_Existing Debt" xfId="299" xr:uid="{00000000-0005-0000-0000-0000A5000000}"/>
    <cellStyle name="_Comma_Sheet1_Pools_Kor-Port_LEQ_6-10-04_CR_Final-Struct_FINAL" xfId="300" xr:uid="{00000000-0005-0000-0000-0000A6000000}"/>
    <cellStyle name="_Comma_Sheet1_Pools_Mallard's_Landing_LEQ_8-17-04" xfId="301" xr:uid="{00000000-0005-0000-0000-0000A7000000}"/>
    <cellStyle name="_Comma_Sheet1_Pools_Quick Property Input" xfId="302" xr:uid="{00000000-0005-0000-0000-0000A8000000}"/>
    <cellStyle name="_Comma_Sheet1_Pools_Sheet1" xfId="303" xr:uid="{00000000-0005-0000-0000-0000A9000000}"/>
    <cellStyle name="_Comma_Sheet1_Pools_Sheet1_Data Tape" xfId="304" xr:uid="{00000000-0005-0000-0000-0000AA000000}"/>
    <cellStyle name="_Comma_Sheet1_Pools_Sheet1_Deal Assumptions" xfId="305" xr:uid="{00000000-0005-0000-0000-0000AB000000}"/>
    <cellStyle name="_Comma_Sheet1_Pools_Sheet1_RE Valuation 2" xfId="306" xr:uid="{00000000-0005-0000-0000-0000AC000000}"/>
    <cellStyle name="_Comma_Sheet1_Pools_Sheet2" xfId="307" xr:uid="{00000000-0005-0000-0000-0000AD000000}"/>
    <cellStyle name="_Comma_Sheet1_Portfolio Valuation" xfId="308" xr:uid="{00000000-0005-0000-0000-0000AE000000}"/>
    <cellStyle name="_Comma_Sheet1_Prop 13" xfId="309" xr:uid="{00000000-0005-0000-0000-0000AF000000}"/>
    <cellStyle name="_Comma_Sheet1_Prop 13 Data" xfId="310" xr:uid="{00000000-0005-0000-0000-0000B0000000}"/>
    <cellStyle name="_Comma_Sheet1_Prop 13 Summary-11-10" xfId="311" xr:uid="{00000000-0005-0000-0000-0000B1000000}"/>
    <cellStyle name="_Comma_Sheet1_Property Assumptions" xfId="312" xr:uid="{00000000-0005-0000-0000-0000B2000000}"/>
    <cellStyle name="_Comma_Sheet1_Property Assumptions_1" xfId="313" xr:uid="{00000000-0005-0000-0000-0000B3000000}"/>
    <cellStyle name="_Comma_Sheet1_Quick Property Input" xfId="314" xr:uid="{00000000-0005-0000-0000-0000B4000000}"/>
    <cellStyle name="_Comma_Sheet1_Senario Input Assumptions" xfId="315" xr:uid="{00000000-0005-0000-0000-0000B5000000}"/>
    <cellStyle name="_Comma_Sheet1_Sheet1" xfId="316" xr:uid="{00000000-0005-0000-0000-0000B6000000}"/>
    <cellStyle name="_Comma_Sheet1_Sheet2" xfId="317" xr:uid="{00000000-0005-0000-0000-0000B7000000}"/>
    <cellStyle name="_Comma_Sheet1_Sheet2_1" xfId="318" xr:uid="{00000000-0005-0000-0000-0000B8000000}"/>
    <cellStyle name="_Comma_Sheet1_Sheet3" xfId="319" xr:uid="{00000000-0005-0000-0000-0000B9000000}"/>
    <cellStyle name="_Comma_Sheet1_Sheet5" xfId="320" xr:uid="{00000000-0005-0000-0000-0000BA000000}"/>
    <cellStyle name="_Comma_Sheet1_Structure Model_2003_test2" xfId="321" xr:uid="{00000000-0005-0000-0000-0000BB000000}"/>
    <cellStyle name="_Comma_Sheet2" xfId="322" xr:uid="{00000000-0005-0000-0000-0000BC000000}"/>
    <cellStyle name="_Comma_Sheet2_1" xfId="323" xr:uid="{00000000-0005-0000-0000-0000BD000000}"/>
    <cellStyle name="_Comma_Sheet3" xfId="324" xr:uid="{00000000-0005-0000-0000-0000BE000000}"/>
    <cellStyle name="_Comma_Sheet3_1" xfId="325" xr:uid="{00000000-0005-0000-0000-0000BF000000}"/>
    <cellStyle name="_Comma_Sheet4" xfId="326" xr:uid="{00000000-0005-0000-0000-0000C0000000}"/>
    <cellStyle name="_Comma_Sheet5" xfId="327" xr:uid="{00000000-0005-0000-0000-0000C1000000}"/>
    <cellStyle name="_Comma_Structure Model_2003_test2" xfId="328" xr:uid="{00000000-0005-0000-0000-0000C2000000}"/>
    <cellStyle name="_Comma_Structure Model_2003_test2_ControlTables" xfId="329" xr:uid="{00000000-0005-0000-0000-0000C3000000}"/>
    <cellStyle name="_Comma_Structure Model_2003_test2_ControlTablesI" xfId="330" xr:uid="{00000000-0005-0000-0000-0000C4000000}"/>
    <cellStyle name="_Comma_Structure Model_2003_test2_Database - Comparables" xfId="331" xr:uid="{00000000-0005-0000-0000-0000C5000000}"/>
    <cellStyle name="_Comma_Structure Model_2003_test2_DB_Eye" xfId="332" xr:uid="{00000000-0005-0000-0000-0000C6000000}"/>
    <cellStyle name="_Comma_Structure Model_2003_test2_Exec Summary" xfId="333" xr:uid="{00000000-0005-0000-0000-0000C7000000}"/>
    <cellStyle name="_Comma_Structure Model_2003_test2_Existing Debt" xfId="334" xr:uid="{00000000-0005-0000-0000-0000C8000000}"/>
    <cellStyle name="_Comma_Structure Model_2003_test2_Kor-Port_LEQ_6-10-04_CR_Final-Struct_FINAL" xfId="335" xr:uid="{00000000-0005-0000-0000-0000C9000000}"/>
    <cellStyle name="_Comma_Structure Model_2003_test2_Mallard's_Landing_LEQ_8-17-04" xfId="336" xr:uid="{00000000-0005-0000-0000-0000CA000000}"/>
    <cellStyle name="_Comma_Structure Model_2003_test2_Quick Property Input" xfId="337" xr:uid="{00000000-0005-0000-0000-0000CB000000}"/>
    <cellStyle name="_Comma_Structure Model_2003_test2_Sheet1" xfId="338" xr:uid="{00000000-0005-0000-0000-0000CC000000}"/>
    <cellStyle name="_Comma_Structure Model_2003_test2_Sheet1_Data Tape" xfId="339" xr:uid="{00000000-0005-0000-0000-0000CD000000}"/>
    <cellStyle name="_Comma_Structure Model_2003_test2_Sheet1_Deal Assumptions" xfId="340" xr:uid="{00000000-0005-0000-0000-0000CE000000}"/>
    <cellStyle name="_Comma_Structure Model_2003_test2_Sheet1_RE Valuation 2" xfId="341" xr:uid="{00000000-0005-0000-0000-0000CF000000}"/>
    <cellStyle name="_Comma_Structure Model_2003_test2_Sheet2" xfId="342" xr:uid="{00000000-0005-0000-0000-0000D0000000}"/>
    <cellStyle name="_Currency" xfId="343" xr:uid="{00000000-0005-0000-0000-0000D1000000}"/>
    <cellStyle name="_Currency_03-05-31 Final OBS Reports" xfId="344" xr:uid="{00000000-0005-0000-0000-0000D2000000}"/>
    <cellStyle name="_Currency_3-Yr Eyechart" xfId="345" xr:uid="{00000000-0005-0000-0000-0000D3000000}"/>
    <cellStyle name="_Currency_Alamosa Standalone6" xfId="346" xr:uid="{00000000-0005-0000-0000-0000D4000000}"/>
    <cellStyle name="_Currency_ARI Base Case July 25 TPS1" xfId="347" xr:uid="{00000000-0005-0000-0000-0000D5000000}"/>
    <cellStyle name="_Currency_Balance Sheet" xfId="348" xr:uid="{00000000-0005-0000-0000-0000D6000000}"/>
    <cellStyle name="_Currency_Balance Sheet_ControlTables" xfId="349" xr:uid="{00000000-0005-0000-0000-0000D7000000}"/>
    <cellStyle name="_Currency_Balance Sheet_ControlTablesI" xfId="350" xr:uid="{00000000-0005-0000-0000-0000D8000000}"/>
    <cellStyle name="_Currency_Balance Sheet_Database - Comparables" xfId="351" xr:uid="{00000000-0005-0000-0000-0000D9000000}"/>
    <cellStyle name="_Currency_Balance Sheet_DB_Eye" xfId="352" xr:uid="{00000000-0005-0000-0000-0000DA000000}"/>
    <cellStyle name="_Currency_Balance Sheet_Exec Summary" xfId="353" xr:uid="{00000000-0005-0000-0000-0000DB000000}"/>
    <cellStyle name="_Currency_Balance Sheet_Exec Summary_1" xfId="354" xr:uid="{00000000-0005-0000-0000-0000DC000000}"/>
    <cellStyle name="_Currency_Balance Sheet_Sheet1" xfId="355" xr:uid="{00000000-0005-0000-0000-0000DD000000}"/>
    <cellStyle name="_Currency_ControlTables" xfId="356" xr:uid="{00000000-0005-0000-0000-0000DE000000}"/>
    <cellStyle name="_Currency_ControlTablesI" xfId="357" xr:uid="{00000000-0005-0000-0000-0000DF000000}"/>
    <cellStyle name="_Currency_Cost Of Funds" xfId="358" xr:uid="{00000000-0005-0000-0000-0000E0000000}"/>
    <cellStyle name="_Currency_Criteria" xfId="359" xr:uid="{00000000-0005-0000-0000-0000E1000000}"/>
    <cellStyle name="_Currency_Criteria Test Export" xfId="360" xr:uid="{00000000-0005-0000-0000-0000E2000000}"/>
    <cellStyle name="_Currency_Criteria_ControlTables" xfId="361" xr:uid="{00000000-0005-0000-0000-0000E3000000}"/>
    <cellStyle name="_Currency_Criteria_ControlTablesI" xfId="362" xr:uid="{00000000-0005-0000-0000-0000E4000000}"/>
    <cellStyle name="_Currency_Criteria_Database - Comparables" xfId="363" xr:uid="{00000000-0005-0000-0000-0000E5000000}"/>
    <cellStyle name="_Currency_Criteria_DB_Eye" xfId="364" xr:uid="{00000000-0005-0000-0000-0000E6000000}"/>
    <cellStyle name="_Currency_Criteria_Exec Summary" xfId="365" xr:uid="{00000000-0005-0000-0000-0000E7000000}"/>
    <cellStyle name="_Currency_Criteria_Exec Summary_1" xfId="366" xr:uid="{00000000-0005-0000-0000-0000E8000000}"/>
    <cellStyle name="_Currency_Criteria_Sheet1" xfId="367" xr:uid="{00000000-0005-0000-0000-0000E9000000}"/>
    <cellStyle name="_Currency_Data Tape" xfId="368" xr:uid="{00000000-0005-0000-0000-0000EA000000}"/>
    <cellStyle name="_Currency_Data Tape_1" xfId="369" xr:uid="{00000000-0005-0000-0000-0000EB000000}"/>
    <cellStyle name="_Currency_Data Tape_ControlTables" xfId="370" xr:uid="{00000000-0005-0000-0000-0000EC000000}"/>
    <cellStyle name="_Currency_Data Tape_ControlTablesI" xfId="371" xr:uid="{00000000-0005-0000-0000-0000ED000000}"/>
    <cellStyle name="_Currency_Data Tape_Database - Comparables" xfId="372" xr:uid="{00000000-0005-0000-0000-0000EE000000}"/>
    <cellStyle name="_Currency_Data Tape_DB_Eye" xfId="373" xr:uid="{00000000-0005-0000-0000-0000EF000000}"/>
    <cellStyle name="_Currency_Data Tape_Exec Summary" xfId="374" xr:uid="{00000000-0005-0000-0000-0000F0000000}"/>
    <cellStyle name="_Currency_Data Tape_Exec Summary_1" xfId="375" xr:uid="{00000000-0005-0000-0000-0000F1000000}"/>
    <cellStyle name="_Currency_Data Tape_Sheet1" xfId="376" xr:uid="{00000000-0005-0000-0000-0000F2000000}"/>
    <cellStyle name="_Currency_Data_Tape" xfId="377" xr:uid="{00000000-0005-0000-0000-0000F3000000}"/>
    <cellStyle name="_Currency_Data_Tape_ControlTables" xfId="378" xr:uid="{00000000-0005-0000-0000-0000F4000000}"/>
    <cellStyle name="_Currency_Data_Tape_ControlTablesI" xfId="379" xr:uid="{00000000-0005-0000-0000-0000F5000000}"/>
    <cellStyle name="_Currency_Data_Tape_Database - Comparables" xfId="380" xr:uid="{00000000-0005-0000-0000-0000F6000000}"/>
    <cellStyle name="_Currency_Data_Tape_DB_Eye" xfId="381" xr:uid="{00000000-0005-0000-0000-0000F7000000}"/>
    <cellStyle name="_Currency_Data_Tape_Exec Summary" xfId="382" xr:uid="{00000000-0005-0000-0000-0000F8000000}"/>
    <cellStyle name="_Currency_Data_Tape_Exec Summary_1" xfId="383" xr:uid="{00000000-0005-0000-0000-0000F9000000}"/>
    <cellStyle name="_Currency_Data_Tape_Sheet1" xfId="384" xr:uid="{00000000-0005-0000-0000-0000FA000000}"/>
    <cellStyle name="_Currency_Database - Comparables" xfId="385" xr:uid="{00000000-0005-0000-0000-0000FB000000}"/>
    <cellStyle name="_Currency_Database - Economics" xfId="386" xr:uid="{00000000-0005-0000-0000-0000FC000000}"/>
    <cellStyle name="_Currency_DB_Eye" xfId="387" xr:uid="{00000000-0005-0000-0000-0000FD000000}"/>
    <cellStyle name="_Currency_Deal Input" xfId="388" xr:uid="{00000000-0005-0000-0000-0000FE000000}"/>
    <cellStyle name="_Currency_Direct Cap Eye" xfId="389" xr:uid="{00000000-0005-0000-0000-0000FF000000}"/>
    <cellStyle name="_Currency_DPEM2005_vBetatest6" xfId="390" xr:uid="{00000000-0005-0000-0000-000000010000}"/>
    <cellStyle name="_Currency_ETR" xfId="391" xr:uid="{00000000-0005-0000-0000-000001010000}"/>
    <cellStyle name="_Currency_Exec Summary" xfId="392" xr:uid="{00000000-0005-0000-0000-000002010000}"/>
    <cellStyle name="_Currency_Exec Summary_1" xfId="393" xr:uid="{00000000-0005-0000-0000-000003010000}"/>
    <cellStyle name="_Currency_Existing Debt" xfId="394" xr:uid="{00000000-0005-0000-0000-000004010000}"/>
    <cellStyle name="_Currency_Existing Debt_1" xfId="395" xr:uid="{00000000-0005-0000-0000-000005010000}"/>
    <cellStyle name="_Currency_EyeChart" xfId="396" xr:uid="{00000000-0005-0000-0000-000006010000}"/>
    <cellStyle name="_Currency_EyeChart 090503" xfId="397" xr:uid="{00000000-0005-0000-0000-000007010000}"/>
    <cellStyle name="_Currency_GMACCH_Loans_OBS_033103_Final_v2" xfId="398" xr:uid="{00000000-0005-0000-0000-000008010000}"/>
    <cellStyle name="_Currency_Input" xfId="399" xr:uid="{00000000-0005-0000-0000-000009010000}"/>
    <cellStyle name="_Currency_Input_1" xfId="400" xr:uid="{00000000-0005-0000-0000-00000A010000}"/>
    <cellStyle name="_Currency_Input_2" xfId="401" xr:uid="{00000000-0005-0000-0000-00000B010000}"/>
    <cellStyle name="_Currency_Input_ControlTables" xfId="402" xr:uid="{00000000-0005-0000-0000-00000C010000}"/>
    <cellStyle name="_Currency_Input_ControlTablesI" xfId="403" xr:uid="{00000000-0005-0000-0000-00000D010000}"/>
    <cellStyle name="_Currency_Input_Data Tape" xfId="404" xr:uid="{00000000-0005-0000-0000-00000E010000}"/>
    <cellStyle name="_Currency_Input_Database - Comparables" xfId="405" xr:uid="{00000000-0005-0000-0000-00000F010000}"/>
    <cellStyle name="_Currency_Input_Database - Economics" xfId="406" xr:uid="{00000000-0005-0000-0000-000010010000}"/>
    <cellStyle name="_Currency_Input_DB_Eye" xfId="407" xr:uid="{00000000-0005-0000-0000-000011010000}"/>
    <cellStyle name="_Currency_Input_Exec Summary" xfId="408" xr:uid="{00000000-0005-0000-0000-000012010000}"/>
    <cellStyle name="_Currency_Input_Exec Summary_1" xfId="409" xr:uid="{00000000-0005-0000-0000-000013010000}"/>
    <cellStyle name="_Currency_Input_Sheet1" xfId="410" xr:uid="{00000000-0005-0000-0000-000014010000}"/>
    <cellStyle name="_Currency_JV Economics" xfId="411" xr:uid="{00000000-0005-0000-0000-000015010000}"/>
    <cellStyle name="_Currency_M&amp;A Feed" xfId="412" xr:uid="{00000000-0005-0000-0000-000016010000}"/>
    <cellStyle name="_Currency_NPV Case Eyechart" xfId="413" xr:uid="{00000000-0005-0000-0000-000017010000}"/>
    <cellStyle name="_Currency_Pools" xfId="414" xr:uid="{00000000-0005-0000-0000-000018010000}"/>
    <cellStyle name="_Currency_Pools_1" xfId="415" xr:uid="{00000000-0005-0000-0000-000019010000}"/>
    <cellStyle name="_Currency_Pools_ControlTables" xfId="416" xr:uid="{00000000-0005-0000-0000-00001A010000}"/>
    <cellStyle name="_Currency_Pools_ControlTablesI" xfId="417" xr:uid="{00000000-0005-0000-0000-00001B010000}"/>
    <cellStyle name="_Currency_Pools_Database - Comparables" xfId="418" xr:uid="{00000000-0005-0000-0000-00001C010000}"/>
    <cellStyle name="_Currency_Pools_DB_Eye" xfId="419" xr:uid="{00000000-0005-0000-0000-00001D010000}"/>
    <cellStyle name="_Currency_Pools_Exec Summary" xfId="420" xr:uid="{00000000-0005-0000-0000-00001E010000}"/>
    <cellStyle name="_Currency_Pools_Exec Summary_1" xfId="421" xr:uid="{00000000-0005-0000-0000-00001F010000}"/>
    <cellStyle name="_Currency_Pools_Sheet1" xfId="422" xr:uid="{00000000-0005-0000-0000-000020010000}"/>
    <cellStyle name="_Currency_Portfolio Valuation" xfId="423" xr:uid="{00000000-0005-0000-0000-000021010000}"/>
    <cellStyle name="_Currency_Pricing" xfId="424" xr:uid="{00000000-0005-0000-0000-000022010000}"/>
    <cellStyle name="_Currency_Prop 13" xfId="425" xr:uid="{00000000-0005-0000-0000-000023010000}"/>
    <cellStyle name="_Currency_Prop 13 Data" xfId="426" xr:uid="{00000000-0005-0000-0000-000024010000}"/>
    <cellStyle name="_Currency_Prop 13 Summary-11-10" xfId="427" xr:uid="{00000000-0005-0000-0000-000025010000}"/>
    <cellStyle name="_Currency_Property Assumptions" xfId="428" xr:uid="{00000000-0005-0000-0000-000026010000}"/>
    <cellStyle name="_Currency_Property Assumptions_1" xfId="429" xr:uid="{00000000-0005-0000-0000-000027010000}"/>
    <cellStyle name="_Currency_Quick Property Input" xfId="430" xr:uid="{00000000-0005-0000-0000-000028010000}"/>
    <cellStyle name="_Currency_Roberts Standalone14 Quarterly 2" xfId="431" xr:uid="{00000000-0005-0000-0000-000029010000}"/>
    <cellStyle name="_Currency_Senario Input Assumptions" xfId="432" xr:uid="{00000000-0005-0000-0000-00002A010000}"/>
    <cellStyle name="_Currency_Senario Input Assumptions_ControlTables" xfId="433" xr:uid="{00000000-0005-0000-0000-00002B010000}"/>
    <cellStyle name="_Currency_Senario Input Assumptions_ControlTablesI" xfId="434" xr:uid="{00000000-0005-0000-0000-00002C010000}"/>
    <cellStyle name="_Currency_Senario Input Assumptions_Database - Comparables" xfId="435" xr:uid="{00000000-0005-0000-0000-00002D010000}"/>
    <cellStyle name="_Currency_Senario Input Assumptions_DB_Eye" xfId="436" xr:uid="{00000000-0005-0000-0000-00002E010000}"/>
    <cellStyle name="_Currency_Senario Input Assumptions_Exec Summary" xfId="437" xr:uid="{00000000-0005-0000-0000-00002F010000}"/>
    <cellStyle name="_Currency_Senario Input Assumptions_Exec Summary_1" xfId="438" xr:uid="{00000000-0005-0000-0000-000030010000}"/>
    <cellStyle name="_Currency_Senario Input Assumptions_Sheet1" xfId="439" xr:uid="{00000000-0005-0000-0000-000031010000}"/>
    <cellStyle name="_Currency_Sheet1" xfId="440" xr:uid="{00000000-0005-0000-0000-000032010000}"/>
    <cellStyle name="_Currency_Sheet1_1" xfId="441" xr:uid="{00000000-0005-0000-0000-000033010000}"/>
    <cellStyle name="_Currency_Sheet1_3-Yr Eyechart" xfId="442" xr:uid="{00000000-0005-0000-0000-000034010000}"/>
    <cellStyle name="_Currency_Sheet1_Balance Sheet" xfId="443" xr:uid="{00000000-0005-0000-0000-000035010000}"/>
    <cellStyle name="_Currency_Sheet1_Balance Sheet_ControlTables" xfId="444" xr:uid="{00000000-0005-0000-0000-000036010000}"/>
    <cellStyle name="_Currency_Sheet1_Balance Sheet_ControlTablesI" xfId="445" xr:uid="{00000000-0005-0000-0000-000037010000}"/>
    <cellStyle name="_Currency_Sheet1_Balance Sheet_Database - Comparables" xfId="446" xr:uid="{00000000-0005-0000-0000-000038010000}"/>
    <cellStyle name="_Currency_Sheet1_Balance Sheet_DB_Eye" xfId="447" xr:uid="{00000000-0005-0000-0000-000039010000}"/>
    <cellStyle name="_Currency_Sheet1_Balance Sheet_Exec Summary" xfId="448" xr:uid="{00000000-0005-0000-0000-00003A010000}"/>
    <cellStyle name="_Currency_Sheet1_Balance Sheet_Exec Summary_1" xfId="449" xr:uid="{00000000-0005-0000-0000-00003B010000}"/>
    <cellStyle name="_Currency_Sheet1_Balance Sheet_Sheet1" xfId="450" xr:uid="{00000000-0005-0000-0000-00003C010000}"/>
    <cellStyle name="_Currency_Sheet1_ControlTables" xfId="451" xr:uid="{00000000-0005-0000-0000-00003D010000}"/>
    <cellStyle name="_Currency_Sheet1_ControlTablesI" xfId="452" xr:uid="{00000000-0005-0000-0000-00003E010000}"/>
    <cellStyle name="_Currency_Sheet1_Cost Of Funds" xfId="453" xr:uid="{00000000-0005-0000-0000-00003F010000}"/>
    <cellStyle name="_Currency_Sheet1_Criteria" xfId="454" xr:uid="{00000000-0005-0000-0000-000040010000}"/>
    <cellStyle name="_Currency_Sheet1_Criteria Test Export" xfId="455" xr:uid="{00000000-0005-0000-0000-000041010000}"/>
    <cellStyle name="_Currency_Sheet1_Criteria_ControlTables" xfId="456" xr:uid="{00000000-0005-0000-0000-000042010000}"/>
    <cellStyle name="_Currency_Sheet1_Criteria_ControlTablesI" xfId="457" xr:uid="{00000000-0005-0000-0000-000043010000}"/>
    <cellStyle name="_Currency_Sheet1_Criteria_Database - Comparables" xfId="458" xr:uid="{00000000-0005-0000-0000-000044010000}"/>
    <cellStyle name="_Currency_Sheet1_Criteria_DB_Eye" xfId="459" xr:uid="{00000000-0005-0000-0000-000045010000}"/>
    <cellStyle name="_Currency_Sheet1_Criteria_Exec Summary" xfId="460" xr:uid="{00000000-0005-0000-0000-000046010000}"/>
    <cellStyle name="_Currency_Sheet1_Criteria_Exec Summary_1" xfId="461" xr:uid="{00000000-0005-0000-0000-000047010000}"/>
    <cellStyle name="_Currency_Sheet1_Criteria_Sheet1" xfId="462" xr:uid="{00000000-0005-0000-0000-000048010000}"/>
    <cellStyle name="_Currency_Sheet1_Data Tape" xfId="463" xr:uid="{00000000-0005-0000-0000-000049010000}"/>
    <cellStyle name="_Currency_Sheet1_Data Tape_1" xfId="464" xr:uid="{00000000-0005-0000-0000-00004A010000}"/>
    <cellStyle name="_Currency_Sheet1_Data Tape_ControlTables" xfId="465" xr:uid="{00000000-0005-0000-0000-00004B010000}"/>
    <cellStyle name="_Currency_Sheet1_Data Tape_ControlTablesI" xfId="466" xr:uid="{00000000-0005-0000-0000-00004C010000}"/>
    <cellStyle name="_Currency_Sheet1_Data Tape_Database - Comparables" xfId="467" xr:uid="{00000000-0005-0000-0000-00004D010000}"/>
    <cellStyle name="_Currency_Sheet1_Data Tape_DB_Eye" xfId="468" xr:uid="{00000000-0005-0000-0000-00004E010000}"/>
    <cellStyle name="_Currency_Sheet1_Data Tape_Exec Summary" xfId="469" xr:uid="{00000000-0005-0000-0000-00004F010000}"/>
    <cellStyle name="_Currency_Sheet1_Data Tape_Exec Summary_1" xfId="470" xr:uid="{00000000-0005-0000-0000-000050010000}"/>
    <cellStyle name="_Currency_Sheet1_Data Tape_Sheet1" xfId="471" xr:uid="{00000000-0005-0000-0000-000051010000}"/>
    <cellStyle name="_Currency_Sheet1_Data_Tape" xfId="472" xr:uid="{00000000-0005-0000-0000-000052010000}"/>
    <cellStyle name="_Currency_Sheet1_Data_Tape_ControlTables" xfId="473" xr:uid="{00000000-0005-0000-0000-000053010000}"/>
    <cellStyle name="_Currency_Sheet1_Data_Tape_ControlTablesI" xfId="474" xr:uid="{00000000-0005-0000-0000-000054010000}"/>
    <cellStyle name="_Currency_Sheet1_Data_Tape_DB_Eye" xfId="475" xr:uid="{00000000-0005-0000-0000-000055010000}"/>
    <cellStyle name="_Currency_Sheet1_Data_Tape_Exec Summary" xfId="476" xr:uid="{00000000-0005-0000-0000-000056010000}"/>
    <cellStyle name="_Currency_Sheet1_Data_Tape_Exec Summary_1" xfId="477" xr:uid="{00000000-0005-0000-0000-000057010000}"/>
    <cellStyle name="_Currency_Sheet1_Data_Tape_Sheet1" xfId="478" xr:uid="{00000000-0005-0000-0000-000058010000}"/>
    <cellStyle name="_Currency_Sheet1_Database - Comparables" xfId="479" xr:uid="{00000000-0005-0000-0000-000059010000}"/>
    <cellStyle name="_Currency_Sheet1_Database - Economics" xfId="480" xr:uid="{00000000-0005-0000-0000-00005A010000}"/>
    <cellStyle name="_Currency_Sheet1_DB_Eye" xfId="481" xr:uid="{00000000-0005-0000-0000-00005B010000}"/>
    <cellStyle name="_Currency_Sheet1_Deal Input" xfId="482" xr:uid="{00000000-0005-0000-0000-00005C010000}"/>
    <cellStyle name="_Currency_Sheet1_Direct Cap Eye" xfId="483" xr:uid="{00000000-0005-0000-0000-00005D010000}"/>
    <cellStyle name="_Currency_Sheet1_DPEM2005_vBetatest6" xfId="484" xr:uid="{00000000-0005-0000-0000-00005E010000}"/>
    <cellStyle name="_Currency_Sheet1_ETR" xfId="485" xr:uid="{00000000-0005-0000-0000-00005F010000}"/>
    <cellStyle name="_Currency_Sheet1_Exec Summary" xfId="486" xr:uid="{00000000-0005-0000-0000-000060010000}"/>
    <cellStyle name="_Currency_Sheet1_Exec Summary_1" xfId="487" xr:uid="{00000000-0005-0000-0000-000061010000}"/>
    <cellStyle name="_Currency_Sheet1_Existing Debt" xfId="488" xr:uid="{00000000-0005-0000-0000-000062010000}"/>
    <cellStyle name="_Currency_Sheet1_Input" xfId="489" xr:uid="{00000000-0005-0000-0000-000063010000}"/>
    <cellStyle name="_Currency_Sheet1_Input_1" xfId="490" xr:uid="{00000000-0005-0000-0000-000064010000}"/>
    <cellStyle name="_Currency_Sheet1_Input_ControlTables" xfId="491" xr:uid="{00000000-0005-0000-0000-000065010000}"/>
    <cellStyle name="_Currency_Sheet1_Input_ControlTablesI" xfId="492" xr:uid="{00000000-0005-0000-0000-000066010000}"/>
    <cellStyle name="_Currency_Sheet1_Input_Data Tape" xfId="493" xr:uid="{00000000-0005-0000-0000-000067010000}"/>
    <cellStyle name="_Currency_Sheet1_Input_Database - Economics" xfId="494" xr:uid="{00000000-0005-0000-0000-000068010000}"/>
    <cellStyle name="_Currency_Sheet1_Input_DB_Eye" xfId="495" xr:uid="{00000000-0005-0000-0000-000069010000}"/>
    <cellStyle name="_Currency_Sheet1_Input_Exec Summary" xfId="496" xr:uid="{00000000-0005-0000-0000-00006A010000}"/>
    <cellStyle name="_Currency_Sheet1_Input_Exec Summary_1" xfId="497" xr:uid="{00000000-0005-0000-0000-00006B010000}"/>
    <cellStyle name="_Currency_Sheet1_Input_Sheet1" xfId="498" xr:uid="{00000000-0005-0000-0000-00006C010000}"/>
    <cellStyle name="_Currency_Sheet1_M&amp;A Feed" xfId="499" xr:uid="{00000000-0005-0000-0000-00006D010000}"/>
    <cellStyle name="_Currency_Sheet1_NPV Case Eyechart" xfId="500" xr:uid="{00000000-0005-0000-0000-00006E010000}"/>
    <cellStyle name="_Currency_Sheet1_Pools" xfId="501" xr:uid="{00000000-0005-0000-0000-00006F010000}"/>
    <cellStyle name="_Currency_Sheet1_Pools_1" xfId="502" xr:uid="{00000000-0005-0000-0000-000070010000}"/>
    <cellStyle name="_Currency_Sheet1_Pools_ControlTables" xfId="503" xr:uid="{00000000-0005-0000-0000-000071010000}"/>
    <cellStyle name="_Currency_Sheet1_Pools_ControlTablesI" xfId="504" xr:uid="{00000000-0005-0000-0000-000072010000}"/>
    <cellStyle name="_Currency_Sheet1_Pools_DB_Eye" xfId="505" xr:uid="{00000000-0005-0000-0000-000073010000}"/>
    <cellStyle name="_Currency_Sheet1_Pools_Exec Summary" xfId="506" xr:uid="{00000000-0005-0000-0000-000074010000}"/>
    <cellStyle name="_Currency_Sheet1_Pools_Exec Summary_1" xfId="507" xr:uid="{00000000-0005-0000-0000-000075010000}"/>
    <cellStyle name="_Currency_Sheet1_Pools_Sheet1" xfId="508" xr:uid="{00000000-0005-0000-0000-000076010000}"/>
    <cellStyle name="_Currency_Sheet1_Portfolio Valuation" xfId="509" xr:uid="{00000000-0005-0000-0000-000077010000}"/>
    <cellStyle name="_Currency_Sheet1_Prop 13" xfId="510" xr:uid="{00000000-0005-0000-0000-000078010000}"/>
    <cellStyle name="_Currency_Sheet1_Prop 13 Data" xfId="511" xr:uid="{00000000-0005-0000-0000-000079010000}"/>
    <cellStyle name="_Currency_Sheet1_Prop 13 Summary-11-10" xfId="512" xr:uid="{00000000-0005-0000-0000-00007A010000}"/>
    <cellStyle name="_Currency_Sheet1_Property Assumptions" xfId="513" xr:uid="{00000000-0005-0000-0000-00007B010000}"/>
    <cellStyle name="_Currency_Sheet1_Property Assumptions_1" xfId="514" xr:uid="{00000000-0005-0000-0000-00007C010000}"/>
    <cellStyle name="_Currency_Sheet1_Quick Property Input" xfId="515" xr:uid="{00000000-0005-0000-0000-00007D010000}"/>
    <cellStyle name="_Currency_Sheet1_Senario Input Assumptions" xfId="516" xr:uid="{00000000-0005-0000-0000-00007E010000}"/>
    <cellStyle name="_Currency_Sheet1_Senario Input Assumptions_ControlTables" xfId="517" xr:uid="{00000000-0005-0000-0000-00007F010000}"/>
    <cellStyle name="_Currency_Sheet1_Senario Input Assumptions_ControlTablesI" xfId="518" xr:uid="{00000000-0005-0000-0000-000080010000}"/>
    <cellStyle name="_Currency_Sheet1_Senario Input Assumptions_DB_Eye" xfId="519" xr:uid="{00000000-0005-0000-0000-000081010000}"/>
    <cellStyle name="_Currency_Sheet1_Senario Input Assumptions_Exec Summary" xfId="520" xr:uid="{00000000-0005-0000-0000-000082010000}"/>
    <cellStyle name="_Currency_Sheet1_Senario Input Assumptions_Exec Summary_1" xfId="521" xr:uid="{00000000-0005-0000-0000-000083010000}"/>
    <cellStyle name="_Currency_Sheet1_Senario Input Assumptions_Sheet1" xfId="522" xr:uid="{00000000-0005-0000-0000-000084010000}"/>
    <cellStyle name="_Currency_Sheet1_Sheet1" xfId="523" xr:uid="{00000000-0005-0000-0000-000085010000}"/>
    <cellStyle name="_Currency_Sheet1_Sheet1_Data Tape" xfId="524" xr:uid="{00000000-0005-0000-0000-000086010000}"/>
    <cellStyle name="_Currency_Sheet1_Sheet1_Database - Eyechart" xfId="525" xr:uid="{00000000-0005-0000-0000-000087010000}"/>
    <cellStyle name="_Currency_Sheet1_Sheet1_Deal Assumptions" xfId="526" xr:uid="{00000000-0005-0000-0000-000088010000}"/>
    <cellStyle name="_Currency_Sheet1_Sheet1_Model" xfId="527" xr:uid="{00000000-0005-0000-0000-000089010000}"/>
    <cellStyle name="_Currency_Sheet1_Sheet1_Monthly CF Input" xfId="528" xr:uid="{00000000-0005-0000-0000-00008A010000}"/>
    <cellStyle name="_Currency_Sheet1_Sheet1_Property Assumptions" xfId="529" xr:uid="{00000000-0005-0000-0000-00008B010000}"/>
    <cellStyle name="_Currency_Sheet1_Sheet1_RE Valuation 2" xfId="530" xr:uid="{00000000-0005-0000-0000-00008C010000}"/>
    <cellStyle name="_Currency_Sheet1_Sheet1_Sensitivities" xfId="531" xr:uid="{00000000-0005-0000-0000-00008D010000}"/>
    <cellStyle name="_Currency_Sheet1_Sheet2" xfId="532" xr:uid="{00000000-0005-0000-0000-00008E010000}"/>
    <cellStyle name="_Currency_Sheet1_Sheet2_1" xfId="533" xr:uid="{00000000-0005-0000-0000-00008F010000}"/>
    <cellStyle name="_Currency_Sheet1_Sheet3" xfId="534" xr:uid="{00000000-0005-0000-0000-000090010000}"/>
    <cellStyle name="_Currency_Sheet1_Sheet5" xfId="535" xr:uid="{00000000-0005-0000-0000-000091010000}"/>
    <cellStyle name="_Currency_Sheet1_Structure Model_2003_test2" xfId="536" xr:uid="{00000000-0005-0000-0000-000092010000}"/>
    <cellStyle name="_Currency_Sheet1_Structure Model_2003_test2_ControlTables" xfId="537" xr:uid="{00000000-0005-0000-0000-000093010000}"/>
    <cellStyle name="_Currency_Sheet1_Structure Model_2003_test2_ControlTablesI" xfId="538" xr:uid="{00000000-0005-0000-0000-000094010000}"/>
    <cellStyle name="_Currency_Sheet1_Structure Model_2003_test2_DB_Eye" xfId="539" xr:uid="{00000000-0005-0000-0000-000095010000}"/>
    <cellStyle name="_Currency_Sheet1_Structure Model_2003_test2_Exec Summary" xfId="540" xr:uid="{00000000-0005-0000-0000-000096010000}"/>
    <cellStyle name="_Currency_Sheet1_Structure Model_2003_test2_Exec Summary_1" xfId="541" xr:uid="{00000000-0005-0000-0000-000097010000}"/>
    <cellStyle name="_Currency_Sheet1_Structure Model_2003_test2_Sheet1" xfId="542" xr:uid="{00000000-0005-0000-0000-000098010000}"/>
    <cellStyle name="_Currency_Sheet2" xfId="543" xr:uid="{00000000-0005-0000-0000-000099010000}"/>
    <cellStyle name="_Currency_Sheet2_1" xfId="544" xr:uid="{00000000-0005-0000-0000-00009A010000}"/>
    <cellStyle name="_Currency_Sheet3" xfId="545" xr:uid="{00000000-0005-0000-0000-00009B010000}"/>
    <cellStyle name="_Currency_Sheet3_1" xfId="546" xr:uid="{00000000-0005-0000-0000-00009C010000}"/>
    <cellStyle name="_Currency_Sheet3_ControlTables" xfId="547" xr:uid="{00000000-0005-0000-0000-00009D010000}"/>
    <cellStyle name="_Currency_Sheet3_ControlTablesI" xfId="548" xr:uid="{00000000-0005-0000-0000-00009E010000}"/>
    <cellStyle name="_Currency_Sheet3_DB_Eye" xfId="549" xr:uid="{00000000-0005-0000-0000-00009F010000}"/>
    <cellStyle name="_Currency_Sheet3_Exec Summary" xfId="550" xr:uid="{00000000-0005-0000-0000-0000A0010000}"/>
    <cellStyle name="_Currency_Sheet3_Exec Summary_1" xfId="551" xr:uid="{00000000-0005-0000-0000-0000A1010000}"/>
    <cellStyle name="_Currency_Sheet3_Sheet1" xfId="552" xr:uid="{00000000-0005-0000-0000-0000A2010000}"/>
    <cellStyle name="_Currency_Sheet4" xfId="553" xr:uid="{00000000-0005-0000-0000-0000A3010000}"/>
    <cellStyle name="_Currency_Sheet5" xfId="554" xr:uid="{00000000-0005-0000-0000-0000A4010000}"/>
    <cellStyle name="_Currency_Structure Model_2003_test2" xfId="555" xr:uid="{00000000-0005-0000-0000-0000A5010000}"/>
    <cellStyle name="_Currency_Structure Model_2003_test2_ControlTables" xfId="556" xr:uid="{00000000-0005-0000-0000-0000A6010000}"/>
    <cellStyle name="_Currency_Structure Model_2003_test2_ControlTablesI" xfId="557" xr:uid="{00000000-0005-0000-0000-0000A7010000}"/>
    <cellStyle name="_Currency_Structure Model_2003_test2_DB_Eye" xfId="558" xr:uid="{00000000-0005-0000-0000-0000A8010000}"/>
    <cellStyle name="_Currency_Structure Model_2003_test2_Exec Summary" xfId="559" xr:uid="{00000000-0005-0000-0000-0000A9010000}"/>
    <cellStyle name="_Currency_Structure Model_2003_test2_Exec Summary_1" xfId="560" xr:uid="{00000000-0005-0000-0000-0000AA010000}"/>
    <cellStyle name="_Currency_Structure Model_2003_test2_Sheet1" xfId="561" xr:uid="{00000000-0005-0000-0000-0000AB010000}"/>
    <cellStyle name="_CurrencySpace" xfId="562" xr:uid="{00000000-0005-0000-0000-0000AC010000}"/>
    <cellStyle name="_CurrencySpace_3-Yr Eyechart" xfId="563" xr:uid="{00000000-0005-0000-0000-0000AD010000}"/>
    <cellStyle name="_CurrencySpace_Balance Sheet" xfId="564" xr:uid="{00000000-0005-0000-0000-0000AE010000}"/>
    <cellStyle name="_CurrencySpace_Balance Sheet_ControlTables" xfId="565" xr:uid="{00000000-0005-0000-0000-0000AF010000}"/>
    <cellStyle name="_CurrencySpace_Balance Sheet_ControlTablesI" xfId="566" xr:uid="{00000000-0005-0000-0000-0000B0010000}"/>
    <cellStyle name="_CurrencySpace_Balance Sheet_DB_Eye" xfId="567" xr:uid="{00000000-0005-0000-0000-0000B1010000}"/>
    <cellStyle name="_CurrencySpace_Balance Sheet_Exec Summary" xfId="568" xr:uid="{00000000-0005-0000-0000-0000B2010000}"/>
    <cellStyle name="_CurrencySpace_Balance Sheet_Exec Summary_1" xfId="569" xr:uid="{00000000-0005-0000-0000-0000B3010000}"/>
    <cellStyle name="_CurrencySpace_Balance Sheet_Sheet1" xfId="570" xr:uid="{00000000-0005-0000-0000-0000B4010000}"/>
    <cellStyle name="_CurrencySpace_ControlTables" xfId="571" xr:uid="{00000000-0005-0000-0000-0000B5010000}"/>
    <cellStyle name="_CurrencySpace_ControlTablesI" xfId="572" xr:uid="{00000000-0005-0000-0000-0000B6010000}"/>
    <cellStyle name="_CurrencySpace_Cost Of Funds" xfId="573" xr:uid="{00000000-0005-0000-0000-0000B7010000}"/>
    <cellStyle name="_CurrencySpace_Criteria" xfId="574" xr:uid="{00000000-0005-0000-0000-0000B8010000}"/>
    <cellStyle name="_CurrencySpace_Criteria Test Export" xfId="575" xr:uid="{00000000-0005-0000-0000-0000B9010000}"/>
    <cellStyle name="_CurrencySpace_Criteria_ControlTables" xfId="576" xr:uid="{00000000-0005-0000-0000-0000BA010000}"/>
    <cellStyle name="_CurrencySpace_Criteria_ControlTablesI" xfId="577" xr:uid="{00000000-0005-0000-0000-0000BB010000}"/>
    <cellStyle name="_CurrencySpace_Criteria_DB_Eye" xfId="578" xr:uid="{00000000-0005-0000-0000-0000BC010000}"/>
    <cellStyle name="_CurrencySpace_Criteria_Exec Summary" xfId="579" xr:uid="{00000000-0005-0000-0000-0000BD010000}"/>
    <cellStyle name="_CurrencySpace_Criteria_Exec Summary_1" xfId="580" xr:uid="{00000000-0005-0000-0000-0000BE010000}"/>
    <cellStyle name="_CurrencySpace_Criteria_Sheet1" xfId="581" xr:uid="{00000000-0005-0000-0000-0000BF010000}"/>
    <cellStyle name="_CurrencySpace_Data Tape" xfId="582" xr:uid="{00000000-0005-0000-0000-0000C0010000}"/>
    <cellStyle name="_CurrencySpace_Data Tape_1" xfId="583" xr:uid="{00000000-0005-0000-0000-0000C1010000}"/>
    <cellStyle name="_CurrencySpace_Data Tape_ControlTables" xfId="584" xr:uid="{00000000-0005-0000-0000-0000C2010000}"/>
    <cellStyle name="_CurrencySpace_Data Tape_ControlTablesI" xfId="585" xr:uid="{00000000-0005-0000-0000-0000C3010000}"/>
    <cellStyle name="_CurrencySpace_Data Tape_DB_Eye" xfId="586" xr:uid="{00000000-0005-0000-0000-0000C4010000}"/>
    <cellStyle name="_CurrencySpace_Data Tape_Exec Summary" xfId="587" xr:uid="{00000000-0005-0000-0000-0000C5010000}"/>
    <cellStyle name="_CurrencySpace_Data Tape_Exec Summary_1" xfId="588" xr:uid="{00000000-0005-0000-0000-0000C6010000}"/>
    <cellStyle name="_CurrencySpace_Data Tape_Sheet1" xfId="589" xr:uid="{00000000-0005-0000-0000-0000C7010000}"/>
    <cellStyle name="_CurrencySpace_Data_Tape" xfId="590" xr:uid="{00000000-0005-0000-0000-0000C8010000}"/>
    <cellStyle name="_CurrencySpace_Database - Economics" xfId="591" xr:uid="{00000000-0005-0000-0000-0000C9010000}"/>
    <cellStyle name="_CurrencySpace_DB_Eye" xfId="592" xr:uid="{00000000-0005-0000-0000-0000CA010000}"/>
    <cellStyle name="_CurrencySpace_Deal Input" xfId="593" xr:uid="{00000000-0005-0000-0000-0000CB010000}"/>
    <cellStyle name="_CurrencySpace_Direct Cap Eye" xfId="594" xr:uid="{00000000-0005-0000-0000-0000CC010000}"/>
    <cellStyle name="_CurrencySpace_DPEM2005_vBetatest6" xfId="595" xr:uid="{00000000-0005-0000-0000-0000CD010000}"/>
    <cellStyle name="_CurrencySpace_ETR" xfId="596" xr:uid="{00000000-0005-0000-0000-0000CE010000}"/>
    <cellStyle name="_CurrencySpace_Exec Summary" xfId="597" xr:uid="{00000000-0005-0000-0000-0000CF010000}"/>
    <cellStyle name="_CurrencySpace_Exec Summary_1" xfId="598" xr:uid="{00000000-0005-0000-0000-0000D0010000}"/>
    <cellStyle name="_CurrencySpace_Existing Debt" xfId="599" xr:uid="{00000000-0005-0000-0000-0000D1010000}"/>
    <cellStyle name="_CurrencySpace_EyeChart" xfId="600" xr:uid="{00000000-0005-0000-0000-0000D2010000}"/>
    <cellStyle name="_CurrencySpace_EyeChart 090503" xfId="601" xr:uid="{00000000-0005-0000-0000-0000D3010000}"/>
    <cellStyle name="_CurrencySpace_Input" xfId="602" xr:uid="{00000000-0005-0000-0000-0000D4010000}"/>
    <cellStyle name="_CurrencySpace_Input_1" xfId="603" xr:uid="{00000000-0005-0000-0000-0000D5010000}"/>
    <cellStyle name="_CurrencySpace_Input_ControlTables" xfId="604" xr:uid="{00000000-0005-0000-0000-0000D6010000}"/>
    <cellStyle name="_CurrencySpace_Input_ControlTablesI" xfId="605" xr:uid="{00000000-0005-0000-0000-0000D7010000}"/>
    <cellStyle name="_CurrencySpace_Input_Data Tape" xfId="606" xr:uid="{00000000-0005-0000-0000-0000D8010000}"/>
    <cellStyle name="_CurrencySpace_Input_Database - Economics" xfId="607" xr:uid="{00000000-0005-0000-0000-0000D9010000}"/>
    <cellStyle name="_CurrencySpace_Input_DB_Eye" xfId="608" xr:uid="{00000000-0005-0000-0000-0000DA010000}"/>
    <cellStyle name="_CurrencySpace_Input_Exec Summary" xfId="609" xr:uid="{00000000-0005-0000-0000-0000DB010000}"/>
    <cellStyle name="_CurrencySpace_Input_Exec Summary_1" xfId="610" xr:uid="{00000000-0005-0000-0000-0000DC010000}"/>
    <cellStyle name="_CurrencySpace_Input_Sheet1" xfId="611" xr:uid="{00000000-0005-0000-0000-0000DD010000}"/>
    <cellStyle name="_CurrencySpace_JV Economics" xfId="612" xr:uid="{00000000-0005-0000-0000-0000DE010000}"/>
    <cellStyle name="_CurrencySpace_M&amp;A Feed" xfId="613" xr:uid="{00000000-0005-0000-0000-0000DF010000}"/>
    <cellStyle name="_CurrencySpace_NPV Case Eyechart" xfId="614" xr:uid="{00000000-0005-0000-0000-0000E0010000}"/>
    <cellStyle name="_CurrencySpace_Pools" xfId="615" xr:uid="{00000000-0005-0000-0000-0000E1010000}"/>
    <cellStyle name="_CurrencySpace_Pools_1" xfId="616" xr:uid="{00000000-0005-0000-0000-0000E2010000}"/>
    <cellStyle name="_CurrencySpace_Portfolio Valuation" xfId="617" xr:uid="{00000000-0005-0000-0000-0000E3010000}"/>
    <cellStyle name="_CurrencySpace_Pricing" xfId="618" xr:uid="{00000000-0005-0000-0000-0000E4010000}"/>
    <cellStyle name="_CurrencySpace_Prop 13" xfId="619" xr:uid="{00000000-0005-0000-0000-0000E5010000}"/>
    <cellStyle name="_CurrencySpace_Prop 13 Data" xfId="620" xr:uid="{00000000-0005-0000-0000-0000E6010000}"/>
    <cellStyle name="_CurrencySpace_Prop 13 Summary-11-10" xfId="621" xr:uid="{00000000-0005-0000-0000-0000E7010000}"/>
    <cellStyle name="_CurrencySpace_Property Assumptions" xfId="622" xr:uid="{00000000-0005-0000-0000-0000E8010000}"/>
    <cellStyle name="_CurrencySpace_Property Assumptions_1" xfId="623" xr:uid="{00000000-0005-0000-0000-0000E9010000}"/>
    <cellStyle name="_CurrencySpace_Quick Property Input" xfId="624" xr:uid="{00000000-0005-0000-0000-0000EA010000}"/>
    <cellStyle name="_CurrencySpace_Senario Input Assumptions" xfId="625" xr:uid="{00000000-0005-0000-0000-0000EB010000}"/>
    <cellStyle name="_CurrencySpace_Senario Input Assumptions_ControlTables" xfId="626" xr:uid="{00000000-0005-0000-0000-0000EC010000}"/>
    <cellStyle name="_CurrencySpace_Senario Input Assumptions_ControlTablesI" xfId="627" xr:uid="{00000000-0005-0000-0000-0000ED010000}"/>
    <cellStyle name="_CurrencySpace_Senario Input Assumptions_DB_Eye" xfId="628" xr:uid="{00000000-0005-0000-0000-0000EE010000}"/>
    <cellStyle name="_CurrencySpace_Senario Input Assumptions_Exec Summary" xfId="629" xr:uid="{00000000-0005-0000-0000-0000EF010000}"/>
    <cellStyle name="_CurrencySpace_Senario Input Assumptions_Exec Summary_1" xfId="630" xr:uid="{00000000-0005-0000-0000-0000F0010000}"/>
    <cellStyle name="_CurrencySpace_Senario Input Assumptions_Sheet1" xfId="631" xr:uid="{00000000-0005-0000-0000-0000F1010000}"/>
    <cellStyle name="_CurrencySpace_Sheet1" xfId="632" xr:uid="{00000000-0005-0000-0000-0000F2010000}"/>
    <cellStyle name="_CurrencySpace_Sheet1_1" xfId="633" xr:uid="{00000000-0005-0000-0000-0000F3010000}"/>
    <cellStyle name="_CurrencySpace_Sheet1_3-Yr Eyechart" xfId="634" xr:uid="{00000000-0005-0000-0000-0000F4010000}"/>
    <cellStyle name="_CurrencySpace_Sheet1_Balance Sheet" xfId="635" xr:uid="{00000000-0005-0000-0000-0000F5010000}"/>
    <cellStyle name="_CurrencySpace_Sheet1_Cost Of Funds" xfId="636" xr:uid="{00000000-0005-0000-0000-0000F6010000}"/>
    <cellStyle name="_CurrencySpace_Sheet1_Criteria" xfId="637" xr:uid="{00000000-0005-0000-0000-0000F7010000}"/>
    <cellStyle name="_CurrencySpace_Sheet1_Criteria Test Export" xfId="638" xr:uid="{00000000-0005-0000-0000-0000F8010000}"/>
    <cellStyle name="_CurrencySpace_Sheet1_Data Tape" xfId="639" xr:uid="{00000000-0005-0000-0000-0000F9010000}"/>
    <cellStyle name="_CurrencySpace_Sheet1_Data Tape_1" xfId="640" xr:uid="{00000000-0005-0000-0000-0000FA010000}"/>
    <cellStyle name="_CurrencySpace_Sheet1_Data_Tape" xfId="641" xr:uid="{00000000-0005-0000-0000-0000FB010000}"/>
    <cellStyle name="_CurrencySpace_Sheet1_Data_Tape_ControlTables" xfId="642" xr:uid="{00000000-0005-0000-0000-0000FC010000}"/>
    <cellStyle name="_CurrencySpace_Sheet1_Data_Tape_ControlTablesI" xfId="643" xr:uid="{00000000-0005-0000-0000-0000FD010000}"/>
    <cellStyle name="_CurrencySpace_Sheet1_Data_Tape_DB_Eye" xfId="644" xr:uid="{00000000-0005-0000-0000-0000FE010000}"/>
    <cellStyle name="_CurrencySpace_Sheet1_Data_Tape_Exec Summary" xfId="645" xr:uid="{00000000-0005-0000-0000-0000FF010000}"/>
    <cellStyle name="_CurrencySpace_Sheet1_Data_Tape_Exec Summary_1" xfId="646" xr:uid="{00000000-0005-0000-0000-000000020000}"/>
    <cellStyle name="_CurrencySpace_Sheet1_Data_Tape_Sheet1" xfId="647" xr:uid="{00000000-0005-0000-0000-000001020000}"/>
    <cellStyle name="_CurrencySpace_Sheet1_Database - Economics" xfId="648" xr:uid="{00000000-0005-0000-0000-000002020000}"/>
    <cellStyle name="_CurrencySpace_Sheet1_Deal Input" xfId="649" xr:uid="{00000000-0005-0000-0000-000003020000}"/>
    <cellStyle name="_CurrencySpace_Sheet1_Direct Cap Eye" xfId="650" xr:uid="{00000000-0005-0000-0000-000004020000}"/>
    <cellStyle name="_CurrencySpace_Sheet1_DPEM2005_vBetatest6" xfId="651" xr:uid="{00000000-0005-0000-0000-000005020000}"/>
    <cellStyle name="_CurrencySpace_Sheet1_ETR" xfId="652" xr:uid="{00000000-0005-0000-0000-000006020000}"/>
    <cellStyle name="_CurrencySpace_Sheet1_Existing Debt" xfId="653" xr:uid="{00000000-0005-0000-0000-000007020000}"/>
    <cellStyle name="_CurrencySpace_Sheet1_Input" xfId="654" xr:uid="{00000000-0005-0000-0000-000008020000}"/>
    <cellStyle name="_CurrencySpace_Sheet1_Input_1" xfId="655" xr:uid="{00000000-0005-0000-0000-000009020000}"/>
    <cellStyle name="_CurrencySpace_Sheet1_Input_Data Tape" xfId="656" xr:uid="{00000000-0005-0000-0000-00000A020000}"/>
    <cellStyle name="_CurrencySpace_Sheet1_Input_Database - Economics" xfId="657" xr:uid="{00000000-0005-0000-0000-00000B020000}"/>
    <cellStyle name="_CurrencySpace_Sheet1_M&amp;A Feed" xfId="658" xr:uid="{00000000-0005-0000-0000-00000C020000}"/>
    <cellStyle name="_CurrencySpace_Sheet1_NPV Case Eyechart" xfId="659" xr:uid="{00000000-0005-0000-0000-00000D020000}"/>
    <cellStyle name="_CurrencySpace_Sheet1_Pools" xfId="660" xr:uid="{00000000-0005-0000-0000-00000E020000}"/>
    <cellStyle name="_CurrencySpace_Sheet1_Pools_1" xfId="661" xr:uid="{00000000-0005-0000-0000-00000F020000}"/>
    <cellStyle name="_CurrencySpace_Sheet1_Pools_ControlTables" xfId="662" xr:uid="{00000000-0005-0000-0000-000010020000}"/>
    <cellStyle name="_CurrencySpace_Sheet1_Pools_ControlTablesI" xfId="663" xr:uid="{00000000-0005-0000-0000-000011020000}"/>
    <cellStyle name="_CurrencySpace_Sheet1_Pools_DB_Eye" xfId="664" xr:uid="{00000000-0005-0000-0000-000012020000}"/>
    <cellStyle name="_CurrencySpace_Sheet1_Pools_Exec Summary" xfId="665" xr:uid="{00000000-0005-0000-0000-000013020000}"/>
    <cellStyle name="_CurrencySpace_Sheet1_Pools_Exec Summary_1" xfId="666" xr:uid="{00000000-0005-0000-0000-000014020000}"/>
    <cellStyle name="_CurrencySpace_Sheet1_Pools_Sheet1" xfId="667" xr:uid="{00000000-0005-0000-0000-000015020000}"/>
    <cellStyle name="_CurrencySpace_Sheet1_Portfolio Valuation" xfId="668" xr:uid="{00000000-0005-0000-0000-000016020000}"/>
    <cellStyle name="_CurrencySpace_Sheet1_Prop 13" xfId="669" xr:uid="{00000000-0005-0000-0000-000017020000}"/>
    <cellStyle name="_CurrencySpace_Sheet1_Prop 13 Data" xfId="670" xr:uid="{00000000-0005-0000-0000-000018020000}"/>
    <cellStyle name="_CurrencySpace_Sheet1_Prop 13 Summary-11-10" xfId="671" xr:uid="{00000000-0005-0000-0000-000019020000}"/>
    <cellStyle name="_CurrencySpace_Sheet1_Property Assumptions" xfId="672" xr:uid="{00000000-0005-0000-0000-00001A020000}"/>
    <cellStyle name="_CurrencySpace_Sheet1_Property Assumptions_1" xfId="673" xr:uid="{00000000-0005-0000-0000-00001B020000}"/>
    <cellStyle name="_CurrencySpace_Sheet1_Quick Property Input" xfId="674" xr:uid="{00000000-0005-0000-0000-00001C020000}"/>
    <cellStyle name="_CurrencySpace_Sheet1_Senario Input Assumptions" xfId="675" xr:uid="{00000000-0005-0000-0000-00001D020000}"/>
    <cellStyle name="_CurrencySpace_Sheet1_Sheet1" xfId="676" xr:uid="{00000000-0005-0000-0000-00001E020000}"/>
    <cellStyle name="_CurrencySpace_Sheet1_Sheet2" xfId="677" xr:uid="{00000000-0005-0000-0000-00001F020000}"/>
    <cellStyle name="_CurrencySpace_Sheet1_Sheet2_1" xfId="678" xr:uid="{00000000-0005-0000-0000-000020020000}"/>
    <cellStyle name="_CurrencySpace_Sheet1_Sheet3" xfId="679" xr:uid="{00000000-0005-0000-0000-000021020000}"/>
    <cellStyle name="_CurrencySpace_Sheet1_Sheet5" xfId="680" xr:uid="{00000000-0005-0000-0000-000022020000}"/>
    <cellStyle name="_CurrencySpace_Sheet1_Structure Model_2003_test2" xfId="681" xr:uid="{00000000-0005-0000-0000-000023020000}"/>
    <cellStyle name="_CurrencySpace_Sheet2" xfId="682" xr:uid="{00000000-0005-0000-0000-000024020000}"/>
    <cellStyle name="_CurrencySpace_Sheet2_1" xfId="683" xr:uid="{00000000-0005-0000-0000-000025020000}"/>
    <cellStyle name="_CurrencySpace_Sheet3" xfId="684" xr:uid="{00000000-0005-0000-0000-000026020000}"/>
    <cellStyle name="_CurrencySpace_Sheet3_1" xfId="685" xr:uid="{00000000-0005-0000-0000-000027020000}"/>
    <cellStyle name="_CurrencySpace_Sheet4" xfId="686" xr:uid="{00000000-0005-0000-0000-000028020000}"/>
    <cellStyle name="_CurrencySpace_Sheet5" xfId="687" xr:uid="{00000000-0005-0000-0000-000029020000}"/>
    <cellStyle name="_CurrencySpace_Structure Model_2003_test2" xfId="688" xr:uid="{00000000-0005-0000-0000-00002A020000}"/>
    <cellStyle name="_CurrencySpace_Structure Model_2003_test2_ControlTables" xfId="689" xr:uid="{00000000-0005-0000-0000-00002B020000}"/>
    <cellStyle name="_CurrencySpace_Structure Model_2003_test2_ControlTablesI" xfId="690" xr:uid="{00000000-0005-0000-0000-00002C020000}"/>
    <cellStyle name="_CurrencySpace_Structure Model_2003_test2_DB_Eye" xfId="691" xr:uid="{00000000-0005-0000-0000-00002D020000}"/>
    <cellStyle name="_CurrencySpace_Structure Model_2003_test2_Exec Summary" xfId="692" xr:uid="{00000000-0005-0000-0000-00002E020000}"/>
    <cellStyle name="_CurrencySpace_Structure Model_2003_test2_Exec Summary_1" xfId="693" xr:uid="{00000000-0005-0000-0000-00002F020000}"/>
    <cellStyle name="_CurrencySpace_Structure Model_2003_test2_Sheet1" xfId="694" xr:uid="{00000000-0005-0000-0000-000030020000}"/>
    <cellStyle name="_Euro" xfId="695" xr:uid="{00000000-0005-0000-0000-000031020000}"/>
    <cellStyle name="_Euro_ControlTables" xfId="696" xr:uid="{00000000-0005-0000-0000-000032020000}"/>
    <cellStyle name="_Euro_ControlTablesI" xfId="697" xr:uid="{00000000-0005-0000-0000-000033020000}"/>
    <cellStyle name="_Euro_DB Eye" xfId="698" xr:uid="{00000000-0005-0000-0000-000034020000}"/>
    <cellStyle name="_Euro_DB_Eye" xfId="699" xr:uid="{00000000-0005-0000-0000-000035020000}"/>
    <cellStyle name="_Euro_Exec Summary" xfId="700" xr:uid="{00000000-0005-0000-0000-000036020000}"/>
    <cellStyle name="_Euro_Sheet1" xfId="701" xr:uid="{00000000-0005-0000-0000-000037020000}"/>
    <cellStyle name="_Existing Debt" xfId="702" xr:uid="{00000000-0005-0000-0000-000038020000}"/>
    <cellStyle name="_Heading" xfId="703" xr:uid="{00000000-0005-0000-0000-000039020000}"/>
    <cellStyle name="_Highlight" xfId="704" xr:uid="{00000000-0005-0000-0000-00003A020000}"/>
    <cellStyle name="_Multiple" xfId="705" xr:uid="{00000000-0005-0000-0000-00003B020000}"/>
    <cellStyle name="_Multiple_3-Yr Eyechart" xfId="706" xr:uid="{00000000-0005-0000-0000-00003C020000}"/>
    <cellStyle name="_Multiple_ARI Base Case July 25 TPS1" xfId="707" xr:uid="{00000000-0005-0000-0000-00003D020000}"/>
    <cellStyle name="_Multiple_Balance Sheet" xfId="708" xr:uid="{00000000-0005-0000-0000-00003E020000}"/>
    <cellStyle name="_Multiple_Cost Of Funds" xfId="709" xr:uid="{00000000-0005-0000-0000-00003F020000}"/>
    <cellStyle name="_Multiple_Criteria" xfId="710" xr:uid="{00000000-0005-0000-0000-000040020000}"/>
    <cellStyle name="_Multiple_Criteria Test Export" xfId="711" xr:uid="{00000000-0005-0000-0000-000041020000}"/>
    <cellStyle name="_Multiple_Data Tape" xfId="712" xr:uid="{00000000-0005-0000-0000-000042020000}"/>
    <cellStyle name="_Multiple_Data Tape_1" xfId="713" xr:uid="{00000000-0005-0000-0000-000043020000}"/>
    <cellStyle name="_Multiple_Data_Tape" xfId="714" xr:uid="{00000000-0005-0000-0000-000044020000}"/>
    <cellStyle name="_Multiple_DB_Eye" xfId="715" xr:uid="{00000000-0005-0000-0000-000045020000}"/>
    <cellStyle name="_Multiple_Deal Input" xfId="716" xr:uid="{00000000-0005-0000-0000-000046020000}"/>
    <cellStyle name="_Multiple_Direct Cap Eye" xfId="717" xr:uid="{00000000-0005-0000-0000-000047020000}"/>
    <cellStyle name="_Multiple_DPEM2005_vBetatest6" xfId="718" xr:uid="{00000000-0005-0000-0000-000048020000}"/>
    <cellStyle name="_Multiple_ETR" xfId="719" xr:uid="{00000000-0005-0000-0000-000049020000}"/>
    <cellStyle name="_Multiple_Existing Debt" xfId="720" xr:uid="{00000000-0005-0000-0000-00004A020000}"/>
    <cellStyle name="_Multiple_Existing Debt_1" xfId="721" xr:uid="{00000000-0005-0000-0000-00004B020000}"/>
    <cellStyle name="_Multiple_EyeChart" xfId="722" xr:uid="{00000000-0005-0000-0000-00004C020000}"/>
    <cellStyle name="_Multiple_EyeChart 090503" xfId="723" xr:uid="{00000000-0005-0000-0000-00004D020000}"/>
    <cellStyle name="_Multiple_Input" xfId="724" xr:uid="{00000000-0005-0000-0000-00004E020000}"/>
    <cellStyle name="_Multiple_Input_1" xfId="725" xr:uid="{00000000-0005-0000-0000-00004F020000}"/>
    <cellStyle name="_Multiple_Input_Data Tape" xfId="726" xr:uid="{00000000-0005-0000-0000-000050020000}"/>
    <cellStyle name="_Multiple_JV Economics" xfId="727" xr:uid="{00000000-0005-0000-0000-000051020000}"/>
    <cellStyle name="_Multiple_M&amp;A Feed" xfId="728" xr:uid="{00000000-0005-0000-0000-000052020000}"/>
    <cellStyle name="_Multiple_NPV Case Eyechart" xfId="729" xr:uid="{00000000-0005-0000-0000-000053020000}"/>
    <cellStyle name="_Multiple_Pools" xfId="730" xr:uid="{00000000-0005-0000-0000-000054020000}"/>
    <cellStyle name="_Multiple_Pools_1" xfId="731" xr:uid="{00000000-0005-0000-0000-000055020000}"/>
    <cellStyle name="_Multiple_Portfolio Valuation" xfId="732" xr:uid="{00000000-0005-0000-0000-000056020000}"/>
    <cellStyle name="_Multiple_Pricing" xfId="733" xr:uid="{00000000-0005-0000-0000-000057020000}"/>
    <cellStyle name="_Multiple_Prop 13" xfId="734" xr:uid="{00000000-0005-0000-0000-000058020000}"/>
    <cellStyle name="_Multiple_Prop 13 Data" xfId="735" xr:uid="{00000000-0005-0000-0000-000059020000}"/>
    <cellStyle name="_Multiple_Prop 13 Summary-11-10" xfId="736" xr:uid="{00000000-0005-0000-0000-00005A020000}"/>
    <cellStyle name="_Multiple_Property Assumptions" xfId="737" xr:uid="{00000000-0005-0000-0000-00005B020000}"/>
    <cellStyle name="_Multiple_Property Assumptions_1" xfId="738" xr:uid="{00000000-0005-0000-0000-00005C020000}"/>
    <cellStyle name="_Multiple_Quick Property Input" xfId="739" xr:uid="{00000000-0005-0000-0000-00005D020000}"/>
    <cellStyle name="_Multiple_Senario Input Assumptions" xfId="740" xr:uid="{00000000-0005-0000-0000-00005E020000}"/>
    <cellStyle name="_Multiple_Sheet1" xfId="741" xr:uid="{00000000-0005-0000-0000-00005F020000}"/>
    <cellStyle name="_Multiple_Sheet1_3-Yr Eyechart" xfId="742" xr:uid="{00000000-0005-0000-0000-000060020000}"/>
    <cellStyle name="_Multiple_Sheet1_Balance Sheet" xfId="743" xr:uid="{00000000-0005-0000-0000-000061020000}"/>
    <cellStyle name="_Multiple_Sheet1_Cost Of Funds" xfId="744" xr:uid="{00000000-0005-0000-0000-000062020000}"/>
    <cellStyle name="_Multiple_Sheet1_Criteria" xfId="745" xr:uid="{00000000-0005-0000-0000-000063020000}"/>
    <cellStyle name="_Multiple_Sheet1_Criteria Test Export" xfId="746" xr:uid="{00000000-0005-0000-0000-000064020000}"/>
    <cellStyle name="_Multiple_Sheet1_Data Tape" xfId="747" xr:uid="{00000000-0005-0000-0000-000065020000}"/>
    <cellStyle name="_Multiple_Sheet1_Data Tape_1" xfId="748" xr:uid="{00000000-0005-0000-0000-000066020000}"/>
    <cellStyle name="_Multiple_Sheet1_Data_Tape" xfId="749" xr:uid="{00000000-0005-0000-0000-000067020000}"/>
    <cellStyle name="_Multiple_Sheet1_Deal Input" xfId="750" xr:uid="{00000000-0005-0000-0000-000068020000}"/>
    <cellStyle name="_Multiple_Sheet1_Direct Cap Eye" xfId="751" xr:uid="{00000000-0005-0000-0000-000069020000}"/>
    <cellStyle name="_Multiple_Sheet1_DPEM2005_vBetatest6" xfId="752" xr:uid="{00000000-0005-0000-0000-00006A020000}"/>
    <cellStyle name="_Multiple_Sheet1_ETR" xfId="753" xr:uid="{00000000-0005-0000-0000-00006B020000}"/>
    <cellStyle name="_Multiple_Sheet1_Existing Debt" xfId="754" xr:uid="{00000000-0005-0000-0000-00006C020000}"/>
    <cellStyle name="_Multiple_Sheet1_Input" xfId="755" xr:uid="{00000000-0005-0000-0000-00006D020000}"/>
    <cellStyle name="_Multiple_Sheet1_Input_1" xfId="756" xr:uid="{00000000-0005-0000-0000-00006E020000}"/>
    <cellStyle name="_Multiple_Sheet1_Input_Data Tape" xfId="757" xr:uid="{00000000-0005-0000-0000-00006F020000}"/>
    <cellStyle name="_Multiple_Sheet1_M&amp;A Feed" xfId="758" xr:uid="{00000000-0005-0000-0000-000070020000}"/>
    <cellStyle name="_Multiple_Sheet1_NPV Case Eyechart" xfId="759" xr:uid="{00000000-0005-0000-0000-000071020000}"/>
    <cellStyle name="_Multiple_Sheet1_Pools" xfId="760" xr:uid="{00000000-0005-0000-0000-000072020000}"/>
    <cellStyle name="_Multiple_Sheet1_Pools_1" xfId="761" xr:uid="{00000000-0005-0000-0000-000073020000}"/>
    <cellStyle name="_Multiple_Sheet1_Portfolio Valuation" xfId="762" xr:uid="{00000000-0005-0000-0000-000074020000}"/>
    <cellStyle name="_Multiple_Sheet1_Prop 13" xfId="763" xr:uid="{00000000-0005-0000-0000-000075020000}"/>
    <cellStyle name="_Multiple_Sheet1_Prop 13 Data" xfId="764" xr:uid="{00000000-0005-0000-0000-000076020000}"/>
    <cellStyle name="_Multiple_Sheet1_Prop 13 Summary-11-10" xfId="765" xr:uid="{00000000-0005-0000-0000-000077020000}"/>
    <cellStyle name="_Multiple_Sheet1_Property Assumptions" xfId="766" xr:uid="{00000000-0005-0000-0000-000078020000}"/>
    <cellStyle name="_Multiple_Sheet1_Property Assumptions_1" xfId="767" xr:uid="{00000000-0005-0000-0000-000079020000}"/>
    <cellStyle name="_Multiple_Sheet1_Quick Property Input" xfId="768" xr:uid="{00000000-0005-0000-0000-00007A020000}"/>
    <cellStyle name="_Multiple_Sheet1_Senario Input Assumptions" xfId="769" xr:uid="{00000000-0005-0000-0000-00007B020000}"/>
    <cellStyle name="_Multiple_Sheet1_Sheet1" xfId="770" xr:uid="{00000000-0005-0000-0000-00007C020000}"/>
    <cellStyle name="_Multiple_Sheet1_Sheet2" xfId="771" xr:uid="{00000000-0005-0000-0000-00007D020000}"/>
    <cellStyle name="_Multiple_Sheet1_Sheet2_1" xfId="772" xr:uid="{00000000-0005-0000-0000-00007E020000}"/>
    <cellStyle name="_Multiple_Sheet1_Sheet3" xfId="773" xr:uid="{00000000-0005-0000-0000-00007F020000}"/>
    <cellStyle name="_Multiple_Sheet1_Sheet5" xfId="774" xr:uid="{00000000-0005-0000-0000-000080020000}"/>
    <cellStyle name="_Multiple_Sheet1_Structure Model_2003_test2" xfId="775" xr:uid="{00000000-0005-0000-0000-000081020000}"/>
    <cellStyle name="_Multiple_Sheet2" xfId="776" xr:uid="{00000000-0005-0000-0000-000082020000}"/>
    <cellStyle name="_Multiple_Sheet2_1" xfId="777" xr:uid="{00000000-0005-0000-0000-000083020000}"/>
    <cellStyle name="_Multiple_Sheet3" xfId="778" xr:uid="{00000000-0005-0000-0000-000084020000}"/>
    <cellStyle name="_Multiple_Sheet3_1" xfId="779" xr:uid="{00000000-0005-0000-0000-000085020000}"/>
    <cellStyle name="_Multiple_Sheet4" xfId="780" xr:uid="{00000000-0005-0000-0000-000086020000}"/>
    <cellStyle name="_Multiple_Sheet5" xfId="781" xr:uid="{00000000-0005-0000-0000-000087020000}"/>
    <cellStyle name="_Multiple_Structure Model_2003_test2" xfId="782" xr:uid="{00000000-0005-0000-0000-000088020000}"/>
    <cellStyle name="_MultipleSpace" xfId="783" xr:uid="{00000000-0005-0000-0000-000089020000}"/>
    <cellStyle name="_MultipleSpace_ARI Base Case July 25 TPS1" xfId="784" xr:uid="{00000000-0005-0000-0000-00008A020000}"/>
    <cellStyle name="_MultipleSpace_DB_Eye" xfId="785" xr:uid="{00000000-0005-0000-0000-00008B020000}"/>
    <cellStyle name="_MultipleSpace_Existing Debt" xfId="786" xr:uid="{00000000-0005-0000-0000-00008C020000}"/>
    <cellStyle name="_MultipleSpace_EyeChart" xfId="787" xr:uid="{00000000-0005-0000-0000-00008D020000}"/>
    <cellStyle name="_MultipleSpace_EyeChart 090503" xfId="788" xr:uid="{00000000-0005-0000-0000-00008E020000}"/>
    <cellStyle name="_MultipleSpace_Input" xfId="789" xr:uid="{00000000-0005-0000-0000-00008F020000}"/>
    <cellStyle name="_MultipleSpace_Input_1" xfId="790" xr:uid="{00000000-0005-0000-0000-000090020000}"/>
    <cellStyle name="_MultipleSpace_Pricing" xfId="791" xr:uid="{00000000-0005-0000-0000-000091020000}"/>
    <cellStyle name="_MultipleSpace_Sheet2" xfId="792" xr:uid="{00000000-0005-0000-0000-000092020000}"/>
    <cellStyle name="_MultipleSpace_Sheet4" xfId="793" xr:uid="{00000000-0005-0000-0000-000093020000}"/>
    <cellStyle name="_Percent" xfId="794" xr:uid="{00000000-0005-0000-0000-000094020000}"/>
    <cellStyle name="_Percent_ARI Base Case July 25 TPS1" xfId="795" xr:uid="{00000000-0005-0000-0000-000095020000}"/>
    <cellStyle name="_Percent_Existing Debt" xfId="796" xr:uid="{00000000-0005-0000-0000-000096020000}"/>
    <cellStyle name="_PercentSpace" xfId="797" xr:uid="{00000000-0005-0000-0000-000097020000}"/>
    <cellStyle name="_PercentSpace_ARI Base Case July 25 TPS1" xfId="798" xr:uid="{00000000-0005-0000-0000-000098020000}"/>
    <cellStyle name="_PercentSpace_Existing Debt" xfId="799" xr:uid="{00000000-0005-0000-0000-000099020000}"/>
    <cellStyle name="_SubHeading" xfId="800" xr:uid="{00000000-0005-0000-0000-00009A020000}"/>
    <cellStyle name="_Table" xfId="801" xr:uid="{00000000-0005-0000-0000-00009B020000}"/>
    <cellStyle name="_TableHead" xfId="802" xr:uid="{00000000-0005-0000-0000-00009C020000}"/>
    <cellStyle name="_TableRowHead" xfId="803" xr:uid="{00000000-0005-0000-0000-00009D020000}"/>
    <cellStyle name="_TableSuperHead" xfId="804" xr:uid="{00000000-0005-0000-0000-00009E020000}"/>
    <cellStyle name="0.0 x" xfId="805" xr:uid="{00000000-0005-0000-0000-0000A2020000}"/>
    <cellStyle name="000" xfId="806" xr:uid="{00000000-0005-0000-0000-0000A3020000}"/>
    <cellStyle name="1" xfId="807" xr:uid="{00000000-0005-0000-0000-0000A4020000}"/>
    <cellStyle name="1_03-05-31 Final OBS Reports" xfId="808" xr:uid="{00000000-0005-0000-0000-0000A5020000}"/>
    <cellStyle name="1_GMACCH_Loans_OBS_033103_Final_v2" xfId="809" xr:uid="{00000000-0005-0000-0000-0000A6020000}"/>
    <cellStyle name="1_Japan - 3Q02 Risk Rating Worksheet - 101602_Japan" xfId="810" xr:uid="{00000000-0005-0000-0000-0000A7020000}"/>
    <cellStyle name="1_Japan - 3Q02 Risk Rating Worksheet - 101602_Japan_Comparison vs. prior_Q2 2003" xfId="811" xr:uid="{00000000-0005-0000-0000-0000A8020000}"/>
    <cellStyle name="1_Japan - 4Q2002 - Risk Rating Worksheet_final" xfId="812" xr:uid="{00000000-0005-0000-0000-0000A9020000}"/>
    <cellStyle name="1_Japan - 4Q2002 - Risk Rating Worksheet_final_12.11.2002" xfId="813" xr:uid="{00000000-0005-0000-0000-0000AA020000}"/>
    <cellStyle name="1_Japan - 4Q2002 - Risk Rating Worksheet_final_12.11.2002_Comparison vs. prior_Q2 2003" xfId="814" xr:uid="{00000000-0005-0000-0000-0000AB020000}"/>
    <cellStyle name="1_Japan - 4Q2002 - Risk Rating Worksheet_final_Comparison vs. prior_Q2 2003" xfId="815" xr:uid="{00000000-0005-0000-0000-0000AC020000}"/>
    <cellStyle name="1_Japan-1Q2003 - Risk Rating Worksheet03.06.2003F" xfId="816" xr:uid="{00000000-0005-0000-0000-0000AD020000}"/>
    <cellStyle name="1_Japan-1Q2003 - Risk Rating Worksheet03.06.2003F_Comparison vs. prior_Q2 2003" xfId="817" xr:uid="{00000000-0005-0000-0000-0000AE020000}"/>
    <cellStyle name="1_SALEM" xfId="818" xr:uid="{00000000-0005-0000-0000-0000AF020000}"/>
    <cellStyle name="1_SALEM_03-05-31 Final OBS Reports" xfId="819" xr:uid="{00000000-0005-0000-0000-0000B0020000}"/>
    <cellStyle name="1_SALEM_GMACCH_Loans_OBS_033103_Final_v2" xfId="820" xr:uid="{00000000-0005-0000-0000-0000B1020000}"/>
    <cellStyle name="1_SALEM_Japan - 3Q02 Risk Rating Worksheet - 101602_Japan" xfId="821" xr:uid="{00000000-0005-0000-0000-0000B2020000}"/>
    <cellStyle name="1_SALEM_Japan - 3Q02 Risk Rating Worksheet - 101602_Japan_Comparison vs. prior_Q2 2003" xfId="822" xr:uid="{00000000-0005-0000-0000-0000B3020000}"/>
    <cellStyle name="1_SALEM_Japan - 4Q2002 - Risk Rating Worksheet_final" xfId="823" xr:uid="{00000000-0005-0000-0000-0000B4020000}"/>
    <cellStyle name="1_SALEM_Japan - 4Q2002 - Risk Rating Worksheet_final_12.11.2002" xfId="824" xr:uid="{00000000-0005-0000-0000-0000B5020000}"/>
    <cellStyle name="1_SALEM_Japan - 4Q2002 - Risk Rating Worksheet_final_12.11.2002_Comparison vs. prior_Q2 2003" xfId="825" xr:uid="{00000000-0005-0000-0000-0000B6020000}"/>
    <cellStyle name="1_SALEM_Japan - 4Q2002 - Risk Rating Worksheet_final_Comparison vs. prior_Q2 2003" xfId="826" xr:uid="{00000000-0005-0000-0000-0000B7020000}"/>
    <cellStyle name="1_SALEM_Japan-1Q2003 - Risk Rating Worksheet03.06.2003F" xfId="827" xr:uid="{00000000-0005-0000-0000-0000B8020000}"/>
    <cellStyle name="1_SALEM_Japan-1Q2003 - Risk Rating Worksheet03.06.2003F_Comparison vs. prior_Q2 2003" xfId="828" xr:uid="{00000000-0005-0000-0000-0000B9020000}"/>
    <cellStyle name="1_SALEM_Sheet1" xfId="829" xr:uid="{00000000-0005-0000-0000-0000BA020000}"/>
    <cellStyle name="1_SALEM_Sheet3" xfId="830" xr:uid="{00000000-0005-0000-0000-0000BB020000}"/>
    <cellStyle name="1_sec8 (2)" xfId="831" xr:uid="{00000000-0005-0000-0000-0000BC020000}"/>
    <cellStyle name="1_sec8 (2)_03-05-31 Final OBS Reports" xfId="832" xr:uid="{00000000-0005-0000-0000-0000BD020000}"/>
    <cellStyle name="1_sec8 (2)_GMACCH_Loans_OBS_033103_Final_v2" xfId="833" xr:uid="{00000000-0005-0000-0000-0000BE020000}"/>
    <cellStyle name="1_sec8 (2)_Japan - 3Q02 Risk Rating Worksheet - 101602_Japan" xfId="834" xr:uid="{00000000-0005-0000-0000-0000BF020000}"/>
    <cellStyle name="1_sec8 (2)_Japan - 3Q02 Risk Rating Worksheet - 101602_Japan_Comparison vs. prior_Q2 2003" xfId="835" xr:uid="{00000000-0005-0000-0000-0000C0020000}"/>
    <cellStyle name="1_sec8 (2)_Japan - 4Q2002 - Risk Rating Worksheet_final" xfId="836" xr:uid="{00000000-0005-0000-0000-0000C1020000}"/>
    <cellStyle name="1_sec8 (2)_Japan - 4Q2002 - Risk Rating Worksheet_final_12.11.2002" xfId="837" xr:uid="{00000000-0005-0000-0000-0000C2020000}"/>
    <cellStyle name="1_sec8 (2)_Japan - 4Q2002 - Risk Rating Worksheet_final_12.11.2002_Comparison vs. prior_Q2 2003" xfId="838" xr:uid="{00000000-0005-0000-0000-0000C3020000}"/>
    <cellStyle name="1_sec8 (2)_Japan - 4Q2002 - Risk Rating Worksheet_final_Comparison vs. prior_Q2 2003" xfId="839" xr:uid="{00000000-0005-0000-0000-0000C4020000}"/>
    <cellStyle name="1_sec8 (2)_Japan-1Q2003 - Risk Rating Worksheet03.06.2003F" xfId="840" xr:uid="{00000000-0005-0000-0000-0000C5020000}"/>
    <cellStyle name="1_sec8 (2)_Japan-1Q2003 - Risk Rating Worksheet03.06.2003F_Comparison vs. prior_Q2 2003" xfId="841" xr:uid="{00000000-0005-0000-0000-0000C6020000}"/>
    <cellStyle name="1_sec8 (2)_Sheet1" xfId="842" xr:uid="{00000000-0005-0000-0000-0000C7020000}"/>
    <cellStyle name="1_sec8 (2)_Sheet3" xfId="843" xr:uid="{00000000-0005-0000-0000-0000C8020000}"/>
    <cellStyle name="1_Sheet1" xfId="844" xr:uid="{00000000-0005-0000-0000-0000C9020000}"/>
    <cellStyle name="1_Sheet3" xfId="845" xr:uid="{00000000-0005-0000-0000-0000CA020000}"/>
    <cellStyle name="2" xfId="846" xr:uid="{00000000-0005-0000-0000-0000CB020000}"/>
    <cellStyle name="2_03-05-31 Final OBS Reports" xfId="847" xr:uid="{00000000-0005-0000-0000-0000CC020000}"/>
    <cellStyle name="2_GMACCH_Loans_OBS_033103_Final_v2" xfId="848" xr:uid="{00000000-0005-0000-0000-0000CD020000}"/>
    <cellStyle name="2_Japan - 3Q02 Risk Rating Worksheet - 101602_Japan" xfId="849" xr:uid="{00000000-0005-0000-0000-0000CE020000}"/>
    <cellStyle name="2_Japan - 3Q02 Risk Rating Worksheet - 101602_Japan_Comparison vs. prior_Q2 2003" xfId="850" xr:uid="{00000000-0005-0000-0000-0000CF020000}"/>
    <cellStyle name="2_Japan - 4Q2002 - Risk Rating Worksheet_final" xfId="851" xr:uid="{00000000-0005-0000-0000-0000D0020000}"/>
    <cellStyle name="2_Japan - 4Q2002 - Risk Rating Worksheet_final_12.11.2002" xfId="852" xr:uid="{00000000-0005-0000-0000-0000D1020000}"/>
    <cellStyle name="2_Japan - 4Q2002 - Risk Rating Worksheet_final_12.11.2002_Comparison vs. prior_Q2 2003" xfId="853" xr:uid="{00000000-0005-0000-0000-0000D2020000}"/>
    <cellStyle name="2_Japan - 4Q2002 - Risk Rating Worksheet_final_Comparison vs. prior_Q2 2003" xfId="854" xr:uid="{00000000-0005-0000-0000-0000D3020000}"/>
    <cellStyle name="2_Japan-1Q2003 - Risk Rating Worksheet03.06.2003F" xfId="855" xr:uid="{00000000-0005-0000-0000-0000D4020000}"/>
    <cellStyle name="2_Japan-1Q2003 - Risk Rating Worksheet03.06.2003F_Comparison vs. prior_Q2 2003" xfId="856" xr:uid="{00000000-0005-0000-0000-0000D5020000}"/>
    <cellStyle name="2_SALEM" xfId="857" xr:uid="{00000000-0005-0000-0000-0000D6020000}"/>
    <cellStyle name="2_SALEM_03-05-31 Final OBS Reports" xfId="858" xr:uid="{00000000-0005-0000-0000-0000D7020000}"/>
    <cellStyle name="2_SALEM_GMACCH_Loans_OBS_033103_Final_v2" xfId="859" xr:uid="{00000000-0005-0000-0000-0000D8020000}"/>
    <cellStyle name="2_SALEM_Japan - 3Q02 Risk Rating Worksheet - 101602_Japan" xfId="860" xr:uid="{00000000-0005-0000-0000-0000D9020000}"/>
    <cellStyle name="2_SALEM_Japan - 3Q02 Risk Rating Worksheet - 101602_Japan_Comparison vs. prior_Q2 2003" xfId="861" xr:uid="{00000000-0005-0000-0000-0000DA020000}"/>
    <cellStyle name="2_SALEM_Japan - 4Q2002 - Risk Rating Worksheet_final" xfId="862" xr:uid="{00000000-0005-0000-0000-0000DB020000}"/>
    <cellStyle name="2_SALEM_Japan - 4Q2002 - Risk Rating Worksheet_final_12.11.2002" xfId="863" xr:uid="{00000000-0005-0000-0000-0000DC020000}"/>
    <cellStyle name="2_SALEM_Japan - 4Q2002 - Risk Rating Worksheet_final_12.11.2002_Comparison vs. prior_Q2 2003" xfId="864" xr:uid="{00000000-0005-0000-0000-0000DD020000}"/>
    <cellStyle name="2_SALEM_Japan - 4Q2002 - Risk Rating Worksheet_final_Comparison vs. prior_Q2 2003" xfId="865" xr:uid="{00000000-0005-0000-0000-0000DE020000}"/>
    <cellStyle name="2_SALEM_Japan-1Q2003 - Risk Rating Worksheet03.06.2003F" xfId="866" xr:uid="{00000000-0005-0000-0000-0000DF020000}"/>
    <cellStyle name="2_SALEM_Japan-1Q2003 - Risk Rating Worksheet03.06.2003F_Comparison vs. prior_Q2 2003" xfId="867" xr:uid="{00000000-0005-0000-0000-0000E0020000}"/>
    <cellStyle name="2_SALEM_Sheet1" xfId="868" xr:uid="{00000000-0005-0000-0000-0000E1020000}"/>
    <cellStyle name="2_SALEM_Sheet3" xfId="869" xr:uid="{00000000-0005-0000-0000-0000E2020000}"/>
    <cellStyle name="2_Sheet1" xfId="870" xr:uid="{00000000-0005-0000-0000-0000E3020000}"/>
    <cellStyle name="2_Sheet3" xfId="871" xr:uid="{00000000-0005-0000-0000-0000E4020000}"/>
    <cellStyle name="3" xfId="872" xr:uid="{00000000-0005-0000-0000-0000E5020000}"/>
    <cellStyle name="3$" xfId="873" xr:uid="{00000000-0005-0000-0000-0000F2020000}"/>
    <cellStyle name="3_03-05-31 Final OBS Reports" xfId="874" xr:uid="{00000000-0005-0000-0000-0000E6020000}"/>
    <cellStyle name="3_GMACCH_Loans_OBS_033103_Final_v2" xfId="875" xr:uid="{00000000-0005-0000-0000-0000E7020000}"/>
    <cellStyle name="3_Japan - 3Q02 Risk Rating Worksheet - 101602_Japan" xfId="876" xr:uid="{00000000-0005-0000-0000-0000E8020000}"/>
    <cellStyle name="3_Japan - 3Q02 Risk Rating Worksheet - 101602_Japan_Comparison vs. prior_Q2 2003" xfId="877" xr:uid="{00000000-0005-0000-0000-0000E9020000}"/>
    <cellStyle name="3_Japan - 4Q2002 - Risk Rating Worksheet_final" xfId="878" xr:uid="{00000000-0005-0000-0000-0000EA020000}"/>
    <cellStyle name="3_Japan - 4Q2002 - Risk Rating Worksheet_final_12.11.2002" xfId="879" xr:uid="{00000000-0005-0000-0000-0000EB020000}"/>
    <cellStyle name="3_Japan - 4Q2002 - Risk Rating Worksheet_final_12.11.2002_Comparison vs. prior_Q2 2003" xfId="880" xr:uid="{00000000-0005-0000-0000-0000EC020000}"/>
    <cellStyle name="3_Japan - 4Q2002 - Risk Rating Worksheet_final_Comparison vs. prior_Q2 2003" xfId="881" xr:uid="{00000000-0005-0000-0000-0000ED020000}"/>
    <cellStyle name="3_Japan-1Q2003 - Risk Rating Worksheet03.06.2003F" xfId="882" xr:uid="{00000000-0005-0000-0000-0000EE020000}"/>
    <cellStyle name="3_Japan-1Q2003 - Risk Rating Worksheet03.06.2003F_Comparison vs. prior_Q2 2003" xfId="883" xr:uid="{00000000-0005-0000-0000-0000EF020000}"/>
    <cellStyle name="3_Sheet1" xfId="884" xr:uid="{00000000-0005-0000-0000-0000F0020000}"/>
    <cellStyle name="3_Sheet3" xfId="885" xr:uid="{00000000-0005-0000-0000-0000F1020000}"/>
    <cellStyle name="A" xfId="886" xr:uid="{00000000-0005-0000-0000-0000F3020000}"/>
    <cellStyle name="Actual Date" xfId="887" xr:uid="{00000000-0005-0000-0000-0000F4020000}"/>
    <cellStyle name="AFE" xfId="888" xr:uid="{00000000-0005-0000-0000-0000F5020000}"/>
    <cellStyle name="ag" xfId="889" xr:uid="{00000000-0005-0000-0000-0000F6020000}"/>
    <cellStyle name="args.style" xfId="890" xr:uid="{00000000-0005-0000-0000-0000F7020000}"/>
    <cellStyle name="Arial 10" xfId="891" xr:uid="{00000000-0005-0000-0000-0000F8020000}"/>
    <cellStyle name="Arial 12" xfId="892" xr:uid="{00000000-0005-0000-0000-0000F9020000}"/>
    <cellStyle name="BLACK" xfId="893" xr:uid="{00000000-0005-0000-0000-0000FA020000}"/>
    <cellStyle name="Blank[,]" xfId="894" xr:uid="{00000000-0005-0000-0000-0000FB020000}"/>
    <cellStyle name="Blank[1%]" xfId="895" xr:uid="{00000000-0005-0000-0000-0000FC020000}"/>
    <cellStyle name="Blue" xfId="896" xr:uid="{00000000-0005-0000-0000-0000FD020000}"/>
    <cellStyle name="blue currency" xfId="897" xr:uid="{00000000-0005-0000-0000-0000FE020000}"/>
    <cellStyle name="BLUE date" xfId="898" xr:uid="{00000000-0005-0000-0000-0000FF020000}"/>
    <cellStyle name="blue$00" xfId="899" xr:uid="{00000000-0005-0000-0000-000001030000}"/>
    <cellStyle name="BLUE_Citrix_2pgr2" xfId="900" xr:uid="{00000000-0005-0000-0000-000000030000}"/>
    <cellStyle name="Body" xfId="901" xr:uid="{00000000-0005-0000-0000-000002030000}"/>
    <cellStyle name="BOLD, 8 POINT" xfId="902" xr:uid="{00000000-0005-0000-0000-000003030000}"/>
    <cellStyle name="BoldItalicNoUnderline" xfId="903" xr:uid="{00000000-0005-0000-0000-000004030000}"/>
    <cellStyle name="BoldSDoubUnderlineBack" xfId="904" xr:uid="{00000000-0005-0000-0000-000005030000}"/>
    <cellStyle name="BoldSingUnderline" xfId="905" xr:uid="{00000000-0005-0000-0000-000006030000}"/>
    <cellStyle name="Border Heavy" xfId="906" xr:uid="{00000000-0005-0000-0000-000007030000}"/>
    <cellStyle name="Border Thin" xfId="907" xr:uid="{00000000-0005-0000-0000-000008030000}"/>
    <cellStyle name="bottomHeavy" xfId="908" xr:uid="{00000000-0005-0000-0000-000009030000}"/>
    <cellStyle name="bottomHeavy-w-left" xfId="909" xr:uid="{00000000-0005-0000-0000-00000A030000}"/>
    <cellStyle name="brad" xfId="910" xr:uid="{00000000-0005-0000-0000-00000B030000}"/>
    <cellStyle name="British Pound" xfId="911" xr:uid="{00000000-0005-0000-0000-00000C030000}"/>
    <cellStyle name="Ç¥ÁØ_¿ù°£¿ä¾àº¸°í" xfId="912" xr:uid="{00000000-0005-0000-0000-00000D030000}"/>
    <cellStyle name="Calc Currency (0)" xfId="913" xr:uid="{00000000-0005-0000-0000-00000E030000}"/>
    <cellStyle name="Calc Currency (2)" xfId="914" xr:uid="{00000000-0005-0000-0000-00000F030000}"/>
    <cellStyle name="Calc Percent (0)" xfId="915" xr:uid="{00000000-0005-0000-0000-000010030000}"/>
    <cellStyle name="Calc Percent (1)" xfId="916" xr:uid="{00000000-0005-0000-0000-000011030000}"/>
    <cellStyle name="Calc Percent (2)" xfId="917" xr:uid="{00000000-0005-0000-0000-000012030000}"/>
    <cellStyle name="Calc Units (0)" xfId="918" xr:uid="{00000000-0005-0000-0000-000013030000}"/>
    <cellStyle name="Calc Units (1)" xfId="919" xr:uid="{00000000-0005-0000-0000-000014030000}"/>
    <cellStyle name="Calc Units (2)" xfId="920" xr:uid="{00000000-0005-0000-0000-000015030000}"/>
    <cellStyle name="caps 0.00" xfId="921" xr:uid="{00000000-0005-0000-0000-000016030000}"/>
    <cellStyle name="capsdate" xfId="922" xr:uid="{00000000-0005-0000-0000-000017030000}"/>
    <cellStyle name="Case" xfId="923" xr:uid="{00000000-0005-0000-0000-000018030000}"/>
    <cellStyle name="Cash Flow Statement" xfId="924" xr:uid="{00000000-0005-0000-0000-000019030000}"/>
    <cellStyle name="Center Across" xfId="925" xr:uid="{00000000-0005-0000-0000-00001A030000}"/>
    <cellStyle name="colheadleft" xfId="926" xr:uid="{00000000-0005-0000-0000-00001B030000}"/>
    <cellStyle name="colheadright" xfId="927" xr:uid="{00000000-0005-0000-0000-00001C030000}"/>
    <cellStyle name="Column Heading" xfId="928" xr:uid="{00000000-0005-0000-0000-00001D030000}"/>
    <cellStyle name="ColumnHeading" xfId="929" xr:uid="{00000000-0005-0000-0000-00001E030000}"/>
    <cellStyle name="Comma" xfId="1360" builtinId="3"/>
    <cellStyle name="Comma [00]" xfId="930" xr:uid="{00000000-0005-0000-0000-000020030000}"/>
    <cellStyle name="Comma [1]" xfId="931" xr:uid="{00000000-0005-0000-0000-000021030000}"/>
    <cellStyle name="Comma 0" xfId="932" xr:uid="{00000000-0005-0000-0000-000022030000}"/>
    <cellStyle name="Comma 0*" xfId="933" xr:uid="{00000000-0005-0000-0000-000023030000}"/>
    <cellStyle name="Comma 2" xfId="3" xr:uid="{00000000-0005-0000-0000-000024030000}"/>
    <cellStyle name="Comma 2 10" xfId="22" xr:uid="{00000000-0005-0000-0000-000025030000}"/>
    <cellStyle name="Comma 2 2" xfId="11" xr:uid="{00000000-0005-0000-0000-000026030000}"/>
    <cellStyle name="Comma 3" xfId="17" xr:uid="{00000000-0005-0000-0000-000027030000}"/>
    <cellStyle name="Comma 4" xfId="20" xr:uid="{00000000-0005-0000-0000-000028030000}"/>
    <cellStyle name="Comma 5" xfId="934" xr:uid="{00000000-0005-0000-0000-000029030000}"/>
    <cellStyle name="Comma 6" xfId="935" xr:uid="{00000000-0005-0000-0000-00002A030000}"/>
    <cellStyle name="Comma 7" xfId="936" xr:uid="{00000000-0005-0000-0000-00002B030000}"/>
    <cellStyle name="Comma 8" xfId="1350" xr:uid="{00000000-0005-0000-0000-00002C030000}"/>
    <cellStyle name="Comma 9" xfId="1359" xr:uid="{DC164E84-3E58-4E35-9903-251FD07BA1A7}"/>
    <cellStyle name="Comma0" xfId="937" xr:uid="{00000000-0005-0000-0000-00002D030000}"/>
    <cellStyle name="Comma0 - Style3" xfId="938" xr:uid="{00000000-0005-0000-0000-00002E030000}"/>
    <cellStyle name="Comma0 - Style5" xfId="939" xr:uid="{00000000-0005-0000-0000-00002F030000}"/>
    <cellStyle name="Comma0_Criteria" xfId="940" xr:uid="{00000000-0005-0000-0000-000030030000}"/>
    <cellStyle name="Comma1 - Style1" xfId="941" xr:uid="{00000000-0005-0000-0000-000031030000}"/>
    <cellStyle name="CommaFixed" xfId="942" xr:uid="{00000000-0005-0000-0000-000032030000}"/>
    <cellStyle name="CommaNoDec" xfId="943" xr:uid="{00000000-0005-0000-0000-000033030000}"/>
    <cellStyle name="CommaNoDecTot" xfId="944" xr:uid="{00000000-0005-0000-0000-000034030000}"/>
    <cellStyle name="CommaTotTop" xfId="945" xr:uid="{00000000-0005-0000-0000-000035030000}"/>
    <cellStyle name="CommaTotTopNoDec" xfId="946" xr:uid="{00000000-0005-0000-0000-000036030000}"/>
    <cellStyle name="Copied" xfId="947" xr:uid="{00000000-0005-0000-0000-000037030000}"/>
    <cellStyle name="COST1" xfId="948" xr:uid="{00000000-0005-0000-0000-000038030000}"/>
    <cellStyle name="Curren - Style2" xfId="949" xr:uid="{00000000-0005-0000-0000-000039030000}"/>
    <cellStyle name="Curren - Style4" xfId="950" xr:uid="{00000000-0005-0000-0000-00003A030000}"/>
    <cellStyle name="Currency" xfId="18" builtinId="4"/>
    <cellStyle name="Currency [00]" xfId="951" xr:uid="{00000000-0005-0000-0000-00003C030000}"/>
    <cellStyle name="Currency [2]" xfId="952" xr:uid="{00000000-0005-0000-0000-00003D030000}"/>
    <cellStyle name="Currency 0" xfId="953" xr:uid="{00000000-0005-0000-0000-00003E030000}"/>
    <cellStyle name="Currency 2" xfId="4" xr:uid="{00000000-0005-0000-0000-00003F030000}"/>
    <cellStyle name="Currency 2 2" xfId="12" xr:uid="{00000000-0005-0000-0000-000040030000}"/>
    <cellStyle name="Currency 2 3" xfId="1355" xr:uid="{00000000-0005-0000-0000-000041030000}"/>
    <cellStyle name="Currency 3" xfId="954" xr:uid="{00000000-0005-0000-0000-000042030000}"/>
    <cellStyle name="Currency 4" xfId="955" xr:uid="{00000000-0005-0000-0000-000043030000}"/>
    <cellStyle name="Currency 5" xfId="956" xr:uid="{00000000-0005-0000-0000-000044030000}"/>
    <cellStyle name="Currency 6" xfId="957" xr:uid="{00000000-0005-0000-0000-000045030000}"/>
    <cellStyle name="Currency 7" xfId="958" xr:uid="{00000000-0005-0000-0000-000046030000}"/>
    <cellStyle name="Currency 8" xfId="1358" xr:uid="{E3B2DBE1-D04C-412B-9A10-6043A65E5AC8}"/>
    <cellStyle name="Currency0" xfId="959" xr:uid="{00000000-0005-0000-0000-000047030000}"/>
    <cellStyle name="Currency1" xfId="960" xr:uid="{00000000-0005-0000-0000-000048030000}"/>
    <cellStyle name="CurrencyTotTop[" xfId="961" xr:uid="{00000000-0005-0000-0000-000049030000}"/>
    <cellStyle name="D" xfId="962" xr:uid="{00000000-0005-0000-0000-00004A030000}"/>
    <cellStyle name="Date" xfId="963" xr:uid="{00000000-0005-0000-0000-00004B030000}"/>
    <cellStyle name="Date Aligned" xfId="964" xr:uid="{00000000-0005-0000-0000-00004C030000}"/>
    <cellStyle name="date month-year" xfId="965" xr:uid="{00000000-0005-0000-0000-00004D030000}"/>
    <cellStyle name="Date Short" xfId="966" xr:uid="{00000000-0005-0000-0000-00004E030000}"/>
    <cellStyle name="date_09.01.01_Property_Tax_Basis1" xfId="967" xr:uid="{00000000-0005-0000-0000-00004F030000}"/>
    <cellStyle name="Date1" xfId="968" xr:uid="{00000000-0005-0000-0000-000050030000}"/>
    <cellStyle name="DATETIME" xfId="969" xr:uid="{00000000-0005-0000-0000-000051030000}"/>
    <cellStyle name="decimal 0" xfId="970" xr:uid="{00000000-0005-0000-0000-000052030000}"/>
    <cellStyle name="decimal 1" xfId="971" xr:uid="{00000000-0005-0000-0000-000053030000}"/>
    <cellStyle name="decimal 2" xfId="972" xr:uid="{00000000-0005-0000-0000-000054030000}"/>
    <cellStyle name="Dollar" xfId="973" xr:uid="{00000000-0005-0000-0000-000055030000}"/>
    <cellStyle name="Dollar1" xfId="974" xr:uid="{00000000-0005-0000-0000-000056030000}"/>
    <cellStyle name="Dollar1Blue" xfId="975" xr:uid="{00000000-0005-0000-0000-000057030000}"/>
    <cellStyle name="Dollar2" xfId="976" xr:uid="{00000000-0005-0000-0000-000058030000}"/>
    <cellStyle name="Dotted Line" xfId="977" xr:uid="{00000000-0005-0000-0000-000059030000}"/>
    <cellStyle name="Double Accounting" xfId="978" xr:uid="{00000000-0005-0000-0000-00005A030000}"/>
    <cellStyle name="dp*Accent" xfId="979" xr:uid="{00000000-0005-0000-0000-00005B030000}"/>
    <cellStyle name="dp*ChartSubTitle" xfId="980" xr:uid="{00000000-0005-0000-0000-00005C030000}"/>
    <cellStyle name="dp*ChartTitle" xfId="981" xr:uid="{00000000-0005-0000-0000-00005D030000}"/>
    <cellStyle name="dp*ColumnHeading1" xfId="982" xr:uid="{00000000-0005-0000-0000-00005E030000}"/>
    <cellStyle name="dp*ColumnHeading2" xfId="983" xr:uid="{00000000-0005-0000-0000-00005F030000}"/>
    <cellStyle name="dp*ColumnHeadingDate" xfId="984" xr:uid="{00000000-0005-0000-0000-000060030000}"/>
    <cellStyle name="dp*FiscalDate" xfId="985" xr:uid="{00000000-0005-0000-0000-000061030000}"/>
    <cellStyle name="dp*Footnote" xfId="986" xr:uid="{00000000-0005-0000-0000-000062030000}"/>
    <cellStyle name="dp*Information" xfId="987" xr:uid="{00000000-0005-0000-0000-000063030000}"/>
    <cellStyle name="dp*LabelItalics" xfId="988" xr:uid="{00000000-0005-0000-0000-000064030000}"/>
    <cellStyle name="dp*LabelItalicsLineAbove" xfId="989" xr:uid="{00000000-0005-0000-0000-000065030000}"/>
    <cellStyle name="dp*LabelLine" xfId="990" xr:uid="{00000000-0005-0000-0000-000066030000}"/>
    <cellStyle name="dp*Labels" xfId="991" xr:uid="{00000000-0005-0000-0000-000067030000}"/>
    <cellStyle name="dp*Normal" xfId="992" xr:uid="{00000000-0005-0000-0000-000068030000}"/>
    <cellStyle name="dp*NormalCurrency1Dec." xfId="993" xr:uid="{00000000-0005-0000-0000-000069030000}"/>
    <cellStyle name="dp*NormalCurrency2Dec." xfId="994" xr:uid="{00000000-0005-0000-0000-00006A030000}"/>
    <cellStyle name="dp*Number%Italics" xfId="995" xr:uid="{00000000-0005-0000-0000-00006B030000}"/>
    <cellStyle name="dp*Number%ItalicsLineAbove" xfId="996" xr:uid="{00000000-0005-0000-0000-00006C030000}"/>
    <cellStyle name="dp*NumberCurrencyLine" xfId="997" xr:uid="{00000000-0005-0000-0000-00006D030000}"/>
    <cellStyle name="dp*NumberGeneral" xfId="998" xr:uid="{00000000-0005-0000-0000-00006E030000}"/>
    <cellStyle name="dp*NumberGeneral2Dec." xfId="999" xr:uid="{00000000-0005-0000-0000-00006F030000}"/>
    <cellStyle name="dp*NumberLine" xfId="1000" xr:uid="{00000000-0005-0000-0000-000070030000}"/>
    <cellStyle name="dp*NumberLineEPS" xfId="1001" xr:uid="{00000000-0005-0000-0000-000071030000}"/>
    <cellStyle name="dp*NumberSpecial" xfId="1002" xr:uid="{00000000-0005-0000-0000-000072030000}"/>
    <cellStyle name="dp*RatioX" xfId="1003" xr:uid="{00000000-0005-0000-0000-000073030000}"/>
    <cellStyle name="dp*SeriesName" xfId="1004" xr:uid="{00000000-0005-0000-0000-000074030000}"/>
    <cellStyle name="dp*SheetSubTitle" xfId="1005" xr:uid="{00000000-0005-0000-0000-000075030000}"/>
    <cellStyle name="dp*SheetTitle" xfId="1006" xr:uid="{00000000-0005-0000-0000-000076030000}"/>
    <cellStyle name="dp*SubTitle" xfId="1007" xr:uid="{00000000-0005-0000-0000-000077030000}"/>
    <cellStyle name="dp*ThickLineAbove" xfId="1008" xr:uid="{00000000-0005-0000-0000-000078030000}"/>
    <cellStyle name="dp*ThickLineBelow" xfId="1009" xr:uid="{00000000-0005-0000-0000-000079030000}"/>
    <cellStyle name="dp*ThinLineAbove" xfId="1010" xr:uid="{00000000-0005-0000-0000-00007A030000}"/>
    <cellStyle name="dp*ThinLineBelow" xfId="1011" xr:uid="{00000000-0005-0000-0000-00007B030000}"/>
    <cellStyle name="dp*XAxisTitle" xfId="1012" xr:uid="{00000000-0005-0000-0000-00007C030000}"/>
    <cellStyle name="dp*Y2AxisTitle" xfId="1013" xr:uid="{00000000-0005-0000-0000-00007D030000}"/>
    <cellStyle name="dp*YAxisTitle" xfId="1014" xr:uid="{00000000-0005-0000-0000-00007E030000}"/>
    <cellStyle name="Driver" xfId="1015" xr:uid="{00000000-0005-0000-0000-00007F030000}"/>
    <cellStyle name="Enter Currency (0)" xfId="1016" xr:uid="{00000000-0005-0000-0000-000080030000}"/>
    <cellStyle name="Enter Currency (2)" xfId="1017" xr:uid="{00000000-0005-0000-0000-000081030000}"/>
    <cellStyle name="Enter Units (0)" xfId="1018" xr:uid="{00000000-0005-0000-0000-000082030000}"/>
    <cellStyle name="Enter Units (1)" xfId="1019" xr:uid="{00000000-0005-0000-0000-000083030000}"/>
    <cellStyle name="Enter Units (2)" xfId="1020" xr:uid="{00000000-0005-0000-0000-000084030000}"/>
    <cellStyle name="Entered" xfId="1021" xr:uid="{00000000-0005-0000-0000-000085030000}"/>
    <cellStyle name="Euro" xfId="1022" xr:uid="{00000000-0005-0000-0000-000086030000}"/>
    <cellStyle name="EvenBodyShade" xfId="1023" xr:uid="{00000000-0005-0000-0000-000087030000}"/>
    <cellStyle name="EvenBodyShade 2" xfId="1024" xr:uid="{00000000-0005-0000-0000-000088030000}"/>
    <cellStyle name="EvenBodyShade 3" xfId="1025" xr:uid="{00000000-0005-0000-0000-000089030000}"/>
    <cellStyle name="EvenBodyShade 4" xfId="1026" xr:uid="{00000000-0005-0000-0000-00008A030000}"/>
    <cellStyle name="EvenBodyShade 5" xfId="1027" xr:uid="{00000000-0005-0000-0000-00008B030000}"/>
    <cellStyle name="EvenBodyShade 9" xfId="1028" xr:uid="{00000000-0005-0000-0000-00008C030000}"/>
    <cellStyle name="EY House" xfId="1029" xr:uid="{00000000-0005-0000-0000-00008D030000}"/>
    <cellStyle name="F1" xfId="1030" xr:uid="{00000000-0005-0000-0000-00008E030000}"/>
    <cellStyle name="Fixed" xfId="1031" xr:uid="{00000000-0005-0000-0000-00008F030000}"/>
    <cellStyle name="Fixed4 - Style4" xfId="1032" xr:uid="{00000000-0005-0000-0000-000090030000}"/>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336" builtinId="9" hidden="1"/>
    <cellStyle name="Followed Hyperlink" xfId="1337" builtinId="9" hidden="1"/>
    <cellStyle name="Followed Hyperlink" xfId="1338" builtinId="9" hidden="1"/>
    <cellStyle name="Followed Hyperlink" xfId="1342" builtinId="9" hidden="1"/>
    <cellStyle name="Followed Hyperlink" xfId="1344" builtinId="9" hidden="1"/>
    <cellStyle name="Followed Hyperlink" xfId="1346" builtinId="9" hidden="1"/>
    <cellStyle name="Followed Hyperlink" xfId="118" builtinId="9" hidden="1"/>
    <cellStyle name="Followed Hyperlink" xfId="102"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70"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26" builtinId="9" hidden="1"/>
    <cellStyle name="Followed Hyperlink" xfId="27" builtinId="9" hidden="1"/>
    <cellStyle name="Followed Hyperlink" xfId="25" builtinId="9" hidden="1"/>
    <cellStyle name="Footnote" xfId="1033" xr:uid="{00000000-0005-0000-0000-0000FD030000}"/>
    <cellStyle name="general" xfId="1034" xr:uid="{00000000-0005-0000-0000-0000FE030000}"/>
    <cellStyle name="Good 2" xfId="1345" xr:uid="{00000000-0005-0000-0000-0000FF030000}"/>
    <cellStyle name="GrandTotal" xfId="1035" xr:uid="{00000000-0005-0000-0000-000000040000}"/>
    <cellStyle name="Grey" xfId="1036" xr:uid="{00000000-0005-0000-0000-000001040000}"/>
    <cellStyle name="Hard Percent" xfId="1037" xr:uid="{00000000-0005-0000-0000-000002040000}"/>
    <cellStyle name="Head 1" xfId="1038" xr:uid="{00000000-0005-0000-0000-000003040000}"/>
    <cellStyle name="Head0" xfId="1039" xr:uid="{00000000-0005-0000-0000-000004040000}"/>
    <cellStyle name="Head1" xfId="1040" xr:uid="{00000000-0005-0000-0000-000005040000}"/>
    <cellStyle name="Head2" xfId="1041" xr:uid="{00000000-0005-0000-0000-000006040000}"/>
    <cellStyle name="Head3" xfId="1042" xr:uid="{00000000-0005-0000-0000-000007040000}"/>
    <cellStyle name="Head4" xfId="1043" xr:uid="{00000000-0005-0000-0000-000008040000}"/>
    <cellStyle name="Head5" xfId="1044" xr:uid="{00000000-0005-0000-0000-000009040000}"/>
    <cellStyle name="Head6" xfId="1045" xr:uid="{00000000-0005-0000-0000-00000A040000}"/>
    <cellStyle name="Head7" xfId="1046" xr:uid="{00000000-0005-0000-0000-00000B040000}"/>
    <cellStyle name="Head8" xfId="1047" xr:uid="{00000000-0005-0000-0000-00000C040000}"/>
    <cellStyle name="Head9" xfId="1048" xr:uid="{00000000-0005-0000-0000-00000D040000}"/>
    <cellStyle name="HEADER" xfId="1049" xr:uid="{00000000-0005-0000-0000-00000E040000}"/>
    <cellStyle name="Header1" xfId="1050" xr:uid="{00000000-0005-0000-0000-00000F040000}"/>
    <cellStyle name="Header2" xfId="1051" xr:uid="{00000000-0005-0000-0000-000010040000}"/>
    <cellStyle name="Heading" xfId="1052" xr:uid="{00000000-0005-0000-0000-000011040000}"/>
    <cellStyle name="Heading 2 2" xfId="1351" xr:uid="{00000000-0005-0000-0000-000012040000}"/>
    <cellStyle name="Heading Left" xfId="1053" xr:uid="{00000000-0005-0000-0000-000013040000}"/>
    <cellStyle name="Heading Right" xfId="1054" xr:uid="{00000000-0005-0000-0000-000014040000}"/>
    <cellStyle name="Heading1" xfId="1055" xr:uid="{00000000-0005-0000-0000-000015040000}"/>
    <cellStyle name="Heading2" xfId="1056" xr:uid="{00000000-0005-0000-0000-000016040000}"/>
    <cellStyle name="HeadingS" xfId="1057" xr:uid="{00000000-0005-0000-0000-000017040000}"/>
    <cellStyle name="HEADINGSTOP" xfId="1058" xr:uid="{00000000-0005-0000-0000-000018040000}"/>
    <cellStyle name="Headline" xfId="1059" xr:uid="{00000000-0005-0000-0000-000019040000}"/>
    <cellStyle name="HeadShade" xfId="1060" xr:uid="{00000000-0005-0000-0000-00001A040000}"/>
    <cellStyle name="HeadShade 2" xfId="1061" xr:uid="{00000000-0005-0000-0000-00001B040000}"/>
    <cellStyle name="HeadShade 3" xfId="1062" xr:uid="{00000000-0005-0000-0000-00001C040000}"/>
    <cellStyle name="HeadShade 4" xfId="1063" xr:uid="{00000000-0005-0000-0000-00001D040000}"/>
    <cellStyle name="HeadShade 5" xfId="1064" xr:uid="{00000000-0005-0000-0000-00001E040000}"/>
    <cellStyle name="HeadShade 9" xfId="1065" xr:uid="{00000000-0005-0000-0000-00001F040000}"/>
    <cellStyle name="helv narrow 8" xfId="1066" xr:uid="{00000000-0005-0000-0000-000020040000}"/>
    <cellStyle name="Hidden" xfId="1067" xr:uid="{00000000-0005-0000-0000-000021040000}"/>
    <cellStyle name="Hide" xfId="1068" xr:uid="{00000000-0005-0000-0000-000022040000}"/>
    <cellStyle name="HIGHLIGHT" xfId="1069" xr:uid="{00000000-0005-0000-0000-000023040000}"/>
    <cellStyle name="Hyperlink" xfId="1343" builtinId="8" hidden="1"/>
    <cellStyle name="Hyperlink" xfId="1341" builtinId="8" hidden="1"/>
    <cellStyle name="Hyperlink 2" xfId="1357" xr:uid="{3D23AB57-93B8-4255-940A-082865DDDD0E}"/>
    <cellStyle name="I" xfId="1070" xr:uid="{00000000-0005-0000-0000-000026040000}"/>
    <cellStyle name="Input [yellow]" xfId="1071" xr:uid="{00000000-0005-0000-0000-000027040000}"/>
    <cellStyle name="Input Comma" xfId="1072" xr:uid="{00000000-0005-0000-0000-000028040000}"/>
    <cellStyle name="Input Comma [0]" xfId="1073" xr:uid="{00000000-0005-0000-0000-000029040000}"/>
    <cellStyle name="Input Currency" xfId="1074" xr:uid="{00000000-0005-0000-0000-00002A040000}"/>
    <cellStyle name="Input Currency [0]" xfId="1075" xr:uid="{00000000-0005-0000-0000-00002B040000}"/>
    <cellStyle name="Input Percent" xfId="1076" xr:uid="{00000000-0005-0000-0000-00002C040000}"/>
    <cellStyle name="Input Percent [0]" xfId="1077" xr:uid="{00000000-0005-0000-0000-00002D040000}"/>
    <cellStyle name="Inputs" xfId="1078" xr:uid="{00000000-0005-0000-0000-00002E040000}"/>
    <cellStyle name="Italics" xfId="1079" xr:uid="{00000000-0005-0000-0000-00002F040000}"/>
    <cellStyle name="Lable8Left" xfId="1080" xr:uid="{00000000-0005-0000-0000-000030040000}"/>
    <cellStyle name="left" xfId="1081" xr:uid="{00000000-0005-0000-0000-000031040000}"/>
    <cellStyle name="Ligne" xfId="1082" xr:uid="{00000000-0005-0000-0000-000032040000}"/>
    <cellStyle name="Lines" xfId="1083" xr:uid="{00000000-0005-0000-0000-000033040000}"/>
    <cellStyle name="Link Currency (0)" xfId="1084" xr:uid="{00000000-0005-0000-0000-000034040000}"/>
    <cellStyle name="Link Currency (2)" xfId="1085" xr:uid="{00000000-0005-0000-0000-000035040000}"/>
    <cellStyle name="Link Units (0)" xfId="1086" xr:uid="{00000000-0005-0000-0000-000036040000}"/>
    <cellStyle name="Link Units (1)" xfId="1087" xr:uid="{00000000-0005-0000-0000-000037040000}"/>
    <cellStyle name="Link Units (2)" xfId="1088" xr:uid="{00000000-0005-0000-0000-000038040000}"/>
    <cellStyle name="Linked" xfId="1089" xr:uid="{00000000-0005-0000-0000-000039040000}"/>
    <cellStyle name="LISAM" xfId="1090" xr:uid="{00000000-0005-0000-0000-00003A040000}"/>
    <cellStyle name="M" xfId="1091" xr:uid="{00000000-0005-0000-0000-00003B040000}"/>
    <cellStyle name="Margins" xfId="1092" xr:uid="{00000000-0005-0000-0000-00003C040000}"/>
    <cellStyle name="Migliaia (0)_Foglio1 (2)" xfId="1093" xr:uid="{00000000-0005-0000-0000-00003D040000}"/>
    <cellStyle name="Migliaia_Foglio1 (2)" xfId="1094" xr:uid="{00000000-0005-0000-0000-00003E040000}"/>
    <cellStyle name="Millares [0]_results" xfId="1095" xr:uid="{00000000-0005-0000-0000-00003F040000}"/>
    <cellStyle name="Millares_results" xfId="1096" xr:uid="{00000000-0005-0000-0000-000040040000}"/>
    <cellStyle name="Milliers [0]_!!!GO" xfId="1097" xr:uid="{00000000-0005-0000-0000-000041040000}"/>
    <cellStyle name="Milliers_!!!GO" xfId="1098" xr:uid="{00000000-0005-0000-0000-000042040000}"/>
    <cellStyle name="Moeda [0]_Arrendamiraflores" xfId="1099" xr:uid="{00000000-0005-0000-0000-000043040000}"/>
    <cellStyle name="Moeda_Arrendamiraflores" xfId="1100" xr:uid="{00000000-0005-0000-0000-000044040000}"/>
    <cellStyle name="Moneda [0]_results" xfId="1101" xr:uid="{00000000-0005-0000-0000-000045040000}"/>
    <cellStyle name="Moneda_results" xfId="1102" xr:uid="{00000000-0005-0000-0000-000046040000}"/>
    <cellStyle name="Monétaire [0]_!!!GO" xfId="1103" xr:uid="{00000000-0005-0000-0000-000047040000}"/>
    <cellStyle name="Monétaire_!!!GO" xfId="1104" xr:uid="{00000000-0005-0000-0000-000048040000}"/>
    <cellStyle name="MSectionHeadings" xfId="1105" xr:uid="{00000000-0005-0000-0000-000049040000}"/>
    <cellStyle name="Multiple" xfId="1106" xr:uid="{00000000-0005-0000-0000-00004A040000}"/>
    <cellStyle name="Multiple (no x)" xfId="1107" xr:uid="{00000000-0005-0000-0000-00004B040000}"/>
    <cellStyle name="Multiple (with x)" xfId="1108" xr:uid="{00000000-0005-0000-0000-00004C040000}"/>
    <cellStyle name="Multiple_09.01.01_Property_Tax_Basis1" xfId="1109" xr:uid="{00000000-0005-0000-0000-00004D040000}"/>
    <cellStyle name="no dec" xfId="1110" xr:uid="{00000000-0005-0000-0000-00004E040000}"/>
    <cellStyle name="nodle1" xfId="1111" xr:uid="{00000000-0005-0000-0000-00004F040000}"/>
    <cellStyle name="Normal" xfId="0" builtinId="0"/>
    <cellStyle name="Normal - Style1" xfId="1112" xr:uid="{00000000-0005-0000-0000-000051040000}"/>
    <cellStyle name="Normal 10" xfId="1347" xr:uid="{00000000-0005-0000-0000-000052040000}"/>
    <cellStyle name="Normal 11" xfId="1348" xr:uid="{00000000-0005-0000-0000-000053040000}"/>
    <cellStyle name="Normal 12" xfId="1352" xr:uid="{00000000-0005-0000-0000-000054040000}"/>
    <cellStyle name="Normal 13" xfId="1349" xr:uid="{00000000-0005-0000-0000-000055040000}"/>
    <cellStyle name="Normal 2" xfId="2" xr:uid="{00000000-0005-0000-0000-000056040000}"/>
    <cellStyle name="Normal 2 2" xfId="5" xr:uid="{00000000-0005-0000-0000-000057040000}"/>
    <cellStyle name="Normal 2 3" xfId="9" xr:uid="{00000000-0005-0000-0000-000058040000}"/>
    <cellStyle name="Normal 2 4" xfId="1356" xr:uid="{00000000-0005-0000-0000-000059040000}"/>
    <cellStyle name="Normal 3" xfId="6" xr:uid="{00000000-0005-0000-0000-00005A040000}"/>
    <cellStyle name="Normal 3 3" xfId="21" xr:uid="{00000000-0005-0000-0000-00005B040000}"/>
    <cellStyle name="Normal 4" xfId="15" xr:uid="{00000000-0005-0000-0000-00005C040000}"/>
    <cellStyle name="Normal 4 2" xfId="23" xr:uid="{00000000-0005-0000-0000-00005D040000}"/>
    <cellStyle name="Normal 5" xfId="19" xr:uid="{00000000-0005-0000-0000-00005E040000}"/>
    <cellStyle name="Normal 6" xfId="127" xr:uid="{00000000-0005-0000-0000-00005F040000}"/>
    <cellStyle name="Normal 6 2" xfId="1334" xr:uid="{00000000-0005-0000-0000-000060040000}"/>
    <cellStyle name="Normal 6 3" xfId="1353" xr:uid="{00000000-0005-0000-0000-000061040000}"/>
    <cellStyle name="Normal 7" xfId="129" xr:uid="{00000000-0005-0000-0000-000062040000}"/>
    <cellStyle name="Normal 7 2" xfId="1332" xr:uid="{00000000-0005-0000-0000-000063040000}"/>
    <cellStyle name="Normal 7 3" xfId="1339" xr:uid="{00000000-0005-0000-0000-000064040000}"/>
    <cellStyle name="Normal 8" xfId="1113" xr:uid="{00000000-0005-0000-0000-000065040000}"/>
    <cellStyle name="Normal 9" xfId="1331" xr:uid="{00000000-0005-0000-0000-000066040000}"/>
    <cellStyle name="Normal_Simple pro-forma" xfId="14" xr:uid="{00000000-0005-0000-0000-000068040000}"/>
    <cellStyle name="NormalBack" xfId="1114" xr:uid="{00000000-0005-0000-0000-00006A040000}"/>
    <cellStyle name="NormalBorder" xfId="1115" xr:uid="{00000000-0005-0000-0000-00006B040000}"/>
    <cellStyle name="Normale_INVENTARIO AL 31.12.99 Con composizioni2BUSSI" xfId="1116" xr:uid="{00000000-0005-0000-0000-00006C040000}"/>
    <cellStyle name="NormalGB" xfId="1117" xr:uid="{00000000-0005-0000-0000-00006D040000}"/>
    <cellStyle name="NormalLeft" xfId="1118" xr:uid="{00000000-0005-0000-0000-00006E040000}"/>
    <cellStyle name="NormalNumber%" xfId="1119" xr:uid="{00000000-0005-0000-0000-00006F040000}"/>
    <cellStyle name="NormalRightNum" xfId="1120" xr:uid="{00000000-0005-0000-0000-000070040000}"/>
    <cellStyle name="NormalRightPercent" xfId="1121" xr:uid="{00000000-0005-0000-0000-000071040000}"/>
    <cellStyle name="nPlode" xfId="1122" xr:uid="{00000000-0005-0000-0000-000072040000}"/>
    <cellStyle name="nPlode1" xfId="1123" xr:uid="{00000000-0005-0000-0000-000073040000}"/>
    <cellStyle name="nPlode2" xfId="1124" xr:uid="{00000000-0005-0000-0000-000074040000}"/>
    <cellStyle name="nPlode3" xfId="1125" xr:uid="{00000000-0005-0000-0000-000075040000}"/>
    <cellStyle name="nPlosion" xfId="1126" xr:uid="{00000000-0005-0000-0000-000076040000}"/>
    <cellStyle name="NPRO" xfId="1127" xr:uid="{00000000-0005-0000-0000-000077040000}"/>
    <cellStyle name="Num0Un" xfId="1128" xr:uid="{00000000-0005-0000-0000-000078040000}"/>
    <cellStyle name="Num1" xfId="1129" xr:uid="{00000000-0005-0000-0000-000079040000}"/>
    <cellStyle name="Num1Blue" xfId="1130" xr:uid="{00000000-0005-0000-0000-00007A040000}"/>
    <cellStyle name="Num2" xfId="1131" xr:uid="{00000000-0005-0000-0000-00007B040000}"/>
    <cellStyle name="Num2Un" xfId="1132" xr:uid="{00000000-0005-0000-0000-00007C040000}"/>
    <cellStyle name="Number" xfId="1133" xr:uid="{00000000-0005-0000-0000-00007D040000}"/>
    <cellStyle name="OddBodyShade" xfId="1134" xr:uid="{00000000-0005-0000-0000-00007E040000}"/>
    <cellStyle name="OddBodyShade 2" xfId="1135" xr:uid="{00000000-0005-0000-0000-00007F040000}"/>
    <cellStyle name="OddBodyShade 3" xfId="1136" xr:uid="{00000000-0005-0000-0000-000080040000}"/>
    <cellStyle name="OddBodyShade 4" xfId="1137" xr:uid="{00000000-0005-0000-0000-000081040000}"/>
    <cellStyle name="OddBodyShade 5" xfId="1138" xr:uid="{00000000-0005-0000-0000-000082040000}"/>
    <cellStyle name="OddBodyShade 9" xfId="1139" xr:uid="{00000000-0005-0000-0000-000083040000}"/>
    <cellStyle name="Œ…‹æØ‚è [0.00]_!!!GO" xfId="1140" xr:uid="{00000000-0005-0000-0000-000084040000}"/>
    <cellStyle name="Œ…‹æØ‚è_!!!GO" xfId="1141" xr:uid="{00000000-0005-0000-0000-000085040000}"/>
    <cellStyle name="One Pager Input" xfId="1142" xr:uid="{00000000-0005-0000-0000-000086040000}"/>
    <cellStyle name="OutlineSpec" xfId="1143" xr:uid="{00000000-0005-0000-0000-000087040000}"/>
    <cellStyle name="Output Amounts" xfId="1144" xr:uid="{00000000-0005-0000-0000-000088040000}"/>
    <cellStyle name="Output Column Headings" xfId="1145" xr:uid="{00000000-0005-0000-0000-000089040000}"/>
    <cellStyle name="Output Line Items" xfId="1146" xr:uid="{00000000-0005-0000-0000-00008A040000}"/>
    <cellStyle name="Output Report Heading" xfId="1147" xr:uid="{00000000-0005-0000-0000-00008B040000}"/>
    <cellStyle name="Output Report Title" xfId="1148" xr:uid="{00000000-0005-0000-0000-00008C040000}"/>
    <cellStyle name="Overscore" xfId="1149" xr:uid="{00000000-0005-0000-0000-00008D040000}"/>
    <cellStyle name="Overscore 2" xfId="1150" xr:uid="{00000000-0005-0000-0000-00008E040000}"/>
    <cellStyle name="Overscore 3" xfId="1151" xr:uid="{00000000-0005-0000-0000-00008F040000}"/>
    <cellStyle name="Overscore 4" xfId="1152" xr:uid="{00000000-0005-0000-0000-000090040000}"/>
    <cellStyle name="Overscore 5" xfId="1153" xr:uid="{00000000-0005-0000-0000-000091040000}"/>
    <cellStyle name="Overscore 9" xfId="1154" xr:uid="{00000000-0005-0000-0000-000092040000}"/>
    <cellStyle name="Overunder" xfId="1155" xr:uid="{00000000-0005-0000-0000-000093040000}"/>
    <cellStyle name="P" xfId="1156" xr:uid="{00000000-0005-0000-0000-000094040000}"/>
    <cellStyle name="Page Heading" xfId="1157" xr:uid="{00000000-0005-0000-0000-000095040000}"/>
    <cellStyle name="Page Heading Large" xfId="1158" xr:uid="{00000000-0005-0000-0000-000096040000}"/>
    <cellStyle name="Page Heading Small" xfId="1159" xr:uid="{00000000-0005-0000-0000-000097040000}"/>
    <cellStyle name="Page Number" xfId="1160" xr:uid="{00000000-0005-0000-0000-000098040000}"/>
    <cellStyle name="Page Title (Blue/Gray)" xfId="1161" xr:uid="{00000000-0005-0000-0000-000099040000}"/>
    <cellStyle name="patterns" xfId="1162" xr:uid="{00000000-0005-0000-0000-00009A040000}"/>
    <cellStyle name="PB Table Heading" xfId="1163" xr:uid="{00000000-0005-0000-0000-00009B040000}"/>
    <cellStyle name="PB Table Highlight1" xfId="1164" xr:uid="{00000000-0005-0000-0000-00009C040000}"/>
    <cellStyle name="PB Table Highlight2" xfId="1165" xr:uid="{00000000-0005-0000-0000-00009D040000}"/>
    <cellStyle name="PB Table Highlight3" xfId="1166" xr:uid="{00000000-0005-0000-0000-00009E040000}"/>
    <cellStyle name="PB Table Standard Row" xfId="1167" xr:uid="{00000000-0005-0000-0000-00009F040000}"/>
    <cellStyle name="PB Table Subtotal Row" xfId="1168" xr:uid="{00000000-0005-0000-0000-0000A0040000}"/>
    <cellStyle name="PB Table Total Row" xfId="1169" xr:uid="{00000000-0005-0000-0000-0000A1040000}"/>
    <cellStyle name="pb_page_heading_LS" xfId="1170" xr:uid="{00000000-0005-0000-0000-0000A2040000}"/>
    <cellStyle name="per.style" xfId="1171" xr:uid="{00000000-0005-0000-0000-0000A3040000}"/>
    <cellStyle name="Perc1" xfId="1172" xr:uid="{00000000-0005-0000-0000-0000A4040000}"/>
    <cellStyle name="Percen - Style1" xfId="1173" xr:uid="{00000000-0005-0000-0000-0000A5040000}"/>
    <cellStyle name="Percen - Style2" xfId="1174" xr:uid="{00000000-0005-0000-0000-0000A6040000}"/>
    <cellStyle name="Percen - Style3" xfId="1175" xr:uid="{00000000-0005-0000-0000-0000A7040000}"/>
    <cellStyle name="Percent" xfId="1" builtinId="5"/>
    <cellStyle name="Percent [0%]" xfId="1176" xr:uid="{00000000-0005-0000-0000-0000AB040000}"/>
    <cellStyle name="Percent [0.00%]" xfId="1177" xr:uid="{00000000-0005-0000-0000-0000A9040000}"/>
    <cellStyle name="Percent [0]" xfId="1178" xr:uid="{00000000-0005-0000-0000-0000AA040000}"/>
    <cellStyle name="Percent [00]" xfId="1179" xr:uid="{00000000-0005-0000-0000-0000AC040000}"/>
    <cellStyle name="Percent [2]" xfId="1180" xr:uid="{00000000-0005-0000-0000-0000AD040000}"/>
    <cellStyle name="percent 1 decimal" xfId="1181" xr:uid="{00000000-0005-0000-0000-0000AE040000}"/>
    <cellStyle name="Percent 2" xfId="7" xr:uid="{00000000-0005-0000-0000-0000AF040000}"/>
    <cellStyle name="Percent 2 2" xfId="8" xr:uid="{00000000-0005-0000-0000-0000B0040000}"/>
    <cellStyle name="Percent 2 2 2" xfId="24" xr:uid="{00000000-0005-0000-0000-0000B1040000}"/>
    <cellStyle name="Percent 2 3" xfId="10" xr:uid="{00000000-0005-0000-0000-0000B2040000}"/>
    <cellStyle name="percent 2 decimal" xfId="1182" xr:uid="{00000000-0005-0000-0000-0000B3040000}"/>
    <cellStyle name="Percent 3" xfId="13" xr:uid="{00000000-0005-0000-0000-0000B4040000}"/>
    <cellStyle name="Percent 4" xfId="16" xr:uid="{00000000-0005-0000-0000-0000B5040000}"/>
    <cellStyle name="Percent 5" xfId="128" xr:uid="{00000000-0005-0000-0000-0000B6040000}"/>
    <cellStyle name="Percent 5 2" xfId="1335" xr:uid="{00000000-0005-0000-0000-0000B7040000}"/>
    <cellStyle name="Percent 5 3" xfId="1354" xr:uid="{00000000-0005-0000-0000-0000B8040000}"/>
    <cellStyle name="Percent 6" xfId="130" xr:uid="{00000000-0005-0000-0000-0000B9040000}"/>
    <cellStyle name="Percent 6 2" xfId="1333" xr:uid="{00000000-0005-0000-0000-0000BA040000}"/>
    <cellStyle name="Percent 6 3" xfId="1340" xr:uid="{00000000-0005-0000-0000-0000BB040000}"/>
    <cellStyle name="Percent Hard" xfId="1183" xr:uid="{00000000-0005-0000-0000-0000BC040000}"/>
    <cellStyle name="percent no decimal" xfId="1184" xr:uid="{00000000-0005-0000-0000-0000BD040000}"/>
    <cellStyle name="Percent(4places)TotTop" xfId="1185" xr:uid="{00000000-0005-0000-0000-0000BE040000}"/>
    <cellStyle name="Percent1" xfId="1186" xr:uid="{00000000-0005-0000-0000-0000BF040000}"/>
    <cellStyle name="Percent1Blue" xfId="1187" xr:uid="{00000000-0005-0000-0000-0000C0040000}"/>
    <cellStyle name="Percent2" xfId="1188" xr:uid="{00000000-0005-0000-0000-0000C1040000}"/>
    <cellStyle name="Percent2Blue" xfId="1189" xr:uid="{00000000-0005-0000-0000-0000C2040000}"/>
    <cellStyle name="PercentTotal" xfId="1190" xr:uid="{00000000-0005-0000-0000-0000C3040000}"/>
    <cellStyle name="Pounds" xfId="1191" xr:uid="{00000000-0005-0000-0000-0000C4040000}"/>
    <cellStyle name="Pourcentage_agree" xfId="1192" xr:uid="{00000000-0005-0000-0000-0000C5040000}"/>
    <cellStyle name="PrePop Currency (0)" xfId="1193" xr:uid="{00000000-0005-0000-0000-0000C6040000}"/>
    <cellStyle name="PrePop Currency (2)" xfId="1194" xr:uid="{00000000-0005-0000-0000-0000C7040000}"/>
    <cellStyle name="PrePop Units (0)" xfId="1195" xr:uid="{00000000-0005-0000-0000-0000C8040000}"/>
    <cellStyle name="PrePop Units (1)" xfId="1196" xr:uid="{00000000-0005-0000-0000-0000C9040000}"/>
    <cellStyle name="PrePop Units (2)" xfId="1197" xr:uid="{00000000-0005-0000-0000-0000CA040000}"/>
    <cellStyle name="Price" xfId="1198" xr:uid="{00000000-0005-0000-0000-0000CB040000}"/>
    <cellStyle name="PriceUn" xfId="1199" xr:uid="{00000000-0005-0000-0000-0000CC040000}"/>
    <cellStyle name="pricing" xfId="1200" xr:uid="{00000000-0005-0000-0000-0000CD040000}"/>
    <cellStyle name="PSChar" xfId="1201" xr:uid="{00000000-0005-0000-0000-0000CE040000}"/>
    <cellStyle name="PSDate" xfId="1202" xr:uid="{00000000-0005-0000-0000-0000CF040000}"/>
    <cellStyle name="PSDec" xfId="1203" xr:uid="{00000000-0005-0000-0000-0000D0040000}"/>
    <cellStyle name="PSHeading" xfId="1204" xr:uid="{00000000-0005-0000-0000-0000D1040000}"/>
    <cellStyle name="PSInt" xfId="1205" xr:uid="{00000000-0005-0000-0000-0000D2040000}"/>
    <cellStyle name="PSSpacer" xfId="1206" xr:uid="{00000000-0005-0000-0000-0000D3040000}"/>
    <cellStyle name="Reg1" xfId="1207" xr:uid="{00000000-0005-0000-0000-0000D4040000}"/>
    <cellStyle name="Reg2" xfId="1208" xr:uid="{00000000-0005-0000-0000-0000D5040000}"/>
    <cellStyle name="Reg3" xfId="1209" xr:uid="{00000000-0005-0000-0000-0000D6040000}"/>
    <cellStyle name="Reg4" xfId="1210" xr:uid="{00000000-0005-0000-0000-0000D7040000}"/>
    <cellStyle name="Reg5" xfId="1211" xr:uid="{00000000-0005-0000-0000-0000D8040000}"/>
    <cellStyle name="Reg6" xfId="1212" xr:uid="{00000000-0005-0000-0000-0000D9040000}"/>
    <cellStyle name="Reg7" xfId="1213" xr:uid="{00000000-0005-0000-0000-0000DA040000}"/>
    <cellStyle name="Reg8" xfId="1214" xr:uid="{00000000-0005-0000-0000-0000DB040000}"/>
    <cellStyle name="Reg9" xfId="1215" xr:uid="{00000000-0005-0000-0000-0000DC040000}"/>
    <cellStyle name="regstoresfromspecstores" xfId="1216" xr:uid="{00000000-0005-0000-0000-0000DD040000}"/>
    <cellStyle name="RevList" xfId="1217" xr:uid="{00000000-0005-0000-0000-0000DE040000}"/>
    <cellStyle name="Right" xfId="1218" xr:uid="{00000000-0005-0000-0000-0000DF040000}"/>
    <cellStyle name="s" xfId="1219" xr:uid="{00000000-0005-0000-0000-0000E0040000}"/>
    <cellStyle name="Salomon Logo" xfId="1220" xr:uid="{00000000-0005-0000-0000-0000E1040000}"/>
    <cellStyle name="ScotchRule" xfId="1221" xr:uid="{00000000-0005-0000-0000-0000E2040000}"/>
    <cellStyle name="Second Heading_dynex lihtcperm" xfId="1222" xr:uid="{00000000-0005-0000-0000-0000E3040000}"/>
    <cellStyle name="Separador de milhares [0]_Arrendamiraflores" xfId="1223" xr:uid="{00000000-0005-0000-0000-0000E4040000}"/>
    <cellStyle name="Shaded" xfId="1224" xr:uid="{00000000-0005-0000-0000-0000E5040000}"/>
    <cellStyle name="SHADEDSTORES" xfId="1225" xr:uid="{00000000-0005-0000-0000-0000E6040000}"/>
    <cellStyle name="Single Accounting" xfId="1226" xr:uid="{00000000-0005-0000-0000-0000E7040000}"/>
    <cellStyle name="Small Page Heading" xfId="1227" xr:uid="{00000000-0005-0000-0000-0000E8040000}"/>
    <cellStyle name="Sous-Total" xfId="1228" xr:uid="{00000000-0005-0000-0000-0000E9040000}"/>
    <cellStyle name="SpecialHeader" xfId="1229" xr:uid="{00000000-0005-0000-0000-0000EA040000}"/>
    <cellStyle name="specstores" xfId="1230" xr:uid="{00000000-0005-0000-0000-0000EB040000}"/>
    <cellStyle name="Standaard_Almere" xfId="1231" xr:uid="{00000000-0005-0000-0000-0000EC040000}"/>
    <cellStyle name="Standard_1CC-N-12" xfId="1232" xr:uid="{00000000-0005-0000-0000-0000ED040000}"/>
    <cellStyle name="Style 1" xfId="1233" xr:uid="{00000000-0005-0000-0000-0000EE040000}"/>
    <cellStyle name="Style１" xfId="1234" xr:uid="{00000000-0005-0000-0000-0000EF040000}"/>
    <cellStyle name="subhead" xfId="1235" xr:uid="{00000000-0005-0000-0000-0000F0040000}"/>
    <cellStyle name="SubHeader" xfId="1236" xr:uid="{00000000-0005-0000-0000-0000F1040000}"/>
    <cellStyle name="Subscribers" xfId="1237" xr:uid="{00000000-0005-0000-0000-0000F2040000}"/>
    <cellStyle name="Subtitle" xfId="1238" xr:uid="{00000000-0005-0000-0000-0000F3040000}"/>
    <cellStyle name="SubTotal" xfId="1239" xr:uid="{00000000-0005-0000-0000-0000F4040000}"/>
    <cellStyle name="T" xfId="1240" xr:uid="{00000000-0005-0000-0000-0000F5040000}"/>
    <cellStyle name="Table Col Head" xfId="1241" xr:uid="{00000000-0005-0000-0000-0000F6040000}"/>
    <cellStyle name="Table Head" xfId="1242" xr:uid="{00000000-0005-0000-0000-0000F7040000}"/>
    <cellStyle name="Table Head Aligned" xfId="1243" xr:uid="{00000000-0005-0000-0000-0000F8040000}"/>
    <cellStyle name="Table Head Blue" xfId="1244" xr:uid="{00000000-0005-0000-0000-0000F9040000}"/>
    <cellStyle name="Table Head Green" xfId="1245" xr:uid="{00000000-0005-0000-0000-0000FA040000}"/>
    <cellStyle name="Table Head_Alamosa Bids II" xfId="1246" xr:uid="{00000000-0005-0000-0000-0000FB040000}"/>
    <cellStyle name="Table Heading" xfId="1247" xr:uid="{00000000-0005-0000-0000-0000FC040000}"/>
    <cellStyle name="Table Sub Head" xfId="1248" xr:uid="{00000000-0005-0000-0000-0000FD040000}"/>
    <cellStyle name="Table Text" xfId="1249" xr:uid="{00000000-0005-0000-0000-0000FE040000}"/>
    <cellStyle name="Table Title" xfId="1250" xr:uid="{00000000-0005-0000-0000-0000FF040000}"/>
    <cellStyle name="Table Units" xfId="1251" xr:uid="{00000000-0005-0000-0000-000000050000}"/>
    <cellStyle name="Table_Header" xfId="1252" xr:uid="{00000000-0005-0000-0000-000001050000}"/>
    <cellStyle name="TableBody_sbcpac" xfId="1253" xr:uid="{00000000-0005-0000-0000-000002050000}"/>
    <cellStyle name="Text 1" xfId="1254" xr:uid="{00000000-0005-0000-0000-000003050000}"/>
    <cellStyle name="Text 8" xfId="1255" xr:uid="{00000000-0005-0000-0000-000004050000}"/>
    <cellStyle name="Text Head 1" xfId="1256" xr:uid="{00000000-0005-0000-0000-000005050000}"/>
    <cellStyle name="Text Indent A" xfId="1257" xr:uid="{00000000-0005-0000-0000-000006050000}"/>
    <cellStyle name="Text Indent B" xfId="1258" xr:uid="{00000000-0005-0000-0000-000007050000}"/>
    <cellStyle name="Text Indent C" xfId="1259" xr:uid="{00000000-0005-0000-0000-000008050000}"/>
    <cellStyle name="TIME" xfId="1260" xr:uid="{00000000-0005-0000-0000-000009050000}"/>
    <cellStyle name="Times 10" xfId="1261" xr:uid="{00000000-0005-0000-0000-00000A050000}"/>
    <cellStyle name="Times 12" xfId="1262" xr:uid="{00000000-0005-0000-0000-00000B050000}"/>
    <cellStyle name="Times New Roman" xfId="1263" xr:uid="{00000000-0005-0000-0000-00000C050000}"/>
    <cellStyle name="times roman" xfId="1264" xr:uid="{00000000-0005-0000-0000-00000D050000}"/>
    <cellStyle name="Title1" xfId="1265" xr:uid="{00000000-0005-0000-0000-00000E050000}"/>
    <cellStyle name="Title10" xfId="1266" xr:uid="{00000000-0005-0000-0000-00000F050000}"/>
    <cellStyle name="Title2" xfId="1267" xr:uid="{00000000-0005-0000-0000-000010050000}"/>
    <cellStyle name="Title8" xfId="1268" xr:uid="{00000000-0005-0000-0000-000011050000}"/>
    <cellStyle name="Title8Left" xfId="1269" xr:uid="{00000000-0005-0000-0000-000012050000}"/>
    <cellStyle name="TitleCenter" xfId="1270" xr:uid="{00000000-0005-0000-0000-000013050000}"/>
    <cellStyle name="TitleLeft" xfId="1271" xr:uid="{00000000-0005-0000-0000-000014050000}"/>
    <cellStyle name="TitleOther" xfId="1272" xr:uid="{00000000-0005-0000-0000-000015050000}"/>
    <cellStyle name="Titolo1" xfId="1273" xr:uid="{00000000-0005-0000-0000-000016050000}"/>
    <cellStyle name="Titolo2" xfId="1274" xr:uid="{00000000-0005-0000-0000-000017050000}"/>
    <cellStyle name="Titolo3" xfId="1275" xr:uid="{00000000-0005-0000-0000-000018050000}"/>
    <cellStyle name="topline" xfId="1276" xr:uid="{00000000-0005-0000-0000-000019050000}"/>
    <cellStyle name="TopThick" xfId="1277" xr:uid="{00000000-0005-0000-0000-00001A050000}"/>
    <cellStyle name="Total1" xfId="1278" xr:uid="{00000000-0005-0000-0000-00001B050000}"/>
    <cellStyle name="Total2" xfId="1279" xr:uid="{00000000-0005-0000-0000-00001C050000}"/>
    <cellStyle name="Total3" xfId="1280" xr:uid="{00000000-0005-0000-0000-00001D050000}"/>
    <cellStyle name="Total4" xfId="1281" xr:uid="{00000000-0005-0000-0000-00001E050000}"/>
    <cellStyle name="Total5" xfId="1282" xr:uid="{00000000-0005-0000-0000-00001F050000}"/>
    <cellStyle name="Total6" xfId="1283" xr:uid="{00000000-0005-0000-0000-000020050000}"/>
    <cellStyle name="Total7" xfId="1284" xr:uid="{00000000-0005-0000-0000-000021050000}"/>
    <cellStyle name="Total8" xfId="1285" xr:uid="{00000000-0005-0000-0000-000022050000}"/>
    <cellStyle name="Total9" xfId="1286" xr:uid="{00000000-0005-0000-0000-000023050000}"/>
    <cellStyle name="Totals" xfId="1287" xr:uid="{00000000-0005-0000-0000-000024050000}"/>
    <cellStyle name="TotalsComma" xfId="1288" xr:uid="{00000000-0005-0000-0000-000025050000}"/>
    <cellStyle name="TotShade" xfId="1289" xr:uid="{00000000-0005-0000-0000-000026050000}"/>
    <cellStyle name="TotShade 2" xfId="1290" xr:uid="{00000000-0005-0000-0000-000027050000}"/>
    <cellStyle name="TotShade 3" xfId="1291" xr:uid="{00000000-0005-0000-0000-000028050000}"/>
    <cellStyle name="TotShade 4" xfId="1292" xr:uid="{00000000-0005-0000-0000-000029050000}"/>
    <cellStyle name="TotShade 5" xfId="1293" xr:uid="{00000000-0005-0000-0000-00002A050000}"/>
    <cellStyle name="TotShade 9" xfId="1294" xr:uid="{00000000-0005-0000-0000-00002B050000}"/>
    <cellStyle name="TransVal" xfId="1295" xr:uid="{00000000-0005-0000-0000-00002C050000}"/>
    <cellStyle name="ubordinated Debt" xfId="1296" xr:uid="{00000000-0005-0000-0000-00002D050000}"/>
    <cellStyle name="underline 1 decimal" xfId="1297" xr:uid="{00000000-0005-0000-0000-00002E050000}"/>
    <cellStyle name="underline 2 decimals" xfId="1298" xr:uid="{00000000-0005-0000-0000-00002F050000}"/>
    <cellStyle name="underline flush left" xfId="1299" xr:uid="{00000000-0005-0000-0000-000030050000}"/>
    <cellStyle name="underline no decimals" xfId="1300" xr:uid="{00000000-0005-0000-0000-000031050000}"/>
    <cellStyle name="Underline_Single" xfId="1301" xr:uid="{00000000-0005-0000-0000-000032050000}"/>
    <cellStyle name="Underscore" xfId="1302" xr:uid="{00000000-0005-0000-0000-000033050000}"/>
    <cellStyle name="Underscore 2" xfId="1303" xr:uid="{00000000-0005-0000-0000-000034050000}"/>
    <cellStyle name="Underscore 3" xfId="1304" xr:uid="{00000000-0005-0000-0000-000035050000}"/>
    <cellStyle name="Underscore 4" xfId="1305" xr:uid="{00000000-0005-0000-0000-000036050000}"/>
    <cellStyle name="Underscore 5" xfId="1306" xr:uid="{00000000-0005-0000-0000-000037050000}"/>
    <cellStyle name="Underscore 9" xfId="1307" xr:uid="{00000000-0005-0000-0000-000038050000}"/>
    <cellStyle name="Unprot" xfId="1308" xr:uid="{00000000-0005-0000-0000-000039050000}"/>
    <cellStyle name="Unprot$" xfId="1309" xr:uid="{00000000-0005-0000-0000-00003A050000}"/>
    <cellStyle name="Unprotect" xfId="1310" xr:uid="{00000000-0005-0000-0000-00003B050000}"/>
    <cellStyle name="User_Defined_A" xfId="1311" xr:uid="{00000000-0005-0000-0000-00003C050000}"/>
    <cellStyle name="Valuta (0)_Foglio1 (2)" xfId="1312" xr:uid="{00000000-0005-0000-0000-00003D050000}"/>
    <cellStyle name="Valuta_Foglio1 (2)" xfId="1313" xr:uid="{00000000-0005-0000-0000-00003E050000}"/>
    <cellStyle name="Vírgula_Arrendamiraflores" xfId="1314" xr:uid="{00000000-0005-0000-0000-00003F050000}"/>
    <cellStyle name="White" xfId="1315" xr:uid="{00000000-0005-0000-0000-000040050000}"/>
    <cellStyle name="y" xfId="1316" xr:uid="{00000000-0005-0000-0000-000041050000}"/>
    <cellStyle name="y_Citrix_2pgr2" xfId="1317" xr:uid="{00000000-0005-0000-0000-000042050000}"/>
    <cellStyle name="y_Iron-Steel" xfId="1318" xr:uid="{00000000-0005-0000-0000-000043050000}"/>
    <cellStyle name="y_MERQ_6-14_V8" xfId="1319" xr:uid="{00000000-0005-0000-0000-000044050000}"/>
    <cellStyle name="y_RATL_SRNA synergies" xfId="1320" xr:uid="{00000000-0005-0000-0000-000045050000}"/>
    <cellStyle name="y_Valuation_Jan2" xfId="1321" xr:uid="{00000000-0005-0000-0000-000046050000}"/>
    <cellStyle name="year" xfId="1322" xr:uid="{00000000-0005-0000-0000-000047050000}"/>
    <cellStyle name="Yen" xfId="1323" xr:uid="{00000000-0005-0000-0000-000048050000}"/>
    <cellStyle name="YES NO" xfId="1324" xr:uid="{00000000-0005-0000-0000-000049050000}"/>
    <cellStyle name="型番" xfId="1325" xr:uid="{00000000-0005-0000-0000-00004A050000}"/>
    <cellStyle name="桁区切り [0.00]_Book2" xfId="1326" xr:uid="{00000000-0005-0000-0000-00004B050000}"/>
    <cellStyle name="桁区切り_AssetBalance Template" xfId="1327" xr:uid="{00000000-0005-0000-0000-00004C050000}"/>
    <cellStyle name="標準_1Q01SS-backup_Megalon 3Q2" xfId="1328" xr:uid="{00000000-0005-0000-0000-00004D050000}"/>
    <cellStyle name="通貨 [0.00]_Book2" xfId="1329" xr:uid="{00000000-0005-0000-0000-00004E050000}"/>
    <cellStyle name="通貨_Book2" xfId="1330" xr:uid="{00000000-0005-0000-0000-00004F050000}"/>
  </cellStyles>
  <dxfs count="112">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00"/>
        </patternFill>
      </fill>
    </dxf>
  </dxfs>
  <tableStyles count="0" defaultTableStyle="TableStyleMedium9"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7</xdr:col>
      <xdr:colOff>162808</xdr:colOff>
      <xdr:row>19</xdr:row>
      <xdr:rowOff>176643</xdr:rowOff>
    </xdr:from>
    <xdr:to>
      <xdr:col>13</xdr:col>
      <xdr:colOff>653143</xdr:colOff>
      <xdr:row>39</xdr:row>
      <xdr:rowOff>10487</xdr:rowOff>
    </xdr:to>
    <xdr:pic>
      <xdr:nvPicPr>
        <xdr:cNvPr id="16" name="Picture 15">
          <a:extLst>
            <a:ext uri="{FF2B5EF4-FFF2-40B4-BE49-F238E27FC236}">
              <a16:creationId xmlns:a16="http://schemas.microsoft.com/office/drawing/2014/main" id="{F60EBD6C-970F-49E1-8619-4BCF25465EA7}"/>
            </a:ext>
          </a:extLst>
        </xdr:cNvPr>
        <xdr:cNvPicPr>
          <a:picLocks noChangeAspect="1"/>
        </xdr:cNvPicPr>
      </xdr:nvPicPr>
      <xdr:blipFill>
        <a:blip xmlns:r="http://schemas.openxmlformats.org/officeDocument/2006/relationships" r:embed="rId1"/>
        <a:srcRect/>
        <a:stretch/>
      </xdr:blipFill>
      <xdr:spPr>
        <a:xfrm>
          <a:off x="6775879" y="4054679"/>
          <a:ext cx="5388908" cy="3915987"/>
        </a:xfrm>
        <a:prstGeom prst="rect">
          <a:avLst/>
        </a:prstGeom>
        <a:ln w="12700">
          <a:solidFill>
            <a:schemeClr val="tx1"/>
          </a:solidFill>
        </a:ln>
      </xdr:spPr>
    </xdr:pic>
    <xdr:clientData/>
  </xdr:twoCellAnchor>
  <xdr:twoCellAnchor editAs="oneCell">
    <xdr:from>
      <xdr:col>13</xdr:col>
      <xdr:colOff>641233</xdr:colOff>
      <xdr:row>99</xdr:row>
      <xdr:rowOff>25975</xdr:rowOff>
    </xdr:from>
    <xdr:to>
      <xdr:col>19</xdr:col>
      <xdr:colOff>827554</xdr:colOff>
      <xdr:row>111</xdr:row>
      <xdr:rowOff>18236</xdr:rowOff>
    </xdr:to>
    <xdr:pic>
      <xdr:nvPicPr>
        <xdr:cNvPr id="21" name="Picture 20">
          <a:extLst>
            <a:ext uri="{FF2B5EF4-FFF2-40B4-BE49-F238E27FC236}">
              <a16:creationId xmlns:a16="http://schemas.microsoft.com/office/drawing/2014/main" id="{C66FB103-C018-404E-B7D3-FA8A5A988F40}"/>
            </a:ext>
          </a:extLst>
        </xdr:cNvPr>
        <xdr:cNvPicPr>
          <a:picLocks noChangeAspect="1"/>
        </xdr:cNvPicPr>
      </xdr:nvPicPr>
      <xdr:blipFill>
        <a:blip xmlns:r="http://schemas.openxmlformats.org/officeDocument/2006/relationships" r:embed="rId2"/>
        <a:srcRect/>
        <a:stretch/>
      </xdr:blipFill>
      <xdr:spPr>
        <a:xfrm>
          <a:off x="12082439" y="20039681"/>
          <a:ext cx="6405585" cy="2412731"/>
        </a:xfrm>
        <a:prstGeom prst="rect">
          <a:avLst/>
        </a:prstGeom>
        <a:ln w="12700">
          <a:solidFill>
            <a:schemeClr val="tx1"/>
          </a:solidFill>
        </a:ln>
      </xdr:spPr>
    </xdr:pic>
    <xdr:clientData/>
  </xdr:twoCellAnchor>
  <xdr:twoCellAnchor editAs="oneCell">
    <xdr:from>
      <xdr:col>13</xdr:col>
      <xdr:colOff>665522</xdr:colOff>
      <xdr:row>112</xdr:row>
      <xdr:rowOff>87457</xdr:rowOff>
    </xdr:from>
    <xdr:to>
      <xdr:col>19</xdr:col>
      <xdr:colOff>814514</xdr:colOff>
      <xdr:row>124</xdr:row>
      <xdr:rowOff>123265</xdr:rowOff>
    </xdr:to>
    <xdr:pic>
      <xdr:nvPicPr>
        <xdr:cNvPr id="22" name="Picture 21">
          <a:extLst>
            <a:ext uri="{FF2B5EF4-FFF2-40B4-BE49-F238E27FC236}">
              <a16:creationId xmlns:a16="http://schemas.microsoft.com/office/drawing/2014/main" id="{E66EE5E0-0154-4CCF-B19D-9B9074111CF0}"/>
            </a:ext>
          </a:extLst>
        </xdr:cNvPr>
        <xdr:cNvPicPr>
          <a:picLocks noChangeAspect="1"/>
        </xdr:cNvPicPr>
      </xdr:nvPicPr>
      <xdr:blipFill>
        <a:blip xmlns:r="http://schemas.openxmlformats.org/officeDocument/2006/relationships" r:embed="rId3"/>
        <a:srcRect/>
        <a:stretch/>
      </xdr:blipFill>
      <xdr:spPr>
        <a:xfrm>
          <a:off x="12106728" y="22723339"/>
          <a:ext cx="6368256" cy="2456279"/>
        </a:xfrm>
        <a:prstGeom prst="rect">
          <a:avLst/>
        </a:prstGeom>
        <a:ln w="12700">
          <a:solidFill>
            <a:schemeClr val="tx1"/>
          </a:solidFill>
        </a:ln>
      </xdr:spPr>
    </xdr:pic>
    <xdr:clientData/>
  </xdr:twoCellAnchor>
  <xdr:twoCellAnchor editAs="oneCell">
    <xdr:from>
      <xdr:col>14</xdr:col>
      <xdr:colOff>84787</xdr:colOff>
      <xdr:row>5</xdr:row>
      <xdr:rowOff>101434</xdr:rowOff>
    </xdr:from>
    <xdr:to>
      <xdr:col>19</xdr:col>
      <xdr:colOff>994046</xdr:colOff>
      <xdr:row>21</xdr:row>
      <xdr:rowOff>178630</xdr:rowOff>
    </xdr:to>
    <xdr:pic>
      <xdr:nvPicPr>
        <xdr:cNvPr id="4" name="Picture 3">
          <a:extLst>
            <a:ext uri="{FF2B5EF4-FFF2-40B4-BE49-F238E27FC236}">
              <a16:creationId xmlns:a16="http://schemas.microsoft.com/office/drawing/2014/main" id="{1C5A019D-EDD5-EBFF-3464-82BB97EA3CBA}"/>
            </a:ext>
          </a:extLst>
        </xdr:cNvPr>
        <xdr:cNvPicPr>
          <a:picLocks noChangeAspect="1"/>
        </xdr:cNvPicPr>
      </xdr:nvPicPr>
      <xdr:blipFill>
        <a:blip xmlns:r="http://schemas.openxmlformats.org/officeDocument/2006/relationships" r:embed="rId4"/>
        <a:stretch>
          <a:fillRect/>
        </a:stretch>
      </xdr:blipFill>
      <xdr:spPr>
        <a:xfrm>
          <a:off x="12412858" y="1121970"/>
          <a:ext cx="6324901" cy="3342910"/>
        </a:xfrm>
        <a:prstGeom prst="rect">
          <a:avLst/>
        </a:prstGeom>
        <a:ln>
          <a:solidFill>
            <a:schemeClr val="tx1"/>
          </a:solidFill>
        </a:ln>
      </xdr:spPr>
    </xdr:pic>
    <xdr:clientData/>
  </xdr:twoCellAnchor>
  <xdr:twoCellAnchor>
    <xdr:from>
      <xdr:col>7</xdr:col>
      <xdr:colOff>71747</xdr:colOff>
      <xdr:row>5</xdr:row>
      <xdr:rowOff>121598</xdr:rowOff>
    </xdr:from>
    <xdr:to>
      <xdr:col>13</xdr:col>
      <xdr:colOff>748393</xdr:colOff>
      <xdr:row>19</xdr:row>
      <xdr:rowOff>54428</xdr:rowOff>
    </xdr:to>
    <xdr:sp macro="" textlink="">
      <xdr:nvSpPr>
        <xdr:cNvPr id="5" name="TextBox 4">
          <a:extLst>
            <a:ext uri="{FF2B5EF4-FFF2-40B4-BE49-F238E27FC236}">
              <a16:creationId xmlns:a16="http://schemas.microsoft.com/office/drawing/2014/main" id="{CFA1992A-0321-F32B-F160-661734F07BE5}"/>
            </a:ext>
          </a:extLst>
        </xdr:cNvPr>
        <xdr:cNvSpPr txBox="1"/>
      </xdr:nvSpPr>
      <xdr:spPr>
        <a:xfrm>
          <a:off x="6684818" y="1142134"/>
          <a:ext cx="5575218" cy="27903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Cushman and Wakefield - Seattle CBD  Office Marketbeat - Q4 2023</a:t>
          </a:r>
        </a:p>
        <a:p>
          <a:r>
            <a:rPr lang="en-US" sz="1200"/>
            <a:t>Overall absorption in the CBD was reported at negative 690,000 square feet (sf) in the fourth quarter, more than double the negative 270,000 sf reported in Q4 2022. Absorption for the year reached negative 2.8 msf, down 73.8% from the negative 1.6 msf reported for 2022. Absorption is expected to remain in the red through the first half of 2024 in line with the rise in vacancy. </a:t>
          </a:r>
        </a:p>
        <a:p>
          <a:endParaRPr lang="en-US" sz="1200"/>
        </a:p>
        <a:p>
          <a:r>
            <a:rPr lang="en-US" sz="1200" b="1"/>
            <a:t>Kidder Matthews - Seattle Office Market Report - Q4 2023</a:t>
          </a:r>
        </a:p>
        <a:p>
          <a:pPr marL="0" marR="0" lvl="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The one significant 4th quarter sale was First Citizens Bank &amp; Trust’s purchase of the 2606 Building in Bellevue. The sale closed in November 2023 for $18.5M+ ($558/s.f.). The seller was one the tenants and will leaseback a portion of the building. There were no significant office sales in Seattle. In general, cap rates have pushed upward amidst high interest rates and market uncertainty, but they are difficult to quantify as there is little to no sample size of sales to extract. </a:t>
          </a:r>
          <a:endParaRPr lang="en-US" sz="1200"/>
        </a:p>
        <a:p>
          <a:endParaRPr lang="en-US" sz="1100"/>
        </a:p>
        <a:p>
          <a:endParaRPr lang="en-US" sz="1100"/>
        </a:p>
      </xdr:txBody>
    </xdr:sp>
    <xdr:clientData/>
  </xdr:twoCellAnchor>
  <xdr:twoCellAnchor editAs="oneCell">
    <xdr:from>
      <xdr:col>14</xdr:col>
      <xdr:colOff>81547</xdr:colOff>
      <xdr:row>23</xdr:row>
      <xdr:rowOff>16081</xdr:rowOff>
    </xdr:from>
    <xdr:to>
      <xdr:col>19</xdr:col>
      <xdr:colOff>979715</xdr:colOff>
      <xdr:row>39</xdr:row>
      <xdr:rowOff>27213</xdr:rowOff>
    </xdr:to>
    <xdr:pic>
      <xdr:nvPicPr>
        <xdr:cNvPr id="6" name="Picture 5">
          <a:extLst>
            <a:ext uri="{FF2B5EF4-FFF2-40B4-BE49-F238E27FC236}">
              <a16:creationId xmlns:a16="http://schemas.microsoft.com/office/drawing/2014/main" id="{71E4AE06-D022-1B56-22C6-6E91B2F6DD64}"/>
            </a:ext>
          </a:extLst>
        </xdr:cNvPr>
        <xdr:cNvPicPr>
          <a:picLocks noChangeAspect="1"/>
        </xdr:cNvPicPr>
      </xdr:nvPicPr>
      <xdr:blipFill>
        <a:blip xmlns:r="http://schemas.openxmlformats.org/officeDocument/2006/relationships" r:embed="rId5"/>
        <a:stretch>
          <a:fillRect/>
        </a:stretch>
      </xdr:blipFill>
      <xdr:spPr>
        <a:xfrm>
          <a:off x="12409618" y="4710545"/>
          <a:ext cx="6313810" cy="3276847"/>
        </a:xfrm>
        <a:prstGeom prst="rect">
          <a:avLst/>
        </a:prstGeom>
        <a:ln>
          <a:solidFill>
            <a:schemeClr val="tx1"/>
          </a:solidFill>
        </a:ln>
      </xdr:spPr>
    </xdr:pic>
    <xdr:clientData/>
  </xdr:twoCellAnchor>
  <xdr:twoCellAnchor editAs="oneCell">
    <xdr:from>
      <xdr:col>14</xdr:col>
      <xdr:colOff>242841</xdr:colOff>
      <xdr:row>43</xdr:row>
      <xdr:rowOff>42758</xdr:rowOff>
    </xdr:from>
    <xdr:to>
      <xdr:col>19</xdr:col>
      <xdr:colOff>890697</xdr:colOff>
      <xdr:row>59</xdr:row>
      <xdr:rowOff>163286</xdr:rowOff>
    </xdr:to>
    <xdr:pic>
      <xdr:nvPicPr>
        <xdr:cNvPr id="8" name="Picture 7">
          <a:extLst>
            <a:ext uri="{FF2B5EF4-FFF2-40B4-BE49-F238E27FC236}">
              <a16:creationId xmlns:a16="http://schemas.microsoft.com/office/drawing/2014/main" id="{BD91886A-FD3C-47B7-1831-DAF5DCF353E2}"/>
            </a:ext>
          </a:extLst>
        </xdr:cNvPr>
        <xdr:cNvPicPr>
          <a:picLocks noChangeAspect="1"/>
        </xdr:cNvPicPr>
      </xdr:nvPicPr>
      <xdr:blipFill>
        <a:blip xmlns:r="http://schemas.openxmlformats.org/officeDocument/2006/relationships" r:embed="rId6"/>
        <a:stretch>
          <a:fillRect/>
        </a:stretch>
      </xdr:blipFill>
      <xdr:spPr>
        <a:xfrm>
          <a:off x="12570912" y="8819365"/>
          <a:ext cx="6063498" cy="3386242"/>
        </a:xfrm>
        <a:prstGeom prst="rect">
          <a:avLst/>
        </a:prstGeom>
        <a:ln>
          <a:solidFill>
            <a:schemeClr val="tx1"/>
          </a:solidFill>
        </a:ln>
      </xdr:spPr>
    </xdr:pic>
    <xdr:clientData/>
  </xdr:twoCellAnchor>
  <xdr:twoCellAnchor>
    <xdr:from>
      <xdr:col>7</xdr:col>
      <xdr:colOff>108858</xdr:colOff>
      <xdr:row>43</xdr:row>
      <xdr:rowOff>100199</xdr:rowOff>
    </xdr:from>
    <xdr:to>
      <xdr:col>13</xdr:col>
      <xdr:colOff>692727</xdr:colOff>
      <xdr:row>58</xdr:row>
      <xdr:rowOff>69272</xdr:rowOff>
    </xdr:to>
    <xdr:sp macro="" textlink="">
      <xdr:nvSpPr>
        <xdr:cNvPr id="9" name="TextBox 8">
          <a:extLst>
            <a:ext uri="{FF2B5EF4-FFF2-40B4-BE49-F238E27FC236}">
              <a16:creationId xmlns:a16="http://schemas.microsoft.com/office/drawing/2014/main" id="{6F2AAE94-174D-D3D9-5C2D-0406E2848D9C}"/>
            </a:ext>
          </a:extLst>
        </xdr:cNvPr>
        <xdr:cNvSpPr txBox="1"/>
      </xdr:nvSpPr>
      <xdr:spPr>
        <a:xfrm>
          <a:off x="6707085" y="9036381"/>
          <a:ext cx="5467597" cy="30863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CBRE - Puget Sound</a:t>
          </a:r>
          <a:r>
            <a:rPr lang="en-US" sz="1200" b="1" baseline="0"/>
            <a:t> Multifamily Report - Q3 2023</a:t>
          </a:r>
          <a:endParaRPr lang="en-US" sz="1200" b="1"/>
        </a:p>
        <a:p>
          <a:r>
            <a:rPr lang="en-US" sz="1200"/>
            <a:t>Amidst broader market challenges, multifamily real estate in the Puget Sound remains resilient. Although the Puget Sound has experienced the first quarter of negative year-over-year rent growth in two years, occupancy rates have persisted at the historical average of 95%, despite record-high deliveries. Renter demand has remained robust, nearly matching the pace of new deliveries and leading to an absorption</a:t>
          </a:r>
          <a:r>
            <a:rPr lang="en-US" sz="1200" baseline="0"/>
            <a:t> of 4,600 units. </a:t>
          </a:r>
          <a:endParaRPr lang="en-US" sz="1200"/>
        </a:p>
        <a:p>
          <a:endParaRPr lang="en-US" sz="1200"/>
        </a:p>
        <a:p>
          <a:r>
            <a:rPr lang="en-US" sz="1200"/>
            <a:t>The high-interest rate environment has dampened the incentive for homeowners to sell, while also making it difficult for renters to transition to homeownership. In the Seattle metro, the cost of homeownership now surpasses renting by over three times. Even with ongoing construction, the regional housing inventory remains low. Current data from the Puget Sound Economic Forecaster indicates inventory availability levels fluctuating between 5,000 to 7,000 units, in contrast to the 10,425 units reported in Q1 2019. absorption of 4,600 units.</a:t>
          </a:r>
        </a:p>
        <a:p>
          <a:endParaRPr lang="en-US" sz="1200"/>
        </a:p>
      </xdr:txBody>
    </xdr:sp>
    <xdr:clientData/>
  </xdr:twoCellAnchor>
  <xdr:twoCellAnchor editAs="oneCell">
    <xdr:from>
      <xdr:col>14</xdr:col>
      <xdr:colOff>272143</xdr:colOff>
      <xdr:row>60</xdr:row>
      <xdr:rowOff>149678</xdr:rowOff>
    </xdr:from>
    <xdr:to>
      <xdr:col>19</xdr:col>
      <xdr:colOff>882666</xdr:colOff>
      <xdr:row>74</xdr:row>
      <xdr:rowOff>183695</xdr:rowOff>
    </xdr:to>
    <xdr:pic>
      <xdr:nvPicPr>
        <xdr:cNvPr id="10" name="Picture 9">
          <a:extLst>
            <a:ext uri="{FF2B5EF4-FFF2-40B4-BE49-F238E27FC236}">
              <a16:creationId xmlns:a16="http://schemas.microsoft.com/office/drawing/2014/main" id="{EE1B42D5-2D96-44C8-4BA5-1664F12680AC}"/>
            </a:ext>
          </a:extLst>
        </xdr:cNvPr>
        <xdr:cNvPicPr>
          <a:picLocks noChangeAspect="1"/>
        </xdr:cNvPicPr>
      </xdr:nvPicPr>
      <xdr:blipFill>
        <a:blip xmlns:r="http://schemas.openxmlformats.org/officeDocument/2006/relationships" r:embed="rId7"/>
        <a:stretch>
          <a:fillRect/>
        </a:stretch>
      </xdr:blipFill>
      <xdr:spPr>
        <a:xfrm>
          <a:off x="12600214" y="12396107"/>
          <a:ext cx="6026165" cy="2891517"/>
        </a:xfrm>
        <a:prstGeom prst="rect">
          <a:avLst/>
        </a:prstGeom>
        <a:ln>
          <a:solidFill>
            <a:schemeClr val="tx1"/>
          </a:solidFill>
        </a:ln>
      </xdr:spPr>
    </xdr:pic>
    <xdr:clientData/>
  </xdr:twoCellAnchor>
  <xdr:twoCellAnchor>
    <xdr:from>
      <xdr:col>7</xdr:col>
      <xdr:colOff>138547</xdr:colOff>
      <xdr:row>79</xdr:row>
      <xdr:rowOff>34638</xdr:rowOff>
    </xdr:from>
    <xdr:to>
      <xdr:col>19</xdr:col>
      <xdr:colOff>900546</xdr:colOff>
      <xdr:row>96</xdr:row>
      <xdr:rowOff>11206</xdr:rowOff>
    </xdr:to>
    <xdr:sp macro="" textlink="">
      <xdr:nvSpPr>
        <xdr:cNvPr id="11" name="TextBox 10">
          <a:extLst>
            <a:ext uri="{FF2B5EF4-FFF2-40B4-BE49-F238E27FC236}">
              <a16:creationId xmlns:a16="http://schemas.microsoft.com/office/drawing/2014/main" id="{00408529-27BA-8187-8CE2-89B79FD5C601}"/>
            </a:ext>
          </a:extLst>
        </xdr:cNvPr>
        <xdr:cNvSpPr txBox="1"/>
      </xdr:nvSpPr>
      <xdr:spPr>
        <a:xfrm>
          <a:off x="6738812" y="16014226"/>
          <a:ext cx="11822205" cy="34055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i="0">
              <a:solidFill>
                <a:schemeClr val="dk1"/>
              </a:solidFill>
              <a:effectLst/>
              <a:latin typeface="+mn-lt"/>
              <a:ea typeface="+mn-ea"/>
              <a:cs typeface="+mn-cs"/>
            </a:rPr>
            <a:t>Norada - Seattle Housing Market Trends and Forecast for 2024</a:t>
          </a:r>
        </a:p>
        <a:p>
          <a:endParaRPr lang="en-US" sz="1200" b="1" i="0">
            <a:solidFill>
              <a:schemeClr val="dk1"/>
            </a:solidFill>
            <a:effectLst/>
            <a:latin typeface="+mn-lt"/>
            <a:ea typeface="+mn-ea"/>
            <a:cs typeface="+mn-cs"/>
          </a:endParaRPr>
        </a:p>
        <a:p>
          <a:r>
            <a:rPr lang="en-US" sz="1200" b="1" i="0">
              <a:solidFill>
                <a:schemeClr val="dk1"/>
              </a:solidFill>
              <a:effectLst/>
              <a:latin typeface="+mn-lt"/>
              <a:ea typeface="+mn-ea"/>
              <a:cs typeface="+mn-cs"/>
            </a:rPr>
            <a:t>Is Seattle a Seller's Housing Market?</a:t>
          </a:r>
        </a:p>
        <a:p>
          <a:r>
            <a:rPr lang="en-US" sz="1200" b="0" i="0">
              <a:solidFill>
                <a:schemeClr val="dk1"/>
              </a:solidFill>
              <a:effectLst/>
              <a:latin typeface="+mn-lt"/>
              <a:ea typeface="+mn-ea"/>
              <a:cs typeface="+mn-cs"/>
            </a:rPr>
            <a:t>Seattle, WA stands out as a </a:t>
          </a:r>
          <a:r>
            <a:rPr lang="en-US" sz="1200" b="1" i="0">
              <a:solidFill>
                <a:schemeClr val="dk1"/>
              </a:solidFill>
              <a:effectLst/>
              <a:latin typeface="+mn-lt"/>
              <a:ea typeface="+mn-ea"/>
              <a:cs typeface="+mn-cs"/>
            </a:rPr>
            <a:t>balanced market</a:t>
          </a:r>
          <a:r>
            <a:rPr lang="en-US" sz="1200" b="0" i="0">
              <a:solidFill>
                <a:schemeClr val="dk1"/>
              </a:solidFill>
              <a:effectLst/>
              <a:latin typeface="+mn-lt"/>
              <a:ea typeface="+mn-ea"/>
              <a:cs typeface="+mn-cs"/>
            </a:rPr>
            <a:t> in January 2024, indicating equilibrium between the supply and demand for homes. This equilibrium is mirrored in the </a:t>
          </a:r>
          <a:r>
            <a:rPr lang="en-US" sz="1200" b="1" i="0">
              <a:solidFill>
                <a:schemeClr val="dk1"/>
              </a:solidFill>
              <a:effectLst/>
              <a:latin typeface="+mn-lt"/>
              <a:ea typeface="+mn-ea"/>
              <a:cs typeface="+mn-cs"/>
            </a:rPr>
            <a:t>median days on the market</a:t>
          </a:r>
          <a:r>
            <a:rPr lang="en-US" sz="1200" b="0" i="0">
              <a:solidFill>
                <a:schemeClr val="dk1"/>
              </a:solidFill>
              <a:effectLst/>
              <a:latin typeface="+mn-lt"/>
              <a:ea typeface="+mn-ea"/>
              <a:cs typeface="+mn-cs"/>
            </a:rPr>
            <a:t>, which is a crucial metric for gauging the pace of transactions. Homes in Seattle typically spend an average of </a:t>
          </a:r>
          <a:r>
            <a:rPr lang="en-US" sz="1200" b="1" i="0">
              <a:solidFill>
                <a:schemeClr val="dk1"/>
              </a:solidFill>
              <a:effectLst/>
              <a:latin typeface="+mn-lt"/>
              <a:ea typeface="+mn-ea"/>
              <a:cs typeface="+mn-cs"/>
            </a:rPr>
            <a:t>49 days</a:t>
          </a:r>
          <a:r>
            <a:rPr lang="en-US" sz="1200" b="0" i="0">
              <a:solidFill>
                <a:schemeClr val="dk1"/>
              </a:solidFill>
              <a:effectLst/>
              <a:latin typeface="+mn-lt"/>
              <a:ea typeface="+mn-ea"/>
              <a:cs typeface="+mn-cs"/>
            </a:rPr>
            <a:t> on the market, showcasing a harmonious balance between buyers and sellers. To better understand this, let's examine the trend over the past few years.</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Declining Inventory Yet Increasing Sales</a:t>
          </a:r>
        </a:p>
        <a:p>
          <a:r>
            <a:rPr lang="en-US" sz="1200" b="0" i="0">
              <a:solidFill>
                <a:schemeClr val="dk1"/>
              </a:solidFill>
              <a:effectLst/>
              <a:latin typeface="+mn-lt"/>
              <a:ea typeface="+mn-ea"/>
              <a:cs typeface="+mn-cs"/>
            </a:rPr>
            <a:t>One of the most striking aspects of the January 2024 data is the consistent decline in the volume of homes on the market. Across Washington, 15 out of 26 counties witnessed a year-over-year decrease in available inventory. The total number of active listings at the end of January 2024 was 7,084, reflecting a nearly 14% decrease compared to the same period in 2023 (8,220).</a:t>
          </a:r>
        </a:p>
        <a:p>
          <a:r>
            <a:rPr lang="en-US" sz="1200" b="0" i="0">
              <a:solidFill>
                <a:schemeClr val="dk1"/>
              </a:solidFill>
              <a:effectLst/>
              <a:latin typeface="+mn-lt"/>
              <a:ea typeface="+mn-ea"/>
              <a:cs typeface="+mn-cs"/>
            </a:rPr>
            <a:t>Despite this decrease in available inventory, 13 counties reported an increase in the number of homes sold year-over-year. This intriguing trend hints at the adaptability of the market and the determination of buyers and sellers to navigate challenging circumstances.</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Condominium Sales Surge</a:t>
          </a:r>
        </a:p>
        <a:p>
          <a:r>
            <a:rPr lang="en-US" sz="1200" b="0" i="0">
              <a:solidFill>
                <a:schemeClr val="dk1"/>
              </a:solidFill>
              <a:effectLst/>
              <a:latin typeface="+mn-lt"/>
              <a:ea typeface="+mn-ea"/>
              <a:cs typeface="+mn-cs"/>
            </a:rPr>
            <a:t>January 2024 witnessed a remarkable surge in condominium sales, recording a substantial 21% year-over-year increase. A total of 492 units were sold during the month. The median price of condominium sales also experienced a notable uptick, rising by 7% from $424,000 in January 2023 to $453,750 in January 2024</a:t>
          </a:r>
        </a:p>
        <a:p>
          <a:endParaRPr lang="en-US" sz="1100"/>
        </a:p>
      </xdr:txBody>
    </xdr:sp>
    <xdr:clientData/>
  </xdr:twoCellAnchor>
  <xdr:twoCellAnchor editAs="oneCell">
    <xdr:from>
      <xdr:col>7</xdr:col>
      <xdr:colOff>121227</xdr:colOff>
      <xdr:row>60</xdr:row>
      <xdr:rowOff>155863</xdr:rowOff>
    </xdr:from>
    <xdr:to>
      <xdr:col>13</xdr:col>
      <xdr:colOff>672879</xdr:colOff>
      <xdr:row>74</xdr:row>
      <xdr:rowOff>138546</xdr:rowOff>
    </xdr:to>
    <xdr:pic>
      <xdr:nvPicPr>
        <xdr:cNvPr id="12" name="Picture 11">
          <a:extLst>
            <a:ext uri="{FF2B5EF4-FFF2-40B4-BE49-F238E27FC236}">
              <a16:creationId xmlns:a16="http://schemas.microsoft.com/office/drawing/2014/main" id="{C5F71D7B-F061-6448-B79F-20620EAEBB8D}"/>
            </a:ext>
          </a:extLst>
        </xdr:cNvPr>
        <xdr:cNvPicPr>
          <a:picLocks noChangeAspect="1"/>
        </xdr:cNvPicPr>
      </xdr:nvPicPr>
      <xdr:blipFill>
        <a:blip xmlns:r="http://schemas.openxmlformats.org/officeDocument/2006/relationships" r:embed="rId8"/>
        <a:stretch>
          <a:fillRect/>
        </a:stretch>
      </xdr:blipFill>
      <xdr:spPr>
        <a:xfrm>
          <a:off x="6719454" y="12624954"/>
          <a:ext cx="5435381" cy="2892137"/>
        </a:xfrm>
        <a:prstGeom prst="rect">
          <a:avLst/>
        </a:prstGeom>
        <a:ln>
          <a:solidFill>
            <a:schemeClr val="tx1"/>
          </a:solidFill>
        </a:ln>
      </xdr:spPr>
    </xdr:pic>
    <xdr:clientData/>
  </xdr:twoCellAnchor>
  <xdr:twoCellAnchor>
    <xdr:from>
      <xdr:col>7</xdr:col>
      <xdr:colOff>51956</xdr:colOff>
      <xdr:row>99</xdr:row>
      <xdr:rowOff>86589</xdr:rowOff>
    </xdr:from>
    <xdr:to>
      <xdr:col>13</xdr:col>
      <xdr:colOff>414618</xdr:colOff>
      <xdr:row>121</xdr:row>
      <xdr:rowOff>78441</xdr:rowOff>
    </xdr:to>
    <xdr:sp macro="" textlink="">
      <xdr:nvSpPr>
        <xdr:cNvPr id="13" name="TextBox 12">
          <a:extLst>
            <a:ext uri="{FF2B5EF4-FFF2-40B4-BE49-F238E27FC236}">
              <a16:creationId xmlns:a16="http://schemas.microsoft.com/office/drawing/2014/main" id="{705327E4-89BD-FBEF-9AEB-6E88346DC1AE}"/>
            </a:ext>
          </a:extLst>
        </xdr:cNvPr>
        <xdr:cNvSpPr txBox="1"/>
      </xdr:nvSpPr>
      <xdr:spPr>
        <a:xfrm>
          <a:off x="6652221" y="20100295"/>
          <a:ext cx="5203603" cy="44293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a:solidFill>
                <a:schemeClr val="dk1"/>
              </a:solidFill>
              <a:effectLst/>
              <a:latin typeface="+mn-lt"/>
              <a:ea typeface="+mn-ea"/>
              <a:cs typeface="+mn-cs"/>
            </a:rPr>
            <a:t>Kidder Matthews - Seattle</a:t>
          </a:r>
          <a:r>
            <a:rPr lang="en-US" sz="1200" b="1" i="0" baseline="0">
              <a:solidFill>
                <a:schemeClr val="dk1"/>
              </a:solidFill>
              <a:effectLst/>
              <a:latin typeface="+mn-lt"/>
              <a:ea typeface="+mn-ea"/>
              <a:cs typeface="+mn-cs"/>
            </a:rPr>
            <a:t> Retail Market Report - Q4 2023</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Market</a:t>
          </a:r>
          <a:r>
            <a:rPr lang="en-US" sz="1200" b="1" i="0" baseline="0">
              <a:solidFill>
                <a:schemeClr val="dk1"/>
              </a:solidFill>
              <a:effectLst/>
              <a:latin typeface="+mn-lt"/>
              <a:ea typeface="+mn-ea"/>
              <a:cs typeface="+mn-cs"/>
            </a:rPr>
            <a:t> Demand/Net Absorption</a:t>
          </a:r>
          <a:endParaRPr lang="en-US" sz="1200" b="1" i="0">
            <a:solidFill>
              <a:schemeClr val="dk1"/>
            </a:solidFill>
            <a:effectLst/>
            <a:latin typeface="+mn-lt"/>
            <a:ea typeface="+mn-ea"/>
            <a:cs typeface="+mn-cs"/>
          </a:endParaRPr>
        </a:p>
        <a:p>
          <a:r>
            <a:rPr lang="en-US" sz="1200" b="0" i="0">
              <a:solidFill>
                <a:schemeClr val="dk1"/>
              </a:solidFill>
              <a:effectLst/>
              <a:latin typeface="+mn-lt"/>
              <a:ea typeface="+mn-ea"/>
              <a:cs typeface="+mn-cs"/>
            </a:rPr>
            <a:t>After two consecutive quarters of negative net absorption to start the year, the market posted two consecutive quarters of positive net absorption to end the year. While the positive activity was a welcomed sight, the totals were marginally positive at 21,231 SF in Q3 2023 and 19,571 SF in 4Q 2023, ending the year with an annual total of negative 416,833 SF. King County had the highest level of negative activity in 4Q 2023 with negative 30,124 SF, while Pierce County posted the highest level of positive activity during the quarter with 57,170 SF. While market demand in Downtown Seattle continues to lag suburban markets, mirroring trends across the country, overall activity is still expected to moderately increase in 2024.</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Investment Activity</a:t>
          </a:r>
        </a:p>
        <a:p>
          <a:r>
            <a:rPr lang="en-US" sz="1200" b="0" i="0">
              <a:solidFill>
                <a:schemeClr val="dk1"/>
              </a:solidFill>
              <a:effectLst/>
              <a:latin typeface="+mn-lt"/>
              <a:ea typeface="+mn-ea"/>
              <a:cs typeface="+mn-cs"/>
            </a:rPr>
            <a:t>Investment activity continued to fall in 2023, dropping from a high-water mark in 2021, with 773 transactions totaling $2.5B for transactions over $1M. Year-end investment figures for 2023 included 318 transactions totaling $749M with an average cap rate of 5.8%. This was the lowest annual sale volume total since $431 in 2013. High interest rates and recessionary indicators will continue to impact leasing and investor demand, making the near term difficult for commercial real estate and the retail market.</a:t>
          </a: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74983</xdr:colOff>
      <xdr:row>0</xdr:row>
      <xdr:rowOff>0</xdr:rowOff>
    </xdr:from>
    <xdr:to>
      <xdr:col>50</xdr:col>
      <xdr:colOff>8927</xdr:colOff>
      <xdr:row>1</xdr:row>
      <xdr:rowOff>133397</xdr:rowOff>
    </xdr:to>
    <xdr:pic>
      <xdr:nvPicPr>
        <xdr:cNvPr id="2" name="Picture 1">
          <a:hlinkClick xmlns:r="http://schemas.openxmlformats.org/officeDocument/2006/relationships" r:id="rId1"/>
          <a:extLst>
            <a:ext uri="{FF2B5EF4-FFF2-40B4-BE49-F238E27FC236}">
              <a16:creationId xmlns:a16="http://schemas.microsoft.com/office/drawing/2014/main" id="{3AEBD054-F5FB-423E-A8B3-C48C90B65CF7}"/>
            </a:ext>
          </a:extLst>
        </xdr:cNvPr>
        <xdr:cNvPicPr>
          <a:picLocks noChangeAspect="1"/>
        </xdr:cNvPicPr>
      </xdr:nvPicPr>
      <xdr:blipFill>
        <a:blip xmlns:r="http://schemas.openxmlformats.org/officeDocument/2006/relationships" r:embed="rId2"/>
        <a:stretch>
          <a:fillRect/>
        </a:stretch>
      </xdr:blipFill>
      <xdr:spPr>
        <a:xfrm>
          <a:off x="23963683" y="0"/>
          <a:ext cx="19197304" cy="334057"/>
        </a:xfrm>
        <a:prstGeom prst="rect">
          <a:avLst/>
        </a:prstGeom>
        <a:effectLst>
          <a:reflection blurRad="6350" stA="52000" endA="300" endPos="32000" dist="12700" dir="5400000" sy="-100000" algn="bl" rotWithShape="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74983</xdr:colOff>
      <xdr:row>0</xdr:row>
      <xdr:rowOff>0</xdr:rowOff>
    </xdr:from>
    <xdr:to>
      <xdr:col>50</xdr:col>
      <xdr:colOff>8927</xdr:colOff>
      <xdr:row>1</xdr:row>
      <xdr:rowOff>127047</xdr:rowOff>
    </xdr:to>
    <xdr:pic>
      <xdr:nvPicPr>
        <xdr:cNvPr id="2" name="Picture 1">
          <a:hlinkClick xmlns:r="http://schemas.openxmlformats.org/officeDocument/2006/relationships" r:id="rId1"/>
          <a:extLst>
            <a:ext uri="{FF2B5EF4-FFF2-40B4-BE49-F238E27FC236}">
              <a16:creationId xmlns:a16="http://schemas.microsoft.com/office/drawing/2014/main" id="{5E906D91-D550-4128-A936-EF2DD390AE1F}"/>
            </a:ext>
          </a:extLst>
        </xdr:cNvPr>
        <xdr:cNvPicPr>
          <a:picLocks noChangeAspect="1"/>
        </xdr:cNvPicPr>
      </xdr:nvPicPr>
      <xdr:blipFill>
        <a:blip xmlns:r="http://schemas.openxmlformats.org/officeDocument/2006/relationships" r:embed="rId2"/>
        <a:stretch>
          <a:fillRect/>
        </a:stretch>
      </xdr:blipFill>
      <xdr:spPr>
        <a:xfrm>
          <a:off x="23963683" y="0"/>
          <a:ext cx="19197304" cy="334057"/>
        </a:xfrm>
        <a:prstGeom prst="rect">
          <a:avLst/>
        </a:prstGeom>
        <a:effectLst>
          <a:reflection blurRad="6350" stA="52000" endA="300" endPos="32000" dist="127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40733</xdr:colOff>
      <xdr:row>34</xdr:row>
      <xdr:rowOff>142875</xdr:rowOff>
    </xdr:from>
    <xdr:to>
      <xdr:col>4</xdr:col>
      <xdr:colOff>637562</xdr:colOff>
      <xdr:row>59</xdr:row>
      <xdr:rowOff>123825</xdr:rowOff>
    </xdr:to>
    <xdr:pic>
      <xdr:nvPicPr>
        <xdr:cNvPr id="2" name="Picture 1">
          <a:extLst>
            <a:ext uri="{FF2B5EF4-FFF2-40B4-BE49-F238E27FC236}">
              <a16:creationId xmlns:a16="http://schemas.microsoft.com/office/drawing/2014/main" id="{6A20EA86-BF7D-8429-2C03-9F7567E87F64}"/>
            </a:ext>
          </a:extLst>
        </xdr:cNvPr>
        <xdr:cNvPicPr>
          <a:picLocks noChangeAspect="1"/>
        </xdr:cNvPicPr>
      </xdr:nvPicPr>
      <xdr:blipFill>
        <a:blip xmlns:r="http://schemas.openxmlformats.org/officeDocument/2006/relationships" r:embed="rId1"/>
        <a:stretch>
          <a:fillRect/>
        </a:stretch>
      </xdr:blipFill>
      <xdr:spPr>
        <a:xfrm>
          <a:off x="440783" y="6334125"/>
          <a:ext cx="7163883" cy="474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55</xdr:col>
      <xdr:colOff>189283</xdr:colOff>
      <xdr:row>17</xdr:row>
      <xdr:rowOff>114300</xdr:rowOff>
    </xdr:from>
    <xdr:to>
      <xdr:col>86</xdr:col>
      <xdr:colOff>394877</xdr:colOff>
      <xdr:row>64</xdr:row>
      <xdr:rowOff>176364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35355583" y="5829300"/>
          <a:ext cx="19103193" cy="13982700"/>
        </a:xfrm>
        <a:prstGeom prst="rect">
          <a:avLst/>
        </a:prstGeom>
        <a:effectLst>
          <a:reflection blurRad="6350" stA="52000" endA="300" endPos="32000" dist="12700" dir="5400000" sy="-100000" algn="bl" rotWithShape="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74983</xdr:colOff>
      <xdr:row>1</xdr:row>
      <xdr:rowOff>0</xdr:rowOff>
    </xdr:from>
    <xdr:to>
      <xdr:col>51</xdr:col>
      <xdr:colOff>12103</xdr:colOff>
      <xdr:row>2</xdr:row>
      <xdr:rowOff>122602</xdr:rowOff>
    </xdr:to>
    <xdr:pic>
      <xdr:nvPicPr>
        <xdr:cNvPr id="2" name="Picture 1">
          <a:hlinkClick xmlns:r="http://schemas.openxmlformats.org/officeDocument/2006/relationships" r:id="rId1"/>
          <a:extLst>
            <a:ext uri="{FF2B5EF4-FFF2-40B4-BE49-F238E27FC236}">
              <a16:creationId xmlns:a16="http://schemas.microsoft.com/office/drawing/2014/main" id="{07C66196-3AB2-4BCA-9417-1D13171BEA0C}"/>
            </a:ext>
          </a:extLst>
        </xdr:cNvPr>
        <xdr:cNvPicPr>
          <a:picLocks noChangeAspect="1"/>
        </xdr:cNvPicPr>
      </xdr:nvPicPr>
      <xdr:blipFill>
        <a:blip xmlns:r="http://schemas.openxmlformats.org/officeDocument/2006/relationships" r:embed="rId2"/>
        <a:stretch>
          <a:fillRect/>
        </a:stretch>
      </xdr:blipFill>
      <xdr:spPr>
        <a:xfrm>
          <a:off x="24032263" y="5935980"/>
          <a:ext cx="19441144" cy="326437"/>
        </a:xfrm>
        <a:prstGeom prst="rect">
          <a:avLst/>
        </a:prstGeom>
        <a:effectLst>
          <a:reflection blurRad="6350" stA="52000" endA="300" endPos="32000" dist="12700" dir="5400000" sy="-100000" algn="bl" rotWithShape="0"/>
        </a:effectLst>
      </xdr:spPr>
    </xdr:pic>
    <xdr:clientData/>
  </xdr:twoCellAnchor>
  <xdr:twoCellAnchor>
    <xdr:from>
      <xdr:col>61</xdr:col>
      <xdr:colOff>97945</xdr:colOff>
      <xdr:row>1</xdr:row>
      <xdr:rowOff>0</xdr:rowOff>
    </xdr:from>
    <xdr:to>
      <xdr:col>73</xdr:col>
      <xdr:colOff>44818</xdr:colOff>
      <xdr:row>2</xdr:row>
      <xdr:rowOff>0</xdr:rowOff>
    </xdr:to>
    <xdr:pic>
      <xdr:nvPicPr>
        <xdr:cNvPr id="3" name="Picture 2">
          <a:extLst>
            <a:ext uri="{FF2B5EF4-FFF2-40B4-BE49-F238E27FC236}">
              <a16:creationId xmlns:a16="http://schemas.microsoft.com/office/drawing/2014/main" id="{090ADD84-0EAB-4E8F-A3D7-A065C2CA8A03}"/>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6" t="15556" r="4002" b="14074"/>
        <a:stretch/>
      </xdr:blipFill>
      <xdr:spPr bwMode="auto">
        <a:xfrm>
          <a:off x="49658425" y="5935980"/>
          <a:ext cx="7262073" cy="28956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54</xdr:col>
      <xdr:colOff>51529</xdr:colOff>
      <xdr:row>3</xdr:row>
      <xdr:rowOff>0</xdr:rowOff>
    </xdr:from>
    <xdr:to>
      <xdr:col>66</xdr:col>
      <xdr:colOff>95096</xdr:colOff>
      <xdr:row>3</xdr:row>
      <xdr:rowOff>85668</xdr:rowOff>
    </xdr:to>
    <xdr:sp macro="" textlink="">
      <xdr:nvSpPr>
        <xdr:cNvPr id="4" name="Text Box 7">
          <a:extLst>
            <a:ext uri="{FF2B5EF4-FFF2-40B4-BE49-F238E27FC236}">
              <a16:creationId xmlns:a16="http://schemas.microsoft.com/office/drawing/2014/main" id="{A6879611-9459-4F79-8FC3-DAEB25299948}"/>
            </a:ext>
          </a:extLst>
        </xdr:cNvPr>
        <xdr:cNvSpPr txBox="1">
          <a:spLocks noChangeArrowheads="1"/>
        </xdr:cNvSpPr>
      </xdr:nvSpPr>
      <xdr:spPr bwMode="auto">
        <a:xfrm>
          <a:off x="49612009" y="6515100"/>
          <a:ext cx="7358767" cy="856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800" b="1" i="0" u="none" strike="noStrike" kern="0" cap="none" spc="0" normalizeH="0" baseline="0" noProof="0">
              <a:ln>
                <a:noFill/>
              </a:ln>
              <a:solidFill>
                <a:srgbClr val="FFFFFF"/>
              </a:solidFill>
              <a:effectLst/>
              <a:uLnTx/>
              <a:uFillTx/>
              <a:latin typeface="Calibri"/>
              <a:cs typeface="Calibri"/>
            </a:rPr>
            <a:t>D  e  v  e  l  o  p  m  e  n  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600" b="1" i="0" u="none" strike="noStrike" kern="0" cap="none" spc="0" normalizeH="0" baseline="0" noProof="0">
            <a:ln>
              <a:noFill/>
            </a:ln>
            <a:solidFill>
              <a:srgbClr val="FFFFFF"/>
            </a:solidFill>
            <a:effectLst/>
            <a:uLnTx/>
            <a:uFillTx/>
            <a:latin typeface="Calibri"/>
            <a:cs typeface="Calibri"/>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74983</xdr:colOff>
      <xdr:row>1</xdr:row>
      <xdr:rowOff>0</xdr:rowOff>
    </xdr:from>
    <xdr:to>
      <xdr:col>51</xdr:col>
      <xdr:colOff>8928</xdr:colOff>
      <xdr:row>2</xdr:row>
      <xdr:rowOff>122602</xdr:rowOff>
    </xdr:to>
    <xdr:pic>
      <xdr:nvPicPr>
        <xdr:cNvPr id="2" name="Picture 1">
          <a:hlinkClick xmlns:r="http://schemas.openxmlformats.org/officeDocument/2006/relationships" r:id="rId1"/>
          <a:extLst>
            <a:ext uri="{FF2B5EF4-FFF2-40B4-BE49-F238E27FC236}">
              <a16:creationId xmlns:a16="http://schemas.microsoft.com/office/drawing/2014/main" id="{5C073EFE-77F2-4408-A122-7D98905B82DA}"/>
            </a:ext>
          </a:extLst>
        </xdr:cNvPr>
        <xdr:cNvPicPr>
          <a:picLocks noChangeAspect="1"/>
        </xdr:cNvPicPr>
      </xdr:nvPicPr>
      <xdr:blipFill>
        <a:blip xmlns:r="http://schemas.openxmlformats.org/officeDocument/2006/relationships" r:embed="rId2"/>
        <a:stretch>
          <a:fillRect/>
        </a:stretch>
      </xdr:blipFill>
      <xdr:spPr>
        <a:xfrm>
          <a:off x="20648983" y="289560"/>
          <a:ext cx="19197305" cy="326437"/>
        </a:xfrm>
        <a:prstGeom prst="rect">
          <a:avLst/>
        </a:prstGeom>
        <a:effectLst>
          <a:reflection blurRad="6350" stA="52000" endA="300" endPos="32000" dist="12700" dir="5400000" sy="-100000" algn="bl" rotWithShape="0"/>
        </a:effectLst>
      </xdr:spPr>
    </xdr:pic>
    <xdr:clientData/>
  </xdr:twoCellAnchor>
  <xdr:twoCellAnchor>
    <xdr:from>
      <xdr:col>61</xdr:col>
      <xdr:colOff>97945</xdr:colOff>
      <xdr:row>1</xdr:row>
      <xdr:rowOff>0</xdr:rowOff>
    </xdr:from>
    <xdr:to>
      <xdr:col>73</xdr:col>
      <xdr:colOff>44818</xdr:colOff>
      <xdr:row>2</xdr:row>
      <xdr:rowOff>0</xdr:rowOff>
    </xdr:to>
    <xdr:pic>
      <xdr:nvPicPr>
        <xdr:cNvPr id="3" name="Picture 2">
          <a:extLst>
            <a:ext uri="{FF2B5EF4-FFF2-40B4-BE49-F238E27FC236}">
              <a16:creationId xmlns:a16="http://schemas.microsoft.com/office/drawing/2014/main" id="{5A30A42B-9E38-4C4D-BFD6-464263A6249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6" t="15556" r="4002" b="14074"/>
        <a:stretch/>
      </xdr:blipFill>
      <xdr:spPr bwMode="auto">
        <a:xfrm>
          <a:off x="45955105" y="289560"/>
          <a:ext cx="7170633" cy="28956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61</xdr:col>
      <xdr:colOff>51529</xdr:colOff>
      <xdr:row>3</xdr:row>
      <xdr:rowOff>0</xdr:rowOff>
    </xdr:from>
    <xdr:to>
      <xdr:col>73</xdr:col>
      <xdr:colOff>95096</xdr:colOff>
      <xdr:row>3</xdr:row>
      <xdr:rowOff>85668</xdr:rowOff>
    </xdr:to>
    <xdr:sp macro="" textlink="">
      <xdr:nvSpPr>
        <xdr:cNvPr id="4" name="Text Box 7">
          <a:extLst>
            <a:ext uri="{FF2B5EF4-FFF2-40B4-BE49-F238E27FC236}">
              <a16:creationId xmlns:a16="http://schemas.microsoft.com/office/drawing/2014/main" id="{B3B701F3-7910-48C1-B5AD-7C3BE05D29B5}"/>
            </a:ext>
          </a:extLst>
        </xdr:cNvPr>
        <xdr:cNvSpPr txBox="1">
          <a:spLocks noChangeArrowheads="1"/>
        </xdr:cNvSpPr>
      </xdr:nvSpPr>
      <xdr:spPr bwMode="auto">
        <a:xfrm>
          <a:off x="45908689" y="868680"/>
          <a:ext cx="7267327" cy="856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800" b="1" i="0" u="none" strike="noStrike" kern="0" cap="none" spc="0" normalizeH="0" baseline="0" noProof="0">
              <a:ln>
                <a:noFill/>
              </a:ln>
              <a:solidFill>
                <a:srgbClr val="FFFFFF"/>
              </a:solidFill>
              <a:effectLst/>
              <a:uLnTx/>
              <a:uFillTx/>
              <a:latin typeface="Calibri"/>
              <a:cs typeface="Calibri"/>
            </a:rPr>
            <a:t>D  e  v  e  l  o  p  m  e  n  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600" b="1" i="0" u="none" strike="noStrike" kern="0" cap="none" spc="0" normalizeH="0" baseline="0" noProof="0">
            <a:ln>
              <a:noFill/>
            </a:ln>
            <a:solidFill>
              <a:srgbClr val="FFFFFF"/>
            </a:solidFill>
            <a:effectLst/>
            <a:uLnTx/>
            <a:uFillTx/>
            <a:latin typeface="Calibri"/>
            <a:cs typeface="Calibri"/>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74983</xdr:colOff>
      <xdr:row>1</xdr:row>
      <xdr:rowOff>0</xdr:rowOff>
    </xdr:from>
    <xdr:to>
      <xdr:col>52</xdr:col>
      <xdr:colOff>8927</xdr:colOff>
      <xdr:row>2</xdr:row>
      <xdr:rowOff>142287</xdr:rowOff>
    </xdr:to>
    <xdr:pic>
      <xdr:nvPicPr>
        <xdr:cNvPr id="2" name="Picture 1">
          <a:hlinkClick xmlns:r="http://schemas.openxmlformats.org/officeDocument/2006/relationships" r:id="rId1"/>
          <a:extLst>
            <a:ext uri="{FF2B5EF4-FFF2-40B4-BE49-F238E27FC236}">
              <a16:creationId xmlns:a16="http://schemas.microsoft.com/office/drawing/2014/main" id="{FC748AA4-1EDA-476D-BEB6-1B04D5726C09}"/>
            </a:ext>
          </a:extLst>
        </xdr:cNvPr>
        <xdr:cNvPicPr>
          <a:picLocks noChangeAspect="1"/>
        </xdr:cNvPicPr>
      </xdr:nvPicPr>
      <xdr:blipFill>
        <a:blip xmlns:r="http://schemas.openxmlformats.org/officeDocument/2006/relationships" r:embed="rId2"/>
        <a:stretch>
          <a:fillRect/>
        </a:stretch>
      </xdr:blipFill>
      <xdr:spPr>
        <a:xfrm>
          <a:off x="24032263" y="289560"/>
          <a:ext cx="19441144" cy="326437"/>
        </a:xfrm>
        <a:prstGeom prst="rect">
          <a:avLst/>
        </a:prstGeom>
        <a:effectLst>
          <a:reflection blurRad="6350" stA="52000" endA="300" endPos="32000" dist="12700" dir="5400000" sy="-100000" algn="bl" rotWithShape="0"/>
        </a:effectLst>
      </xdr:spPr>
    </xdr:pic>
    <xdr:clientData/>
  </xdr:twoCellAnchor>
  <xdr:twoCellAnchor>
    <xdr:from>
      <xdr:col>47</xdr:col>
      <xdr:colOff>51529</xdr:colOff>
      <xdr:row>3</xdr:row>
      <xdr:rowOff>0</xdr:rowOff>
    </xdr:from>
    <xdr:to>
      <xdr:col>59</xdr:col>
      <xdr:colOff>95096</xdr:colOff>
      <xdr:row>3</xdr:row>
      <xdr:rowOff>85668</xdr:rowOff>
    </xdr:to>
    <xdr:sp macro="" textlink="">
      <xdr:nvSpPr>
        <xdr:cNvPr id="4" name="Text Box 7">
          <a:extLst>
            <a:ext uri="{FF2B5EF4-FFF2-40B4-BE49-F238E27FC236}">
              <a16:creationId xmlns:a16="http://schemas.microsoft.com/office/drawing/2014/main" id="{797ACEA1-B127-4BBE-9F18-BB230B701B27}"/>
            </a:ext>
          </a:extLst>
        </xdr:cNvPr>
        <xdr:cNvSpPr txBox="1">
          <a:spLocks noChangeArrowheads="1"/>
        </xdr:cNvSpPr>
      </xdr:nvSpPr>
      <xdr:spPr bwMode="auto">
        <a:xfrm>
          <a:off x="45952504" y="885825"/>
          <a:ext cx="7130167" cy="856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800" b="1" i="0" u="none" strike="noStrike" kern="0" cap="none" spc="0" normalizeH="0" baseline="0" noProof="0">
              <a:ln>
                <a:noFill/>
              </a:ln>
              <a:solidFill>
                <a:srgbClr val="FFFFFF"/>
              </a:solidFill>
              <a:effectLst/>
              <a:uLnTx/>
              <a:uFillTx/>
              <a:latin typeface="Calibri"/>
              <a:cs typeface="Calibri"/>
            </a:rPr>
            <a:t>D  e  v  e  l  o  p  m  e  n  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600" b="1" i="0" u="none" strike="noStrike" kern="0" cap="none" spc="0" normalizeH="0" baseline="0" noProof="0">
            <a:ln>
              <a:noFill/>
            </a:ln>
            <a:solidFill>
              <a:srgbClr val="FFFFFF"/>
            </a:solidFill>
            <a:effectLst/>
            <a:uLnTx/>
            <a:uFillTx/>
            <a:latin typeface="Calibri"/>
            <a:cs typeface="Calibri"/>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74983</xdr:colOff>
      <xdr:row>1</xdr:row>
      <xdr:rowOff>0</xdr:rowOff>
    </xdr:from>
    <xdr:to>
      <xdr:col>51</xdr:col>
      <xdr:colOff>8927</xdr:colOff>
      <xdr:row>2</xdr:row>
      <xdr:rowOff>122602</xdr:rowOff>
    </xdr:to>
    <xdr:pic>
      <xdr:nvPicPr>
        <xdr:cNvPr id="2" name="Picture 1">
          <a:hlinkClick xmlns:r="http://schemas.openxmlformats.org/officeDocument/2006/relationships" r:id="rId1"/>
          <a:extLst>
            <a:ext uri="{FF2B5EF4-FFF2-40B4-BE49-F238E27FC236}">
              <a16:creationId xmlns:a16="http://schemas.microsoft.com/office/drawing/2014/main" id="{9B4D3DDE-3435-4812-9DD2-CC69B3BB09E2}"/>
            </a:ext>
          </a:extLst>
        </xdr:cNvPr>
        <xdr:cNvPicPr>
          <a:picLocks noChangeAspect="1"/>
        </xdr:cNvPicPr>
      </xdr:nvPicPr>
      <xdr:blipFill>
        <a:blip xmlns:r="http://schemas.openxmlformats.org/officeDocument/2006/relationships" r:embed="rId2"/>
        <a:stretch>
          <a:fillRect/>
        </a:stretch>
      </xdr:blipFill>
      <xdr:spPr>
        <a:xfrm>
          <a:off x="24032263" y="289560"/>
          <a:ext cx="19441144" cy="326437"/>
        </a:xfrm>
        <a:prstGeom prst="rect">
          <a:avLst/>
        </a:prstGeom>
        <a:effectLst>
          <a:reflection blurRad="6350" stA="52000" endA="300" endPos="32000" dist="12700" dir="5400000" sy="-100000" algn="bl" rotWithShape="0"/>
        </a:effectLst>
      </xdr:spPr>
    </xdr:pic>
    <xdr:clientData/>
  </xdr:twoCellAnchor>
  <xdr:twoCellAnchor>
    <xdr:from>
      <xdr:col>61</xdr:col>
      <xdr:colOff>97945</xdr:colOff>
      <xdr:row>1</xdr:row>
      <xdr:rowOff>0</xdr:rowOff>
    </xdr:from>
    <xdr:to>
      <xdr:col>73</xdr:col>
      <xdr:colOff>44818</xdr:colOff>
      <xdr:row>2</xdr:row>
      <xdr:rowOff>0</xdr:rowOff>
    </xdr:to>
    <xdr:pic>
      <xdr:nvPicPr>
        <xdr:cNvPr id="3" name="Picture 2">
          <a:extLst>
            <a:ext uri="{FF2B5EF4-FFF2-40B4-BE49-F238E27FC236}">
              <a16:creationId xmlns:a16="http://schemas.microsoft.com/office/drawing/2014/main" id="{42BA9ACB-3788-4E36-BA52-3EDD86FBA65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6" t="15556" r="4002" b="14074"/>
        <a:stretch/>
      </xdr:blipFill>
      <xdr:spPr bwMode="auto">
        <a:xfrm>
          <a:off x="49658425" y="289560"/>
          <a:ext cx="7262073" cy="28956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46</xdr:col>
      <xdr:colOff>51529</xdr:colOff>
      <xdr:row>2</xdr:row>
      <xdr:rowOff>0</xdr:rowOff>
    </xdr:from>
    <xdr:to>
      <xdr:col>58</xdr:col>
      <xdr:colOff>95096</xdr:colOff>
      <xdr:row>2</xdr:row>
      <xdr:rowOff>85668</xdr:rowOff>
    </xdr:to>
    <xdr:sp macro="" textlink="">
      <xdr:nvSpPr>
        <xdr:cNvPr id="5" name="Text Box 7">
          <a:extLst>
            <a:ext uri="{FF2B5EF4-FFF2-40B4-BE49-F238E27FC236}">
              <a16:creationId xmlns:a16="http://schemas.microsoft.com/office/drawing/2014/main" id="{F3BAB55C-78D6-45CC-AEAE-3EDFBB0A61E9}"/>
            </a:ext>
          </a:extLst>
        </xdr:cNvPr>
        <xdr:cNvSpPr txBox="1">
          <a:spLocks noChangeArrowheads="1"/>
        </xdr:cNvSpPr>
      </xdr:nvSpPr>
      <xdr:spPr bwMode="auto">
        <a:xfrm>
          <a:off x="39437404" y="885825"/>
          <a:ext cx="7130167" cy="856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800" b="1" i="0" u="none" strike="noStrike" kern="0" cap="none" spc="0" normalizeH="0" baseline="0" noProof="0">
              <a:ln>
                <a:noFill/>
              </a:ln>
              <a:solidFill>
                <a:srgbClr val="FFFFFF"/>
              </a:solidFill>
              <a:effectLst/>
              <a:uLnTx/>
              <a:uFillTx/>
              <a:latin typeface="Calibri"/>
              <a:cs typeface="Calibri"/>
            </a:rPr>
            <a:t>D  e  v  e  l  o  p  m  e  n  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600" b="1" i="0" u="none" strike="noStrike" kern="0" cap="none" spc="0" normalizeH="0" baseline="0" noProof="0">
            <a:ln>
              <a:noFill/>
            </a:ln>
            <a:solidFill>
              <a:srgbClr val="FFFFFF"/>
            </a:solidFill>
            <a:effectLst/>
            <a:uLnTx/>
            <a:uFillTx/>
            <a:latin typeface="Calibri"/>
            <a:cs typeface="Calibri"/>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48</xdr:col>
      <xdr:colOff>97945</xdr:colOff>
      <xdr:row>1</xdr:row>
      <xdr:rowOff>0</xdr:rowOff>
    </xdr:from>
    <xdr:to>
      <xdr:col>60</xdr:col>
      <xdr:colOff>44818</xdr:colOff>
      <xdr:row>2</xdr:row>
      <xdr:rowOff>0</xdr:rowOff>
    </xdr:to>
    <xdr:pic>
      <xdr:nvPicPr>
        <xdr:cNvPr id="6" name="Picture 5">
          <a:extLst>
            <a:ext uri="{FF2B5EF4-FFF2-40B4-BE49-F238E27FC236}">
              <a16:creationId xmlns:a16="http://schemas.microsoft.com/office/drawing/2014/main" id="{6EF4884E-3522-44F2-84A5-A0396A4B9D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6" t="15556" r="4002" b="14074"/>
        <a:stretch/>
      </xdr:blipFill>
      <xdr:spPr bwMode="auto">
        <a:xfrm>
          <a:off x="44932120" y="295275"/>
          <a:ext cx="7033473" cy="2952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48</xdr:col>
      <xdr:colOff>51529</xdr:colOff>
      <xdr:row>3</xdr:row>
      <xdr:rowOff>0</xdr:rowOff>
    </xdr:from>
    <xdr:to>
      <xdr:col>60</xdr:col>
      <xdr:colOff>95096</xdr:colOff>
      <xdr:row>3</xdr:row>
      <xdr:rowOff>85668</xdr:rowOff>
    </xdr:to>
    <xdr:sp macro="" textlink="">
      <xdr:nvSpPr>
        <xdr:cNvPr id="7" name="Text Box 7">
          <a:extLst>
            <a:ext uri="{FF2B5EF4-FFF2-40B4-BE49-F238E27FC236}">
              <a16:creationId xmlns:a16="http://schemas.microsoft.com/office/drawing/2014/main" id="{44483A68-250A-4C78-8F34-D1574616C86A}"/>
            </a:ext>
          </a:extLst>
        </xdr:cNvPr>
        <xdr:cNvSpPr txBox="1">
          <a:spLocks noChangeArrowheads="1"/>
        </xdr:cNvSpPr>
      </xdr:nvSpPr>
      <xdr:spPr bwMode="auto">
        <a:xfrm>
          <a:off x="44885704" y="885825"/>
          <a:ext cx="7130167" cy="856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800" b="1" i="0" u="none" strike="noStrike" kern="0" cap="none" spc="0" normalizeH="0" baseline="0" noProof="0">
              <a:ln>
                <a:noFill/>
              </a:ln>
              <a:solidFill>
                <a:srgbClr val="FFFFFF"/>
              </a:solidFill>
              <a:effectLst/>
              <a:uLnTx/>
              <a:uFillTx/>
              <a:latin typeface="Calibri"/>
              <a:cs typeface="Calibri"/>
            </a:rPr>
            <a:t>D  e  v  e  l  o  p  m  e  n  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600" b="1" i="0" u="none" strike="noStrike" kern="0" cap="none" spc="0" normalizeH="0" baseline="0" noProof="0">
            <a:ln>
              <a:noFill/>
            </a:ln>
            <a:solidFill>
              <a:srgbClr val="FFFFFF"/>
            </a:solidFill>
            <a:effectLst/>
            <a:uLnTx/>
            <a:uFillTx/>
            <a:latin typeface="Calibri"/>
            <a:cs typeface="Calibri"/>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74983</xdr:colOff>
      <xdr:row>1</xdr:row>
      <xdr:rowOff>0</xdr:rowOff>
    </xdr:from>
    <xdr:to>
      <xdr:col>51</xdr:col>
      <xdr:colOff>8927</xdr:colOff>
      <xdr:row>2</xdr:row>
      <xdr:rowOff>127047</xdr:rowOff>
    </xdr:to>
    <xdr:pic>
      <xdr:nvPicPr>
        <xdr:cNvPr id="2" name="Picture 1">
          <a:hlinkClick xmlns:r="http://schemas.openxmlformats.org/officeDocument/2006/relationships" r:id="rId1"/>
          <a:extLst>
            <a:ext uri="{FF2B5EF4-FFF2-40B4-BE49-F238E27FC236}">
              <a16:creationId xmlns:a16="http://schemas.microsoft.com/office/drawing/2014/main" id="{6407F4C2-9584-46B6-B514-74E2C9D8170E}"/>
            </a:ext>
          </a:extLst>
        </xdr:cNvPr>
        <xdr:cNvPicPr>
          <a:picLocks noChangeAspect="1"/>
        </xdr:cNvPicPr>
      </xdr:nvPicPr>
      <xdr:blipFill>
        <a:blip xmlns:r="http://schemas.openxmlformats.org/officeDocument/2006/relationships" r:embed="rId2"/>
        <a:stretch>
          <a:fillRect/>
        </a:stretch>
      </xdr:blipFill>
      <xdr:spPr>
        <a:xfrm>
          <a:off x="24032263" y="0"/>
          <a:ext cx="19441144" cy="334057"/>
        </a:xfrm>
        <a:prstGeom prst="rect">
          <a:avLst/>
        </a:prstGeom>
        <a:effectLst>
          <a:reflection blurRad="6350" stA="52000" endA="300" endPos="32000" dist="12700" dir="5400000" sy="-100000" algn="bl" rotWithShape="0"/>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E8C2-2257-4B43-A4EE-DA28C5CEE083}">
  <sheetPr>
    <tabColor theme="2" tint="-0.249977111117893"/>
  </sheetPr>
  <dimension ref="B1:G12"/>
  <sheetViews>
    <sheetView zoomScaleNormal="100" workbookViewId="0">
      <selection activeCell="E14" sqref="E14"/>
    </sheetView>
  </sheetViews>
  <sheetFormatPr defaultRowHeight="15"/>
  <cols>
    <col min="2" max="4" width="22.85546875" customWidth="1"/>
    <col min="5" max="5" width="22.5703125" customWidth="1"/>
    <col min="6" max="6" width="19.85546875" customWidth="1"/>
    <col min="7" max="7" width="19.5703125" customWidth="1"/>
  </cols>
  <sheetData>
    <row r="1" spans="2:7" ht="15.75" thickBot="1"/>
    <row r="2" spans="2:7" ht="15.75" thickBot="1">
      <c r="B2" s="1496" t="s">
        <v>67</v>
      </c>
      <c r="C2" s="1497"/>
      <c r="D2" s="1497"/>
      <c r="E2" s="1497"/>
      <c r="F2" s="1497"/>
      <c r="G2" s="1498"/>
    </row>
    <row r="3" spans="2:7" ht="45">
      <c r="B3" s="142" t="s">
        <v>68</v>
      </c>
      <c r="C3" s="141" t="s">
        <v>69</v>
      </c>
      <c r="D3" s="141" t="s">
        <v>70</v>
      </c>
      <c r="E3" s="141" t="s">
        <v>71</v>
      </c>
      <c r="F3" s="143" t="s">
        <v>72</v>
      </c>
      <c r="G3" s="165" t="s">
        <v>73</v>
      </c>
    </row>
    <row r="4" spans="2:7" ht="45" customHeight="1">
      <c r="B4" s="201" t="s">
        <v>74</v>
      </c>
      <c r="C4" s="202" t="s">
        <v>75</v>
      </c>
      <c r="D4" s="203" t="s">
        <v>76</v>
      </c>
      <c r="E4" s="203" t="s">
        <v>77</v>
      </c>
      <c r="F4" s="204">
        <v>0.3</v>
      </c>
      <c r="G4" s="166" t="s">
        <v>78</v>
      </c>
    </row>
    <row r="5" spans="2:7" ht="45" customHeight="1">
      <c r="B5" s="201" t="s">
        <v>79</v>
      </c>
      <c r="C5" s="203" t="s">
        <v>80</v>
      </c>
      <c r="D5" s="203" t="s">
        <v>81</v>
      </c>
      <c r="E5" s="202" t="s">
        <v>82</v>
      </c>
      <c r="F5" s="205">
        <v>0.2</v>
      </c>
      <c r="G5" s="167" t="s">
        <v>83</v>
      </c>
    </row>
    <row r="6" spans="2:7" ht="64.7" customHeight="1">
      <c r="B6" s="201" t="s">
        <v>84</v>
      </c>
      <c r="C6" s="203" t="s">
        <v>85</v>
      </c>
      <c r="D6" s="203" t="s">
        <v>86</v>
      </c>
      <c r="E6" s="202" t="s">
        <v>0</v>
      </c>
      <c r="F6" s="205">
        <v>0.3</v>
      </c>
      <c r="G6" s="167" t="s">
        <v>78</v>
      </c>
    </row>
    <row r="7" spans="2:7" ht="45" customHeight="1">
      <c r="B7" s="201" t="s">
        <v>87</v>
      </c>
      <c r="C7" s="203" t="s">
        <v>85</v>
      </c>
      <c r="D7" s="203" t="s">
        <v>81</v>
      </c>
      <c r="E7" s="203" t="s">
        <v>88</v>
      </c>
      <c r="F7" s="204" t="s">
        <v>89</v>
      </c>
      <c r="G7" s="166" t="s">
        <v>90</v>
      </c>
    </row>
    <row r="8" spans="2:7" ht="45" customHeight="1">
      <c r="B8" s="201" t="s">
        <v>91</v>
      </c>
      <c r="C8" s="203" t="s">
        <v>92</v>
      </c>
      <c r="D8" s="203" t="s">
        <v>81</v>
      </c>
      <c r="E8" s="202" t="s">
        <v>93</v>
      </c>
      <c r="F8" s="204" t="s">
        <v>94</v>
      </c>
      <c r="G8" s="168" t="s">
        <v>95</v>
      </c>
    </row>
    <row r="9" spans="2:7" ht="45" customHeight="1">
      <c r="B9" s="201" t="s">
        <v>96</v>
      </c>
      <c r="C9" s="202" t="s">
        <v>97</v>
      </c>
      <c r="D9" s="203" t="s">
        <v>81</v>
      </c>
      <c r="E9" s="202" t="s">
        <v>98</v>
      </c>
      <c r="F9" s="205">
        <v>0.3</v>
      </c>
      <c r="G9" s="167" t="s">
        <v>78</v>
      </c>
    </row>
    <row r="10" spans="2:7" ht="45" customHeight="1" thickBot="1">
      <c r="B10" s="206" t="s">
        <v>99</v>
      </c>
      <c r="C10" s="207" t="s">
        <v>92</v>
      </c>
      <c r="D10" s="207" t="s">
        <v>81</v>
      </c>
      <c r="E10" s="208" t="s">
        <v>100</v>
      </c>
      <c r="F10" s="209">
        <v>0.3</v>
      </c>
      <c r="G10" s="210" t="s">
        <v>78</v>
      </c>
    </row>
    <row r="11" spans="2:7" ht="37.35" customHeight="1" thickBot="1">
      <c r="B11" s="211" t="s">
        <v>101</v>
      </c>
      <c r="C11" s="207" t="s">
        <v>102</v>
      </c>
      <c r="D11" s="207" t="s">
        <v>86</v>
      </c>
      <c r="E11" s="208" t="s">
        <v>290</v>
      </c>
      <c r="F11" s="209">
        <v>0.3</v>
      </c>
      <c r="G11" s="210" t="s">
        <v>78</v>
      </c>
    </row>
    <row r="12" spans="2:7" ht="63" customHeight="1" thickBot="1">
      <c r="B12" s="211" t="s">
        <v>103</v>
      </c>
      <c r="C12" s="207" t="s">
        <v>104</v>
      </c>
      <c r="D12" s="207" t="s">
        <v>105</v>
      </c>
      <c r="E12" s="208" t="s">
        <v>106</v>
      </c>
      <c r="F12" s="212" t="s">
        <v>107</v>
      </c>
      <c r="G12" s="166" t="s">
        <v>90</v>
      </c>
    </row>
  </sheetData>
  <mergeCells count="1">
    <mergeCell ref="B2:G2"/>
  </mergeCells>
  <pageMargins left="0.7" right="0.7" top="0.75" bottom="0.75" header="0.3" footer="0.3"/>
  <pageSetup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05EC-5A48-41C4-A471-C1D76CE51EB8}">
  <sheetPr>
    <tabColor rgb="FF0070C0"/>
  </sheetPr>
  <dimension ref="A1:AT601"/>
  <sheetViews>
    <sheetView zoomScaleNormal="100" zoomScalePageLayoutView="125" workbookViewId="0">
      <pane xSplit="1" ySplit="3" topLeftCell="L4" activePane="bottomRight" state="frozen"/>
      <selection activeCell="G28" sqref="G28"/>
      <selection pane="topRight" activeCell="G28" sqref="G28"/>
      <selection pane="bottomLeft" activeCell="G28" sqref="G28"/>
      <selection pane="bottomRight" activeCell="C12" sqref="C12"/>
    </sheetView>
  </sheetViews>
  <sheetFormatPr defaultColWidth="8.85546875" defaultRowHeight="12.75"/>
  <cols>
    <col min="1" max="1" width="45.5703125" style="7" customWidth="1"/>
    <col min="2" max="2" width="21.42578125" style="7" customWidth="1"/>
    <col min="3" max="3" width="17.140625" style="7" customWidth="1"/>
    <col min="4" max="4" width="15" style="7" customWidth="1"/>
    <col min="5" max="5" width="17.140625" style="7" bestFit="1" customWidth="1"/>
    <col min="6" max="6" width="16" style="7" customWidth="1"/>
    <col min="7" max="7" width="14.42578125" style="89" customWidth="1"/>
    <col min="8" max="8" width="19" style="7" customWidth="1"/>
    <col min="9" max="9" width="18.5703125" style="7" customWidth="1"/>
    <col min="10" max="10" width="16.42578125" style="7" customWidth="1"/>
    <col min="11" max="11" width="15" style="7" customWidth="1"/>
    <col min="12" max="12" width="14.140625" style="7" customWidth="1"/>
    <col min="13" max="13" width="14.42578125" style="7" customWidth="1"/>
    <col min="14" max="14" width="15.42578125" style="7" customWidth="1"/>
    <col min="15" max="15" width="16.140625" style="7" customWidth="1"/>
    <col min="16" max="16" width="15.42578125" style="7" customWidth="1"/>
    <col min="17" max="17" width="13.85546875" style="7" customWidth="1"/>
    <col min="18" max="19" width="14" style="7" customWidth="1"/>
    <col min="20" max="20" width="16" style="7" customWidth="1"/>
    <col min="21" max="21" width="14.42578125" style="7" customWidth="1"/>
    <col min="22" max="31" width="14.42578125" style="7" hidden="1" customWidth="1"/>
    <col min="32" max="32" width="16.42578125" style="7" hidden="1" customWidth="1"/>
    <col min="33" max="38" width="14.42578125" style="7" hidden="1" customWidth="1"/>
    <col min="39" max="39" width="12.5703125" style="7" hidden="1" customWidth="1"/>
    <col min="40" max="40" width="17" style="7" hidden="1" customWidth="1"/>
    <col min="41" max="41" width="16.42578125" style="7" hidden="1" customWidth="1"/>
    <col min="42" max="42" width="13.42578125" style="7" hidden="1" customWidth="1"/>
    <col min="43" max="43" width="15" style="7" hidden="1" customWidth="1"/>
    <col min="44" max="44" width="20.42578125" style="7" customWidth="1"/>
    <col min="45" max="46" width="17" style="7" customWidth="1"/>
    <col min="47" max="47" width="9.5703125" style="7" bestFit="1" customWidth="1"/>
    <col min="48" max="48" width="11.85546875" style="7" bestFit="1" customWidth="1"/>
    <col min="49" max="50" width="9.5703125" style="7" bestFit="1" customWidth="1"/>
    <col min="51" max="16384" width="8.85546875" style="7"/>
  </cols>
  <sheetData>
    <row r="1" spans="1:46" ht="13.5" thickBot="1">
      <c r="A1" s="1588" t="str">
        <f>'Development Program'!B25</f>
        <v>Yesler Hotel</v>
      </c>
      <c r="B1" s="156" t="s">
        <v>184</v>
      </c>
      <c r="C1" s="144" t="str">
        <f>'Development Program'!D23</f>
        <v>Pre-Development</v>
      </c>
      <c r="D1" s="144" t="str">
        <f>'Development Program'!E23</f>
        <v>Demolition</v>
      </c>
      <c r="E1" s="144" t="str">
        <f>'Development Program'!F23</f>
        <v>Construction</v>
      </c>
      <c r="F1" s="144" t="str">
        <f>'Development Program'!G23</f>
        <v>Close-out</v>
      </c>
      <c r="G1" s="60"/>
    </row>
    <row r="2" spans="1:46" ht="13.5" thickBot="1">
      <c r="A2" s="1575"/>
      <c r="B2" s="303" t="s">
        <v>185</v>
      </c>
      <c r="C2" s="304" t="str">
        <f>'Development Program'!D25</f>
        <v>01/1/25 to 12/31/25</v>
      </c>
      <c r="D2" s="304" t="str">
        <f>'Development Program'!E25</f>
        <v>None</v>
      </c>
      <c r="E2" s="304" t="str">
        <f>'Development Program'!F25</f>
        <v>1/1/26 to 12/31/27</v>
      </c>
      <c r="F2" s="304" t="str">
        <f>'Development Program'!G25</f>
        <v>1/1/28 to 6/30/28</v>
      </c>
      <c r="G2" s="157" t="s">
        <v>186</v>
      </c>
      <c r="H2" s="157" t="s">
        <v>187</v>
      </c>
      <c r="I2" s="158"/>
      <c r="J2" s="158"/>
      <c r="K2" s="158"/>
      <c r="L2" s="158"/>
      <c r="M2" s="158"/>
      <c r="N2" s="158"/>
      <c r="O2" s="158"/>
      <c r="P2" s="158"/>
      <c r="Q2" s="158"/>
      <c r="R2" s="158"/>
      <c r="S2" s="157" t="s">
        <v>188</v>
      </c>
      <c r="T2" s="158" t="s">
        <v>189</v>
      </c>
      <c r="U2" s="158" t="s">
        <v>190</v>
      </c>
      <c r="AK2" s="184"/>
      <c r="AL2" s="184"/>
      <c r="AR2" s="1577" t="s">
        <v>191</v>
      </c>
      <c r="AS2" s="1577"/>
      <c r="AT2" s="1577"/>
    </row>
    <row r="3" spans="1:46" ht="13.5" thickBot="1">
      <c r="A3" s="1576"/>
      <c r="B3" s="92" t="s">
        <v>62</v>
      </c>
      <c r="C3" s="146">
        <v>45658</v>
      </c>
      <c r="D3" s="147">
        <f>EOMONTH(C3,3)</f>
        <v>45777</v>
      </c>
      <c r="E3" s="147">
        <f t="shared" ref="E3:AG3" si="0">EOMONTH(D3,3)</f>
        <v>45869</v>
      </c>
      <c r="F3" s="147">
        <f t="shared" si="0"/>
        <v>45961</v>
      </c>
      <c r="G3" s="147">
        <f t="shared" si="0"/>
        <v>46053</v>
      </c>
      <c r="H3" s="147">
        <f t="shared" si="0"/>
        <v>46142</v>
      </c>
      <c r="I3" s="147">
        <f t="shared" si="0"/>
        <v>46234</v>
      </c>
      <c r="J3" s="147">
        <f t="shared" si="0"/>
        <v>46326</v>
      </c>
      <c r="K3" s="147">
        <f t="shared" si="0"/>
        <v>46418</v>
      </c>
      <c r="L3" s="147">
        <f t="shared" si="0"/>
        <v>46507</v>
      </c>
      <c r="M3" s="147">
        <f t="shared" si="0"/>
        <v>46599</v>
      </c>
      <c r="N3" s="147">
        <f t="shared" si="0"/>
        <v>46691</v>
      </c>
      <c r="O3" s="147">
        <f t="shared" si="0"/>
        <v>46783</v>
      </c>
      <c r="P3" s="147">
        <f t="shared" si="0"/>
        <v>46873</v>
      </c>
      <c r="Q3" s="147">
        <f t="shared" si="0"/>
        <v>46965</v>
      </c>
      <c r="R3" s="147">
        <f t="shared" si="0"/>
        <v>47057</v>
      </c>
      <c r="S3" s="147">
        <f t="shared" si="0"/>
        <v>47149</v>
      </c>
      <c r="T3" s="147">
        <f t="shared" si="0"/>
        <v>47238</v>
      </c>
      <c r="U3" s="147">
        <f t="shared" si="0"/>
        <v>47330</v>
      </c>
      <c r="V3" s="147" t="e">
        <f>EOMONTH(#REF!,3)</f>
        <v>#REF!</v>
      </c>
      <c r="W3" s="147" t="e">
        <f t="shared" si="0"/>
        <v>#REF!</v>
      </c>
      <c r="X3" s="147" t="e">
        <f t="shared" si="0"/>
        <v>#REF!</v>
      </c>
      <c r="Y3" s="147" t="e">
        <f t="shared" si="0"/>
        <v>#REF!</v>
      </c>
      <c r="Z3" s="147" t="e">
        <f t="shared" si="0"/>
        <v>#REF!</v>
      </c>
      <c r="AA3" s="147" t="e">
        <f t="shared" si="0"/>
        <v>#REF!</v>
      </c>
      <c r="AB3" s="147" t="e">
        <f t="shared" si="0"/>
        <v>#REF!</v>
      </c>
      <c r="AC3" s="147" t="e">
        <f t="shared" si="0"/>
        <v>#REF!</v>
      </c>
      <c r="AD3" s="188" t="e">
        <f t="shared" si="0"/>
        <v>#REF!</v>
      </c>
      <c r="AE3" s="188" t="e">
        <f t="shared" si="0"/>
        <v>#REF!</v>
      </c>
      <c r="AF3" s="188" t="e">
        <f t="shared" si="0"/>
        <v>#REF!</v>
      </c>
      <c r="AG3" s="188" t="e">
        <f t="shared" si="0"/>
        <v>#REF!</v>
      </c>
      <c r="AH3" s="188" t="e">
        <f>EOMONTH(AG3,3)</f>
        <v>#REF!</v>
      </c>
      <c r="AI3" s="188" t="e">
        <f t="shared" ref="AI3:AQ3" si="1">EOMONTH(AH3,3)</f>
        <v>#REF!</v>
      </c>
      <c r="AJ3" s="188" t="e">
        <f t="shared" si="1"/>
        <v>#REF!</v>
      </c>
      <c r="AK3" s="188" t="e">
        <f t="shared" si="1"/>
        <v>#REF!</v>
      </c>
      <c r="AL3" s="188" t="e">
        <f t="shared" si="1"/>
        <v>#REF!</v>
      </c>
      <c r="AM3" s="188" t="e">
        <f t="shared" si="1"/>
        <v>#REF!</v>
      </c>
      <c r="AN3" s="188" t="e">
        <f t="shared" si="1"/>
        <v>#REF!</v>
      </c>
      <c r="AO3" s="188" t="e">
        <f>EOMONTH(AN3,3)</f>
        <v>#REF!</v>
      </c>
      <c r="AP3" s="188" t="e">
        <f t="shared" si="1"/>
        <v>#REF!</v>
      </c>
      <c r="AQ3" s="188" t="e">
        <f t="shared" si="1"/>
        <v>#REF!</v>
      </c>
      <c r="AR3" s="306" t="s">
        <v>192</v>
      </c>
      <c r="AS3" s="307" t="s">
        <v>193</v>
      </c>
      <c r="AT3" s="306"/>
    </row>
    <row r="4" spans="1:46" ht="13.5" thickBot="1">
      <c r="A4" s="308" t="s">
        <v>194</v>
      </c>
      <c r="B4" s="309">
        <v>1</v>
      </c>
      <c r="C4" s="181">
        <v>0</v>
      </c>
      <c r="D4" s="181">
        <v>0</v>
      </c>
      <c r="E4" s="181">
        <v>0</v>
      </c>
      <c r="F4" s="181">
        <f t="shared" ref="F4" si="2">E4</f>
        <v>0</v>
      </c>
      <c r="G4" s="180">
        <v>0.05</v>
      </c>
      <c r="H4" s="181">
        <v>0.05</v>
      </c>
      <c r="I4" s="181">
        <v>0.1</v>
      </c>
      <c r="J4" s="181">
        <v>0.1</v>
      </c>
      <c r="K4" s="181">
        <v>0.15</v>
      </c>
      <c r="L4" s="181">
        <v>0.15</v>
      </c>
      <c r="M4" s="181">
        <v>0.15</v>
      </c>
      <c r="N4" s="181">
        <v>0.15</v>
      </c>
      <c r="O4" s="181">
        <v>0.1</v>
      </c>
      <c r="P4" s="181">
        <v>0</v>
      </c>
      <c r="Q4" s="181">
        <v>0</v>
      </c>
      <c r="R4" s="181">
        <v>0</v>
      </c>
      <c r="S4" s="181">
        <v>0</v>
      </c>
      <c r="T4" s="181">
        <v>0</v>
      </c>
      <c r="U4" s="181">
        <v>0</v>
      </c>
      <c r="V4" s="181">
        <v>0</v>
      </c>
      <c r="W4" s="181">
        <v>0</v>
      </c>
      <c r="X4" s="181">
        <v>0</v>
      </c>
      <c r="Y4" s="181">
        <v>0</v>
      </c>
      <c r="Z4" s="181">
        <v>0</v>
      </c>
      <c r="AA4" s="181">
        <v>0</v>
      </c>
      <c r="AB4" s="181">
        <v>0</v>
      </c>
      <c r="AC4" s="181">
        <v>0</v>
      </c>
      <c r="AD4" s="181">
        <v>0</v>
      </c>
      <c r="AE4" s="181">
        <v>0</v>
      </c>
      <c r="AF4" s="181">
        <v>0</v>
      </c>
      <c r="AG4" s="181">
        <v>0</v>
      </c>
      <c r="AH4" s="181">
        <v>0</v>
      </c>
      <c r="AI4" s="180">
        <v>0</v>
      </c>
      <c r="AJ4" s="180">
        <v>0</v>
      </c>
      <c r="AK4" s="154"/>
      <c r="AL4" s="154"/>
      <c r="AM4" s="452"/>
      <c r="AN4" s="452"/>
      <c r="AO4" s="452"/>
      <c r="AP4" s="452"/>
      <c r="AQ4" s="452"/>
      <c r="AR4" s="310">
        <f t="shared" ref="AR4:AR26" si="3">SUM(C4:AQ4)</f>
        <v>1.0000000000000002</v>
      </c>
      <c r="AS4" s="311"/>
      <c r="AT4" s="159" t="s">
        <v>195</v>
      </c>
    </row>
    <row r="5" spans="1:46">
      <c r="A5" s="312" t="str">
        <f>'Yesler Financial'!B38</f>
        <v>Hard Costs for Construction/Refurbishment</v>
      </c>
      <c r="B5" s="313">
        <f>'Yesler Financial'!D38</f>
        <v>28886000</v>
      </c>
      <c r="C5" s="314">
        <f>$B5*C$4</f>
        <v>0</v>
      </c>
      <c r="D5" s="314">
        <f t="shared" ref="D5:U17" si="4">$B5*D$4</f>
        <v>0</v>
      </c>
      <c r="E5" s="314">
        <f t="shared" si="4"/>
        <v>0</v>
      </c>
      <c r="F5" s="314">
        <f t="shared" si="4"/>
        <v>0</v>
      </c>
      <c r="G5" s="314">
        <f t="shared" si="4"/>
        <v>1444300</v>
      </c>
      <c r="H5" s="314">
        <f t="shared" si="4"/>
        <v>1444300</v>
      </c>
      <c r="I5" s="314">
        <f t="shared" si="4"/>
        <v>2888600</v>
      </c>
      <c r="J5" s="314">
        <f t="shared" si="4"/>
        <v>2888600</v>
      </c>
      <c r="K5" s="314">
        <f t="shared" si="4"/>
        <v>4332900</v>
      </c>
      <c r="L5" s="314">
        <f t="shared" si="4"/>
        <v>4332900</v>
      </c>
      <c r="M5" s="314">
        <f t="shared" si="4"/>
        <v>4332900</v>
      </c>
      <c r="N5" s="314">
        <f t="shared" si="4"/>
        <v>4332900</v>
      </c>
      <c r="O5" s="314">
        <f t="shared" si="4"/>
        <v>2888600</v>
      </c>
      <c r="P5" s="314">
        <f t="shared" si="4"/>
        <v>0</v>
      </c>
      <c r="Q5" s="314">
        <f t="shared" si="4"/>
        <v>0</v>
      </c>
      <c r="R5" s="314">
        <f t="shared" si="4"/>
        <v>0</v>
      </c>
      <c r="S5" s="314">
        <f t="shared" si="4"/>
        <v>0</v>
      </c>
      <c r="T5" s="314">
        <f t="shared" si="4"/>
        <v>0</v>
      </c>
      <c r="U5" s="314">
        <f t="shared" si="4"/>
        <v>0</v>
      </c>
      <c r="V5" s="314"/>
      <c r="W5" s="314"/>
      <c r="X5" s="314"/>
      <c r="Y5" s="314"/>
      <c r="Z5" s="314"/>
      <c r="AA5" s="314"/>
      <c r="AB5" s="314"/>
      <c r="AC5" s="314"/>
      <c r="AD5" s="314"/>
      <c r="AE5" s="314"/>
      <c r="AF5" s="314"/>
      <c r="AG5" s="314"/>
      <c r="AH5" s="314"/>
      <c r="AI5" s="314"/>
      <c r="AJ5" s="314"/>
      <c r="AK5" s="315"/>
      <c r="AL5" s="315"/>
      <c r="AM5" s="315"/>
      <c r="AN5" s="315"/>
      <c r="AO5" s="315"/>
      <c r="AP5" s="315"/>
      <c r="AQ5" s="315"/>
      <c r="AR5" s="315">
        <f t="shared" si="3"/>
        <v>28886000</v>
      </c>
      <c r="AS5" s="315">
        <f t="shared" ref="AS5:AS26" si="5">B5</f>
        <v>28886000</v>
      </c>
      <c r="AT5" s="315">
        <f>AS5-AR5</f>
        <v>0</v>
      </c>
    </row>
    <row r="6" spans="1:46">
      <c r="A6" s="312" t="str">
        <f>'Yesler Financial'!B39</f>
        <v>Parking stalls</v>
      </c>
      <c r="B6" s="313">
        <f>'Yesler Financial'!D39</f>
        <v>1380000</v>
      </c>
      <c r="C6" s="314">
        <f t="shared" ref="C6:R26" si="6">$B6*C$4</f>
        <v>0</v>
      </c>
      <c r="D6" s="314">
        <f t="shared" si="4"/>
        <v>0</v>
      </c>
      <c r="E6" s="314">
        <f t="shared" si="4"/>
        <v>0</v>
      </c>
      <c r="F6" s="314">
        <f t="shared" si="4"/>
        <v>0</v>
      </c>
      <c r="G6" s="314">
        <f t="shared" si="4"/>
        <v>69000</v>
      </c>
      <c r="H6" s="314">
        <f t="shared" si="4"/>
        <v>69000</v>
      </c>
      <c r="I6" s="314">
        <f t="shared" si="4"/>
        <v>138000</v>
      </c>
      <c r="J6" s="314">
        <f t="shared" si="4"/>
        <v>138000</v>
      </c>
      <c r="K6" s="314">
        <f t="shared" si="4"/>
        <v>207000</v>
      </c>
      <c r="L6" s="314">
        <f t="shared" si="4"/>
        <v>207000</v>
      </c>
      <c r="M6" s="314">
        <f t="shared" si="4"/>
        <v>207000</v>
      </c>
      <c r="N6" s="314">
        <f t="shared" si="4"/>
        <v>207000</v>
      </c>
      <c r="O6" s="314">
        <f t="shared" si="4"/>
        <v>138000</v>
      </c>
      <c r="P6" s="314">
        <f t="shared" si="4"/>
        <v>0</v>
      </c>
      <c r="Q6" s="314">
        <f t="shared" si="4"/>
        <v>0</v>
      </c>
      <c r="R6" s="314">
        <f t="shared" si="4"/>
        <v>0</v>
      </c>
      <c r="S6" s="314">
        <f t="shared" si="4"/>
        <v>0</v>
      </c>
      <c r="T6" s="314">
        <f t="shared" si="4"/>
        <v>0</v>
      </c>
      <c r="U6" s="314">
        <f t="shared" si="4"/>
        <v>0</v>
      </c>
      <c r="V6" s="314"/>
      <c r="W6" s="314"/>
      <c r="X6" s="314"/>
      <c r="Y6" s="314"/>
      <c r="Z6" s="314"/>
      <c r="AA6" s="314"/>
      <c r="AB6" s="314"/>
      <c r="AC6" s="314"/>
      <c r="AD6" s="314"/>
      <c r="AE6" s="314"/>
      <c r="AF6" s="314"/>
      <c r="AG6" s="314"/>
      <c r="AH6" s="314"/>
      <c r="AI6" s="314"/>
      <c r="AJ6" s="314"/>
      <c r="AK6" s="315"/>
      <c r="AL6" s="315"/>
      <c r="AM6" s="315"/>
      <c r="AN6" s="315"/>
      <c r="AO6" s="315"/>
      <c r="AP6" s="315"/>
      <c r="AQ6" s="315"/>
      <c r="AR6" s="315">
        <f t="shared" si="3"/>
        <v>1380000</v>
      </c>
      <c r="AS6" s="315">
        <f t="shared" si="5"/>
        <v>1380000</v>
      </c>
      <c r="AT6" s="315">
        <f t="shared" ref="AT6:AT26" si="7">AS6-AR6</f>
        <v>0</v>
      </c>
    </row>
    <row r="7" spans="1:46">
      <c r="A7" s="312" t="str">
        <f>'Yesler Financial'!B40</f>
        <v>Hard Cost Contingency</v>
      </c>
      <c r="B7" s="313">
        <f>'Yesler Financial'!D40</f>
        <v>2310880</v>
      </c>
      <c r="C7" s="314">
        <f t="shared" si="6"/>
        <v>0</v>
      </c>
      <c r="D7" s="314">
        <f t="shared" si="4"/>
        <v>0</v>
      </c>
      <c r="E7" s="314">
        <f t="shared" si="4"/>
        <v>0</v>
      </c>
      <c r="F7" s="314">
        <f t="shared" si="4"/>
        <v>0</v>
      </c>
      <c r="G7" s="314">
        <f t="shared" si="4"/>
        <v>115544</v>
      </c>
      <c r="H7" s="314">
        <f t="shared" si="4"/>
        <v>115544</v>
      </c>
      <c r="I7" s="314">
        <f t="shared" si="4"/>
        <v>231088</v>
      </c>
      <c r="J7" s="314">
        <f t="shared" si="4"/>
        <v>231088</v>
      </c>
      <c r="K7" s="314">
        <f t="shared" si="4"/>
        <v>346632</v>
      </c>
      <c r="L7" s="314">
        <f t="shared" si="4"/>
        <v>346632</v>
      </c>
      <c r="M7" s="314">
        <f t="shared" si="4"/>
        <v>346632</v>
      </c>
      <c r="N7" s="314">
        <f t="shared" si="4"/>
        <v>346632</v>
      </c>
      <c r="O7" s="314">
        <f t="shared" si="4"/>
        <v>231088</v>
      </c>
      <c r="P7" s="314">
        <f t="shared" si="4"/>
        <v>0</v>
      </c>
      <c r="Q7" s="314">
        <f t="shared" si="4"/>
        <v>0</v>
      </c>
      <c r="R7" s="314">
        <f t="shared" si="4"/>
        <v>0</v>
      </c>
      <c r="S7" s="314">
        <f t="shared" si="4"/>
        <v>0</v>
      </c>
      <c r="T7" s="314">
        <f t="shared" si="4"/>
        <v>0</v>
      </c>
      <c r="U7" s="314">
        <f t="shared" si="4"/>
        <v>0</v>
      </c>
      <c r="V7" s="314"/>
      <c r="W7" s="314"/>
      <c r="X7" s="314"/>
      <c r="Y7" s="314"/>
      <c r="Z7" s="314"/>
      <c r="AA7" s="314"/>
      <c r="AB7" s="314"/>
      <c r="AC7" s="314"/>
      <c r="AD7" s="314"/>
      <c r="AE7" s="314"/>
      <c r="AF7" s="314"/>
      <c r="AG7" s="314"/>
      <c r="AH7" s="314"/>
      <c r="AI7" s="314"/>
      <c r="AJ7" s="314"/>
      <c r="AK7" s="315"/>
      <c r="AL7" s="315"/>
      <c r="AM7" s="315"/>
      <c r="AN7" s="315"/>
      <c r="AO7" s="315"/>
      <c r="AP7" s="315"/>
      <c r="AQ7" s="315"/>
      <c r="AR7" s="315">
        <f t="shared" si="3"/>
        <v>2310880</v>
      </c>
      <c r="AS7" s="315">
        <f t="shared" si="5"/>
        <v>2310880</v>
      </c>
      <c r="AT7" s="315">
        <f t="shared" si="7"/>
        <v>0</v>
      </c>
    </row>
    <row r="8" spans="1:46">
      <c r="A8" s="312" t="str">
        <f>'Yesler Financial'!B41</f>
        <v>Demolition (interior only)</v>
      </c>
      <c r="B8" s="313">
        <f>'Yesler Financial'!D41</f>
        <v>718760</v>
      </c>
      <c r="C8" s="314">
        <f t="shared" si="6"/>
        <v>0</v>
      </c>
      <c r="D8" s="314">
        <f t="shared" si="4"/>
        <v>0</v>
      </c>
      <c r="E8" s="314">
        <f t="shared" si="4"/>
        <v>0</v>
      </c>
      <c r="F8" s="314">
        <f t="shared" si="4"/>
        <v>0</v>
      </c>
      <c r="G8" s="314">
        <f t="shared" si="4"/>
        <v>35938</v>
      </c>
      <c r="H8" s="314">
        <f t="shared" si="4"/>
        <v>35938</v>
      </c>
      <c r="I8" s="314">
        <f t="shared" si="4"/>
        <v>71876</v>
      </c>
      <c r="J8" s="314">
        <f t="shared" si="4"/>
        <v>71876</v>
      </c>
      <c r="K8" s="314">
        <f t="shared" si="4"/>
        <v>107814</v>
      </c>
      <c r="L8" s="314">
        <f t="shared" si="4"/>
        <v>107814</v>
      </c>
      <c r="M8" s="314">
        <f t="shared" si="4"/>
        <v>107814</v>
      </c>
      <c r="N8" s="314">
        <f t="shared" si="4"/>
        <v>107814</v>
      </c>
      <c r="O8" s="314">
        <f t="shared" si="4"/>
        <v>71876</v>
      </c>
      <c r="P8" s="314">
        <f t="shared" si="4"/>
        <v>0</v>
      </c>
      <c r="Q8" s="314">
        <f t="shared" si="4"/>
        <v>0</v>
      </c>
      <c r="R8" s="314">
        <f t="shared" si="4"/>
        <v>0</v>
      </c>
      <c r="S8" s="314">
        <f t="shared" si="4"/>
        <v>0</v>
      </c>
      <c r="T8" s="314">
        <f t="shared" si="4"/>
        <v>0</v>
      </c>
      <c r="U8" s="314">
        <f t="shared" si="4"/>
        <v>0</v>
      </c>
      <c r="V8" s="314"/>
      <c r="W8" s="314"/>
      <c r="X8" s="314"/>
      <c r="Y8" s="314"/>
      <c r="Z8" s="314"/>
      <c r="AA8" s="314"/>
      <c r="AB8" s="314"/>
      <c r="AC8" s="314"/>
      <c r="AD8" s="314"/>
      <c r="AE8" s="314"/>
      <c r="AF8" s="314"/>
      <c r="AG8" s="314"/>
      <c r="AH8" s="314"/>
      <c r="AI8" s="314"/>
      <c r="AJ8" s="314"/>
      <c r="AK8" s="315"/>
      <c r="AL8" s="315"/>
      <c r="AM8" s="315"/>
      <c r="AN8" s="315"/>
      <c r="AO8" s="315"/>
      <c r="AP8" s="315"/>
      <c r="AQ8" s="315"/>
      <c r="AR8" s="315">
        <f t="shared" si="3"/>
        <v>718760</v>
      </c>
      <c r="AS8" s="315">
        <f t="shared" si="5"/>
        <v>718760</v>
      </c>
      <c r="AT8" s="315">
        <f t="shared" si="7"/>
        <v>0</v>
      </c>
    </row>
    <row r="9" spans="1:46">
      <c r="A9" s="312" t="str">
        <f>'Yesler Financial'!B42</f>
        <v>LAND</v>
      </c>
      <c r="B9" s="313">
        <f>'Yesler Financial'!D42</f>
        <v>8000000</v>
      </c>
      <c r="C9" s="314">
        <f>B9</f>
        <v>8000000</v>
      </c>
      <c r="D9" s="314">
        <v>0</v>
      </c>
      <c r="E9" s="314">
        <v>0</v>
      </c>
      <c r="F9" s="314">
        <v>0</v>
      </c>
      <c r="G9" s="314">
        <v>0</v>
      </c>
      <c r="H9" s="314">
        <v>0</v>
      </c>
      <c r="I9" s="314">
        <v>0</v>
      </c>
      <c r="J9" s="314">
        <v>0</v>
      </c>
      <c r="K9" s="314">
        <v>0</v>
      </c>
      <c r="L9" s="314">
        <v>0</v>
      </c>
      <c r="M9" s="314">
        <v>0</v>
      </c>
      <c r="N9" s="314">
        <v>0</v>
      </c>
      <c r="O9" s="314">
        <v>0</v>
      </c>
      <c r="P9" s="314">
        <v>0</v>
      </c>
      <c r="Q9" s="314">
        <v>0</v>
      </c>
      <c r="R9" s="314">
        <v>0</v>
      </c>
      <c r="S9" s="314">
        <v>0</v>
      </c>
      <c r="T9" s="314">
        <v>0</v>
      </c>
      <c r="U9" s="314">
        <v>0</v>
      </c>
      <c r="V9" s="316"/>
      <c r="W9" s="316"/>
      <c r="X9" s="316"/>
      <c r="Y9" s="316"/>
      <c r="Z9" s="316"/>
      <c r="AA9" s="316"/>
      <c r="AB9" s="316"/>
      <c r="AC9" s="316"/>
      <c r="AD9" s="316"/>
      <c r="AE9" s="316"/>
      <c r="AF9" s="316"/>
      <c r="AG9" s="316"/>
      <c r="AH9" s="316"/>
      <c r="AI9" s="316"/>
      <c r="AJ9" s="316"/>
      <c r="AK9" s="320"/>
      <c r="AL9" s="320"/>
      <c r="AM9" s="320"/>
      <c r="AN9" s="320"/>
      <c r="AO9" s="320"/>
      <c r="AP9" s="320"/>
      <c r="AQ9" s="320"/>
      <c r="AR9" s="315">
        <f t="shared" si="3"/>
        <v>8000000</v>
      </c>
      <c r="AS9" s="315">
        <f t="shared" si="5"/>
        <v>8000000</v>
      </c>
      <c r="AT9" s="315">
        <f t="shared" si="7"/>
        <v>0</v>
      </c>
    </row>
    <row r="10" spans="1:46">
      <c r="A10" s="312" t="str">
        <f>'Yesler Financial'!B43</f>
        <v>Municipal Fees and Allowances</v>
      </c>
      <c r="B10" s="313">
        <f>'Yesler Financial'!D43</f>
        <v>277500</v>
      </c>
      <c r="C10" s="314">
        <f>B10</f>
        <v>277500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6"/>
      <c r="W10" s="316"/>
      <c r="X10" s="316"/>
      <c r="Y10" s="316"/>
      <c r="Z10" s="316"/>
      <c r="AA10" s="316"/>
      <c r="AB10" s="316"/>
      <c r="AC10" s="316"/>
      <c r="AD10" s="316"/>
      <c r="AE10" s="316"/>
      <c r="AF10" s="316"/>
      <c r="AG10" s="316"/>
      <c r="AH10" s="316"/>
      <c r="AI10" s="316"/>
      <c r="AJ10" s="316"/>
      <c r="AK10" s="320"/>
      <c r="AL10" s="320"/>
      <c r="AM10" s="320"/>
      <c r="AN10" s="320"/>
      <c r="AO10" s="320"/>
      <c r="AP10" s="320"/>
      <c r="AQ10" s="320"/>
      <c r="AR10" s="315">
        <f t="shared" si="3"/>
        <v>277500</v>
      </c>
      <c r="AS10" s="315">
        <f t="shared" si="5"/>
        <v>277500</v>
      </c>
      <c r="AT10" s="315">
        <f t="shared" si="7"/>
        <v>0</v>
      </c>
    </row>
    <row r="11" spans="1:46">
      <c r="A11" s="312" t="str">
        <f>'Yesler Financial'!B44</f>
        <v>Infrastructure allocation</v>
      </c>
      <c r="B11" s="313">
        <f>'Yesler Financial'!D44</f>
        <v>1000000</v>
      </c>
      <c r="C11" s="314"/>
      <c r="D11" s="314">
        <f t="shared" si="4"/>
        <v>0</v>
      </c>
      <c r="E11" s="314">
        <f t="shared" si="4"/>
        <v>0</v>
      </c>
      <c r="F11" s="314">
        <f t="shared" si="4"/>
        <v>0</v>
      </c>
      <c r="G11" s="314">
        <f t="shared" si="4"/>
        <v>50000</v>
      </c>
      <c r="H11" s="314">
        <f t="shared" si="4"/>
        <v>50000</v>
      </c>
      <c r="I11" s="314">
        <f t="shared" si="4"/>
        <v>100000</v>
      </c>
      <c r="J11" s="314">
        <f t="shared" si="4"/>
        <v>100000</v>
      </c>
      <c r="K11" s="314">
        <f t="shared" si="4"/>
        <v>150000</v>
      </c>
      <c r="L11" s="314">
        <f t="shared" si="4"/>
        <v>150000</v>
      </c>
      <c r="M11" s="314">
        <f t="shared" si="4"/>
        <v>150000</v>
      </c>
      <c r="N11" s="314">
        <f t="shared" si="4"/>
        <v>150000</v>
      </c>
      <c r="O11" s="314">
        <f t="shared" si="4"/>
        <v>100000</v>
      </c>
      <c r="P11" s="314">
        <f t="shared" si="4"/>
        <v>0</v>
      </c>
      <c r="Q11" s="314">
        <f t="shared" si="4"/>
        <v>0</v>
      </c>
      <c r="R11" s="314">
        <f t="shared" si="4"/>
        <v>0</v>
      </c>
      <c r="S11" s="314">
        <f t="shared" si="4"/>
        <v>0</v>
      </c>
      <c r="T11" s="314">
        <f t="shared" si="4"/>
        <v>0</v>
      </c>
      <c r="U11" s="314">
        <f t="shared" si="4"/>
        <v>0</v>
      </c>
      <c r="V11" s="317"/>
      <c r="W11" s="317"/>
      <c r="X11" s="317"/>
      <c r="Y11" s="317"/>
      <c r="Z11" s="317"/>
      <c r="AA11" s="317"/>
      <c r="AB11" s="317"/>
      <c r="AC11" s="317"/>
      <c r="AD11" s="317"/>
      <c r="AE11" s="317"/>
      <c r="AF11" s="317"/>
      <c r="AG11" s="317"/>
      <c r="AH11" s="317"/>
      <c r="AI11" s="317"/>
      <c r="AJ11" s="317"/>
      <c r="AK11" s="322"/>
      <c r="AL11" s="322"/>
      <c r="AM11" s="320"/>
      <c r="AN11" s="320"/>
      <c r="AO11" s="320"/>
      <c r="AP11" s="320"/>
      <c r="AQ11" s="320"/>
      <c r="AR11" s="315">
        <f t="shared" si="3"/>
        <v>1000000</v>
      </c>
      <c r="AS11" s="315">
        <f t="shared" si="5"/>
        <v>1000000</v>
      </c>
      <c r="AT11" s="315">
        <f t="shared" si="7"/>
        <v>0</v>
      </c>
    </row>
    <row r="12" spans="1:46">
      <c r="A12" s="312" t="str">
        <f>'Yesler Financial'!B45</f>
        <v>Legal</v>
      </c>
      <c r="B12" s="313">
        <f>'Yesler Financial'!D45</f>
        <v>500000</v>
      </c>
      <c r="C12" s="314">
        <f t="shared" si="6"/>
        <v>0</v>
      </c>
      <c r="D12" s="314">
        <f t="shared" si="4"/>
        <v>0</v>
      </c>
      <c r="E12" s="314">
        <f t="shared" si="4"/>
        <v>0</v>
      </c>
      <c r="F12" s="314">
        <f t="shared" si="4"/>
        <v>0</v>
      </c>
      <c r="G12" s="314">
        <f t="shared" si="4"/>
        <v>25000</v>
      </c>
      <c r="H12" s="314">
        <f t="shared" si="4"/>
        <v>25000</v>
      </c>
      <c r="I12" s="314">
        <f t="shared" si="4"/>
        <v>50000</v>
      </c>
      <c r="J12" s="314">
        <f t="shared" si="4"/>
        <v>50000</v>
      </c>
      <c r="K12" s="314">
        <f t="shared" si="4"/>
        <v>75000</v>
      </c>
      <c r="L12" s="314">
        <f t="shared" si="4"/>
        <v>75000</v>
      </c>
      <c r="M12" s="314">
        <f t="shared" si="4"/>
        <v>75000</v>
      </c>
      <c r="N12" s="314">
        <f t="shared" si="4"/>
        <v>75000</v>
      </c>
      <c r="O12" s="314">
        <f t="shared" si="4"/>
        <v>50000</v>
      </c>
      <c r="P12" s="314">
        <f t="shared" si="4"/>
        <v>0</v>
      </c>
      <c r="Q12" s="314">
        <f t="shared" si="4"/>
        <v>0</v>
      </c>
      <c r="R12" s="314">
        <f t="shared" si="4"/>
        <v>0</v>
      </c>
      <c r="S12" s="314">
        <f t="shared" si="4"/>
        <v>0</v>
      </c>
      <c r="T12" s="314">
        <f t="shared" si="4"/>
        <v>0</v>
      </c>
      <c r="U12" s="314">
        <f t="shared" si="4"/>
        <v>0</v>
      </c>
      <c r="V12" s="314"/>
      <c r="W12" s="314"/>
      <c r="X12" s="316"/>
      <c r="Y12" s="316"/>
      <c r="Z12" s="316"/>
      <c r="AA12" s="316"/>
      <c r="AB12" s="316"/>
      <c r="AC12" s="316"/>
      <c r="AD12" s="316"/>
      <c r="AE12" s="316"/>
      <c r="AF12" s="316"/>
      <c r="AG12" s="316"/>
      <c r="AH12" s="316"/>
      <c r="AI12" s="316"/>
      <c r="AJ12" s="316"/>
      <c r="AK12" s="320"/>
      <c r="AL12" s="320"/>
      <c r="AM12" s="320"/>
      <c r="AN12" s="320"/>
      <c r="AO12" s="320"/>
      <c r="AP12" s="320"/>
      <c r="AQ12" s="320"/>
      <c r="AR12" s="315">
        <f t="shared" si="3"/>
        <v>500000</v>
      </c>
      <c r="AS12" s="315">
        <f t="shared" si="5"/>
        <v>500000</v>
      </c>
      <c r="AT12" s="315">
        <f t="shared" si="7"/>
        <v>0</v>
      </c>
    </row>
    <row r="13" spans="1:46">
      <c r="A13" s="312" t="str">
        <f>'Yesler Financial'!B46</f>
        <v>Land Closing Costs/commissions</v>
      </c>
      <c r="B13" s="313">
        <f>'Yesler Financial'!D46</f>
        <v>120000</v>
      </c>
      <c r="C13" s="314">
        <f>B13</f>
        <v>120000</v>
      </c>
      <c r="D13" s="314">
        <v>0</v>
      </c>
      <c r="E13" s="314">
        <v>0</v>
      </c>
      <c r="F13" s="314">
        <v>0</v>
      </c>
      <c r="G13" s="314">
        <v>0</v>
      </c>
      <c r="H13" s="314">
        <v>0</v>
      </c>
      <c r="I13" s="314">
        <v>0</v>
      </c>
      <c r="J13" s="314">
        <v>0</v>
      </c>
      <c r="K13" s="314">
        <v>0</v>
      </c>
      <c r="L13" s="314">
        <v>0</v>
      </c>
      <c r="M13" s="314">
        <v>0</v>
      </c>
      <c r="N13" s="314">
        <v>0</v>
      </c>
      <c r="O13" s="314">
        <v>0</v>
      </c>
      <c r="P13" s="314">
        <v>0</v>
      </c>
      <c r="Q13" s="314">
        <v>0</v>
      </c>
      <c r="R13" s="314">
        <v>0</v>
      </c>
      <c r="S13" s="314">
        <v>0</v>
      </c>
      <c r="T13" s="314">
        <v>0</v>
      </c>
      <c r="U13" s="314">
        <v>0</v>
      </c>
      <c r="V13" s="314"/>
      <c r="W13" s="314"/>
      <c r="X13" s="314"/>
      <c r="Y13" s="314"/>
      <c r="Z13" s="314"/>
      <c r="AA13" s="314"/>
      <c r="AB13" s="314"/>
      <c r="AC13" s="314"/>
      <c r="AD13" s="314"/>
      <c r="AE13" s="314"/>
      <c r="AF13" s="314"/>
      <c r="AG13" s="314"/>
      <c r="AH13" s="314"/>
      <c r="AI13" s="314"/>
      <c r="AJ13" s="314"/>
      <c r="AK13" s="315"/>
      <c r="AL13" s="315"/>
      <c r="AM13" s="315"/>
      <c r="AN13" s="315"/>
      <c r="AO13" s="315"/>
      <c r="AP13" s="315"/>
      <c r="AQ13" s="315"/>
      <c r="AR13" s="315">
        <f t="shared" si="3"/>
        <v>120000</v>
      </c>
      <c r="AS13" s="315">
        <f t="shared" si="5"/>
        <v>120000</v>
      </c>
      <c r="AT13" s="315">
        <f t="shared" si="7"/>
        <v>0</v>
      </c>
    </row>
    <row r="14" spans="1:46">
      <c r="A14" s="312" t="str">
        <f>'Yesler Financial'!B47</f>
        <v xml:space="preserve">Design </v>
      </c>
      <c r="B14" s="313">
        <f>'Yesler Financial'!D47</f>
        <v>935906.4</v>
      </c>
      <c r="C14" s="314">
        <f t="shared" si="6"/>
        <v>0</v>
      </c>
      <c r="D14" s="314">
        <f t="shared" si="4"/>
        <v>0</v>
      </c>
      <c r="E14" s="314">
        <f t="shared" si="4"/>
        <v>0</v>
      </c>
      <c r="F14" s="314">
        <f t="shared" si="4"/>
        <v>0</v>
      </c>
      <c r="G14" s="314">
        <f t="shared" si="4"/>
        <v>46795.320000000007</v>
      </c>
      <c r="H14" s="314">
        <f t="shared" si="4"/>
        <v>46795.320000000007</v>
      </c>
      <c r="I14" s="314">
        <f t="shared" si="4"/>
        <v>93590.640000000014</v>
      </c>
      <c r="J14" s="314">
        <f t="shared" si="4"/>
        <v>93590.640000000014</v>
      </c>
      <c r="K14" s="314">
        <f t="shared" si="4"/>
        <v>140385.96</v>
      </c>
      <c r="L14" s="314">
        <f t="shared" si="4"/>
        <v>140385.96</v>
      </c>
      <c r="M14" s="314">
        <f t="shared" si="4"/>
        <v>140385.96</v>
      </c>
      <c r="N14" s="314">
        <f t="shared" si="4"/>
        <v>140385.96</v>
      </c>
      <c r="O14" s="314">
        <f t="shared" si="4"/>
        <v>93590.640000000014</v>
      </c>
      <c r="P14" s="314">
        <f t="shared" si="4"/>
        <v>0</v>
      </c>
      <c r="Q14" s="314">
        <f t="shared" si="4"/>
        <v>0</v>
      </c>
      <c r="R14" s="314">
        <f t="shared" si="4"/>
        <v>0</v>
      </c>
      <c r="S14" s="314">
        <f t="shared" si="4"/>
        <v>0</v>
      </c>
      <c r="T14" s="314">
        <f t="shared" si="4"/>
        <v>0</v>
      </c>
      <c r="U14" s="314">
        <f t="shared" si="4"/>
        <v>0</v>
      </c>
      <c r="V14" s="314"/>
      <c r="W14" s="314"/>
      <c r="X14" s="314"/>
      <c r="Y14" s="314"/>
      <c r="Z14" s="314"/>
      <c r="AA14" s="314"/>
      <c r="AB14" s="314"/>
      <c r="AC14" s="314"/>
      <c r="AD14" s="314"/>
      <c r="AE14" s="314"/>
      <c r="AF14" s="314"/>
      <c r="AG14" s="314"/>
      <c r="AH14" s="314"/>
      <c r="AI14" s="314"/>
      <c r="AJ14" s="314"/>
      <c r="AK14" s="315"/>
      <c r="AL14" s="315"/>
      <c r="AM14" s="315"/>
      <c r="AN14" s="315"/>
      <c r="AO14" s="315"/>
      <c r="AP14" s="315"/>
      <c r="AQ14" s="315"/>
      <c r="AR14" s="315">
        <f t="shared" si="3"/>
        <v>935906.39999999991</v>
      </c>
      <c r="AS14" s="315">
        <f t="shared" si="5"/>
        <v>935906.4</v>
      </c>
      <c r="AT14" s="315">
        <f t="shared" si="7"/>
        <v>0</v>
      </c>
    </row>
    <row r="15" spans="1:46">
      <c r="A15" s="312" t="str">
        <f>'Yesler Financial'!B48</f>
        <v>Developer Fee</v>
      </c>
      <c r="B15" s="313">
        <f>'Yesler Financial'!D48</f>
        <v>1323871.392</v>
      </c>
      <c r="C15" s="314">
        <f t="shared" si="6"/>
        <v>0</v>
      </c>
      <c r="D15" s="314">
        <f t="shared" si="4"/>
        <v>0</v>
      </c>
      <c r="E15" s="314">
        <f t="shared" si="4"/>
        <v>0</v>
      </c>
      <c r="F15" s="314">
        <f t="shared" si="4"/>
        <v>0</v>
      </c>
      <c r="G15" s="314">
        <f t="shared" si="4"/>
        <v>66193.569600000003</v>
      </c>
      <c r="H15" s="314">
        <f t="shared" si="4"/>
        <v>66193.569600000003</v>
      </c>
      <c r="I15" s="314">
        <f t="shared" si="4"/>
        <v>132387.13920000001</v>
      </c>
      <c r="J15" s="314">
        <f t="shared" si="4"/>
        <v>132387.13920000001</v>
      </c>
      <c r="K15" s="314">
        <f t="shared" si="4"/>
        <v>198580.70879999999</v>
      </c>
      <c r="L15" s="314">
        <f t="shared" si="4"/>
        <v>198580.70879999999</v>
      </c>
      <c r="M15" s="314">
        <f t="shared" si="4"/>
        <v>198580.70879999999</v>
      </c>
      <c r="N15" s="314">
        <f t="shared" si="4"/>
        <v>198580.70879999999</v>
      </c>
      <c r="O15" s="314">
        <f t="shared" si="4"/>
        <v>132387.13920000001</v>
      </c>
      <c r="P15" s="314">
        <f t="shared" si="4"/>
        <v>0</v>
      </c>
      <c r="Q15" s="314">
        <f t="shared" si="4"/>
        <v>0</v>
      </c>
      <c r="R15" s="314">
        <f t="shared" si="4"/>
        <v>0</v>
      </c>
      <c r="S15" s="314">
        <f t="shared" si="4"/>
        <v>0</v>
      </c>
      <c r="T15" s="314">
        <f t="shared" si="4"/>
        <v>0</v>
      </c>
      <c r="U15" s="314">
        <f t="shared" si="4"/>
        <v>0</v>
      </c>
      <c r="V15" s="314"/>
      <c r="W15" s="314"/>
      <c r="X15" s="314"/>
      <c r="Y15" s="314"/>
      <c r="Z15" s="314"/>
      <c r="AA15" s="314"/>
      <c r="AB15" s="314"/>
      <c r="AC15" s="314"/>
      <c r="AD15" s="314"/>
      <c r="AE15" s="314"/>
      <c r="AF15" s="314"/>
      <c r="AG15" s="314"/>
      <c r="AH15" s="314"/>
      <c r="AI15" s="314"/>
      <c r="AJ15" s="314"/>
      <c r="AK15" s="315"/>
      <c r="AL15" s="315"/>
      <c r="AM15" s="315"/>
      <c r="AN15" s="315"/>
      <c r="AO15" s="315"/>
      <c r="AP15" s="315"/>
      <c r="AQ15" s="315"/>
      <c r="AR15" s="315">
        <f t="shared" si="3"/>
        <v>1323871.3920000002</v>
      </c>
      <c r="AS15" s="315">
        <f t="shared" si="5"/>
        <v>1323871.392</v>
      </c>
      <c r="AT15" s="315">
        <f t="shared" si="7"/>
        <v>0</v>
      </c>
    </row>
    <row r="16" spans="1:46">
      <c r="A16" s="312" t="str">
        <f>'Yesler Financial'!B49</f>
        <v>Construction Management Fee</v>
      </c>
      <c r="B16" s="313">
        <f>'Yesler Financial'!D49</f>
        <v>638312.80000000005</v>
      </c>
      <c r="C16" s="314">
        <f t="shared" si="6"/>
        <v>0</v>
      </c>
      <c r="D16" s="314">
        <f t="shared" si="4"/>
        <v>0</v>
      </c>
      <c r="E16" s="314">
        <f t="shared" si="4"/>
        <v>0</v>
      </c>
      <c r="F16" s="314">
        <f t="shared" si="4"/>
        <v>0</v>
      </c>
      <c r="G16" s="314">
        <f t="shared" si="4"/>
        <v>31915.640000000003</v>
      </c>
      <c r="H16" s="314">
        <f t="shared" si="4"/>
        <v>31915.640000000003</v>
      </c>
      <c r="I16" s="314">
        <f t="shared" si="4"/>
        <v>63831.280000000006</v>
      </c>
      <c r="J16" s="314">
        <f t="shared" si="4"/>
        <v>63831.280000000006</v>
      </c>
      <c r="K16" s="314">
        <f t="shared" si="4"/>
        <v>95746.92</v>
      </c>
      <c r="L16" s="314">
        <f t="shared" si="4"/>
        <v>95746.92</v>
      </c>
      <c r="M16" s="314">
        <f t="shared" si="4"/>
        <v>95746.92</v>
      </c>
      <c r="N16" s="314">
        <f t="shared" si="4"/>
        <v>95746.92</v>
      </c>
      <c r="O16" s="314">
        <f t="shared" si="4"/>
        <v>63831.280000000006</v>
      </c>
      <c r="P16" s="314">
        <f t="shared" si="4"/>
        <v>0</v>
      </c>
      <c r="Q16" s="314">
        <f t="shared" si="4"/>
        <v>0</v>
      </c>
      <c r="R16" s="314">
        <f t="shared" si="4"/>
        <v>0</v>
      </c>
      <c r="S16" s="314">
        <f t="shared" si="4"/>
        <v>0</v>
      </c>
      <c r="T16" s="314">
        <f t="shared" si="4"/>
        <v>0</v>
      </c>
      <c r="U16" s="314">
        <f t="shared" si="4"/>
        <v>0</v>
      </c>
      <c r="V16" s="314"/>
      <c r="W16" s="314"/>
      <c r="X16" s="314"/>
      <c r="Y16" s="314"/>
      <c r="Z16" s="314"/>
      <c r="AA16" s="314"/>
      <c r="AB16" s="314"/>
      <c r="AC16" s="314"/>
      <c r="AD16" s="314"/>
      <c r="AE16" s="314"/>
      <c r="AF16" s="314"/>
      <c r="AG16" s="314"/>
      <c r="AH16" s="314"/>
      <c r="AI16" s="314"/>
      <c r="AJ16" s="314"/>
      <c r="AK16" s="315"/>
      <c r="AL16" s="315"/>
      <c r="AM16" s="315"/>
      <c r="AN16" s="315"/>
      <c r="AO16" s="315"/>
      <c r="AP16" s="315"/>
      <c r="AQ16" s="315"/>
      <c r="AR16" s="315">
        <f t="shared" si="3"/>
        <v>638312.80000000005</v>
      </c>
      <c r="AS16" s="315">
        <f t="shared" si="5"/>
        <v>638312.80000000005</v>
      </c>
      <c r="AT16" s="315">
        <f t="shared" si="7"/>
        <v>0</v>
      </c>
    </row>
    <row r="17" spans="1:46">
      <c r="A17" s="312" t="str">
        <f>'Yesler Financial'!B50</f>
        <v>Taxes (2 years of assessments)</v>
      </c>
      <c r="B17" s="313">
        <f>'Yesler Financial'!D50</f>
        <v>144800</v>
      </c>
      <c r="C17" s="314">
        <f t="shared" si="6"/>
        <v>0</v>
      </c>
      <c r="D17" s="314">
        <f t="shared" si="4"/>
        <v>0</v>
      </c>
      <c r="E17" s="314">
        <f t="shared" si="4"/>
        <v>0</v>
      </c>
      <c r="F17" s="314">
        <f t="shared" si="4"/>
        <v>0</v>
      </c>
      <c r="G17" s="314">
        <f t="shared" ref="G17:U26" si="8">$B17*G$4</f>
        <v>7240</v>
      </c>
      <c r="H17" s="314">
        <f t="shared" si="8"/>
        <v>7240</v>
      </c>
      <c r="I17" s="314">
        <f t="shared" si="8"/>
        <v>14480</v>
      </c>
      <c r="J17" s="314">
        <f t="shared" si="8"/>
        <v>14480</v>
      </c>
      <c r="K17" s="314">
        <f t="shared" si="8"/>
        <v>21720</v>
      </c>
      <c r="L17" s="314">
        <f t="shared" si="8"/>
        <v>21720</v>
      </c>
      <c r="M17" s="314">
        <f t="shared" si="8"/>
        <v>21720</v>
      </c>
      <c r="N17" s="314">
        <f t="shared" si="8"/>
        <v>21720</v>
      </c>
      <c r="O17" s="314">
        <f t="shared" si="8"/>
        <v>14480</v>
      </c>
      <c r="P17" s="314">
        <f t="shared" si="8"/>
        <v>0</v>
      </c>
      <c r="Q17" s="314">
        <f t="shared" si="8"/>
        <v>0</v>
      </c>
      <c r="R17" s="314">
        <f t="shared" si="8"/>
        <v>0</v>
      </c>
      <c r="S17" s="314">
        <f t="shared" si="8"/>
        <v>0</v>
      </c>
      <c r="T17" s="314">
        <f t="shared" si="8"/>
        <v>0</v>
      </c>
      <c r="U17" s="314">
        <f t="shared" si="8"/>
        <v>0</v>
      </c>
      <c r="V17" s="314"/>
      <c r="W17" s="314"/>
      <c r="X17" s="314"/>
      <c r="Y17" s="314"/>
      <c r="Z17" s="314"/>
      <c r="AA17" s="314"/>
      <c r="AB17" s="314"/>
      <c r="AC17" s="314"/>
      <c r="AD17" s="314"/>
      <c r="AE17" s="314"/>
      <c r="AF17" s="314"/>
      <c r="AG17" s="314"/>
      <c r="AH17" s="314"/>
      <c r="AI17" s="314"/>
      <c r="AJ17" s="314"/>
      <c r="AK17" s="315"/>
      <c r="AL17" s="315"/>
      <c r="AM17" s="315"/>
      <c r="AN17" s="315"/>
      <c r="AP17" s="315"/>
      <c r="AQ17" s="315"/>
      <c r="AR17" s="315">
        <f t="shared" si="3"/>
        <v>144800</v>
      </c>
      <c r="AS17" s="315">
        <f t="shared" si="5"/>
        <v>144800</v>
      </c>
      <c r="AT17" s="315">
        <f t="shared" si="7"/>
        <v>0</v>
      </c>
    </row>
    <row r="18" spans="1:46">
      <c r="A18" s="312" t="str">
        <f>'Yesler Financial'!B51</f>
        <v>Insurance</v>
      </c>
      <c r="B18" s="313">
        <f>'Yesler Financial'!D51</f>
        <v>177760</v>
      </c>
      <c r="C18" s="314">
        <f t="shared" si="6"/>
        <v>0</v>
      </c>
      <c r="D18" s="314">
        <f t="shared" si="6"/>
        <v>0</v>
      </c>
      <c r="E18" s="314">
        <f t="shared" si="6"/>
        <v>0</v>
      </c>
      <c r="F18" s="314">
        <f t="shared" si="6"/>
        <v>0</v>
      </c>
      <c r="G18" s="314">
        <f t="shared" si="6"/>
        <v>8888</v>
      </c>
      <c r="H18" s="314">
        <f t="shared" si="6"/>
        <v>8888</v>
      </c>
      <c r="I18" s="314">
        <f t="shared" si="6"/>
        <v>17776</v>
      </c>
      <c r="J18" s="314">
        <f t="shared" si="6"/>
        <v>17776</v>
      </c>
      <c r="K18" s="314">
        <f t="shared" si="6"/>
        <v>26664</v>
      </c>
      <c r="L18" s="314">
        <f t="shared" si="6"/>
        <v>26664</v>
      </c>
      <c r="M18" s="314">
        <f t="shared" si="6"/>
        <v>26664</v>
      </c>
      <c r="N18" s="314">
        <f t="shared" si="6"/>
        <v>26664</v>
      </c>
      <c r="O18" s="314">
        <f t="shared" si="6"/>
        <v>17776</v>
      </c>
      <c r="P18" s="314">
        <f t="shared" si="6"/>
        <v>0</v>
      </c>
      <c r="Q18" s="314">
        <f t="shared" si="6"/>
        <v>0</v>
      </c>
      <c r="R18" s="314">
        <f t="shared" si="6"/>
        <v>0</v>
      </c>
      <c r="S18" s="314">
        <f t="shared" si="8"/>
        <v>0</v>
      </c>
      <c r="T18" s="314">
        <f t="shared" si="8"/>
        <v>0</v>
      </c>
      <c r="U18" s="314">
        <f t="shared" si="8"/>
        <v>0</v>
      </c>
      <c r="V18" s="314"/>
      <c r="W18" s="314"/>
      <c r="X18" s="314"/>
      <c r="Y18" s="314"/>
      <c r="Z18" s="314"/>
      <c r="AA18" s="314"/>
      <c r="AB18" s="314"/>
      <c r="AC18" s="314"/>
      <c r="AD18" s="314"/>
      <c r="AE18" s="314"/>
      <c r="AF18" s="314"/>
      <c r="AG18" s="314"/>
      <c r="AH18" s="314"/>
      <c r="AI18" s="314"/>
      <c r="AJ18" s="314"/>
      <c r="AK18" s="315"/>
      <c r="AL18" s="315"/>
      <c r="AM18" s="315"/>
      <c r="AN18" s="315"/>
      <c r="AO18" s="315"/>
      <c r="AP18" s="315"/>
      <c r="AQ18" s="315"/>
      <c r="AR18" s="315">
        <f t="shared" si="3"/>
        <v>177760</v>
      </c>
      <c r="AS18" s="315">
        <f t="shared" si="5"/>
        <v>177760</v>
      </c>
      <c r="AT18" s="315">
        <f t="shared" si="7"/>
        <v>0</v>
      </c>
    </row>
    <row r="19" spans="1:46">
      <c r="A19" s="312" t="str">
        <f>'Yesler Financial'!B52</f>
        <v>Marketing, FFE and Preleasing</v>
      </c>
      <c r="B19" s="313">
        <f>'Yesler Financial'!D52</f>
        <v>177760</v>
      </c>
      <c r="C19" s="314">
        <f t="shared" si="6"/>
        <v>0</v>
      </c>
      <c r="D19" s="314">
        <f t="shared" si="6"/>
        <v>0</v>
      </c>
      <c r="E19" s="314">
        <f t="shared" si="6"/>
        <v>0</v>
      </c>
      <c r="F19" s="314">
        <f t="shared" si="6"/>
        <v>0</v>
      </c>
      <c r="G19" s="314">
        <f t="shared" si="6"/>
        <v>8888</v>
      </c>
      <c r="H19" s="314">
        <f t="shared" si="6"/>
        <v>8888</v>
      </c>
      <c r="I19" s="314">
        <f t="shared" si="6"/>
        <v>17776</v>
      </c>
      <c r="J19" s="314">
        <f t="shared" si="6"/>
        <v>17776</v>
      </c>
      <c r="K19" s="314">
        <f t="shared" si="6"/>
        <v>26664</v>
      </c>
      <c r="L19" s="314">
        <f t="shared" si="6"/>
        <v>26664</v>
      </c>
      <c r="M19" s="314">
        <f t="shared" si="6"/>
        <v>26664</v>
      </c>
      <c r="N19" s="314">
        <f t="shared" si="6"/>
        <v>26664</v>
      </c>
      <c r="O19" s="314">
        <f t="shared" si="6"/>
        <v>17776</v>
      </c>
      <c r="P19" s="314">
        <f t="shared" si="6"/>
        <v>0</v>
      </c>
      <c r="Q19" s="314">
        <f t="shared" si="6"/>
        <v>0</v>
      </c>
      <c r="R19" s="314">
        <f t="shared" si="6"/>
        <v>0</v>
      </c>
      <c r="S19" s="314">
        <f t="shared" si="8"/>
        <v>0</v>
      </c>
      <c r="T19" s="314">
        <f t="shared" si="8"/>
        <v>0</v>
      </c>
      <c r="U19" s="314">
        <f t="shared" si="8"/>
        <v>0</v>
      </c>
      <c r="V19" s="314"/>
      <c r="W19" s="314"/>
      <c r="X19" s="314"/>
      <c r="Y19" s="314"/>
      <c r="Z19" s="314"/>
      <c r="AA19" s="314"/>
      <c r="AB19" s="314"/>
      <c r="AC19" s="314"/>
      <c r="AD19" s="314"/>
      <c r="AE19" s="314"/>
      <c r="AF19" s="314"/>
      <c r="AG19" s="314"/>
      <c r="AH19" s="314"/>
      <c r="AI19" s="314"/>
      <c r="AJ19" s="314"/>
      <c r="AK19" s="315"/>
      <c r="AL19" s="315"/>
      <c r="AM19" s="315"/>
      <c r="AN19" s="315"/>
      <c r="AO19" s="199"/>
      <c r="AP19" s="199"/>
      <c r="AQ19" s="199"/>
      <c r="AR19" s="315">
        <f t="shared" si="3"/>
        <v>177760</v>
      </c>
      <c r="AS19" s="315">
        <f t="shared" si="5"/>
        <v>177760</v>
      </c>
      <c r="AT19" s="315">
        <f t="shared" si="7"/>
        <v>0</v>
      </c>
    </row>
    <row r="20" spans="1:46">
      <c r="A20" s="312" t="str">
        <f>'Yesler Financial'!B53</f>
        <v>Operating Deficit</v>
      </c>
      <c r="B20" s="313">
        <f>'Yesler Financial'!D53</f>
        <v>4449680.25</v>
      </c>
      <c r="C20" s="314">
        <f t="shared" si="6"/>
        <v>0</v>
      </c>
      <c r="D20" s="314">
        <f t="shared" si="6"/>
        <v>0</v>
      </c>
      <c r="E20" s="314">
        <f t="shared" si="6"/>
        <v>0</v>
      </c>
      <c r="F20" s="314">
        <f t="shared" si="6"/>
        <v>0</v>
      </c>
      <c r="G20" s="314">
        <f t="shared" si="6"/>
        <v>222484.01250000001</v>
      </c>
      <c r="H20" s="314">
        <f t="shared" si="6"/>
        <v>222484.01250000001</v>
      </c>
      <c r="I20" s="314">
        <f t="shared" si="6"/>
        <v>444968.02500000002</v>
      </c>
      <c r="J20" s="314">
        <f t="shared" si="6"/>
        <v>444968.02500000002</v>
      </c>
      <c r="K20" s="314">
        <f t="shared" si="6"/>
        <v>667452.03749999998</v>
      </c>
      <c r="L20" s="314">
        <f t="shared" si="6"/>
        <v>667452.03749999998</v>
      </c>
      <c r="M20" s="314">
        <f t="shared" si="6"/>
        <v>667452.03749999998</v>
      </c>
      <c r="N20" s="314">
        <f t="shared" si="6"/>
        <v>667452.03749999998</v>
      </c>
      <c r="O20" s="314">
        <f t="shared" si="6"/>
        <v>444968.02500000002</v>
      </c>
      <c r="P20" s="314">
        <f t="shared" si="6"/>
        <v>0</v>
      </c>
      <c r="Q20" s="314">
        <f t="shared" si="6"/>
        <v>0</v>
      </c>
      <c r="R20" s="314">
        <f t="shared" si="6"/>
        <v>0</v>
      </c>
      <c r="S20" s="314">
        <f t="shared" si="8"/>
        <v>0</v>
      </c>
      <c r="T20" s="314">
        <f t="shared" si="8"/>
        <v>0</v>
      </c>
      <c r="U20" s="314">
        <f t="shared" si="8"/>
        <v>0</v>
      </c>
      <c r="V20" s="323"/>
      <c r="W20" s="323"/>
      <c r="X20" s="323"/>
      <c r="Y20" s="323"/>
      <c r="Z20" s="323"/>
      <c r="AA20" s="323"/>
      <c r="AB20" s="323"/>
      <c r="AC20" s="323"/>
      <c r="AD20" s="323"/>
      <c r="AE20" s="323"/>
      <c r="AF20" s="323"/>
      <c r="AG20" s="323"/>
      <c r="AH20" s="323"/>
      <c r="AI20" s="323"/>
      <c r="AJ20" s="323"/>
      <c r="AK20" s="199"/>
      <c r="AL20" s="199"/>
      <c r="AM20" s="315"/>
      <c r="AN20" s="315"/>
      <c r="AO20" s="315"/>
      <c r="AP20" s="315"/>
      <c r="AQ20" s="324"/>
      <c r="AR20" s="315">
        <f t="shared" si="3"/>
        <v>4449680.2500000009</v>
      </c>
      <c r="AS20" s="315">
        <f t="shared" si="5"/>
        <v>4449680.25</v>
      </c>
      <c r="AT20" s="315">
        <f t="shared" si="7"/>
        <v>0</v>
      </c>
    </row>
    <row r="21" spans="1:46">
      <c r="A21" s="312" t="str">
        <f>'Yesler Financial'!B54</f>
        <v>Net interest during closeout</v>
      </c>
      <c r="B21" s="313">
        <f ca="1">'Yesler Financial'!D54</f>
        <v>433237.01286309259</v>
      </c>
      <c r="C21" s="314">
        <f t="shared" ca="1" si="6"/>
        <v>0</v>
      </c>
      <c r="D21" s="314">
        <f t="shared" ca="1" si="6"/>
        <v>0</v>
      </c>
      <c r="E21" s="314">
        <f t="shared" ca="1" si="6"/>
        <v>0</v>
      </c>
      <c r="F21" s="314">
        <f t="shared" ca="1" si="6"/>
        <v>0</v>
      </c>
      <c r="G21" s="314">
        <f t="shared" ca="1" si="6"/>
        <v>21661.85064315463</v>
      </c>
      <c r="H21" s="314">
        <f t="shared" ca="1" si="6"/>
        <v>21661.85064315463</v>
      </c>
      <c r="I21" s="314">
        <f t="shared" ca="1" si="6"/>
        <v>43323.70128630926</v>
      </c>
      <c r="J21" s="314">
        <f t="shared" ca="1" si="6"/>
        <v>43323.70128630926</v>
      </c>
      <c r="K21" s="314">
        <f t="shared" ca="1" si="6"/>
        <v>64985.551929463887</v>
      </c>
      <c r="L21" s="314">
        <f t="shared" ca="1" si="6"/>
        <v>64985.551929463887</v>
      </c>
      <c r="M21" s="314">
        <f t="shared" ca="1" si="6"/>
        <v>64985.551929463887</v>
      </c>
      <c r="N21" s="314">
        <f t="shared" ca="1" si="6"/>
        <v>64985.551929463887</v>
      </c>
      <c r="O21" s="314">
        <f t="shared" ca="1" si="6"/>
        <v>43323.70128630926</v>
      </c>
      <c r="P21" s="314">
        <f t="shared" ca="1" si="6"/>
        <v>0</v>
      </c>
      <c r="Q21" s="314">
        <f t="shared" ca="1" si="6"/>
        <v>0</v>
      </c>
      <c r="R21" s="314">
        <f t="shared" ca="1" si="6"/>
        <v>0</v>
      </c>
      <c r="S21" s="314">
        <f t="shared" ca="1" si="8"/>
        <v>0</v>
      </c>
      <c r="T21" s="314">
        <f t="shared" ca="1" si="8"/>
        <v>0</v>
      </c>
      <c r="U21" s="314">
        <f t="shared" ca="1" si="8"/>
        <v>0</v>
      </c>
      <c r="V21" s="323"/>
      <c r="W21" s="323"/>
      <c r="X21" s="323"/>
      <c r="Y21" s="323"/>
      <c r="Z21" s="323"/>
      <c r="AA21" s="323"/>
      <c r="AB21" s="323"/>
      <c r="AC21" s="323"/>
      <c r="AD21" s="323"/>
      <c r="AE21" s="323"/>
      <c r="AF21" s="323"/>
      <c r="AG21" s="323"/>
      <c r="AH21" s="323"/>
      <c r="AI21" s="323"/>
      <c r="AJ21" s="323"/>
      <c r="AK21" s="199"/>
      <c r="AL21" s="199"/>
      <c r="AM21" s="315"/>
      <c r="AN21" s="315"/>
      <c r="AO21" s="315"/>
      <c r="AP21" s="315"/>
      <c r="AQ21" s="324"/>
      <c r="AR21" s="315">
        <f t="shared" ref="AR21" ca="1" si="9">SUM(C21:AQ21)</f>
        <v>433237.01286309259</v>
      </c>
      <c r="AS21" s="315">
        <f t="shared" ref="AS21" ca="1" si="10">B21</f>
        <v>433237.01286309259</v>
      </c>
      <c r="AT21" s="315">
        <f t="shared" ref="AT21" ca="1" si="11">AS21-AR21</f>
        <v>0</v>
      </c>
    </row>
    <row r="22" spans="1:46">
      <c r="A22" s="312" t="str">
        <f>'Yesler Financial'!B55</f>
        <v>Retail Tenant Improvements</v>
      </c>
      <c r="B22" s="313">
        <f>'Yesler Financial'!D55</f>
        <v>4069500</v>
      </c>
      <c r="C22" s="314">
        <f t="shared" si="6"/>
        <v>0</v>
      </c>
      <c r="D22" s="314">
        <f t="shared" si="6"/>
        <v>0</v>
      </c>
      <c r="E22" s="314">
        <f t="shared" si="6"/>
        <v>0</v>
      </c>
      <c r="F22" s="314">
        <f t="shared" si="6"/>
        <v>0</v>
      </c>
      <c r="G22" s="314">
        <f t="shared" si="6"/>
        <v>203475</v>
      </c>
      <c r="H22" s="314">
        <f t="shared" si="6"/>
        <v>203475</v>
      </c>
      <c r="I22" s="314">
        <f t="shared" si="6"/>
        <v>406950</v>
      </c>
      <c r="J22" s="314">
        <f t="shared" si="6"/>
        <v>406950</v>
      </c>
      <c r="K22" s="314">
        <f t="shared" si="6"/>
        <v>610425</v>
      </c>
      <c r="L22" s="314">
        <f t="shared" si="6"/>
        <v>610425</v>
      </c>
      <c r="M22" s="314">
        <f t="shared" si="6"/>
        <v>610425</v>
      </c>
      <c r="N22" s="314">
        <f t="shared" si="6"/>
        <v>610425</v>
      </c>
      <c r="O22" s="314">
        <f t="shared" si="6"/>
        <v>406950</v>
      </c>
      <c r="P22" s="314">
        <f t="shared" si="6"/>
        <v>0</v>
      </c>
      <c r="Q22" s="314">
        <f t="shared" si="6"/>
        <v>0</v>
      </c>
      <c r="R22" s="314">
        <f t="shared" si="6"/>
        <v>0</v>
      </c>
      <c r="S22" s="314">
        <f t="shared" si="8"/>
        <v>0</v>
      </c>
      <c r="T22" s="314">
        <f t="shared" si="8"/>
        <v>0</v>
      </c>
      <c r="U22" s="314">
        <f t="shared" si="8"/>
        <v>0</v>
      </c>
      <c r="V22" s="314"/>
      <c r="W22" s="314"/>
      <c r="X22" s="314"/>
      <c r="Y22" s="314"/>
      <c r="Z22" s="314"/>
      <c r="AA22" s="314"/>
      <c r="AB22" s="314"/>
      <c r="AC22" s="314"/>
      <c r="AD22" s="314"/>
      <c r="AE22" s="314"/>
      <c r="AF22" s="314"/>
      <c r="AG22" s="314"/>
      <c r="AH22" s="314"/>
      <c r="AI22" s="314"/>
      <c r="AJ22" s="314"/>
      <c r="AK22" s="315"/>
      <c r="AL22" s="315"/>
      <c r="AM22" s="315"/>
      <c r="AN22" s="315"/>
      <c r="AO22" s="315"/>
      <c r="AP22" s="315"/>
      <c r="AQ22" s="315"/>
      <c r="AR22" s="315">
        <f t="shared" si="3"/>
        <v>4069500</v>
      </c>
      <c r="AS22" s="315">
        <f t="shared" si="5"/>
        <v>4069500</v>
      </c>
      <c r="AT22" s="315">
        <f t="shared" si="7"/>
        <v>0</v>
      </c>
    </row>
    <row r="23" spans="1:46">
      <c r="A23" s="312" t="str">
        <f>'Yesler Financial'!B56</f>
        <v>Retail brokerage</v>
      </c>
      <c r="B23" s="313">
        <f>'Yesler Financial'!D56</f>
        <v>602286</v>
      </c>
      <c r="C23" s="314">
        <f>B23</f>
        <v>602286</v>
      </c>
      <c r="D23" s="314">
        <v>0</v>
      </c>
      <c r="E23" s="314">
        <v>0</v>
      </c>
      <c r="F23" s="314">
        <v>0</v>
      </c>
      <c r="G23" s="314">
        <v>0</v>
      </c>
      <c r="H23" s="314">
        <v>0</v>
      </c>
      <c r="I23" s="314">
        <v>0</v>
      </c>
      <c r="J23" s="314">
        <v>0</v>
      </c>
      <c r="K23" s="314">
        <v>0</v>
      </c>
      <c r="L23" s="314">
        <v>0</v>
      </c>
      <c r="M23" s="314">
        <v>0</v>
      </c>
      <c r="N23" s="314">
        <v>0</v>
      </c>
      <c r="O23" s="314">
        <v>0</v>
      </c>
      <c r="P23" s="314">
        <v>0</v>
      </c>
      <c r="Q23" s="314">
        <v>0</v>
      </c>
      <c r="R23" s="314">
        <v>0</v>
      </c>
      <c r="S23" s="314">
        <v>0</v>
      </c>
      <c r="T23" s="314">
        <v>0</v>
      </c>
      <c r="U23" s="314">
        <v>0</v>
      </c>
      <c r="V23" s="314"/>
      <c r="W23" s="314"/>
      <c r="X23" s="314"/>
      <c r="Y23" s="314"/>
      <c r="Z23" s="314"/>
      <c r="AA23" s="314"/>
      <c r="AB23" s="314"/>
      <c r="AC23" s="314"/>
      <c r="AD23" s="314"/>
      <c r="AE23" s="314"/>
      <c r="AF23" s="314"/>
      <c r="AG23" s="314"/>
      <c r="AH23" s="314"/>
      <c r="AI23" s="314"/>
      <c r="AJ23" s="314"/>
      <c r="AK23" s="315"/>
      <c r="AL23" s="315"/>
      <c r="AM23" s="315"/>
      <c r="AN23" s="315"/>
      <c r="AO23" s="315"/>
      <c r="AP23" s="315"/>
      <c r="AQ23" s="315"/>
      <c r="AR23" s="315">
        <f t="shared" si="3"/>
        <v>602286</v>
      </c>
      <c r="AS23" s="315">
        <f t="shared" si="5"/>
        <v>602286</v>
      </c>
      <c r="AT23" s="315">
        <f t="shared" si="7"/>
        <v>0</v>
      </c>
    </row>
    <row r="24" spans="1:46">
      <c r="A24" s="312" t="str">
        <f>'Yesler Financial'!B57</f>
        <v>Construction Loan Origination</v>
      </c>
      <c r="B24" s="313">
        <f ca="1">'Yesler Financial'!D57</f>
        <v>541546.26607886574</v>
      </c>
      <c r="C24" s="314">
        <f ca="1">B24</f>
        <v>541546.26607886574</v>
      </c>
      <c r="D24" s="314">
        <v>0</v>
      </c>
      <c r="E24" s="314">
        <v>0</v>
      </c>
      <c r="F24" s="314">
        <v>0</v>
      </c>
      <c r="G24" s="314">
        <v>0</v>
      </c>
      <c r="H24" s="314">
        <v>0</v>
      </c>
      <c r="I24" s="314">
        <v>0</v>
      </c>
      <c r="J24" s="314">
        <v>0</v>
      </c>
      <c r="K24" s="314">
        <v>0</v>
      </c>
      <c r="L24" s="314">
        <v>0</v>
      </c>
      <c r="M24" s="314">
        <v>0</v>
      </c>
      <c r="N24" s="314">
        <v>0</v>
      </c>
      <c r="O24" s="314">
        <v>0</v>
      </c>
      <c r="P24" s="314">
        <v>0</v>
      </c>
      <c r="Q24" s="314">
        <v>0</v>
      </c>
      <c r="R24" s="314">
        <v>0</v>
      </c>
      <c r="S24" s="314">
        <v>0</v>
      </c>
      <c r="T24" s="314">
        <v>0</v>
      </c>
      <c r="U24" s="314">
        <v>0</v>
      </c>
      <c r="V24" s="314"/>
      <c r="W24" s="314"/>
      <c r="X24" s="314"/>
      <c r="Y24" s="314"/>
      <c r="Z24" s="314"/>
      <c r="AA24" s="314"/>
      <c r="AB24" s="314"/>
      <c r="AC24" s="314"/>
      <c r="AD24" s="314"/>
      <c r="AE24" s="314"/>
      <c r="AF24" s="314"/>
      <c r="AG24" s="314"/>
      <c r="AH24" s="314"/>
      <c r="AI24" s="314"/>
      <c r="AJ24" s="314"/>
      <c r="AK24" s="315"/>
      <c r="AL24" s="315"/>
      <c r="AO24" s="315"/>
      <c r="AP24" s="315"/>
      <c r="AQ24" s="315"/>
      <c r="AR24" s="315">
        <f t="shared" ca="1" si="3"/>
        <v>541546.26607886574</v>
      </c>
      <c r="AS24" s="315">
        <f t="shared" ca="1" si="5"/>
        <v>541546.26607886574</v>
      </c>
      <c r="AT24" s="315">
        <f t="shared" ca="1" si="7"/>
        <v>0</v>
      </c>
    </row>
    <row r="25" spans="1:46">
      <c r="A25" s="312" t="str">
        <f>'Yesler Financial'!B58</f>
        <v>Construction Interest</v>
      </c>
      <c r="B25" s="313">
        <f ca="1">'Yesler Financial'!D58</f>
        <v>2888246.7524206173</v>
      </c>
      <c r="C25" s="314">
        <f t="shared" ca="1" si="6"/>
        <v>0</v>
      </c>
      <c r="D25" s="314">
        <f t="shared" ca="1" si="6"/>
        <v>0</v>
      </c>
      <c r="E25" s="314">
        <f t="shared" ca="1" si="6"/>
        <v>0</v>
      </c>
      <c r="F25" s="314">
        <f t="shared" ca="1" si="6"/>
        <v>0</v>
      </c>
      <c r="G25" s="314">
        <f t="shared" ca="1" si="6"/>
        <v>144412.33762103086</v>
      </c>
      <c r="H25" s="314">
        <f t="shared" ca="1" si="6"/>
        <v>144412.33762103086</v>
      </c>
      <c r="I25" s="314">
        <f t="shared" ca="1" si="6"/>
        <v>288824.67524206173</v>
      </c>
      <c r="J25" s="314">
        <f t="shared" ca="1" si="6"/>
        <v>288824.67524206173</v>
      </c>
      <c r="K25" s="314">
        <f t="shared" ca="1" si="6"/>
        <v>433237.01286309259</v>
      </c>
      <c r="L25" s="314">
        <f t="shared" ca="1" si="6"/>
        <v>433237.01286309259</v>
      </c>
      <c r="M25" s="314">
        <f t="shared" ca="1" si="6"/>
        <v>433237.01286309259</v>
      </c>
      <c r="N25" s="314">
        <f t="shared" ca="1" si="6"/>
        <v>433237.01286309259</v>
      </c>
      <c r="O25" s="314">
        <f t="shared" ca="1" si="6"/>
        <v>288824.67524206173</v>
      </c>
      <c r="P25" s="314">
        <f t="shared" ca="1" si="6"/>
        <v>0</v>
      </c>
      <c r="Q25" s="314">
        <f t="shared" ca="1" si="6"/>
        <v>0</v>
      </c>
      <c r="R25" s="314">
        <f t="shared" ca="1" si="6"/>
        <v>0</v>
      </c>
      <c r="S25" s="314">
        <f t="shared" ca="1" si="8"/>
        <v>0</v>
      </c>
      <c r="T25" s="314">
        <f t="shared" ca="1" si="8"/>
        <v>0</v>
      </c>
      <c r="U25" s="314">
        <f t="shared" ca="1" si="8"/>
        <v>0</v>
      </c>
      <c r="V25" s="314"/>
      <c r="W25" s="314"/>
      <c r="X25" s="314"/>
      <c r="Y25" s="314"/>
      <c r="Z25" s="323"/>
      <c r="AA25" s="323"/>
      <c r="AB25" s="323"/>
      <c r="AC25" s="323"/>
      <c r="AD25" s="323"/>
      <c r="AE25" s="323"/>
      <c r="AF25" s="323"/>
      <c r="AG25" s="323"/>
      <c r="AH25" s="323"/>
      <c r="AI25" s="323"/>
      <c r="AJ25" s="323"/>
      <c r="AK25" s="315"/>
      <c r="AL25" s="315"/>
      <c r="AM25" s="315"/>
      <c r="AN25" s="315"/>
      <c r="AO25" s="315"/>
      <c r="AP25" s="315"/>
      <c r="AQ25" s="315"/>
      <c r="AR25" s="315">
        <f t="shared" ca="1" si="3"/>
        <v>2888246.7524206173</v>
      </c>
      <c r="AS25" s="315">
        <f t="shared" ca="1" si="5"/>
        <v>2888246.7524206173</v>
      </c>
      <c r="AT25" s="315">
        <f t="shared" ca="1" si="7"/>
        <v>0</v>
      </c>
    </row>
    <row r="26" spans="1:46" ht="13.5" thickBot="1">
      <c r="A26" s="426" t="str">
        <f>'Yesler Financial'!B59</f>
        <v>Additional Contingency</v>
      </c>
      <c r="B26" s="326">
        <f ca="1">'Yesler Financial'!D59</f>
        <v>595760.46873362572</v>
      </c>
      <c r="C26" s="314">
        <f t="shared" ca="1" si="6"/>
        <v>0</v>
      </c>
      <c r="D26" s="314">
        <f t="shared" ca="1" si="6"/>
        <v>0</v>
      </c>
      <c r="E26" s="314">
        <f t="shared" ca="1" si="6"/>
        <v>0</v>
      </c>
      <c r="F26" s="314">
        <f t="shared" ca="1" si="6"/>
        <v>0</v>
      </c>
      <c r="G26" s="314">
        <f t="shared" ca="1" si="6"/>
        <v>29788.023436681287</v>
      </c>
      <c r="H26" s="314">
        <f t="shared" ca="1" si="6"/>
        <v>29788.023436681287</v>
      </c>
      <c r="I26" s="314">
        <f t="shared" ca="1" si="6"/>
        <v>59576.046873362575</v>
      </c>
      <c r="J26" s="314">
        <f t="shared" ca="1" si="6"/>
        <v>59576.046873362575</v>
      </c>
      <c r="K26" s="314">
        <f t="shared" ca="1" si="6"/>
        <v>89364.070310043855</v>
      </c>
      <c r="L26" s="314">
        <f t="shared" ca="1" si="6"/>
        <v>89364.070310043855</v>
      </c>
      <c r="M26" s="314">
        <f t="shared" ca="1" si="6"/>
        <v>89364.070310043855</v>
      </c>
      <c r="N26" s="314">
        <f t="shared" ca="1" si="6"/>
        <v>89364.070310043855</v>
      </c>
      <c r="O26" s="314">
        <f t="shared" ca="1" si="6"/>
        <v>59576.046873362575</v>
      </c>
      <c r="P26" s="314">
        <f t="shared" ca="1" si="6"/>
        <v>0</v>
      </c>
      <c r="Q26" s="314">
        <f t="shared" ca="1" si="6"/>
        <v>0</v>
      </c>
      <c r="R26" s="314">
        <f t="shared" ca="1" si="6"/>
        <v>0</v>
      </c>
      <c r="S26" s="314">
        <f t="shared" ca="1" si="8"/>
        <v>0</v>
      </c>
      <c r="T26" s="314">
        <f t="shared" ca="1" si="8"/>
        <v>0</v>
      </c>
      <c r="U26" s="314">
        <f t="shared" ca="1" si="8"/>
        <v>0</v>
      </c>
      <c r="V26" s="327"/>
      <c r="W26" s="327"/>
      <c r="X26" s="327"/>
      <c r="Y26" s="327"/>
      <c r="Z26" s="327"/>
      <c r="AA26" s="327"/>
      <c r="AB26" s="327"/>
      <c r="AC26" s="327"/>
      <c r="AD26" s="327"/>
      <c r="AE26" s="327"/>
      <c r="AF26" s="327"/>
      <c r="AG26" s="327"/>
      <c r="AH26" s="327"/>
      <c r="AI26" s="327"/>
      <c r="AJ26" s="327"/>
      <c r="AK26" s="328"/>
      <c r="AL26" s="328"/>
      <c r="AM26" s="328"/>
      <c r="AN26" s="328"/>
      <c r="AO26" s="328"/>
      <c r="AP26" s="328"/>
      <c r="AQ26" s="328"/>
      <c r="AR26" s="328">
        <f t="shared" ca="1" si="3"/>
        <v>595760.46873362584</v>
      </c>
      <c r="AS26" s="328">
        <f t="shared" ca="1" si="5"/>
        <v>595760.46873362572</v>
      </c>
      <c r="AT26" s="315">
        <f t="shared" ca="1" si="7"/>
        <v>0</v>
      </c>
    </row>
    <row r="27" spans="1:46" ht="14.25" thickTop="1" thickBot="1">
      <c r="A27" s="123" t="str">
        <f>'Yesler Financial'!B60</f>
        <v>Total Project Cost</v>
      </c>
      <c r="B27" s="94">
        <f ca="1">SUM(B5:B26)</f>
        <v>60171807.342096195</v>
      </c>
      <c r="C27" s="99">
        <f t="shared" ref="C27:U27" ca="1" si="12">SUM(C5:C26)</f>
        <v>9541332.2660788652</v>
      </c>
      <c r="D27" s="99">
        <f t="shared" ca="1" si="12"/>
        <v>0</v>
      </c>
      <c r="E27" s="99">
        <f t="shared" ca="1" si="12"/>
        <v>0</v>
      </c>
      <c r="F27" s="99">
        <f t="shared" ca="1" si="12"/>
        <v>0</v>
      </c>
      <c r="G27" s="99">
        <f t="shared" ca="1" si="12"/>
        <v>2531523.7538008671</v>
      </c>
      <c r="H27" s="99">
        <f t="shared" ca="1" si="12"/>
        <v>2531523.7538008671</v>
      </c>
      <c r="I27" s="99">
        <f t="shared" ca="1" si="12"/>
        <v>5063047.5076017343</v>
      </c>
      <c r="J27" s="99">
        <f t="shared" ca="1" si="12"/>
        <v>5063047.5076017343</v>
      </c>
      <c r="K27" s="99">
        <f t="shared" ca="1" si="12"/>
        <v>7594571.2614026004</v>
      </c>
      <c r="L27" s="99">
        <f t="shared" ca="1" si="12"/>
        <v>7594571.2614026004</v>
      </c>
      <c r="M27" s="99">
        <f t="shared" ca="1" si="12"/>
        <v>7594571.2614026004</v>
      </c>
      <c r="N27" s="99">
        <f t="shared" ca="1" si="12"/>
        <v>7594571.2614026004</v>
      </c>
      <c r="O27" s="99">
        <f t="shared" ca="1" si="12"/>
        <v>5063047.5076017343</v>
      </c>
      <c r="P27" s="99">
        <f t="shared" ca="1" si="12"/>
        <v>0</v>
      </c>
      <c r="Q27" s="99">
        <f t="shared" ca="1" si="12"/>
        <v>0</v>
      </c>
      <c r="R27" s="99">
        <f t="shared" ca="1" si="12"/>
        <v>0</v>
      </c>
      <c r="S27" s="99">
        <f t="shared" ca="1" si="12"/>
        <v>0</v>
      </c>
      <c r="T27" s="99">
        <f t="shared" ca="1" si="12"/>
        <v>0</v>
      </c>
      <c r="U27" s="99">
        <f t="shared" ca="1" si="12"/>
        <v>0</v>
      </c>
      <c r="V27" s="99">
        <f t="shared" ref="V27:AJ27" si="13">SUM(V5:V26)</f>
        <v>0</v>
      </c>
      <c r="W27" s="99">
        <f t="shared" si="13"/>
        <v>0</v>
      </c>
      <c r="X27" s="99">
        <f t="shared" si="13"/>
        <v>0</v>
      </c>
      <c r="Y27" s="99">
        <f t="shared" si="13"/>
        <v>0</v>
      </c>
      <c r="Z27" s="99">
        <f t="shared" si="13"/>
        <v>0</v>
      </c>
      <c r="AA27" s="99">
        <f t="shared" si="13"/>
        <v>0</v>
      </c>
      <c r="AB27" s="99">
        <f t="shared" si="13"/>
        <v>0</v>
      </c>
      <c r="AC27" s="99">
        <f t="shared" si="13"/>
        <v>0</v>
      </c>
      <c r="AD27" s="99">
        <f t="shared" si="13"/>
        <v>0</v>
      </c>
      <c r="AE27" s="99">
        <f t="shared" si="13"/>
        <v>0</v>
      </c>
      <c r="AF27" s="99">
        <f t="shared" si="13"/>
        <v>0</v>
      </c>
      <c r="AG27" s="99">
        <f t="shared" si="13"/>
        <v>0</v>
      </c>
      <c r="AH27" s="99">
        <f t="shared" si="13"/>
        <v>0</v>
      </c>
      <c r="AI27" s="99">
        <f t="shared" si="13"/>
        <v>0</v>
      </c>
      <c r="AJ27" s="99">
        <f t="shared" si="13"/>
        <v>0</v>
      </c>
      <c r="AK27" s="99"/>
      <c r="AL27" s="99"/>
      <c r="AM27" s="99"/>
      <c r="AN27" s="99"/>
      <c r="AO27" s="99"/>
      <c r="AP27" s="99"/>
      <c r="AQ27" s="99"/>
      <c r="AR27" s="96">
        <f ca="1">SUM(AR5:AR26)</f>
        <v>60171807.342096195</v>
      </c>
      <c r="AS27" s="95">
        <f ca="1">SUM(AS5:AS26)</f>
        <v>60171807.342096195</v>
      </c>
      <c r="AT27" s="95"/>
    </row>
    <row r="28" spans="1:46" ht="13.5" thickTop="1">
      <c r="A28" s="97" t="s">
        <v>196</v>
      </c>
      <c r="B28" s="98">
        <f ca="1">IF('Yesler Financial'!C68&lt;0,'Yesler Financial'!C64,0)</f>
        <v>0</v>
      </c>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6"/>
      <c r="AS28" s="95"/>
      <c r="AT28" s="95"/>
    </row>
    <row r="29" spans="1:46" ht="13.5" thickBot="1">
      <c r="A29" s="329" t="s">
        <v>197</v>
      </c>
      <c r="B29" s="330">
        <f ca="1">B27+B28</f>
        <v>60171807.342096195</v>
      </c>
      <c r="C29" s="322"/>
      <c r="D29" s="322"/>
      <c r="E29" s="322"/>
      <c r="F29" s="322"/>
      <c r="G29" s="322"/>
      <c r="H29" s="322"/>
      <c r="I29" s="322"/>
      <c r="J29" s="322"/>
      <c r="K29" s="322"/>
      <c r="L29" s="322"/>
      <c r="M29" s="322"/>
      <c r="N29" s="322"/>
      <c r="O29" s="199"/>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199"/>
      <c r="AR29" s="322"/>
      <c r="AS29" s="322"/>
      <c r="AT29" s="331"/>
    </row>
    <row r="30" spans="1:46">
      <c r="A30" s="332" t="s">
        <v>198</v>
      </c>
      <c r="B30" s="333">
        <f ca="1">SUM(C30:U30)</f>
        <v>24068722.936838478</v>
      </c>
      <c r="C30" s="315">
        <f ca="1">C27</f>
        <v>9541332.2660788652</v>
      </c>
      <c r="D30" s="315">
        <f t="shared" ref="D30:U30" ca="1" si="14">IF(C31+D27&lt;=$B$31,D27,($B$31-C31))</f>
        <v>0</v>
      </c>
      <c r="E30" s="315">
        <f t="shared" ca="1" si="14"/>
        <v>0</v>
      </c>
      <c r="F30" s="315">
        <f t="shared" ca="1" si="14"/>
        <v>0</v>
      </c>
      <c r="G30" s="315">
        <f t="shared" ca="1" si="14"/>
        <v>2531523.7538008671</v>
      </c>
      <c r="H30" s="315">
        <f t="shared" ca="1" si="14"/>
        <v>2531523.7538008671</v>
      </c>
      <c r="I30" s="315">
        <f t="shared" ca="1" si="14"/>
        <v>5063047.5076017343</v>
      </c>
      <c r="J30" s="315">
        <f t="shared" ca="1" si="14"/>
        <v>4401295.6555561423</v>
      </c>
      <c r="K30" s="315">
        <f t="shared" ca="1" si="14"/>
        <v>0</v>
      </c>
      <c r="L30" s="315">
        <f t="shared" ca="1" si="14"/>
        <v>0</v>
      </c>
      <c r="M30" s="315">
        <f t="shared" ca="1" si="14"/>
        <v>0</v>
      </c>
      <c r="N30" s="315">
        <f t="shared" ca="1" si="14"/>
        <v>0</v>
      </c>
      <c r="O30" s="315">
        <f t="shared" ca="1" si="14"/>
        <v>0</v>
      </c>
      <c r="P30" s="315">
        <f t="shared" ca="1" si="14"/>
        <v>0</v>
      </c>
      <c r="Q30" s="315">
        <f t="shared" ca="1" si="14"/>
        <v>0</v>
      </c>
      <c r="R30" s="315">
        <f t="shared" ca="1" si="14"/>
        <v>0</v>
      </c>
      <c r="S30" s="315">
        <f t="shared" ca="1" si="14"/>
        <v>0</v>
      </c>
      <c r="T30" s="315">
        <f t="shared" ca="1" si="14"/>
        <v>0</v>
      </c>
      <c r="U30" s="315">
        <f t="shared" ca="1" si="14"/>
        <v>0</v>
      </c>
      <c r="V30" s="315" t="e">
        <f ca="1">IF(#REF!+V27&lt;=$B$31,V27,($B$31-#REF!))</f>
        <v>#REF!</v>
      </c>
      <c r="W30" s="315" t="e">
        <f t="shared" ref="W30" ca="1" si="15">IF(V31+W27&lt;=$B$31,W27,($B$31-V31))</f>
        <v>#REF!</v>
      </c>
      <c r="X30" s="315" t="e">
        <f t="shared" ref="X30" ca="1" si="16">IF(W31+X27&lt;=$B$31,X27,($B$31-W31))</f>
        <v>#REF!</v>
      </c>
      <c r="Y30" s="315" t="e">
        <f t="shared" ref="Y30" ca="1" si="17">IF(X31+Y27&lt;=$B$31,Y27,($B$31-X31))</f>
        <v>#REF!</v>
      </c>
      <c r="Z30" s="315" t="e">
        <f t="shared" ref="Z30" ca="1" si="18">IF(Y31+Z27&lt;=$B$31,Z27,($B$31-Y31))</f>
        <v>#REF!</v>
      </c>
      <c r="AA30" s="315" t="e">
        <f t="shared" ref="AA30" ca="1" si="19">IF(Z31+AA27&lt;=$B$31,AA27,($B$31-Z31))</f>
        <v>#REF!</v>
      </c>
      <c r="AB30" s="315" t="e">
        <f t="shared" ref="AB30" ca="1" si="20">IF(AA31+AB27&lt;=$B$31,AB27,($B$31-AA31))</f>
        <v>#REF!</v>
      </c>
      <c r="AC30" s="315" t="e">
        <f t="shared" ref="AC30" ca="1" si="21">IF(AB31+AC27&lt;=$B$31,AC27,($B$31-AB31))</f>
        <v>#REF!</v>
      </c>
      <c r="AD30" s="315" t="e">
        <f t="shared" ref="AD30" ca="1" si="22">IF(AC31+AD27&lt;=$B$31,AD27,($B$31-AC31))</f>
        <v>#REF!</v>
      </c>
      <c r="AE30" s="315" t="e">
        <f t="shared" ref="AE30" ca="1" si="23">IF(AD31+AE27&lt;=$B$31,AE27,($B$31-AD31))</f>
        <v>#REF!</v>
      </c>
      <c r="AF30" s="315" t="e">
        <f t="shared" ref="AF30" ca="1" si="24">IF(AE31+AF27&lt;=$B$31,AF27,($B$31-AE31))</f>
        <v>#REF!</v>
      </c>
      <c r="AG30" s="315" t="e">
        <f t="shared" ref="AG30" ca="1" si="25">IF(AF31+AG27&lt;=$B$31,AG27,($B$31-AF31))</f>
        <v>#REF!</v>
      </c>
      <c r="AH30" s="315" t="e">
        <f t="shared" ref="AH30" ca="1" si="26">IF(AG31+AH27&lt;=$B$31,AH27,($B$31-AG31))</f>
        <v>#REF!</v>
      </c>
      <c r="AI30" s="315" t="e">
        <f t="shared" ref="AI30" ca="1" si="27">IF(AH31+AI27&lt;=$B$31,AI27,($B$31-AH31))</f>
        <v>#REF!</v>
      </c>
      <c r="AJ30" s="315" t="e">
        <f t="shared" ref="AJ30" ca="1" si="28">IF(AI31+AJ27&lt;=$B$31,AJ27,($B$31-AI31))</f>
        <v>#REF!</v>
      </c>
      <c r="AK30" s="315"/>
      <c r="AL30" s="315"/>
      <c r="AM30" s="315"/>
      <c r="AN30" s="315"/>
      <c r="AO30" s="315"/>
      <c r="AP30" s="315"/>
      <c r="AQ30" s="315"/>
      <c r="AR30" s="334"/>
      <c r="AS30" s="334"/>
      <c r="AT30" s="334"/>
    </row>
    <row r="31" spans="1:46" ht="13.5" thickBot="1">
      <c r="A31" s="312" t="s">
        <v>199</v>
      </c>
      <c r="B31" s="101">
        <f ca="1">'Yesler Financial'!C71</f>
        <v>24068722.936838478</v>
      </c>
      <c r="C31" s="315">
        <f ca="1">C30</f>
        <v>9541332.2660788652</v>
      </c>
      <c r="D31" s="315">
        <f ca="1">IF(SUM($C$30:D$30)&lt;=$B31,SUM($C$30:D$30),0)</f>
        <v>9541332.2660788652</v>
      </c>
      <c r="E31" s="315">
        <f ca="1">IF(SUM($C$30:E30)&lt;=$B31,SUM($C$30:E30),0)</f>
        <v>9541332.2660788652</v>
      </c>
      <c r="F31" s="315">
        <f ca="1">IF(SUM($C$30:F30)&lt;=$B31,SUM($C$30:F30),0)</f>
        <v>9541332.2660788652</v>
      </c>
      <c r="G31" s="315">
        <f ca="1">IF(SUM($C$30:G30)&lt;=$B31,SUM($C$30:G30),0)</f>
        <v>12072856.019879732</v>
      </c>
      <c r="H31" s="315">
        <f ca="1">IF(SUM($C$30:H30)&lt;=$B31,SUM($C$30:H30),0)</f>
        <v>14604379.773680599</v>
      </c>
      <c r="I31" s="315">
        <f ca="1">IF(SUM($C$30:I30)&lt;=$B31,SUM($C$30:I30),0)</f>
        <v>19667427.281282336</v>
      </c>
      <c r="J31" s="315">
        <f ca="1">IF(SUM($C$30:J30)&lt;=$B31,SUM($C$30:J30),0)</f>
        <v>24068722.936838478</v>
      </c>
      <c r="K31" s="315">
        <f ca="1">IF(SUM($C$30:K30)&lt;=$B31,SUM($C$30:K30),0)</f>
        <v>24068722.936838478</v>
      </c>
      <c r="L31" s="315">
        <f ca="1">IF(SUM($C$30:L30)&lt;=$B31,SUM($C$30:L30),0)</f>
        <v>24068722.936838478</v>
      </c>
      <c r="M31" s="315">
        <f ca="1">IF(SUM($C$30:M30)&lt;=$B31,SUM($C$30:M30),0)</f>
        <v>24068722.936838478</v>
      </c>
      <c r="N31" s="315">
        <f ca="1">IF(SUM($C$30:N30)&lt;=$B31,SUM($C$30:N30),0)</f>
        <v>24068722.936838478</v>
      </c>
      <c r="O31" s="315">
        <f ca="1">IF(SUM($C$30:O30)&lt;=$B31,SUM($C$30:O30),0)</f>
        <v>24068722.936838478</v>
      </c>
      <c r="P31" s="315">
        <f ca="1">IF(SUM($C$30:P30)&lt;=$B31,SUM($C$30:P30),0)</f>
        <v>24068722.936838478</v>
      </c>
      <c r="Q31" s="315">
        <f ca="1">IF(SUM($C$30:Q30)&lt;=$B31,SUM($C$30:Q30),0)</f>
        <v>24068722.936838478</v>
      </c>
      <c r="R31" s="315">
        <f ca="1">IF(SUM($C$30:R30)&lt;=$B31,SUM($C$30:R30),0)</f>
        <v>24068722.936838478</v>
      </c>
      <c r="S31" s="315">
        <f ca="1">IF(SUM($C$30:S30)&lt;=$B31,SUM($C$30:S30),0)</f>
        <v>24068722.936838478</v>
      </c>
      <c r="T31" s="315">
        <f ca="1">IF(SUM($C$30:T30)&lt;=$B31,SUM($C$30:T30),0)</f>
        <v>24068722.936838478</v>
      </c>
      <c r="U31" s="315">
        <f ca="1">IF(SUM($C$30:U30)&lt;=$B31,SUM($C$30:U30),0)</f>
        <v>24068722.936838478</v>
      </c>
      <c r="V31" s="315" t="e">
        <f ca="1">IF(SUM($C$30:V30)&lt;=$B31,SUM($C$30:V30),0)</f>
        <v>#REF!</v>
      </c>
      <c r="W31" s="315" t="e">
        <f ca="1">IF(SUM($C$30:W30)&lt;=$B31,SUM($C$30:W30),0)</f>
        <v>#REF!</v>
      </c>
      <c r="X31" s="315" t="e">
        <f ca="1">IF(SUM($C$30:X30)&lt;=$B31,SUM($C$30:X30),0)</f>
        <v>#REF!</v>
      </c>
      <c r="Y31" s="315" t="e">
        <f ca="1">IF(SUM($C$30:Y30)&lt;=$B31,SUM($C$30:Y30),0)</f>
        <v>#REF!</v>
      </c>
      <c r="Z31" s="315" t="e">
        <f ca="1">IF(SUM($C$30:Z30)&lt;=$B31,SUM($C$30:Z30),0)</f>
        <v>#REF!</v>
      </c>
      <c r="AA31" s="315" t="e">
        <f ca="1">IF(SUM($C$30:AA30)&lt;=$B31,SUM($C$30:AA30),0)</f>
        <v>#REF!</v>
      </c>
      <c r="AB31" s="315" t="e">
        <f ca="1">IF(SUM($C$30:AB30)&lt;=$B31,SUM($C$30:AB30),0)</f>
        <v>#REF!</v>
      </c>
      <c r="AC31" s="315" t="e">
        <f ca="1">IF(SUM($C$30:AC30)&lt;=$B31,SUM($C$30:AC30),0)</f>
        <v>#REF!</v>
      </c>
      <c r="AD31" s="315" t="e">
        <f ca="1">IF(SUM($C$30:AD30)&lt;=$B31,SUM($C$30:AD30),0)</f>
        <v>#REF!</v>
      </c>
      <c r="AE31" s="315" t="e">
        <f ca="1">IF(SUM($C$30:AE30)&lt;=$B31,SUM($C$30:AE30),0)</f>
        <v>#REF!</v>
      </c>
      <c r="AF31" s="315" t="e">
        <f ca="1">IF(SUM($C$30:AF30)&lt;=$B31,SUM($C$30:AF30),0)</f>
        <v>#REF!</v>
      </c>
      <c r="AG31" s="315" t="e">
        <f ca="1">IF(SUM($C$30:AG30)&lt;=$B31,SUM($C$30:AG30),0)</f>
        <v>#REF!</v>
      </c>
      <c r="AH31" s="315" t="e">
        <f ca="1">IF(SUM($C$30:AH30)&lt;=$B31,SUM($C$30:AH30),0)</f>
        <v>#REF!</v>
      </c>
      <c r="AI31" s="315" t="e">
        <f ca="1">IF(SUM($C$30:AI30)&lt;=$B31,SUM($C$30:AI30),0)</f>
        <v>#REF!</v>
      </c>
      <c r="AJ31" s="315" t="e">
        <f ca="1">IF(SUM($C$30:AJ30)&lt;=$B31,SUM($C$30:AJ30),0)</f>
        <v>#REF!</v>
      </c>
      <c r="AK31" s="315"/>
      <c r="AL31" s="315"/>
      <c r="AM31" s="315"/>
      <c r="AN31" s="315"/>
      <c r="AO31" s="315"/>
      <c r="AP31" s="315"/>
      <c r="AQ31" s="315"/>
      <c r="AR31" s="334"/>
      <c r="AS31" s="334"/>
      <c r="AT31" s="334"/>
    </row>
    <row r="32" spans="1:46">
      <c r="A32" s="102" t="s">
        <v>200</v>
      </c>
      <c r="B32" s="103">
        <f ca="1">'Yesler Financial'!C70</f>
        <v>36103084.405257717</v>
      </c>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5"/>
      <c r="AS32" s="335"/>
      <c r="AT32" s="334"/>
    </row>
    <row r="33" spans="1:46" ht="13.5" thickBot="1">
      <c r="A33" s="337" t="s">
        <v>201</v>
      </c>
      <c r="B33" s="338">
        <f ca="1">PMT(0.065,30,(B32))</f>
        <v>-2764681.8609428583</v>
      </c>
      <c r="C33" s="335"/>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5"/>
      <c r="AS33" s="335"/>
      <c r="AT33" s="334"/>
    </row>
    <row r="34" spans="1:46">
      <c r="A34" s="104" t="s">
        <v>202</v>
      </c>
      <c r="B34" s="105">
        <f>SUM(C34:AR34)</f>
        <v>0</v>
      </c>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199"/>
      <c r="AS34" s="336"/>
      <c r="AT34" s="315"/>
    </row>
    <row r="35" spans="1:46">
      <c r="A35" s="1589" t="s">
        <v>203</v>
      </c>
      <c r="B35" s="1590"/>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40"/>
      <c r="AS35" s="336"/>
      <c r="AT35" s="315"/>
    </row>
    <row r="36" spans="1:46">
      <c r="A36" s="322" t="s">
        <v>204</v>
      </c>
      <c r="B36" s="199">
        <f ca="1">'Yesler Financial'!C78+'Yesler Financial'!C79</f>
        <v>53611815.594742283</v>
      </c>
      <c r="C36" s="609"/>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2"/>
      <c r="AS36" s="343"/>
      <c r="AT36" s="347"/>
    </row>
    <row r="37" spans="1:46">
      <c r="A37" s="322" t="s">
        <v>205</v>
      </c>
      <c r="B37" s="315">
        <f ca="1">SUM(C37:U37)</f>
        <v>29543092.657903805</v>
      </c>
      <c r="C37" s="610">
        <f t="shared" ref="C37:T37" ca="1" si="29">-C30</f>
        <v>-9541332.2660788652</v>
      </c>
      <c r="D37" s="345">
        <f t="shared" ca="1" si="29"/>
        <v>0</v>
      </c>
      <c r="E37" s="345">
        <f t="shared" ca="1" si="29"/>
        <v>0</v>
      </c>
      <c r="F37" s="345">
        <f t="shared" ca="1" si="29"/>
        <v>0</v>
      </c>
      <c r="G37" s="345">
        <f t="shared" ca="1" si="29"/>
        <v>-2531523.7538008671</v>
      </c>
      <c r="H37" s="345">
        <f t="shared" ca="1" si="29"/>
        <v>-2531523.7538008671</v>
      </c>
      <c r="I37" s="345">
        <f t="shared" ca="1" si="29"/>
        <v>-5063047.5076017343</v>
      </c>
      <c r="J37" s="345">
        <f t="shared" ca="1" si="29"/>
        <v>-4401295.6555561423</v>
      </c>
      <c r="K37" s="345">
        <f t="shared" ca="1" si="29"/>
        <v>0</v>
      </c>
      <c r="L37" s="345">
        <f t="shared" ca="1" si="29"/>
        <v>0</v>
      </c>
      <c r="M37" s="345">
        <f t="shared" ca="1" si="29"/>
        <v>0</v>
      </c>
      <c r="N37" s="345">
        <f t="shared" ca="1" si="29"/>
        <v>0</v>
      </c>
      <c r="O37" s="345">
        <f t="shared" ca="1" si="29"/>
        <v>0</v>
      </c>
      <c r="P37" s="345">
        <f t="shared" ca="1" si="29"/>
        <v>0</v>
      </c>
      <c r="Q37" s="345">
        <f t="shared" ca="1" si="29"/>
        <v>0</v>
      </c>
      <c r="R37" s="345">
        <f t="shared" ca="1" si="29"/>
        <v>0</v>
      </c>
      <c r="S37" s="345">
        <f t="shared" ca="1" si="29"/>
        <v>0</v>
      </c>
      <c r="T37" s="345">
        <f t="shared" ca="1" si="29"/>
        <v>0</v>
      </c>
      <c r="U37" s="346">
        <f ca="1">B36</f>
        <v>53611815.594742283</v>
      </c>
      <c r="V37" s="345" t="e">
        <f t="shared" ref="V37:AI37" ca="1" si="30">-V30</f>
        <v>#REF!</v>
      </c>
      <c r="W37" s="345" t="e">
        <f t="shared" ca="1" si="30"/>
        <v>#REF!</v>
      </c>
      <c r="X37" s="345" t="e">
        <f t="shared" ca="1" si="30"/>
        <v>#REF!</v>
      </c>
      <c r="Y37" s="345" t="e">
        <f t="shared" ca="1" si="30"/>
        <v>#REF!</v>
      </c>
      <c r="Z37" s="345" t="e">
        <f t="shared" ca="1" si="30"/>
        <v>#REF!</v>
      </c>
      <c r="AA37" s="345" t="e">
        <f t="shared" ca="1" si="30"/>
        <v>#REF!</v>
      </c>
      <c r="AB37" s="345" t="e">
        <f t="shared" ca="1" si="30"/>
        <v>#REF!</v>
      </c>
      <c r="AC37" s="345" t="e">
        <f t="shared" ca="1" si="30"/>
        <v>#REF!</v>
      </c>
      <c r="AD37" s="345" t="e">
        <f t="shared" ca="1" si="30"/>
        <v>#REF!</v>
      </c>
      <c r="AE37" s="345" t="e">
        <f t="shared" ca="1" si="30"/>
        <v>#REF!</v>
      </c>
      <c r="AF37" s="345" t="e">
        <f t="shared" ca="1" si="30"/>
        <v>#REF!</v>
      </c>
      <c r="AG37" s="345" t="e">
        <f t="shared" ca="1" si="30"/>
        <v>#REF!</v>
      </c>
      <c r="AH37" s="345" t="e">
        <f t="shared" ca="1" si="30"/>
        <v>#REF!</v>
      </c>
      <c r="AI37" s="345" t="e">
        <f t="shared" ca="1" si="30"/>
        <v>#REF!</v>
      </c>
      <c r="AJ37" s="346">
        <f ca="1">B36</f>
        <v>53611815.594742283</v>
      </c>
      <c r="AK37" s="345"/>
      <c r="AL37" s="345"/>
      <c r="AM37" s="345"/>
      <c r="AN37" s="345"/>
      <c r="AO37" s="345"/>
      <c r="AP37" s="345"/>
      <c r="AQ37" s="345"/>
      <c r="AR37" s="347"/>
      <c r="AS37" s="315"/>
      <c r="AT37" s="315"/>
    </row>
    <row r="38" spans="1:46">
      <c r="A38" s="117" t="s">
        <v>206</v>
      </c>
      <c r="B38" s="611">
        <f ca="1">IF(B37&lt;0,0,IRR(C37:U37))</f>
        <v>5.5802731534777994E-2</v>
      </c>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2"/>
      <c r="AS38" s="348"/>
      <c r="AT38" s="349"/>
    </row>
    <row r="39" spans="1:46">
      <c r="A39" s="322" t="s">
        <v>207</v>
      </c>
      <c r="B39" s="417">
        <f ca="1">POWER((1+B38),4)-1</f>
        <v>0.24259935838526325</v>
      </c>
      <c r="C39" s="342"/>
      <c r="D39" s="342"/>
      <c r="E39" s="351"/>
      <c r="F39" s="351"/>
      <c r="G39" s="351"/>
      <c r="H39" s="351"/>
      <c r="I39" s="351"/>
      <c r="J39" s="351"/>
      <c r="K39" s="351"/>
      <c r="L39" s="351"/>
      <c r="M39" s="351"/>
      <c r="N39" s="351"/>
      <c r="O39" s="351"/>
      <c r="P39" s="352"/>
      <c r="Q39" s="351"/>
      <c r="R39" s="351"/>
      <c r="S39" s="351"/>
      <c r="T39" s="351"/>
      <c r="U39" s="351"/>
      <c r="V39" s="351"/>
      <c r="W39" s="351"/>
      <c r="X39" s="351"/>
      <c r="Y39" s="351"/>
      <c r="Z39" s="351"/>
      <c r="AA39" s="351"/>
      <c r="AB39" s="351"/>
      <c r="AC39" s="351"/>
      <c r="AD39" s="351"/>
      <c r="AE39" s="351"/>
      <c r="AF39" s="351"/>
      <c r="AG39" s="351"/>
      <c r="AH39" s="351"/>
      <c r="AI39" s="351"/>
      <c r="AJ39" s="352"/>
      <c r="AK39" s="351"/>
      <c r="AL39" s="351"/>
      <c r="AM39" s="351"/>
      <c r="AN39" s="351"/>
      <c r="AO39" s="351"/>
      <c r="AP39" s="351"/>
      <c r="AQ39" s="351"/>
      <c r="AR39" s="351"/>
      <c r="AS39" s="351"/>
      <c r="AT39" s="353"/>
    </row>
    <row r="40" spans="1:46">
      <c r="A40" s="1591" t="s">
        <v>208</v>
      </c>
      <c r="B40" s="1591"/>
      <c r="C40" s="342"/>
      <c r="D40" s="342"/>
      <c r="E40" s="351"/>
      <c r="F40" s="351"/>
      <c r="G40" s="351"/>
      <c r="H40" s="351"/>
      <c r="I40" s="351"/>
      <c r="J40" s="351"/>
      <c r="K40" s="351"/>
      <c r="L40" s="351"/>
      <c r="M40" s="351"/>
      <c r="N40" s="351"/>
      <c r="O40" s="351"/>
      <c r="P40" s="352"/>
      <c r="Q40" s="351"/>
      <c r="R40" s="351"/>
      <c r="S40" s="351"/>
      <c r="T40" s="351"/>
      <c r="U40" s="351"/>
      <c r="V40" s="351"/>
      <c r="W40" s="351"/>
      <c r="X40" s="351"/>
      <c r="Y40" s="351"/>
      <c r="Z40" s="351"/>
      <c r="AA40" s="351"/>
      <c r="AB40" s="351"/>
      <c r="AC40" s="351"/>
      <c r="AD40" s="351"/>
      <c r="AE40" s="351"/>
      <c r="AF40" s="351"/>
      <c r="AG40" s="351"/>
      <c r="AH40" s="351"/>
      <c r="AI40" s="351"/>
      <c r="AJ40" s="352"/>
      <c r="AK40" s="351"/>
      <c r="AL40" s="351"/>
      <c r="AM40" s="351"/>
      <c r="AN40" s="351"/>
      <c r="AO40" s="351"/>
      <c r="AP40" s="351"/>
      <c r="AQ40" s="351"/>
      <c r="AR40" s="351"/>
      <c r="AS40" s="351"/>
      <c r="AT40" s="353"/>
    </row>
    <row r="41" spans="1:46">
      <c r="A41" s="332" t="s">
        <v>209</v>
      </c>
      <c r="B41" s="324">
        <f ca="1">'Yesler Financial'!C78+'Yesler Financial'!C68</f>
        <v>89714900</v>
      </c>
      <c r="C41" s="342"/>
      <c r="D41" s="342"/>
      <c r="E41" s="351"/>
      <c r="F41" s="351"/>
      <c r="G41" s="351"/>
      <c r="H41" s="351"/>
      <c r="I41" s="351"/>
      <c r="J41" s="351"/>
      <c r="K41" s="351"/>
      <c r="L41" s="351"/>
      <c r="M41" s="351"/>
      <c r="N41" s="351"/>
      <c r="O41" s="351"/>
      <c r="P41" s="352"/>
      <c r="Q41" s="351"/>
      <c r="R41" s="351"/>
      <c r="S41" s="351"/>
      <c r="T41" s="351"/>
      <c r="U41" s="351"/>
      <c r="V41" s="351"/>
      <c r="W41" s="351"/>
      <c r="X41" s="351"/>
      <c r="Y41" s="351"/>
      <c r="Z41" s="351"/>
      <c r="AA41" s="351"/>
      <c r="AB41" s="351"/>
      <c r="AC41" s="351"/>
      <c r="AD41" s="351"/>
      <c r="AE41" s="351"/>
      <c r="AF41" s="351"/>
      <c r="AG41" s="351"/>
      <c r="AH41" s="351"/>
      <c r="AI41" s="351"/>
      <c r="AJ41" s="352"/>
      <c r="AK41" s="351"/>
      <c r="AL41" s="351"/>
      <c r="AM41" s="351"/>
      <c r="AN41" s="351"/>
      <c r="AO41" s="351"/>
      <c r="AP41" s="351"/>
      <c r="AQ41" s="351"/>
      <c r="AR41" s="351"/>
      <c r="AS41" s="351"/>
      <c r="AT41" s="353"/>
    </row>
    <row r="42" spans="1:46">
      <c r="A42" s="322" t="s">
        <v>210</v>
      </c>
      <c r="B42" s="315">
        <f ca="1">SUM(C42:AQ42)</f>
        <v>119257992.65790379</v>
      </c>
      <c r="C42" s="315">
        <f ca="1">-C27</f>
        <v>-9541332.2660788652</v>
      </c>
      <c r="D42" s="315">
        <f ca="1">-D27</f>
        <v>0</v>
      </c>
      <c r="E42" s="315">
        <f t="shared" ref="E42:AQ42" ca="1" si="31">-E27</f>
        <v>0</v>
      </c>
      <c r="F42" s="315">
        <f t="shared" ca="1" si="31"/>
        <v>0</v>
      </c>
      <c r="G42" s="315">
        <f t="shared" ca="1" si="31"/>
        <v>-2531523.7538008671</v>
      </c>
      <c r="H42" s="315">
        <f t="shared" ca="1" si="31"/>
        <v>-2531523.7538008671</v>
      </c>
      <c r="I42" s="315">
        <f t="shared" ca="1" si="31"/>
        <v>-5063047.5076017343</v>
      </c>
      <c r="J42" s="315">
        <f t="shared" ca="1" si="31"/>
        <v>-5063047.5076017343</v>
      </c>
      <c r="K42" s="315">
        <f t="shared" ca="1" si="31"/>
        <v>-7594571.2614026004</v>
      </c>
      <c r="L42" s="315">
        <f t="shared" ca="1" si="31"/>
        <v>-7594571.2614026004</v>
      </c>
      <c r="M42" s="315">
        <f t="shared" ca="1" si="31"/>
        <v>-7594571.2614026004</v>
      </c>
      <c r="N42" s="315">
        <f t="shared" ca="1" si="31"/>
        <v>-7594571.2614026004</v>
      </c>
      <c r="O42" s="315">
        <f t="shared" ca="1" si="31"/>
        <v>-5063047.5076017343</v>
      </c>
      <c r="P42" s="315">
        <f t="shared" ca="1" si="31"/>
        <v>0</v>
      </c>
      <c r="Q42" s="315">
        <f t="shared" ca="1" si="31"/>
        <v>0</v>
      </c>
      <c r="R42" s="315">
        <f t="shared" ca="1" si="31"/>
        <v>0</v>
      </c>
      <c r="S42" s="315">
        <f t="shared" ca="1" si="31"/>
        <v>0</v>
      </c>
      <c r="T42" s="315">
        <f t="shared" ca="1" si="31"/>
        <v>0</v>
      </c>
      <c r="U42" s="349">
        <f ca="1">-U27+B41</f>
        <v>89714900</v>
      </c>
      <c r="V42" s="315">
        <f t="shared" ref="V42:AI42" si="32">-V27</f>
        <v>0</v>
      </c>
      <c r="W42" s="315">
        <f t="shared" si="32"/>
        <v>0</v>
      </c>
      <c r="X42" s="315">
        <f t="shared" si="32"/>
        <v>0</v>
      </c>
      <c r="Y42" s="315">
        <f t="shared" si="32"/>
        <v>0</v>
      </c>
      <c r="Z42" s="315">
        <f t="shared" si="32"/>
        <v>0</v>
      </c>
      <c r="AA42" s="315">
        <f t="shared" si="32"/>
        <v>0</v>
      </c>
      <c r="AB42" s="315">
        <f t="shared" si="32"/>
        <v>0</v>
      </c>
      <c r="AC42" s="315">
        <f t="shared" si="32"/>
        <v>0</v>
      </c>
      <c r="AD42" s="315">
        <f t="shared" si="32"/>
        <v>0</v>
      </c>
      <c r="AE42" s="315">
        <f t="shared" si="32"/>
        <v>0</v>
      </c>
      <c r="AF42" s="315">
        <f t="shared" si="32"/>
        <v>0</v>
      </c>
      <c r="AG42" s="315">
        <f t="shared" si="32"/>
        <v>0</v>
      </c>
      <c r="AH42" s="315">
        <f t="shared" si="32"/>
        <v>0</v>
      </c>
      <c r="AI42" s="315">
        <f t="shared" si="32"/>
        <v>0</v>
      </c>
      <c r="AJ42" s="349">
        <f ca="1">-AJ27+B41</f>
        <v>89714900</v>
      </c>
      <c r="AK42" s="315"/>
      <c r="AL42" s="315"/>
      <c r="AM42" s="315">
        <f t="shared" ref="AM42" si="33">-AM27</f>
        <v>0</v>
      </c>
      <c r="AN42" s="315">
        <f t="shared" si="31"/>
        <v>0</v>
      </c>
      <c r="AO42" s="315">
        <f t="shared" si="31"/>
        <v>0</v>
      </c>
      <c r="AP42" s="315">
        <f t="shared" si="31"/>
        <v>0</v>
      </c>
      <c r="AQ42" s="315">
        <f t="shared" si="31"/>
        <v>0</v>
      </c>
      <c r="AR42" s="349"/>
      <c r="AS42" s="322"/>
      <c r="AT42" s="322"/>
    </row>
    <row r="43" spans="1:46">
      <c r="A43" s="322" t="s">
        <v>211</v>
      </c>
      <c r="B43" s="415">
        <f ca="1">IF(B42&lt;0,0,IRR(C42:U42))</f>
        <v>3.7015233567687211E-2</v>
      </c>
      <c r="C43" s="342"/>
      <c r="D43" s="342"/>
      <c r="E43" s="342"/>
      <c r="F43" s="342"/>
      <c r="G43" s="342"/>
      <c r="H43" s="342"/>
      <c r="I43" s="342"/>
      <c r="J43" s="342"/>
      <c r="K43" s="342"/>
      <c r="L43" s="342"/>
      <c r="M43" s="336"/>
      <c r="N43" s="342"/>
      <c r="O43" s="342"/>
      <c r="P43" s="342"/>
      <c r="Q43" s="342"/>
      <c r="R43" s="342"/>
      <c r="S43" s="336"/>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22"/>
    </row>
    <row r="44" spans="1:46">
      <c r="A44" s="322" t="s">
        <v>212</v>
      </c>
      <c r="B44" s="417">
        <f ca="1">POWER((1+B43),4)-1</f>
        <v>0.15648643897668135</v>
      </c>
      <c r="C44" s="342"/>
      <c r="D44" s="342"/>
      <c r="E44" s="342"/>
      <c r="F44" s="342"/>
      <c r="G44" s="342"/>
      <c r="H44" s="342"/>
      <c r="I44" s="342"/>
      <c r="J44" s="342"/>
      <c r="K44" s="342"/>
      <c r="L44" s="342"/>
      <c r="M44" s="336"/>
      <c r="N44" s="342"/>
      <c r="O44" s="342"/>
      <c r="P44" s="342"/>
      <c r="Q44" s="342"/>
      <c r="R44" s="342"/>
      <c r="S44" s="336"/>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22"/>
      <c r="AT44" s="322"/>
    </row>
    <row r="45" spans="1:46">
      <c r="G45" s="7"/>
    </row>
    <row r="46" spans="1:46">
      <c r="G46" s="7"/>
    </row>
    <row r="47" spans="1:46">
      <c r="G47" s="7"/>
    </row>
    <row r="48" spans="1:46">
      <c r="G48" s="7"/>
    </row>
    <row r="49" spans="7:7">
      <c r="G49" s="7"/>
    </row>
    <row r="50" spans="7:7">
      <c r="G50" s="7"/>
    </row>
    <row r="51" spans="7:7">
      <c r="G51" s="7"/>
    </row>
    <row r="52" spans="7:7">
      <c r="G52" s="7"/>
    </row>
    <row r="53" spans="7:7">
      <c r="G53" s="7"/>
    </row>
    <row r="54" spans="7:7">
      <c r="G54" s="7"/>
    </row>
    <row r="55" spans="7:7">
      <c r="G55" s="7"/>
    </row>
    <row r="56" spans="7:7">
      <c r="G56" s="7"/>
    </row>
    <row r="57" spans="7:7">
      <c r="G57" s="7"/>
    </row>
    <row r="58" spans="7:7">
      <c r="G58" s="7"/>
    </row>
    <row r="59" spans="7:7">
      <c r="G59" s="7"/>
    </row>
    <row r="60" spans="7:7">
      <c r="G60" s="7"/>
    </row>
    <row r="61" spans="7:7">
      <c r="G61" s="7"/>
    </row>
    <row r="62" spans="7:7">
      <c r="G62" s="7"/>
    </row>
    <row r="63" spans="7:7">
      <c r="G63" s="7"/>
    </row>
    <row r="64" spans="7:7">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row r="600" spans="7:7">
      <c r="G600" s="7"/>
    </row>
    <row r="601" spans="7:7">
      <c r="G601" s="7"/>
    </row>
  </sheetData>
  <mergeCells count="4">
    <mergeCell ref="A1:A3"/>
    <mergeCell ref="AR2:AT2"/>
    <mergeCell ref="A35:B35"/>
    <mergeCell ref="A40:B40"/>
  </mergeCells>
  <conditionalFormatting sqref="D3:AQ3">
    <cfRule type="cellIs" dxfId="99" priority="1" operator="equal">
      <formula>#REF!</formula>
    </cfRule>
    <cfRule type="cellIs" dxfId="98" priority="2" operator="equal">
      <formula>#REF!</formula>
    </cfRule>
    <cfRule type="cellIs" dxfId="97" priority="3" operator="equal">
      <formula>#REF!</formula>
    </cfRule>
    <cfRule type="cellIs" dxfId="96" priority="4" operator="equal">
      <formula>#REF!</formula>
    </cfRule>
  </conditionalFormatting>
  <conditionalFormatting sqref="AP4:AQ4">
    <cfRule type="cellIs" dxfId="95" priority="5" operator="equal">
      <formula>#REF!</formula>
    </cfRule>
    <cfRule type="cellIs" dxfId="94" priority="6" operator="equal">
      <formula>#REF!</formula>
    </cfRule>
    <cfRule type="cellIs" dxfId="93" priority="7" operator="equal">
      <formula>#REF!</formula>
    </cfRule>
    <cfRule type="cellIs" dxfId="92" priority="8" operator="equal">
      <formula>#REF!</formula>
    </cfRule>
    <cfRule type="cellIs" dxfId="91" priority="9" operator="equal">
      <formula>#REF!</formula>
    </cfRule>
    <cfRule type="cellIs" dxfId="90" priority="10" operator="equal">
      <formula>#REF!</formula>
    </cfRule>
    <cfRule type="cellIs" dxfId="89" priority="11" operator="equal">
      <formula>#REF!</formula>
    </cfRule>
    <cfRule type="cellIs" dxfId="88" priority="12" operator="equal">
      <formula>#REF!</formula>
    </cfRule>
  </conditionalFormatting>
  <conditionalFormatting sqref="AR3:AT3">
    <cfRule type="cellIs" dxfId="87" priority="13" operator="equal">
      <formula>#REF!</formula>
    </cfRule>
    <cfRule type="cellIs" dxfId="86" priority="14" operator="equal">
      <formula>#REF!</formula>
    </cfRule>
    <cfRule type="cellIs" dxfId="85" priority="15" operator="equal">
      <formula>#REF!</formula>
    </cfRule>
    <cfRule type="cellIs" dxfId="84" priority="16" operator="equal">
      <formula>#REF!</formula>
    </cfRule>
  </conditionalFormatting>
  <pageMargins left="0.7" right="0.7" top="0.75" bottom="0.75" header="0.3" footer="0.3"/>
  <pageSetup paperSize="3" orientation="landscape" horizontalDpi="1200" verticalDpi="1200" r:id="rId1"/>
  <headerFooter>
    <oddHeader>&amp;C&amp;"Calibri,Regular"&amp;K000000OVERALL DRAW</oddHeader>
    <oddFooter>&amp;C&amp;"Calibri,Regular"&amp;K000000PAGE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BF7D-5F6A-438B-88E2-E4C5457A478F}">
  <sheetPr>
    <tabColor theme="6" tint="-0.249977111117893"/>
    <pageSetUpPr fitToPage="1"/>
  </sheetPr>
  <dimension ref="B1:J125"/>
  <sheetViews>
    <sheetView showGridLines="0" topLeftCell="A84" zoomScaleNormal="100" zoomScaleSheetLayoutView="90" workbookViewId="0">
      <selection activeCell="C111" sqref="C111"/>
    </sheetView>
  </sheetViews>
  <sheetFormatPr defaultColWidth="8.85546875" defaultRowHeight="23.25" customHeight="1"/>
  <cols>
    <col min="1" max="1" width="4" style="7" customWidth="1"/>
    <col min="2" max="2" width="38.7109375" style="7" customWidth="1"/>
    <col min="3" max="3" width="38.85546875" style="7" customWidth="1"/>
    <col min="4" max="4" width="22.42578125" style="7" bestFit="1" customWidth="1"/>
    <col min="5" max="5" width="22.5703125" style="7" customWidth="1"/>
    <col min="6" max="6" width="20.28515625" style="7" customWidth="1"/>
    <col min="7" max="7" width="14.42578125" style="7" bestFit="1" customWidth="1"/>
    <col min="8" max="8" width="34.7109375" style="7" customWidth="1"/>
    <col min="9" max="9" width="22.28515625" style="7" customWidth="1"/>
    <col min="10" max="10" width="15.42578125" style="7" bestFit="1" customWidth="1"/>
    <col min="11" max="11" width="12.28515625" style="7" customWidth="1"/>
    <col min="12" max="12" width="20.140625" style="7" customWidth="1"/>
    <col min="13" max="16" width="8.85546875" style="7"/>
    <col min="17" max="17" width="20.28515625" style="7" customWidth="1"/>
    <col min="18" max="18" width="20.7109375" style="7" bestFit="1" customWidth="1"/>
    <col min="19" max="16384" width="8.85546875" style="7"/>
  </cols>
  <sheetData>
    <row r="1" spans="2:8" ht="23.25" customHeight="1" thickBot="1"/>
    <row r="2" spans="2:8" ht="15" customHeight="1" thickBot="1">
      <c r="B2" s="1586" t="s">
        <v>108</v>
      </c>
      <c r="C2" s="1587"/>
      <c r="D2" s="1587"/>
      <c r="E2" s="1578" t="str">
        <f>'Development Program'!B7</f>
        <v>Glacier Peak Apts</v>
      </c>
      <c r="F2" s="1579"/>
      <c r="G2" s="613"/>
    </row>
    <row r="3" spans="2:8" ht="13.5" thickBot="1">
      <c r="B3" s="8"/>
      <c r="C3" s="9"/>
      <c r="D3" s="9"/>
      <c r="E3" s="622">
        <v>0</v>
      </c>
      <c r="F3" s="829" t="s">
        <v>109</v>
      </c>
      <c r="G3" s="614"/>
    </row>
    <row r="4" spans="2:8" ht="12.75">
      <c r="B4" s="731" t="s">
        <v>110</v>
      </c>
      <c r="C4" s="691" t="s">
        <v>111</v>
      </c>
      <c r="D4" s="691" t="s">
        <v>230</v>
      </c>
      <c r="E4" s="691" t="s">
        <v>112</v>
      </c>
      <c r="F4" s="651" t="s">
        <v>113</v>
      </c>
      <c r="G4" s="615"/>
    </row>
    <row r="5" spans="2:8" ht="12.75">
      <c r="B5" s="480" t="s">
        <v>341</v>
      </c>
      <c r="C5" s="623"/>
      <c r="D5" s="624"/>
      <c r="E5" s="623"/>
      <c r="F5" s="625"/>
      <c r="G5" s="616"/>
    </row>
    <row r="6" spans="2:8" ht="12.75">
      <c r="B6" s="684">
        <f>C6/C21</f>
        <v>0.26058631921824105</v>
      </c>
      <c r="C6" s="1154">
        <f>200*0.8</f>
        <v>160</v>
      </c>
      <c r="D6" s="1156">
        <f>Assumptions!C30</f>
        <v>500</v>
      </c>
      <c r="E6" s="683">
        <v>4.8499999999999996</v>
      </c>
      <c r="F6" s="1155">
        <f>12*C6*D6*E6</f>
        <v>4656000</v>
      </c>
      <c r="G6" s="617"/>
      <c r="H6" s="459"/>
    </row>
    <row r="7" spans="2:8" ht="12.75">
      <c r="B7" s="685">
        <f>C7/C21</f>
        <v>0.39087947882736157</v>
      </c>
      <c r="C7" s="1154">
        <f>300*0.8</f>
        <v>240</v>
      </c>
      <c r="D7" s="1156">
        <v>700</v>
      </c>
      <c r="E7" s="683">
        <v>4.55</v>
      </c>
      <c r="F7" s="1155">
        <f t="shared" ref="F7:F9" si="0">12*C7*D7*E7</f>
        <v>9172800</v>
      </c>
      <c r="G7" s="617"/>
    </row>
    <row r="8" spans="2:8" ht="12.75">
      <c r="B8" s="686">
        <f>C8/C21</f>
        <v>0.10423452768729642</v>
      </c>
      <c r="C8" s="1154">
        <v>64</v>
      </c>
      <c r="D8" s="1156">
        <v>1000</v>
      </c>
      <c r="E8" s="683">
        <v>4.25</v>
      </c>
      <c r="F8" s="1155">
        <f t="shared" si="0"/>
        <v>3264000</v>
      </c>
      <c r="G8" s="617"/>
      <c r="H8" s="459"/>
    </row>
    <row r="9" spans="2:8" ht="12.75">
      <c r="B9" s="687">
        <f>C9/C21</f>
        <v>4.5602605863192182E-2</v>
      </c>
      <c r="C9" s="1154">
        <v>28</v>
      </c>
      <c r="D9" s="1156">
        <v>1200</v>
      </c>
      <c r="E9" s="683">
        <v>3.85</v>
      </c>
      <c r="F9" s="1155">
        <f t="shared" si="0"/>
        <v>1552320</v>
      </c>
      <c r="G9" s="617"/>
    </row>
    <row r="10" spans="2:8" ht="12.75">
      <c r="B10" s="1173">
        <f>C10/C21</f>
        <v>0.80130293159609123</v>
      </c>
      <c r="C10" s="689">
        <f>SUM(C6:C9)</f>
        <v>492</v>
      </c>
      <c r="D10" s="481">
        <f>+SUMPRODUCT(D6:D9,C6:C9)/C10</f>
        <v>702.43902439024396</v>
      </c>
      <c r="E10" s="482">
        <f>+SUM(F6:F9)/(D10*C10)/12</f>
        <v>4.4958333333333336</v>
      </c>
      <c r="F10" s="803">
        <f>SUM(F6:F9)</f>
        <v>18645120</v>
      </c>
      <c r="G10" s="618"/>
    </row>
    <row r="11" spans="2:8" ht="12.75">
      <c r="B11" s="483" t="s">
        <v>320</v>
      </c>
      <c r="C11" s="626"/>
      <c r="D11" s="624"/>
      <c r="E11" s="623"/>
      <c r="F11" s="804"/>
      <c r="G11" s="619"/>
    </row>
    <row r="12" spans="2:8" ht="12.75">
      <c r="B12" s="1157">
        <f>C12/C21</f>
        <v>1.6286644951140065E-2</v>
      </c>
      <c r="C12" s="1154">
        <v>10</v>
      </c>
      <c r="D12" s="1156">
        <f>D6</f>
        <v>500</v>
      </c>
      <c r="E12" s="683">
        <f>720/D12</f>
        <v>1.44</v>
      </c>
      <c r="F12" s="1155">
        <f t="shared" ref="F12:F19" si="1">12*C12*D12*E12</f>
        <v>86400</v>
      </c>
      <c r="G12" s="617"/>
      <c r="H12" s="459"/>
    </row>
    <row r="13" spans="2:8" ht="12.75">
      <c r="B13" s="1158">
        <f>C13/C21</f>
        <v>4.8859934853420196E-2</v>
      </c>
      <c r="C13" s="1154">
        <v>30</v>
      </c>
      <c r="D13" s="1156">
        <f>D6</f>
        <v>500</v>
      </c>
      <c r="E13" s="683">
        <f>1198/D13</f>
        <v>2.3959999999999999</v>
      </c>
      <c r="F13" s="1155">
        <f t="shared" si="1"/>
        <v>431280</v>
      </c>
      <c r="G13" s="617"/>
      <c r="H13" s="459"/>
    </row>
    <row r="14" spans="2:8" ht="12.75">
      <c r="B14" s="1159">
        <f>C14/C21</f>
        <v>2.4429967426710098E-2</v>
      </c>
      <c r="C14" s="1154">
        <v>15</v>
      </c>
      <c r="D14" s="1156">
        <f>D7</f>
        <v>700</v>
      </c>
      <c r="E14" s="683">
        <f>771/D14</f>
        <v>1.1014285714285714</v>
      </c>
      <c r="F14" s="1155">
        <f t="shared" si="1"/>
        <v>138780</v>
      </c>
      <c r="G14" s="617"/>
      <c r="H14" s="459"/>
    </row>
    <row r="15" spans="2:8" ht="12.75">
      <c r="B15" s="1160">
        <f>C15/C21</f>
        <v>7.3289902280130298E-2</v>
      </c>
      <c r="C15" s="1154">
        <v>45</v>
      </c>
      <c r="D15" s="1156">
        <f>D7</f>
        <v>700</v>
      </c>
      <c r="E15" s="683">
        <f>1284/D15</f>
        <v>1.8342857142857143</v>
      </c>
      <c r="F15" s="1155">
        <f t="shared" si="1"/>
        <v>693360</v>
      </c>
      <c r="G15" s="617"/>
      <c r="H15" s="459"/>
    </row>
    <row r="16" spans="2:8" ht="12.75">
      <c r="B16" s="1161">
        <f>C16/C21</f>
        <v>6.5146579804560263E-3</v>
      </c>
      <c r="C16" s="1154">
        <v>4</v>
      </c>
      <c r="D16" s="1156">
        <f>D8</f>
        <v>1000</v>
      </c>
      <c r="E16" s="683">
        <v>2.85</v>
      </c>
      <c r="F16" s="1155">
        <f t="shared" si="1"/>
        <v>136800</v>
      </c>
      <c r="G16" s="617"/>
      <c r="H16" s="459"/>
    </row>
    <row r="17" spans="2:8" ht="12.75">
      <c r="B17" s="1162">
        <f>C17/C21</f>
        <v>1.9543973941368076E-2</v>
      </c>
      <c r="C17" s="1154">
        <v>12</v>
      </c>
      <c r="D17" s="1156">
        <f>D8</f>
        <v>1000</v>
      </c>
      <c r="E17" s="683">
        <f>1541/D17</f>
        <v>1.5409999999999999</v>
      </c>
      <c r="F17" s="1155">
        <f t="shared" si="1"/>
        <v>221904</v>
      </c>
      <c r="G17" s="617"/>
      <c r="H17" s="459"/>
    </row>
    <row r="18" spans="2:8" ht="12.75">
      <c r="B18" s="1163">
        <f>C18/C21</f>
        <v>3.2573289902280132E-3</v>
      </c>
      <c r="C18" s="1154">
        <v>2</v>
      </c>
      <c r="D18" s="1156">
        <f>D9</f>
        <v>1200</v>
      </c>
      <c r="E18" s="683">
        <f>1069/D18</f>
        <v>0.89083333333333337</v>
      </c>
      <c r="F18" s="1155">
        <f t="shared" si="1"/>
        <v>25656</v>
      </c>
      <c r="G18" s="617"/>
      <c r="H18" s="459"/>
    </row>
    <row r="19" spans="2:8" ht="12.75">
      <c r="B19" s="1164">
        <f>C19/C21</f>
        <v>6.5146579804560263E-3</v>
      </c>
      <c r="C19" s="1154">
        <v>4</v>
      </c>
      <c r="D19" s="1156">
        <f>D9</f>
        <v>1200</v>
      </c>
      <c r="E19" s="683">
        <f>1781/D19</f>
        <v>1.4841666666666666</v>
      </c>
      <c r="F19" s="1155">
        <f t="shared" si="1"/>
        <v>85488</v>
      </c>
      <c r="G19" s="617"/>
      <c r="H19" s="459"/>
    </row>
    <row r="20" spans="2:8" ht="13.5" thickBot="1">
      <c r="B20" s="1165">
        <f>C20/C21</f>
        <v>0.1986970684039088</v>
      </c>
      <c r="C20" s="689">
        <f>SUM(C12:C19)</f>
        <v>122</v>
      </c>
      <c r="D20" s="481">
        <f>SUMPRODUCT(D12:D18,C12:C18)/C20</f>
        <v>659.01639344262298</v>
      </c>
      <c r="E20" s="482">
        <f>+SUM(F12:F18)/(D20*C20)/12</f>
        <v>1.7974502487562189</v>
      </c>
      <c r="F20" s="805">
        <f>SUM(F12:F18)</f>
        <v>1734180</v>
      </c>
      <c r="G20" s="618"/>
    </row>
    <row r="21" spans="2:8" ht="14.25" thickTop="1" thickBot="1">
      <c r="B21" s="13" t="s">
        <v>317</v>
      </c>
      <c r="C21" s="800">
        <f>+C10+C20</f>
        <v>614</v>
      </c>
      <c r="D21" s="801">
        <f>C6*D6+C7*D7+C8*D8+C9*D9+C18*D18+C12*D12+C14*D14+C16*D16</f>
        <v>367500</v>
      </c>
      <c r="E21" s="594"/>
      <c r="F21" s="806">
        <f>F10+F20</f>
        <v>20379300</v>
      </c>
      <c r="G21" s="620"/>
    </row>
    <row r="22" spans="2:8" ht="14.25" thickTop="1" thickBot="1">
      <c r="B22" s="17" t="s">
        <v>116</v>
      </c>
      <c r="C22" s="585"/>
      <c r="D22" s="802">
        <f>D10</f>
        <v>702.43902439024396</v>
      </c>
      <c r="E22" s="20">
        <f>F21/D21/12</f>
        <v>4.6211564625850334</v>
      </c>
      <c r="F22" s="584"/>
      <c r="G22" s="35"/>
    </row>
    <row r="23" spans="2:8" ht="13.5" thickBot="1"/>
    <row r="24" spans="2:8" ht="12.75">
      <c r="B24" s="903" t="s">
        <v>117</v>
      </c>
      <c r="C24" s="904" t="s">
        <v>118</v>
      </c>
      <c r="D24" s="1176" t="s">
        <v>119</v>
      </c>
      <c r="E24" s="1177" t="s">
        <v>113</v>
      </c>
    </row>
    <row r="25" spans="2:8" ht="12.75">
      <c r="B25" s="224" t="s">
        <v>456</v>
      </c>
      <c r="C25" s="1175">
        <v>50000</v>
      </c>
      <c r="D25" s="217">
        <f>Assumptions!I11</f>
        <v>10</v>
      </c>
      <c r="E25" s="741">
        <f>C25*D25</f>
        <v>500000</v>
      </c>
      <c r="H25" s="484"/>
    </row>
    <row r="26" spans="2:8" ht="13.5" thickBot="1">
      <c r="B26" s="227" t="s">
        <v>455</v>
      </c>
      <c r="C26" s="950">
        <v>36000</v>
      </c>
      <c r="D26" s="476">
        <f>Assumptions!I12</f>
        <v>37</v>
      </c>
      <c r="E26" s="742">
        <f>C26*D26</f>
        <v>1332000</v>
      </c>
      <c r="H26" s="484"/>
    </row>
    <row r="27" spans="2:8" ht="14.25" thickTop="1" thickBot="1">
      <c r="B27" s="33" t="s">
        <v>120</v>
      </c>
      <c r="C27" s="807">
        <f>C25+C26</f>
        <v>86000</v>
      </c>
      <c r="D27" s="743">
        <f>IF(C27=0,0,E27/C27)</f>
        <v>21.302325581395348</v>
      </c>
      <c r="E27" s="729">
        <f>E25+E26</f>
        <v>1832000</v>
      </c>
      <c r="F27" s="30"/>
      <c r="G27" s="30"/>
      <c r="H27" s="484"/>
    </row>
    <row r="28" spans="2:8" ht="13.5" thickBot="1">
      <c r="B28" s="35"/>
      <c r="C28" s="744"/>
      <c r="D28" s="31"/>
      <c r="E28" s="32"/>
      <c r="F28" s="30"/>
      <c r="G28" s="30"/>
      <c r="H28" s="484"/>
    </row>
    <row r="29" spans="2:8" ht="15" customHeight="1">
      <c r="B29" s="732" t="s">
        <v>121</v>
      </c>
      <c r="C29" s="733"/>
      <c r="D29" s="1592" t="s">
        <v>434</v>
      </c>
      <c r="E29" s="1593"/>
      <c r="F29" s="1594"/>
      <c r="G29" s="621"/>
      <c r="H29" s="484"/>
    </row>
    <row r="30" spans="2:8" ht="12.75" customHeight="1">
      <c r="B30" s="197" t="s">
        <v>122</v>
      </c>
      <c r="C30" s="734">
        <f>C21/2</f>
        <v>307</v>
      </c>
      <c r="D30" s="1595"/>
      <c r="E30" s="1596"/>
      <c r="F30" s="1597"/>
      <c r="H30" s="31"/>
    </row>
    <row r="31" spans="2:8" ht="15.75" customHeight="1" thickBot="1">
      <c r="B31" s="200" t="s">
        <v>123</v>
      </c>
      <c r="C31" s="735">
        <f>C25/1000</f>
        <v>50</v>
      </c>
      <c r="D31" s="1595"/>
      <c r="E31" s="1596"/>
      <c r="F31" s="1597"/>
      <c r="H31" s="31"/>
    </row>
    <row r="32" spans="2:8" ht="14.25" thickTop="1" thickBot="1">
      <c r="B32" s="33" t="s">
        <v>124</v>
      </c>
      <c r="C32" s="808">
        <v>700</v>
      </c>
      <c r="D32" s="1598"/>
      <c r="E32" s="1599"/>
      <c r="F32" s="1600"/>
      <c r="G32" s="35"/>
      <c r="H32" s="35"/>
    </row>
    <row r="33" spans="2:10" ht="12.75">
      <c r="B33" s="26" t="s">
        <v>394</v>
      </c>
      <c r="C33" s="1015">
        <f>C32-C30-C31</f>
        <v>343</v>
      </c>
      <c r="D33" s="1036"/>
      <c r="E33" s="1037"/>
      <c r="F33" s="1037"/>
      <c r="G33" s="35"/>
      <c r="H33" s="35"/>
    </row>
    <row r="34" spans="2:10" ht="12.75">
      <c r="B34" s="234" t="s">
        <v>126</v>
      </c>
      <c r="C34" s="809">
        <v>57600</v>
      </c>
      <c r="D34" s="36"/>
      <c r="E34" s="37"/>
      <c r="F34" s="35"/>
      <c r="G34" s="35"/>
      <c r="H34" s="484"/>
    </row>
    <row r="35" spans="2:10" ht="12.75">
      <c r="B35" s="234" t="s">
        <v>127</v>
      </c>
      <c r="C35" s="810">
        <f>D21+C27</f>
        <v>453500</v>
      </c>
      <c r="D35" s="36"/>
      <c r="E35" s="37"/>
      <c r="F35" s="1339"/>
      <c r="G35" s="35"/>
      <c r="H35" s="459"/>
    </row>
    <row r="36" spans="2:10" ht="12.75">
      <c r="B36" s="236">
        <f>Assumptions!L27</f>
        <v>400</v>
      </c>
      <c r="C36" s="810">
        <f>400*C32</f>
        <v>280000</v>
      </c>
      <c r="D36" s="36"/>
      <c r="E36" s="37"/>
      <c r="F36" s="35"/>
      <c r="G36" s="35"/>
      <c r="H36" s="459"/>
    </row>
    <row r="37" spans="2:10" ht="12.75">
      <c r="B37" s="359">
        <v>0.2</v>
      </c>
      <c r="C37" s="810">
        <f>(1+B37)*(C35+C36)</f>
        <v>880200</v>
      </c>
      <c r="D37" s="36"/>
      <c r="E37" s="37"/>
      <c r="F37" s="35"/>
      <c r="G37" s="35"/>
      <c r="H37" s="459"/>
    </row>
    <row r="38" spans="2:10" ht="13.5" thickBot="1">
      <c r="B38" s="360">
        <v>10</v>
      </c>
      <c r="C38" s="811">
        <f>C37/B38</f>
        <v>88020</v>
      </c>
      <c r="D38" s="36"/>
      <c r="E38" s="37"/>
      <c r="F38" s="35"/>
      <c r="G38" s="35"/>
      <c r="H38" s="459"/>
    </row>
    <row r="39" spans="2:10" ht="13.5" thickBot="1">
      <c r="B39" s="812"/>
      <c r="C39" s="723"/>
      <c r="D39" s="36"/>
      <c r="E39" s="37"/>
      <c r="F39" s="35"/>
      <c r="G39" s="35"/>
    </row>
    <row r="40" spans="2:10" ht="15" customHeight="1" thickBot="1">
      <c r="B40" s="1607" t="s">
        <v>128</v>
      </c>
      <c r="C40" s="1608"/>
      <c r="D40" s="1606" t="str">
        <f>'Development Program'!B26</f>
        <v>Glacier Peak Apts</v>
      </c>
      <c r="E40" s="1565"/>
      <c r="F40" s="35"/>
      <c r="H40" s="1194"/>
    </row>
    <row r="41" spans="2:10" ht="14.45" customHeight="1" thickBot="1">
      <c r="B41" s="918" t="s">
        <v>129</v>
      </c>
      <c r="C41" s="904" t="s">
        <v>130</v>
      </c>
      <c r="D41" s="904" t="s">
        <v>131</v>
      </c>
      <c r="E41" s="905" t="s">
        <v>170</v>
      </c>
      <c r="F41" s="35"/>
      <c r="H41" s="60"/>
    </row>
    <row r="42" spans="2:10" ht="12.75">
      <c r="B42" s="627" t="s">
        <v>343</v>
      </c>
      <c r="C42" s="262">
        <f>E42/C21</f>
        <v>33191.042345276874</v>
      </c>
      <c r="D42" s="629">
        <f>E42/D21</f>
        <v>55.453877551020405</v>
      </c>
      <c r="E42" s="632">
        <f>F21</f>
        <v>20379300</v>
      </c>
      <c r="F42" s="35"/>
      <c r="G42" s="988"/>
      <c r="H42" s="70"/>
      <c r="I42" s="60"/>
      <c r="J42" s="1014"/>
    </row>
    <row r="43" spans="2:10" ht="13.5" thickBot="1">
      <c r="B43" s="1195">
        <f>C27</f>
        <v>86000</v>
      </c>
      <c r="C43" s="1601"/>
      <c r="D43" s="1601"/>
      <c r="E43" s="752">
        <f>E27</f>
        <v>1832000</v>
      </c>
      <c r="F43" s="1014"/>
      <c r="G43" s="1194"/>
      <c r="H43" s="72"/>
      <c r="I43" s="60"/>
      <c r="J43" s="60"/>
    </row>
    <row r="44" spans="2:10" ht="14.25" thickTop="1" thickBot="1">
      <c r="B44" s="42">
        <f>Assumptions!I14</f>
        <v>0.05</v>
      </c>
      <c r="C44" s="1604"/>
      <c r="D44" s="1605"/>
      <c r="E44" s="718">
        <f>-B44*SUM(E42:E43)</f>
        <v>-1110565</v>
      </c>
      <c r="F44" s="35"/>
      <c r="G44" s="1194"/>
      <c r="H44" s="72"/>
      <c r="I44" s="60"/>
      <c r="J44" s="60"/>
    </row>
    <row r="45" spans="2:10" ht="13.5" thickTop="1">
      <c r="B45" s="633"/>
      <c r="C45" s="1611" t="s">
        <v>345</v>
      </c>
      <c r="D45" s="1611"/>
      <c r="E45" s="632">
        <f>SUM(E42:E44)</f>
        <v>21100735</v>
      </c>
      <c r="F45" s="35"/>
      <c r="G45" s="988"/>
      <c r="H45" s="72"/>
    </row>
    <row r="46" spans="2:10" ht="12.75">
      <c r="B46" s="634" t="s">
        <v>136</v>
      </c>
      <c r="C46" s="630"/>
      <c r="D46" s="630" t="s">
        <v>137</v>
      </c>
      <c r="E46" s="632"/>
      <c r="F46" s="35"/>
      <c r="G46" s="1014"/>
      <c r="H46" s="1032"/>
      <c r="I46" s="60"/>
    </row>
    <row r="47" spans="2:10" ht="12.75">
      <c r="B47" s="633" t="s">
        <v>401</v>
      </c>
      <c r="C47" s="262">
        <f>Assumptions!L32</f>
        <v>325</v>
      </c>
      <c r="D47" s="631">
        <f>12*C47/Assumptions!L27</f>
        <v>9.75</v>
      </c>
      <c r="E47" s="632">
        <f>C30*C47*12</f>
        <v>1197300</v>
      </c>
      <c r="F47" s="35"/>
      <c r="G47" s="1194"/>
      <c r="H47" s="60"/>
      <c r="I47" s="60"/>
      <c r="J47" s="54"/>
    </row>
    <row r="48" spans="2:10" ht="12.75">
      <c r="B48" s="633" t="s">
        <v>402</v>
      </c>
      <c r="C48" s="262">
        <f>Assumptions!L35</f>
        <v>25</v>
      </c>
      <c r="D48" s="631">
        <f>E48/C25</f>
        <v>9.125</v>
      </c>
      <c r="E48" s="632">
        <f>C48*365*C31</f>
        <v>456250</v>
      </c>
      <c r="F48" s="35"/>
      <c r="G48" s="1194"/>
      <c r="H48" s="60"/>
      <c r="I48" s="60"/>
    </row>
    <row r="49" spans="2:10" ht="12.75">
      <c r="B49" s="633" t="s">
        <v>503</v>
      </c>
      <c r="C49" s="262"/>
      <c r="D49" s="631">
        <f>E49/C35</f>
        <v>2.3264316427783904</v>
      </c>
      <c r="E49" s="632">
        <f>Assumptions!I15*'Glacier Peak Financial'!E45</f>
        <v>1055036.75</v>
      </c>
      <c r="F49" s="35"/>
      <c r="G49" s="1194"/>
      <c r="H49" s="1032"/>
      <c r="I49" s="60"/>
      <c r="J49" s="60"/>
    </row>
    <row r="50" spans="2:10" ht="13.5" thickBot="1">
      <c r="B50" s="628" t="s">
        <v>139</v>
      </c>
      <c r="C50" s="1612"/>
      <c r="D50" s="1612"/>
      <c r="E50" s="635">
        <f>SUM(E47:E49)</f>
        <v>2708586.75</v>
      </c>
      <c r="F50" s="35"/>
      <c r="G50" s="35"/>
      <c r="H50" s="1032"/>
      <c r="I50" s="60"/>
    </row>
    <row r="51" spans="2:10" ht="14.25" thickTop="1" thickBot="1">
      <c r="B51" s="250" t="s">
        <v>140</v>
      </c>
      <c r="C51" s="44">
        <f>E51/C21</f>
        <v>38777.396986970685</v>
      </c>
      <c r="D51" s="816">
        <f>E51/D21</f>
        <v>64.787270068027212</v>
      </c>
      <c r="E51" s="815">
        <f>E45+E50</f>
        <v>23809321.75</v>
      </c>
      <c r="F51" s="35"/>
      <c r="G51" s="35"/>
      <c r="I51" s="1032"/>
    </row>
    <row r="52" spans="2:10" ht="12.75">
      <c r="B52" s="10" t="s">
        <v>141</v>
      </c>
      <c r="C52" s="11" t="s">
        <v>130</v>
      </c>
      <c r="D52" s="11" t="s">
        <v>142</v>
      </c>
      <c r="E52" s="46" t="s">
        <v>170</v>
      </c>
      <c r="F52" s="817"/>
      <c r="G52" s="35"/>
      <c r="H52" s="60"/>
      <c r="I52" s="1032"/>
    </row>
    <row r="53" spans="2:10" ht="13.5" thickBot="1">
      <c r="B53" s="1321">
        <f>IF(Assumptions!I20=1,Assumptions!I19,Assumptions!I18)</f>
        <v>0.45</v>
      </c>
      <c r="C53" s="813">
        <f>E53/C21</f>
        <v>-15333.922231270359</v>
      </c>
      <c r="D53" s="813">
        <f>E53/D21</f>
        <v>-25.619124489795919</v>
      </c>
      <c r="E53" s="814">
        <f>-B53*(E45-E43+E47+E48)</f>
        <v>-9415028.25</v>
      </c>
      <c r="F53" s="797"/>
      <c r="G53" s="35"/>
    </row>
    <row r="54" spans="2:10" ht="13.5" thickBot="1">
      <c r="B54" s="921" t="s">
        <v>144</v>
      </c>
      <c r="C54" s="922">
        <f>E54/C21</f>
        <v>23443.474755700325</v>
      </c>
      <c r="D54" s="923"/>
      <c r="E54" s="924">
        <f>E51+E53</f>
        <v>14394293.5</v>
      </c>
      <c r="F54" s="35"/>
      <c r="G54" s="35"/>
    </row>
    <row r="55" spans="2:10" ht="13.5" thickBot="1">
      <c r="B55" s="667" t="s">
        <v>145</v>
      </c>
      <c r="C55" s="818" t="s">
        <v>346</v>
      </c>
      <c r="D55" s="50">
        <f>Assumptions!L7</f>
        <v>0.05</v>
      </c>
      <c r="E55" s="587">
        <f>E54/D55</f>
        <v>287885870</v>
      </c>
      <c r="F55" s="988"/>
      <c r="G55" s="35"/>
      <c r="H55" s="35"/>
    </row>
    <row r="56" spans="2:10" ht="13.5" thickBot="1">
      <c r="B56" s="1582" t="s">
        <v>147</v>
      </c>
      <c r="C56" s="1583"/>
      <c r="D56" s="1609" t="str">
        <f>'Development Program'!B26</f>
        <v>Glacier Peak Apts</v>
      </c>
      <c r="E56" s="1610"/>
    </row>
    <row r="57" spans="2:10" s="819" customFormat="1" ht="13.5" thickBot="1">
      <c r="B57" s="967"/>
      <c r="C57" s="968" t="s">
        <v>148</v>
      </c>
      <c r="D57" s="968" t="s">
        <v>149</v>
      </c>
      <c r="E57" s="969" t="s">
        <v>130</v>
      </c>
    </row>
    <row r="58" spans="2:10" ht="12.75">
      <c r="B58" s="458" t="s">
        <v>537</v>
      </c>
      <c r="C58" s="1038">
        <f>Assumptions!I27</f>
        <v>245</v>
      </c>
      <c r="D58" s="638">
        <f>C58*(D21+C27)</f>
        <v>111107500</v>
      </c>
      <c r="E58" s="787">
        <f>D58/C$21</f>
        <v>180956.84039087949</v>
      </c>
      <c r="F58" s="60"/>
      <c r="G58" s="60"/>
      <c r="H58" s="60"/>
    </row>
    <row r="59" spans="2:10" ht="12.75">
      <c r="B59" s="458" t="s">
        <v>151</v>
      </c>
      <c r="C59" s="513">
        <f>Assumptions!L29</f>
        <v>30000</v>
      </c>
      <c r="D59" s="638">
        <f>C59*(C30+C31)</f>
        <v>10710000</v>
      </c>
      <c r="E59" s="602">
        <f t="shared" ref="E59:E80" si="2">D59/C$21</f>
        <v>17442.99674267101</v>
      </c>
      <c r="F59" s="60"/>
      <c r="G59" s="60"/>
      <c r="H59" s="60"/>
    </row>
    <row r="60" spans="2:10" ht="12.75">
      <c r="B60" s="458" t="s">
        <v>19</v>
      </c>
      <c r="C60" s="514">
        <v>0.08</v>
      </c>
      <c r="D60" s="638">
        <f>C60*D58</f>
        <v>8888600</v>
      </c>
      <c r="E60" s="602">
        <f t="shared" si="2"/>
        <v>14476.547231270359</v>
      </c>
      <c r="F60" s="1338"/>
      <c r="H60" s="60"/>
    </row>
    <row r="61" spans="2:10" ht="12.75">
      <c r="B61" s="458" t="s">
        <v>5</v>
      </c>
      <c r="C61" s="1023">
        <v>10</v>
      </c>
      <c r="D61" s="263">
        <f>C61*224857</f>
        <v>2248570</v>
      </c>
      <c r="E61" s="602">
        <f t="shared" si="2"/>
        <v>3662.1661237785015</v>
      </c>
      <c r="F61" s="72"/>
      <c r="H61" s="60"/>
    </row>
    <row r="62" spans="2:10" ht="12.75">
      <c r="B62" s="458" t="s">
        <v>152</v>
      </c>
      <c r="C62" s="641" t="s">
        <v>153</v>
      </c>
      <c r="D62" s="638">
        <f>'Market Research'!AJ9</f>
        <v>48900000</v>
      </c>
      <c r="E62" s="602">
        <f t="shared" si="2"/>
        <v>79641.693811074918</v>
      </c>
      <c r="F62" s="1338"/>
      <c r="H62" s="60"/>
    </row>
    <row r="63" spans="2:10" ht="12.75">
      <c r="B63" s="458" t="s">
        <v>20</v>
      </c>
      <c r="C63" s="1362">
        <v>1500</v>
      </c>
      <c r="D63" s="638">
        <f>C63*C21</f>
        <v>921000</v>
      </c>
      <c r="E63" s="602">
        <f t="shared" si="2"/>
        <v>1500</v>
      </c>
      <c r="F63" s="72"/>
      <c r="H63" s="60"/>
    </row>
    <row r="64" spans="2:10" ht="12.75">
      <c r="B64" s="458" t="s">
        <v>154</v>
      </c>
      <c r="C64" s="519" t="s">
        <v>155</v>
      </c>
      <c r="D64" s="638">
        <f>'Development Program'!E20</f>
        <v>3750000</v>
      </c>
      <c r="E64" s="602">
        <f t="shared" si="2"/>
        <v>6107.4918566775241</v>
      </c>
      <c r="F64" s="1338"/>
      <c r="H64" s="60"/>
    </row>
    <row r="65" spans="2:9" ht="12.75">
      <c r="B65" s="712" t="s">
        <v>23</v>
      </c>
      <c r="C65" s="642" t="s">
        <v>24</v>
      </c>
      <c r="D65" s="263">
        <v>500000</v>
      </c>
      <c r="E65" s="602">
        <f t="shared" si="2"/>
        <v>814.33224755700326</v>
      </c>
      <c r="G65" s="60"/>
      <c r="H65" s="60"/>
    </row>
    <row r="66" spans="2:9" ht="12.75">
      <c r="B66" s="712" t="s">
        <v>25</v>
      </c>
      <c r="C66" s="520">
        <v>0.01</v>
      </c>
      <c r="D66" s="263">
        <f>C66*D62</f>
        <v>489000</v>
      </c>
      <c r="E66" s="602">
        <f t="shared" si="2"/>
        <v>796.41693811074913</v>
      </c>
      <c r="F66" s="1338"/>
      <c r="H66" s="60"/>
    </row>
    <row r="67" spans="2:9" ht="12.75">
      <c r="B67" s="712" t="s">
        <v>26</v>
      </c>
      <c r="C67" s="515">
        <v>0.03</v>
      </c>
      <c r="D67" s="263">
        <f>C67*(D58+D59)</f>
        <v>3654525</v>
      </c>
      <c r="E67" s="602">
        <f t="shared" si="2"/>
        <v>5951.995114006515</v>
      </c>
      <c r="F67" s="60"/>
      <c r="H67" s="60"/>
    </row>
    <row r="68" spans="2:9" ht="12.75">
      <c r="B68" s="712" t="s">
        <v>27</v>
      </c>
      <c r="C68" s="521">
        <v>0.03</v>
      </c>
      <c r="D68" s="263">
        <f>C68*SUM(D58:D67)</f>
        <v>5735075.8499999996</v>
      </c>
      <c r="E68" s="602">
        <f t="shared" si="2"/>
        <v>9340.5144136807812</v>
      </c>
      <c r="F68" s="1338"/>
      <c r="H68" s="60"/>
    </row>
    <row r="69" spans="2:9" ht="12.75">
      <c r="B69" s="712" t="s">
        <v>28</v>
      </c>
      <c r="C69" s="515">
        <v>0.02</v>
      </c>
      <c r="D69" s="263">
        <f>C69*(D58+D59+D61)</f>
        <v>2481321.4</v>
      </c>
      <c r="E69" s="602">
        <f t="shared" si="2"/>
        <v>4041.2400651465796</v>
      </c>
      <c r="F69" s="60"/>
      <c r="H69" s="60"/>
    </row>
    <row r="70" spans="2:9" ht="12.75">
      <c r="B70" s="712" t="s">
        <v>398</v>
      </c>
      <c r="C70" s="1180">
        <v>9.0500000000000008E-3</v>
      </c>
      <c r="D70" s="263">
        <f>C70*2*D62</f>
        <v>885090.00000000012</v>
      </c>
      <c r="E70" s="602">
        <f t="shared" si="2"/>
        <v>1441.5146579804561</v>
      </c>
      <c r="F70" s="1338"/>
      <c r="H70" s="60"/>
    </row>
    <row r="71" spans="2:9" ht="12.75">
      <c r="B71" s="712" t="s">
        <v>30</v>
      </c>
      <c r="C71" s="639">
        <v>1</v>
      </c>
      <c r="D71" s="263">
        <f>C71*(D21+C25)</f>
        <v>417500</v>
      </c>
      <c r="E71" s="602">
        <f t="shared" si="2"/>
        <v>679.9674267100977</v>
      </c>
      <c r="H71" s="60"/>
    </row>
    <row r="72" spans="2:9" ht="12.75">
      <c r="B72" s="712" t="s">
        <v>31</v>
      </c>
      <c r="C72" s="639">
        <v>1</v>
      </c>
      <c r="D72" s="263">
        <f>C72*(D21+C25)</f>
        <v>417500</v>
      </c>
      <c r="E72" s="602">
        <f t="shared" si="2"/>
        <v>679.9674267100977</v>
      </c>
      <c r="F72" s="1338"/>
      <c r="H72" s="60"/>
    </row>
    <row r="73" spans="2:9" ht="12.75">
      <c r="B73" s="712" t="s">
        <v>32</v>
      </c>
      <c r="C73" s="516">
        <v>6</v>
      </c>
      <c r="D73" s="263">
        <f>-C73*E53/12</f>
        <v>4707514.125</v>
      </c>
      <c r="E73" s="602">
        <f t="shared" si="2"/>
        <v>7666.9611156351793</v>
      </c>
      <c r="F73" s="1570"/>
      <c r="G73" s="1570"/>
      <c r="H73" s="60"/>
    </row>
    <row r="74" spans="2:9" ht="12.75">
      <c r="B74" s="712" t="s">
        <v>227</v>
      </c>
      <c r="C74" s="1189">
        <v>0.15</v>
      </c>
      <c r="D74" s="263">
        <v>1695602.88</v>
      </c>
      <c r="E74" s="602">
        <f t="shared" si="2"/>
        <v>2761.5682084690552</v>
      </c>
      <c r="F74" s="1429"/>
      <c r="H74" s="60"/>
    </row>
    <row r="75" spans="2:9" ht="12.75">
      <c r="B75" s="712" t="s">
        <v>157</v>
      </c>
      <c r="C75" s="784">
        <v>75</v>
      </c>
      <c r="D75" s="263">
        <f>C25*C75</f>
        <v>3750000</v>
      </c>
      <c r="E75" s="602">
        <f t="shared" si="2"/>
        <v>6107.4918566775241</v>
      </c>
      <c r="H75" s="60"/>
    </row>
    <row r="76" spans="2:9" ht="12.75">
      <c r="B76" s="712" t="s">
        <v>158</v>
      </c>
      <c r="C76" s="1031">
        <v>0.06</v>
      </c>
      <c r="D76" s="263">
        <f>C76*10*E27</f>
        <v>1099200</v>
      </c>
      <c r="E76" s="602">
        <f t="shared" si="2"/>
        <v>1790.2280130293159</v>
      </c>
      <c r="F76" s="1338"/>
      <c r="H76" s="60"/>
    </row>
    <row r="77" spans="2:9" ht="12.75">
      <c r="B77" s="712" t="s">
        <v>35</v>
      </c>
      <c r="C77" s="523">
        <v>1.4999999999999999E-2</v>
      </c>
      <c r="D77" s="1428">
        <f ca="1">C77*C91</f>
        <v>2214785.9930402404</v>
      </c>
      <c r="E77" s="602">
        <f t="shared" ca="1" si="2"/>
        <v>3607.1433111404567</v>
      </c>
      <c r="F77" s="72"/>
      <c r="H77" s="60"/>
      <c r="I77" s="60"/>
    </row>
    <row r="78" spans="2:9" ht="12.75">
      <c r="B78" s="713" t="s">
        <v>36</v>
      </c>
      <c r="C78" s="640">
        <v>7.0000000000000007E-2</v>
      </c>
      <c r="D78" s="263">
        <f ca="1">C78*C91</f>
        <v>10335667.967521122</v>
      </c>
      <c r="E78" s="602">
        <f t="shared" ca="1" si="2"/>
        <v>16833.335451988798</v>
      </c>
      <c r="F78" s="72"/>
      <c r="H78" s="60"/>
      <c r="I78" s="72"/>
    </row>
    <row r="79" spans="2:9" ht="13.5" thickBot="1">
      <c r="B79" s="714" t="s">
        <v>159</v>
      </c>
      <c r="C79" s="1034">
        <v>0.01</v>
      </c>
      <c r="D79" s="751">
        <f ca="1">C79*SUM(D58:D78)</f>
        <v>2249084.5321556139</v>
      </c>
      <c r="E79" s="475">
        <f t="shared" ca="1" si="2"/>
        <v>3663.0041240319442</v>
      </c>
      <c r="F79" s="1338"/>
      <c r="G79" s="60"/>
      <c r="H79" s="60"/>
    </row>
    <row r="80" spans="2:9" ht="14.25" thickTop="1" thickBot="1">
      <c r="B80" s="748" t="s">
        <v>160</v>
      </c>
      <c r="C80" s="749"/>
      <c r="D80" s="44">
        <f ca="1">SUM(D58:D79)</f>
        <v>227157537.74771696</v>
      </c>
      <c r="E80" s="750">
        <f t="shared" ca="1" si="2"/>
        <v>369963.41652722633</v>
      </c>
      <c r="F80" s="60"/>
    </row>
    <row r="81" spans="2:6" ht="12.75">
      <c r="B81" s="531" t="s">
        <v>161</v>
      </c>
      <c r="C81" s="532">
        <f ca="1">E54/D80</f>
        <v>6.336700794840637E-2</v>
      </c>
      <c r="F81" s="60"/>
    </row>
    <row r="82" spans="2:6" ht="12.75">
      <c r="B82" s="272" t="s">
        <v>162</v>
      </c>
      <c r="C82" s="273">
        <f ca="1">(E55/D80)-1</f>
        <v>0.26734015896812724</v>
      </c>
      <c r="D82" s="59"/>
      <c r="E82" s="60"/>
      <c r="F82" s="60"/>
    </row>
    <row r="83" spans="2:6" ht="13.5" thickBot="1">
      <c r="B83" s="788">
        <v>0.3</v>
      </c>
      <c r="C83" s="275">
        <f>(E55/(1+B83))</f>
        <v>221450669.23076922</v>
      </c>
    </row>
    <row r="84" spans="2:6" ht="13.5" thickBot="1">
      <c r="B84" s="821">
        <v>0.3</v>
      </c>
      <c r="C84" s="275">
        <f ca="1">ROUND((E55/(1+B84))-D80,-3)</f>
        <v>-5707000</v>
      </c>
      <c r="D84" s="61" t="s">
        <v>163</v>
      </c>
    </row>
    <row r="85" spans="2:6" ht="13.5" thickBot="1">
      <c r="B85" s="62"/>
      <c r="C85" s="63"/>
    </row>
    <row r="86" spans="2:6" ht="15" customHeight="1" thickBot="1">
      <c r="B86" s="1602" t="s">
        <v>164</v>
      </c>
      <c r="C86" s="1603"/>
      <c r="D86" s="825" t="str">
        <f>'Development Program'!B26</f>
        <v>Glacier Peak Apts</v>
      </c>
    </row>
    <row r="87" spans="2:6" ht="13.5" thickBot="1">
      <c r="B87" s="277"/>
      <c r="C87" s="278" t="s">
        <v>165</v>
      </c>
      <c r="D87" s="279" t="s">
        <v>130</v>
      </c>
    </row>
    <row r="88" spans="2:6" ht="12.75">
      <c r="B88" s="654" t="s">
        <v>166</v>
      </c>
      <c r="C88" s="65">
        <f ca="1">IF(C84&lt;0,C84,0)</f>
        <v>-5707000</v>
      </c>
      <c r="D88" s="530">
        <f ca="1">C88/C21</f>
        <v>-9294.7882736156353</v>
      </c>
    </row>
    <row r="89" spans="2:6" ht="12.75">
      <c r="B89" s="654" t="s">
        <v>167</v>
      </c>
      <c r="C89" s="65">
        <f ca="1">D80+C88</f>
        <v>221450537.74771696</v>
      </c>
      <c r="D89" s="530">
        <f ca="1">C89/C21</f>
        <v>360668.62825361069</v>
      </c>
    </row>
    <row r="90" spans="2:6" ht="12.75">
      <c r="B90" s="654" t="s">
        <v>607</v>
      </c>
      <c r="C90" s="65">
        <v>5707000</v>
      </c>
      <c r="D90" s="530">
        <f>C90/C21</f>
        <v>9294.7882736156353</v>
      </c>
    </row>
    <row r="91" spans="2:6" ht="12.75">
      <c r="B91" s="375">
        <f>Assumptions!L16</f>
        <v>0.65</v>
      </c>
      <c r="C91" s="260">
        <f ca="1">D80*B91</f>
        <v>147652399.53601602</v>
      </c>
      <c r="D91" s="530">
        <f ca="1">C91/C21</f>
        <v>240476.2207426971</v>
      </c>
    </row>
    <row r="92" spans="2:6" ht="13.5" thickBot="1">
      <c r="B92" s="281">
        <f>1-B91</f>
        <v>0.35</v>
      </c>
      <c r="C92" s="267">
        <f ca="1">B92*D80</f>
        <v>79505138.211700931</v>
      </c>
      <c r="D92" s="827">
        <f ca="1">C92/C21</f>
        <v>129487.19578452921</v>
      </c>
      <c r="E92" s="60"/>
    </row>
    <row r="93" spans="2:6" ht="14.25" thickTop="1" thickBot="1">
      <c r="B93" s="603" t="s">
        <v>168</v>
      </c>
      <c r="C93" s="604">
        <f ca="1">C91+C92</f>
        <v>227157537.74771696</v>
      </c>
      <c r="D93" s="826">
        <f ca="1">C93/C21</f>
        <v>369963.41652722633</v>
      </c>
    </row>
    <row r="94" spans="2:6" ht="13.5" thickBot="1">
      <c r="B94" s="155"/>
      <c r="C94" s="155"/>
      <c r="D94" s="615"/>
    </row>
    <row r="95" spans="2:6" ht="13.5" thickBot="1">
      <c r="B95" s="762" t="s">
        <v>169</v>
      </c>
      <c r="C95" s="828" t="str">
        <f>'Development Program'!B26</f>
        <v>Glacier Peak Apts</v>
      </c>
    </row>
    <row r="96" spans="2:6" ht="13.5" thickBot="1">
      <c r="B96" s="68"/>
      <c r="C96" s="652" t="s">
        <v>170</v>
      </c>
      <c r="D96" s="597"/>
    </row>
    <row r="97" spans="2:7" ht="12.75">
      <c r="B97" s="644" t="s">
        <v>171</v>
      </c>
      <c r="C97" s="287">
        <f>ROUND(E55,-2)</f>
        <v>287885900</v>
      </c>
      <c r="D97" s="791"/>
    </row>
    <row r="98" spans="2:7" ht="13.5" thickBot="1">
      <c r="B98" s="406">
        <f>Assumptions!L14</f>
        <v>0.03</v>
      </c>
      <c r="C98" s="289">
        <f>(-ROUND(B98*C97,-2))</f>
        <v>-8636600</v>
      </c>
      <c r="D98" s="791"/>
    </row>
    <row r="99" spans="2:7" ht="14.25" thickTop="1" thickBot="1">
      <c r="B99" s="291" t="s">
        <v>172</v>
      </c>
      <c r="C99" s="178">
        <f>C97+C98</f>
        <v>279249300</v>
      </c>
      <c r="D99" s="791"/>
      <c r="F99" s="70"/>
      <c r="G99" s="70"/>
    </row>
    <row r="100" spans="2:7" ht="12.75">
      <c r="B100" s="644" t="s">
        <v>173</v>
      </c>
      <c r="C100" s="287">
        <f ca="1">-C91</f>
        <v>-147652399.53601602</v>
      </c>
      <c r="D100" s="791"/>
    </row>
    <row r="101" spans="2:7" ht="13.5" thickBot="1">
      <c r="B101" s="292" t="s">
        <v>174</v>
      </c>
      <c r="C101" s="293">
        <f ca="1">-C92</f>
        <v>-79505138.211700931</v>
      </c>
      <c r="D101" s="791"/>
    </row>
    <row r="102" spans="2:7" ht="14.25" thickTop="1" thickBot="1">
      <c r="B102" s="87" t="s">
        <v>175</v>
      </c>
      <c r="C102" s="179">
        <f ca="1">ROUND(C99+C100+C101,-2)</f>
        <v>52091800</v>
      </c>
      <c r="D102" s="792"/>
      <c r="E102" s="72"/>
    </row>
    <row r="103" spans="2:7" ht="15.75" customHeight="1" thickBot="1">
      <c r="B103" s="1542" t="s">
        <v>176</v>
      </c>
      <c r="C103" s="1543"/>
      <c r="D103" s="793"/>
    </row>
    <row r="104" spans="2:7" ht="12.75">
      <c r="B104" s="294" t="s">
        <v>177</v>
      </c>
      <c r="C104" s="295">
        <f>ROUND((C97)/C21,-2)</f>
        <v>468900</v>
      </c>
      <c r="D104" s="794"/>
    </row>
    <row r="105" spans="2:7" ht="13.5" thickBot="1">
      <c r="B105" s="296" t="s">
        <v>178</v>
      </c>
      <c r="C105" s="297">
        <f>C99/C21</f>
        <v>454803.42019543971</v>
      </c>
      <c r="D105" s="795"/>
    </row>
    <row r="106" spans="2:7" ht="15.75" customHeight="1" thickBot="1">
      <c r="B106" s="1544" t="s">
        <v>179</v>
      </c>
      <c r="C106" s="1545"/>
      <c r="D106" s="793"/>
    </row>
    <row r="107" spans="2:7" ht="12.75">
      <c r="B107" s="74"/>
      <c r="C107" s="652" t="s">
        <v>170</v>
      </c>
      <c r="D107" s="597"/>
    </row>
    <row r="108" spans="2:7" ht="12.75">
      <c r="B108" s="298" t="s">
        <v>340</v>
      </c>
      <c r="C108" s="299">
        <f ca="1">(C102+C92)/C92</f>
        <v>1.6552004206482034</v>
      </c>
      <c r="D108" s="790"/>
    </row>
    <row r="109" spans="2:7" ht="12.75">
      <c r="B109" s="300" t="s">
        <v>330</v>
      </c>
      <c r="C109" s="606">
        <f ca="1">'Glacier Peak Draw '!B45</f>
        <v>8.3837384086091316E-2</v>
      </c>
      <c r="D109" s="796"/>
      <c r="E109" s="75"/>
    </row>
    <row r="110" spans="2:7" ht="12.75">
      <c r="B110" s="300" t="s">
        <v>181</v>
      </c>
      <c r="C110" s="606">
        <f ca="1">'Glacier Peak Draw '!B40</f>
        <v>0.15288450943988607</v>
      </c>
      <c r="D110" s="796"/>
      <c r="E110" s="75"/>
    </row>
    <row r="111" spans="2:7" ht="12.75">
      <c r="B111" s="298" t="s">
        <v>182</v>
      </c>
      <c r="C111" s="301">
        <f ca="1">E54/C91</f>
        <v>9.74877045360098E-2</v>
      </c>
      <c r="D111" s="797"/>
    </row>
    <row r="112" spans="2:7" ht="13.5" thickBot="1">
      <c r="B112" s="764" t="s">
        <v>183</v>
      </c>
      <c r="C112" s="799">
        <f>D55</f>
        <v>0.05</v>
      </c>
      <c r="D112" s="798"/>
    </row>
    <row r="119" spans="2:5" ht="23.25" hidden="1" customHeight="1" thickBot="1"/>
    <row r="125" spans="2:5" ht="23.25" customHeight="1">
      <c r="B125" s="116"/>
      <c r="C125" s="116"/>
      <c r="D125" s="116"/>
      <c r="E125" s="32"/>
    </row>
  </sheetData>
  <mergeCells count="15">
    <mergeCell ref="B2:D2"/>
    <mergeCell ref="E2:F2"/>
    <mergeCell ref="D40:E40"/>
    <mergeCell ref="B40:C40"/>
    <mergeCell ref="B56:C56"/>
    <mergeCell ref="D56:E56"/>
    <mergeCell ref="C45:D45"/>
    <mergeCell ref="C50:D50"/>
    <mergeCell ref="B103:C103"/>
    <mergeCell ref="D29:F32"/>
    <mergeCell ref="B106:C106"/>
    <mergeCell ref="C43:D43"/>
    <mergeCell ref="B86:C86"/>
    <mergeCell ref="C44:D44"/>
    <mergeCell ref="F73:G73"/>
  </mergeCells>
  <printOptions horizontalCentered="1" verticalCentered="1"/>
  <pageMargins left="0.7" right="0.7" top="0.75" bottom="0.75" header="0.3" footer="0.3"/>
  <pageSetup scale="85" fitToHeight="0" orientation="landscape" horizontalDpi="4294967292" verticalDpi="4294967292" r:id="rId1"/>
  <headerFooter>
    <oddHeader>&amp;C&amp;"Times New Roman Bold,Bold"&amp;14&amp;K000000INVESTOR SHEET</oddHeader>
    <oddFooter>&amp;CPage &amp;P of &amp;N</oddFooter>
  </headerFooter>
  <rowBreaks count="2" manualBreakCount="2">
    <brk id="67" min="1" max="9" man="1"/>
    <brk id="99" min="1" max="9" man="1"/>
  </rowBreaks>
  <ignoredErrors>
    <ignoredError sqref="D27" formula="1"/>
    <ignoredError sqref="D20" formulaRange="1"/>
    <ignoredError sqref="B98"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AF4B-AA19-44C8-886E-4B0199F2ACBD}">
  <sheetPr>
    <tabColor rgb="FF0070C0"/>
  </sheetPr>
  <dimension ref="A1:AZ600"/>
  <sheetViews>
    <sheetView zoomScaleNormal="100" zoomScalePageLayoutView="125" workbookViewId="0">
      <pane xSplit="1" ySplit="4" topLeftCell="B7" activePane="bottomRight" state="frozen"/>
      <selection activeCell="G26" sqref="G26"/>
      <selection pane="topRight" activeCell="G26" sqref="G26"/>
      <selection pane="bottomLeft" activeCell="G26" sqref="G26"/>
      <selection pane="bottomRight" activeCell="AV10" sqref="AV10"/>
    </sheetView>
  </sheetViews>
  <sheetFormatPr defaultColWidth="8.85546875" defaultRowHeight="12.75"/>
  <cols>
    <col min="1" max="1" width="45.5703125" style="7" customWidth="1"/>
    <col min="2" max="2" width="14.85546875" style="7" customWidth="1"/>
    <col min="3" max="3" width="18.140625" style="7" customWidth="1"/>
    <col min="4" max="4" width="15.5703125" style="7" customWidth="1"/>
    <col min="5" max="5" width="17.140625" style="7" bestFit="1" customWidth="1"/>
    <col min="6" max="6" width="17.85546875" style="7" customWidth="1"/>
    <col min="7" max="7" width="14.42578125" style="89" customWidth="1"/>
    <col min="8" max="8" width="19" style="7" customWidth="1"/>
    <col min="9" max="9" width="15.5703125" style="7" customWidth="1"/>
    <col min="10" max="10" width="16.42578125" style="7" customWidth="1"/>
    <col min="11" max="11" width="17.5703125" style="7" customWidth="1"/>
    <col min="12" max="12" width="14.140625" style="7" customWidth="1"/>
    <col min="13" max="13" width="14.42578125" style="7" customWidth="1"/>
    <col min="14" max="14" width="15.42578125" style="7" customWidth="1"/>
    <col min="15" max="15" width="16.140625" style="7" customWidth="1"/>
    <col min="16" max="16" width="15.42578125" style="7" customWidth="1"/>
    <col min="17" max="17" width="13.85546875" style="7" customWidth="1"/>
    <col min="18" max="18" width="14" style="7" customWidth="1"/>
    <col min="19" max="19" width="14" style="7" hidden="1" customWidth="1"/>
    <col min="20" max="20" width="12.85546875" style="7" hidden="1" customWidth="1"/>
    <col min="21" max="21" width="14.42578125" style="7" hidden="1" customWidth="1"/>
    <col min="22" max="22" width="16" style="7" hidden="1" customWidth="1"/>
    <col min="23" max="23" width="17" style="7" hidden="1" customWidth="1"/>
    <col min="24" max="24" width="16.42578125" style="7" hidden="1" customWidth="1"/>
    <col min="25" max="25" width="13.42578125" style="7" hidden="1" customWidth="1"/>
    <col min="26" max="26" width="15" style="7" hidden="1" customWidth="1"/>
    <col min="27" max="27" width="13.42578125" style="7" hidden="1" customWidth="1"/>
    <col min="28" max="28" width="16.85546875" style="90" hidden="1" customWidth="1"/>
    <col min="29" max="29" width="15" style="7" hidden="1" customWidth="1"/>
    <col min="30" max="30" width="16.140625" style="7" hidden="1" customWidth="1"/>
    <col min="31" max="31" width="13.42578125" style="90" hidden="1" customWidth="1"/>
    <col min="32" max="32" width="17.140625" style="7" hidden="1" customWidth="1"/>
    <col min="33" max="33" width="14.42578125" style="7" hidden="1" customWidth="1"/>
    <col min="34" max="34" width="17.5703125" style="7" hidden="1" customWidth="1"/>
    <col min="35" max="35" width="14.42578125" style="91" hidden="1" customWidth="1"/>
    <col min="36" max="36" width="14.85546875" style="7" hidden="1" customWidth="1"/>
    <col min="37" max="37" width="15" style="7" hidden="1" customWidth="1"/>
    <col min="38" max="38" width="15.140625" style="7" hidden="1" customWidth="1"/>
    <col min="39" max="39" width="13.5703125" style="7" hidden="1" customWidth="1"/>
    <col min="40" max="40" width="13.85546875" style="7" hidden="1" customWidth="1"/>
    <col min="41" max="41" width="15.5703125" style="7" hidden="1" customWidth="1"/>
    <col min="42" max="43" width="15" style="7" hidden="1" customWidth="1"/>
    <col min="44" max="47" width="15.140625" style="7" hidden="1" customWidth="1"/>
    <col min="48" max="50" width="17" style="7" customWidth="1"/>
    <col min="51" max="51" width="15" style="7" customWidth="1"/>
    <col min="52" max="52" width="17.85546875" style="7" bestFit="1" customWidth="1"/>
    <col min="53" max="53" width="9.5703125" style="7" bestFit="1" customWidth="1"/>
    <col min="54" max="54" width="11.85546875" style="7" bestFit="1" customWidth="1"/>
    <col min="55" max="56" width="9.5703125" style="7" bestFit="1" customWidth="1"/>
    <col min="57" max="16384" width="8.85546875" style="7"/>
  </cols>
  <sheetData>
    <row r="1" spans="1:52" ht="15.75" thickBot="1">
      <c r="A1" s="1588" t="str">
        <f>'Development Program'!B26</f>
        <v>Glacier Peak Apts</v>
      </c>
      <c r="B1" s="156" t="s">
        <v>184</v>
      </c>
      <c r="C1" s="144" t="str">
        <f>'Development Program'!D23</f>
        <v>Pre-Development</v>
      </c>
      <c r="D1" s="144" t="str">
        <f>'Development Program'!E23</f>
        <v>Demolition</v>
      </c>
      <c r="E1" s="144" t="str">
        <f>'Development Program'!F23</f>
        <v>Construction</v>
      </c>
      <c r="F1" s="145" t="str">
        <f>'Development Program'!G23</f>
        <v>Close-out</v>
      </c>
      <c r="G1" s="7"/>
      <c r="AB1"/>
      <c r="AE1" s="7"/>
      <c r="AI1" s="7"/>
      <c r="AY1"/>
      <c r="AZ1"/>
    </row>
    <row r="2" spans="1:52" ht="15.75" thickBot="1">
      <c r="A2" s="1575"/>
      <c r="B2" s="488" t="s">
        <v>185</v>
      </c>
      <c r="C2" s="489" t="str">
        <f>'Development Program'!D26</f>
        <v>01/1/28 to 12/31/28</v>
      </c>
      <c r="D2" s="489" t="str">
        <f>'Development Program'!E26</f>
        <v>1/1/29 to 6/30/29</v>
      </c>
      <c r="E2" s="489" t="str">
        <f>'Development Program'!F26</f>
        <v>7/1/29 to 6/30/32</v>
      </c>
      <c r="F2" s="490" t="str">
        <f>'Development Program'!G26</f>
        <v>7/1/32 to 12/31/32</v>
      </c>
      <c r="G2" s="7"/>
      <c r="H2" s="491"/>
      <c r="I2" s="491"/>
      <c r="J2" s="491"/>
      <c r="Y2"/>
      <c r="AB2" s="7"/>
      <c r="AE2" s="7"/>
      <c r="AI2" s="7"/>
      <c r="AS2" s="1577" t="s">
        <v>191</v>
      </c>
      <c r="AT2" s="1577"/>
      <c r="AU2" s="1577"/>
      <c r="AV2"/>
      <c r="AW2"/>
    </row>
    <row r="3" spans="1:52" ht="15.75" thickBot="1">
      <c r="A3" s="1575"/>
      <c r="B3" s="492"/>
      <c r="C3" s="493" t="s">
        <v>186</v>
      </c>
      <c r="D3" s="493" t="s">
        <v>215</v>
      </c>
      <c r="E3" s="493" t="s">
        <v>216</v>
      </c>
      <c r="F3" s="493" t="s">
        <v>187</v>
      </c>
      <c r="G3" s="494"/>
      <c r="H3" s="495"/>
      <c r="I3" s="495"/>
      <c r="J3" s="495"/>
      <c r="K3" s="495"/>
      <c r="L3" s="494"/>
      <c r="M3" s="494"/>
      <c r="N3" s="494"/>
      <c r="O3" s="494"/>
      <c r="P3" s="491" t="s">
        <v>217</v>
      </c>
      <c r="Q3" s="491" t="s">
        <v>218</v>
      </c>
      <c r="R3" s="491" t="s">
        <v>219</v>
      </c>
      <c r="AB3"/>
      <c r="AE3" s="7"/>
      <c r="AI3" s="7"/>
      <c r="AV3" s="478"/>
      <c r="AW3" s="478"/>
      <c r="AX3" s="478"/>
      <c r="AY3"/>
      <c r="AZ3"/>
    </row>
    <row r="4" spans="1:52" s="148" customFormat="1" ht="15.75" thickBot="1">
      <c r="A4" s="1613"/>
      <c r="B4" s="149" t="s">
        <v>62</v>
      </c>
      <c r="C4" s="146">
        <v>47119</v>
      </c>
      <c r="D4" s="147">
        <f>EOMONTH(C4,3)</f>
        <v>47238</v>
      </c>
      <c r="E4" s="147">
        <f t="shared" ref="E4:AK4" si="0">EOMONTH(D4,3)</f>
        <v>47330</v>
      </c>
      <c r="F4" s="147">
        <f t="shared" si="0"/>
        <v>47422</v>
      </c>
      <c r="G4" s="147">
        <f t="shared" si="0"/>
        <v>47514</v>
      </c>
      <c r="H4" s="147">
        <f t="shared" si="0"/>
        <v>47603</v>
      </c>
      <c r="I4" s="147">
        <f t="shared" si="0"/>
        <v>47695</v>
      </c>
      <c r="J4" s="147">
        <f t="shared" si="0"/>
        <v>47787</v>
      </c>
      <c r="K4" s="147">
        <f t="shared" si="0"/>
        <v>47879</v>
      </c>
      <c r="L4" s="147">
        <f t="shared" si="0"/>
        <v>47968</v>
      </c>
      <c r="M4" s="147">
        <f t="shared" si="0"/>
        <v>48060</v>
      </c>
      <c r="N4" s="147">
        <f t="shared" si="0"/>
        <v>48152</v>
      </c>
      <c r="O4" s="147">
        <f t="shared" si="0"/>
        <v>48244</v>
      </c>
      <c r="P4" s="147">
        <f t="shared" si="0"/>
        <v>48334</v>
      </c>
      <c r="Q4" s="147">
        <f t="shared" si="0"/>
        <v>48426</v>
      </c>
      <c r="R4" s="147">
        <f t="shared" si="0"/>
        <v>48518</v>
      </c>
      <c r="S4" s="188">
        <f t="shared" si="0"/>
        <v>48610</v>
      </c>
      <c r="T4" s="188">
        <f t="shared" si="0"/>
        <v>48699</v>
      </c>
      <c r="U4" s="188">
        <f t="shared" si="0"/>
        <v>48791</v>
      </c>
      <c r="V4" s="188">
        <f t="shared" si="0"/>
        <v>48883</v>
      </c>
      <c r="W4" s="188">
        <f t="shared" si="0"/>
        <v>48975</v>
      </c>
      <c r="X4" s="188">
        <f t="shared" si="0"/>
        <v>49064</v>
      </c>
      <c r="Y4" s="188">
        <f t="shared" si="0"/>
        <v>49156</v>
      </c>
      <c r="Z4" s="188">
        <f t="shared" si="0"/>
        <v>49248</v>
      </c>
      <c r="AA4" s="188">
        <f t="shared" si="0"/>
        <v>49340</v>
      </c>
      <c r="AB4" s="188">
        <f t="shared" si="0"/>
        <v>49429</v>
      </c>
      <c r="AC4" s="188">
        <f t="shared" si="0"/>
        <v>49521</v>
      </c>
      <c r="AD4" s="188">
        <f t="shared" si="0"/>
        <v>49613</v>
      </c>
      <c r="AE4" s="188">
        <f t="shared" si="0"/>
        <v>49705</v>
      </c>
      <c r="AF4" s="188">
        <f t="shared" si="0"/>
        <v>49795</v>
      </c>
      <c r="AG4" s="188">
        <f t="shared" si="0"/>
        <v>49887</v>
      </c>
      <c r="AH4" s="188">
        <f t="shared" si="0"/>
        <v>49979</v>
      </c>
      <c r="AI4" s="188">
        <f t="shared" si="0"/>
        <v>50071</v>
      </c>
      <c r="AJ4" s="188">
        <f t="shared" si="0"/>
        <v>50160</v>
      </c>
      <c r="AK4" s="188">
        <f t="shared" si="0"/>
        <v>50252</v>
      </c>
      <c r="AL4" s="188">
        <f>EOMONTH(AK4,3)</f>
        <v>50344</v>
      </c>
      <c r="AM4" s="188">
        <f t="shared" ref="AM4:AU4" si="1">EOMONTH(AL4,3)</f>
        <v>50436</v>
      </c>
      <c r="AN4" s="188">
        <f t="shared" si="1"/>
        <v>50525</v>
      </c>
      <c r="AO4" s="188">
        <f t="shared" si="1"/>
        <v>50617</v>
      </c>
      <c r="AP4" s="188">
        <f t="shared" si="1"/>
        <v>50709</v>
      </c>
      <c r="AQ4" s="188">
        <f t="shared" si="1"/>
        <v>50801</v>
      </c>
      <c r="AR4" s="188">
        <f t="shared" si="1"/>
        <v>50890</v>
      </c>
      <c r="AS4" s="188">
        <f>EOMONTH(AR4,3)</f>
        <v>50982</v>
      </c>
      <c r="AT4" s="188">
        <f t="shared" si="1"/>
        <v>51074</v>
      </c>
      <c r="AU4" s="188">
        <f t="shared" si="1"/>
        <v>51166</v>
      </c>
      <c r="AV4" s="188" t="s">
        <v>192</v>
      </c>
      <c r="AW4" s="379" t="s">
        <v>193</v>
      </c>
      <c r="AX4" s="379"/>
      <c r="AY4"/>
      <c r="AZ4"/>
    </row>
    <row r="5" spans="1:52" ht="15.75" thickBot="1">
      <c r="A5" s="150" t="s">
        <v>194</v>
      </c>
      <c r="B5" s="151">
        <v>1</v>
      </c>
      <c r="C5" s="181">
        <v>0</v>
      </c>
      <c r="D5" s="181">
        <v>0</v>
      </c>
      <c r="E5" s="181">
        <v>0.05</v>
      </c>
      <c r="F5" s="181">
        <v>0.05</v>
      </c>
      <c r="G5" s="180">
        <v>0.05</v>
      </c>
      <c r="H5" s="180">
        <v>0.1</v>
      </c>
      <c r="I5" s="180">
        <v>0.1</v>
      </c>
      <c r="J5" s="180">
        <v>0.1</v>
      </c>
      <c r="K5" s="180">
        <v>0.1</v>
      </c>
      <c r="L5" s="180">
        <v>0.1</v>
      </c>
      <c r="M5" s="180">
        <v>0.1</v>
      </c>
      <c r="N5" s="180">
        <v>0.1</v>
      </c>
      <c r="O5" s="180">
        <v>0.1</v>
      </c>
      <c r="P5" s="180">
        <v>0.05</v>
      </c>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90"/>
      <c r="AT5" s="190"/>
      <c r="AU5" s="190"/>
      <c r="AV5" s="310">
        <f>SUM(C5:AR5)</f>
        <v>0.99999999999999989</v>
      </c>
      <c r="AW5" s="311"/>
      <c r="AX5" s="159" t="s">
        <v>195</v>
      </c>
      <c r="AY5"/>
      <c r="AZ5"/>
    </row>
    <row r="6" spans="1:52" ht="15">
      <c r="A6" s="123" t="str">
        <f>'Glacier Peak Financial'!B58</f>
        <v>Hard Costs for Construction: MF+Retail</v>
      </c>
      <c r="B6" s="152">
        <f>'Glacier Peak Financial'!D58</f>
        <v>111107500</v>
      </c>
      <c r="C6" s="314">
        <f>$B6*C$5</f>
        <v>0</v>
      </c>
      <c r="D6" s="314">
        <f t="shared" ref="D6:P22" si="2">$B6*D$5</f>
        <v>0</v>
      </c>
      <c r="E6" s="314">
        <f t="shared" si="2"/>
        <v>5555375</v>
      </c>
      <c r="F6" s="314">
        <f t="shared" si="2"/>
        <v>5555375</v>
      </c>
      <c r="G6" s="314">
        <f t="shared" si="2"/>
        <v>5555375</v>
      </c>
      <c r="H6" s="314">
        <f t="shared" si="2"/>
        <v>11110750</v>
      </c>
      <c r="I6" s="314">
        <f t="shared" si="2"/>
        <v>11110750</v>
      </c>
      <c r="J6" s="314">
        <f t="shared" si="2"/>
        <v>11110750</v>
      </c>
      <c r="K6" s="314">
        <f t="shared" si="2"/>
        <v>11110750</v>
      </c>
      <c r="L6" s="314">
        <f t="shared" si="2"/>
        <v>11110750</v>
      </c>
      <c r="M6" s="314">
        <f t="shared" si="2"/>
        <v>11110750</v>
      </c>
      <c r="N6" s="314">
        <f t="shared" si="2"/>
        <v>11110750</v>
      </c>
      <c r="O6" s="314">
        <f t="shared" si="2"/>
        <v>11110750</v>
      </c>
      <c r="P6" s="314">
        <f t="shared" si="2"/>
        <v>5555375</v>
      </c>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5">
        <f>SUM(C6:AU6)</f>
        <v>111107500</v>
      </c>
      <c r="AW6" s="315">
        <f t="shared" ref="AW6:AW27" si="3">B6</f>
        <v>111107500</v>
      </c>
      <c r="AX6" s="315">
        <f>AW6-AV6</f>
        <v>0</v>
      </c>
      <c r="AY6"/>
      <c r="AZ6"/>
    </row>
    <row r="7" spans="1:52" ht="15">
      <c r="A7" s="312" t="str">
        <f>'Glacier Peak Financial'!B59</f>
        <v>Parking stalls</v>
      </c>
      <c r="B7" s="345">
        <f>'Glacier Peak Financial'!D59</f>
        <v>10710000</v>
      </c>
      <c r="C7" s="314">
        <f t="shared" ref="C7:P27" si="4">$B7*C$5</f>
        <v>0</v>
      </c>
      <c r="D7" s="314">
        <f t="shared" si="2"/>
        <v>0</v>
      </c>
      <c r="E7" s="314">
        <f t="shared" si="2"/>
        <v>535500</v>
      </c>
      <c r="F7" s="314">
        <f t="shared" si="2"/>
        <v>535500</v>
      </c>
      <c r="G7" s="314">
        <f t="shared" si="2"/>
        <v>535500</v>
      </c>
      <c r="H7" s="314">
        <f t="shared" si="2"/>
        <v>1071000</v>
      </c>
      <c r="I7" s="314">
        <f t="shared" si="2"/>
        <v>1071000</v>
      </c>
      <c r="J7" s="314">
        <f t="shared" si="2"/>
        <v>1071000</v>
      </c>
      <c r="K7" s="314">
        <f t="shared" si="2"/>
        <v>1071000</v>
      </c>
      <c r="L7" s="314">
        <f t="shared" si="2"/>
        <v>1071000</v>
      </c>
      <c r="M7" s="314">
        <f t="shared" si="2"/>
        <v>1071000</v>
      </c>
      <c r="N7" s="314">
        <f t="shared" si="2"/>
        <v>1071000</v>
      </c>
      <c r="O7" s="314">
        <f t="shared" si="2"/>
        <v>1071000</v>
      </c>
      <c r="P7" s="314">
        <f t="shared" si="2"/>
        <v>535500</v>
      </c>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5">
        <f t="shared" ref="AV7:AV27" si="5">SUM(C7:AU7)</f>
        <v>10710000</v>
      </c>
      <c r="AW7" s="315">
        <f t="shared" si="3"/>
        <v>10710000</v>
      </c>
      <c r="AX7" s="315">
        <f t="shared" ref="AX7:AX27" si="6">AW7-AV7</f>
        <v>0</v>
      </c>
      <c r="AY7"/>
      <c r="AZ7"/>
    </row>
    <row r="8" spans="1:52" ht="15">
      <c r="A8" s="312" t="str">
        <f>'Glacier Peak Financial'!B60</f>
        <v>Hard Cost Contingency</v>
      </c>
      <c r="B8" s="345">
        <f>'Glacier Peak Financial'!D60</f>
        <v>8888600</v>
      </c>
      <c r="C8" s="314">
        <f t="shared" si="4"/>
        <v>0</v>
      </c>
      <c r="D8" s="314">
        <f t="shared" si="2"/>
        <v>0</v>
      </c>
      <c r="E8" s="314">
        <f t="shared" si="2"/>
        <v>444430</v>
      </c>
      <c r="F8" s="314">
        <f t="shared" si="2"/>
        <v>444430</v>
      </c>
      <c r="G8" s="314">
        <f t="shared" si="2"/>
        <v>444430</v>
      </c>
      <c r="H8" s="314">
        <f t="shared" si="2"/>
        <v>888860</v>
      </c>
      <c r="I8" s="314">
        <f t="shared" si="2"/>
        <v>888860</v>
      </c>
      <c r="J8" s="314">
        <f t="shared" si="2"/>
        <v>888860</v>
      </c>
      <c r="K8" s="314">
        <f t="shared" si="2"/>
        <v>888860</v>
      </c>
      <c r="L8" s="314">
        <f t="shared" si="2"/>
        <v>888860</v>
      </c>
      <c r="M8" s="314">
        <f t="shared" si="2"/>
        <v>888860</v>
      </c>
      <c r="N8" s="314">
        <f t="shared" si="2"/>
        <v>888860</v>
      </c>
      <c r="O8" s="314">
        <f t="shared" si="2"/>
        <v>888860</v>
      </c>
      <c r="P8" s="314">
        <f t="shared" si="2"/>
        <v>444430</v>
      </c>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5">
        <f t="shared" si="5"/>
        <v>8888600</v>
      </c>
      <c r="AW8" s="315">
        <f t="shared" si="3"/>
        <v>8888600</v>
      </c>
      <c r="AX8" s="315">
        <f t="shared" si="6"/>
        <v>0</v>
      </c>
      <c r="AY8"/>
      <c r="AZ8"/>
    </row>
    <row r="9" spans="1:52" ht="15">
      <c r="A9" s="312" t="str">
        <f>'Glacier Peak Financial'!B61</f>
        <v>Demolition</v>
      </c>
      <c r="B9" s="345">
        <f>'Glacier Peak Financial'!D61</f>
        <v>2248570</v>
      </c>
      <c r="C9" s="314">
        <f>B9</f>
        <v>2248570</v>
      </c>
      <c r="D9" s="314">
        <v>0</v>
      </c>
      <c r="E9" s="314">
        <v>0</v>
      </c>
      <c r="F9" s="314">
        <v>0</v>
      </c>
      <c r="G9" s="314">
        <v>0</v>
      </c>
      <c r="H9" s="314">
        <v>0</v>
      </c>
      <c r="I9" s="314">
        <v>0</v>
      </c>
      <c r="J9" s="314">
        <v>0</v>
      </c>
      <c r="K9" s="314">
        <v>0</v>
      </c>
      <c r="L9" s="314">
        <v>0</v>
      </c>
      <c r="M9" s="314">
        <v>0</v>
      </c>
      <c r="N9" s="314">
        <v>0</v>
      </c>
      <c r="O9" s="314">
        <v>0</v>
      </c>
      <c r="P9" s="314">
        <v>0</v>
      </c>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5">
        <f t="shared" si="5"/>
        <v>2248570</v>
      </c>
      <c r="AW9" s="315">
        <f t="shared" si="3"/>
        <v>2248570</v>
      </c>
      <c r="AX9" s="315">
        <f t="shared" si="6"/>
        <v>0</v>
      </c>
      <c r="AY9"/>
      <c r="AZ9"/>
    </row>
    <row r="10" spans="1:52" ht="15">
      <c r="A10" s="312" t="str">
        <f>'Glacier Peak Financial'!B62</f>
        <v>LAND</v>
      </c>
      <c r="B10" s="345">
        <f>'Glacier Peak Financial'!D62</f>
        <v>48900000</v>
      </c>
      <c r="C10" s="314">
        <f>B10</f>
        <v>48900000</v>
      </c>
      <c r="D10" s="314">
        <v>0</v>
      </c>
      <c r="E10" s="314">
        <v>0</v>
      </c>
      <c r="F10" s="314">
        <v>0</v>
      </c>
      <c r="G10" s="314">
        <v>0</v>
      </c>
      <c r="H10" s="314">
        <v>0</v>
      </c>
      <c r="I10" s="314">
        <v>0</v>
      </c>
      <c r="J10" s="314">
        <v>0</v>
      </c>
      <c r="K10" s="314">
        <v>0</v>
      </c>
      <c r="L10" s="314">
        <v>0</v>
      </c>
      <c r="M10" s="314">
        <v>0</v>
      </c>
      <c r="N10" s="314">
        <v>0</v>
      </c>
      <c r="O10" s="314">
        <v>0</v>
      </c>
      <c r="P10" s="314">
        <v>0</v>
      </c>
      <c r="Q10" s="316"/>
      <c r="R10" s="316"/>
      <c r="S10" s="316"/>
      <c r="T10" s="316"/>
      <c r="U10" s="316"/>
      <c r="V10" s="316"/>
      <c r="W10" s="316"/>
      <c r="X10" s="316"/>
      <c r="Y10" s="316"/>
      <c r="Z10" s="316"/>
      <c r="AA10" s="316"/>
      <c r="AB10" s="316"/>
      <c r="AC10" s="316"/>
      <c r="AD10" s="316"/>
      <c r="AE10" s="380"/>
      <c r="AF10" s="380"/>
      <c r="AG10" s="380"/>
      <c r="AH10" s="380"/>
      <c r="AI10" s="380"/>
      <c r="AJ10" s="380"/>
      <c r="AK10" s="380"/>
      <c r="AL10" s="380"/>
      <c r="AM10" s="380"/>
      <c r="AN10" s="380"/>
      <c r="AO10" s="380"/>
      <c r="AP10" s="380"/>
      <c r="AQ10" s="380"/>
      <c r="AR10" s="380"/>
      <c r="AS10" s="380"/>
      <c r="AT10" s="380"/>
      <c r="AU10" s="380"/>
      <c r="AV10" s="315">
        <f t="shared" si="5"/>
        <v>48900000</v>
      </c>
      <c r="AW10" s="315">
        <f t="shared" si="3"/>
        <v>48900000</v>
      </c>
      <c r="AX10" s="315">
        <f t="shared" si="6"/>
        <v>0</v>
      </c>
      <c r="AY10"/>
      <c r="AZ10"/>
    </row>
    <row r="11" spans="1:52" ht="15">
      <c r="A11" s="312" t="str">
        <f>'Glacier Peak Financial'!B63</f>
        <v>Municipal Fees and Allowances</v>
      </c>
      <c r="B11" s="345">
        <f>'Glacier Peak Financial'!D63</f>
        <v>921000</v>
      </c>
      <c r="C11" s="314">
        <f>B11</f>
        <v>921000</v>
      </c>
      <c r="D11" s="314">
        <v>0</v>
      </c>
      <c r="E11" s="314">
        <v>0</v>
      </c>
      <c r="F11" s="314">
        <v>0</v>
      </c>
      <c r="G11" s="314">
        <v>0</v>
      </c>
      <c r="H11" s="314">
        <v>0</v>
      </c>
      <c r="I11" s="314">
        <v>0</v>
      </c>
      <c r="J11" s="314">
        <v>0</v>
      </c>
      <c r="K11" s="314">
        <v>0</v>
      </c>
      <c r="L11" s="314">
        <v>0</v>
      </c>
      <c r="M11" s="314">
        <v>0</v>
      </c>
      <c r="N11" s="314">
        <v>0</v>
      </c>
      <c r="O11" s="314">
        <v>0</v>
      </c>
      <c r="P11" s="314">
        <v>0</v>
      </c>
      <c r="Q11" s="316"/>
      <c r="R11" s="316"/>
      <c r="S11" s="317"/>
      <c r="T11" s="314"/>
      <c r="U11" s="316"/>
      <c r="V11" s="316"/>
      <c r="W11" s="316"/>
      <c r="X11" s="316"/>
      <c r="Y11" s="316"/>
      <c r="Z11" s="316"/>
      <c r="AA11" s="316"/>
      <c r="AB11" s="316"/>
      <c r="AC11" s="316"/>
      <c r="AD11" s="316"/>
      <c r="AE11" s="380"/>
      <c r="AF11" s="380"/>
      <c r="AG11" s="380"/>
      <c r="AH11" s="380"/>
      <c r="AI11" s="380"/>
      <c r="AJ11" s="380"/>
      <c r="AK11" s="381"/>
      <c r="AL11" s="382"/>
      <c r="AM11" s="380"/>
      <c r="AN11" s="380"/>
      <c r="AO11" s="380"/>
      <c r="AP11" s="381"/>
      <c r="AQ11" s="380"/>
      <c r="AR11" s="380"/>
      <c r="AS11" s="380"/>
      <c r="AT11" s="380"/>
      <c r="AU11" s="380"/>
      <c r="AV11" s="315">
        <f t="shared" si="5"/>
        <v>921000</v>
      </c>
      <c r="AW11" s="315">
        <f t="shared" si="3"/>
        <v>921000</v>
      </c>
      <c r="AX11" s="315">
        <f t="shared" si="6"/>
        <v>0</v>
      </c>
      <c r="AY11"/>
      <c r="AZ11"/>
    </row>
    <row r="12" spans="1:52" ht="15">
      <c r="A12" s="312" t="str">
        <f>'Glacier Peak Financial'!B64</f>
        <v>Infrastructure allocation</v>
      </c>
      <c r="B12" s="345">
        <f>'Glacier Peak Financial'!D64</f>
        <v>3750000</v>
      </c>
      <c r="C12" s="314">
        <f t="shared" si="4"/>
        <v>0</v>
      </c>
      <c r="D12" s="314">
        <f t="shared" si="2"/>
        <v>0</v>
      </c>
      <c r="E12" s="314">
        <f t="shared" si="2"/>
        <v>187500</v>
      </c>
      <c r="F12" s="314">
        <f t="shared" si="2"/>
        <v>187500</v>
      </c>
      <c r="G12" s="314">
        <f t="shared" si="2"/>
        <v>187500</v>
      </c>
      <c r="H12" s="314">
        <f t="shared" si="2"/>
        <v>375000</v>
      </c>
      <c r="I12" s="314">
        <f t="shared" si="2"/>
        <v>375000</v>
      </c>
      <c r="J12" s="314">
        <f t="shared" si="2"/>
        <v>375000</v>
      </c>
      <c r="K12" s="314">
        <f t="shared" si="2"/>
        <v>375000</v>
      </c>
      <c r="L12" s="314">
        <f t="shared" si="2"/>
        <v>375000</v>
      </c>
      <c r="M12" s="314">
        <f t="shared" si="2"/>
        <v>375000</v>
      </c>
      <c r="N12" s="314">
        <f t="shared" si="2"/>
        <v>375000</v>
      </c>
      <c r="O12" s="314">
        <f t="shared" si="2"/>
        <v>375000</v>
      </c>
      <c r="P12" s="314">
        <f t="shared" si="2"/>
        <v>187500</v>
      </c>
      <c r="Q12" s="316"/>
      <c r="R12" s="316"/>
      <c r="S12" s="314"/>
      <c r="T12" s="314"/>
      <c r="U12" s="316"/>
      <c r="V12" s="316"/>
      <c r="W12" s="316"/>
      <c r="X12" s="316"/>
      <c r="Y12" s="316"/>
      <c r="Z12" s="316"/>
      <c r="AA12" s="316"/>
      <c r="AB12" s="316"/>
      <c r="AC12" s="316"/>
      <c r="AD12" s="316"/>
      <c r="AE12" s="380"/>
      <c r="AF12" s="380"/>
      <c r="AG12" s="380"/>
      <c r="AH12" s="380"/>
      <c r="AI12" s="380"/>
      <c r="AJ12" s="380"/>
      <c r="AK12" s="381"/>
      <c r="AL12" s="382"/>
      <c r="AM12" s="380"/>
      <c r="AN12" s="380"/>
      <c r="AO12" s="380"/>
      <c r="AP12" s="381"/>
      <c r="AQ12" s="380"/>
      <c r="AR12" s="383"/>
      <c r="AS12" s="383"/>
      <c r="AT12" s="383"/>
      <c r="AU12" s="383"/>
      <c r="AV12" s="315">
        <f t="shared" si="5"/>
        <v>3750000</v>
      </c>
      <c r="AW12" s="315">
        <f t="shared" si="3"/>
        <v>3750000</v>
      </c>
      <c r="AX12" s="315">
        <f t="shared" si="6"/>
        <v>0</v>
      </c>
      <c r="AY12"/>
      <c r="AZ12"/>
    </row>
    <row r="13" spans="1:52" ht="15">
      <c r="A13" s="312" t="str">
        <f>'Glacier Peak Financial'!B65</f>
        <v>Legal</v>
      </c>
      <c r="B13" s="345">
        <f>'Glacier Peak Financial'!D65</f>
        <v>500000</v>
      </c>
      <c r="C13" s="314">
        <f t="shared" si="4"/>
        <v>0</v>
      </c>
      <c r="D13" s="314">
        <f t="shared" si="2"/>
        <v>0</v>
      </c>
      <c r="E13" s="314">
        <f t="shared" si="2"/>
        <v>25000</v>
      </c>
      <c r="F13" s="314">
        <f t="shared" si="2"/>
        <v>25000</v>
      </c>
      <c r="G13" s="314">
        <f t="shared" si="2"/>
        <v>25000</v>
      </c>
      <c r="H13" s="314">
        <f t="shared" si="2"/>
        <v>50000</v>
      </c>
      <c r="I13" s="314">
        <f t="shared" si="2"/>
        <v>50000</v>
      </c>
      <c r="J13" s="314">
        <f t="shared" si="2"/>
        <v>50000</v>
      </c>
      <c r="K13" s="314">
        <f t="shared" si="2"/>
        <v>50000</v>
      </c>
      <c r="L13" s="314">
        <f t="shared" si="2"/>
        <v>50000</v>
      </c>
      <c r="M13" s="314">
        <f t="shared" si="2"/>
        <v>50000</v>
      </c>
      <c r="N13" s="314">
        <f t="shared" si="2"/>
        <v>50000</v>
      </c>
      <c r="O13" s="314">
        <f t="shared" si="2"/>
        <v>50000</v>
      </c>
      <c r="P13" s="314">
        <f t="shared" si="2"/>
        <v>25000</v>
      </c>
      <c r="Q13" s="316"/>
      <c r="R13" s="316"/>
      <c r="S13" s="316"/>
      <c r="T13" s="316"/>
      <c r="U13" s="316"/>
      <c r="V13" s="316"/>
      <c r="W13" s="316"/>
      <c r="X13" s="316"/>
      <c r="Y13" s="316"/>
      <c r="Z13" s="316"/>
      <c r="AA13" s="316"/>
      <c r="AB13" s="316"/>
      <c r="AC13" s="316"/>
      <c r="AD13" s="316"/>
      <c r="AE13" s="316"/>
      <c r="AF13" s="316"/>
      <c r="AG13" s="316"/>
      <c r="AH13" s="316"/>
      <c r="AI13" s="316"/>
      <c r="AJ13" s="316"/>
      <c r="AK13" s="384"/>
      <c r="AL13" s="385"/>
      <c r="AM13" s="316"/>
      <c r="AN13" s="316"/>
      <c r="AO13" s="316"/>
      <c r="AP13" s="384"/>
      <c r="AQ13" s="316"/>
      <c r="AR13" s="316"/>
      <c r="AS13" s="316"/>
      <c r="AT13" s="316"/>
      <c r="AU13" s="316"/>
      <c r="AV13" s="315">
        <f t="shared" si="5"/>
        <v>500000</v>
      </c>
      <c r="AW13" s="315">
        <f t="shared" si="3"/>
        <v>500000</v>
      </c>
      <c r="AX13" s="315">
        <f t="shared" si="6"/>
        <v>0</v>
      </c>
      <c r="AY13"/>
      <c r="AZ13"/>
    </row>
    <row r="14" spans="1:52" ht="15">
      <c r="A14" s="312" t="str">
        <f>'Glacier Peak Financial'!B66</f>
        <v>Land Closing Costs/commissions</v>
      </c>
      <c r="B14" s="345">
        <f>'Glacier Peak Financial'!D66</f>
        <v>489000</v>
      </c>
      <c r="C14" s="314">
        <f>B14</f>
        <v>489000</v>
      </c>
      <c r="D14" s="314">
        <v>0</v>
      </c>
      <c r="E14" s="314">
        <v>0</v>
      </c>
      <c r="F14" s="314">
        <v>0</v>
      </c>
      <c r="G14" s="314">
        <v>0</v>
      </c>
      <c r="H14" s="314">
        <v>0</v>
      </c>
      <c r="I14" s="314">
        <v>0</v>
      </c>
      <c r="J14" s="314">
        <v>0</v>
      </c>
      <c r="K14" s="314">
        <v>0</v>
      </c>
      <c r="L14" s="314">
        <v>0</v>
      </c>
      <c r="M14" s="314">
        <v>0</v>
      </c>
      <c r="N14" s="314">
        <v>0</v>
      </c>
      <c r="O14" s="314">
        <v>0</v>
      </c>
      <c r="P14" s="314">
        <v>0</v>
      </c>
      <c r="Q14" s="314"/>
      <c r="R14" s="314"/>
      <c r="S14" s="314"/>
      <c r="T14" s="314"/>
      <c r="U14" s="314"/>
      <c r="V14" s="314"/>
      <c r="W14" s="314"/>
      <c r="X14" s="314"/>
      <c r="Y14" s="314"/>
      <c r="Z14" s="314"/>
      <c r="AA14" s="314"/>
      <c r="AB14" s="314"/>
      <c r="AC14" s="314"/>
      <c r="AD14" s="314"/>
      <c r="AE14" s="317"/>
      <c r="AF14" s="317"/>
      <c r="AG14" s="317"/>
      <c r="AH14" s="317"/>
      <c r="AI14" s="317"/>
      <c r="AJ14" s="317"/>
      <c r="AK14" s="386"/>
      <c r="AL14" s="387"/>
      <c r="AM14" s="317"/>
      <c r="AN14" s="317"/>
      <c r="AO14" s="317"/>
      <c r="AP14" s="386"/>
      <c r="AQ14" s="317"/>
      <c r="AR14" s="317"/>
      <c r="AS14" s="317"/>
      <c r="AT14" s="317"/>
      <c r="AU14" s="317"/>
      <c r="AV14" s="315">
        <f t="shared" si="5"/>
        <v>489000</v>
      </c>
      <c r="AW14" s="315">
        <f t="shared" si="3"/>
        <v>489000</v>
      </c>
      <c r="AX14" s="315">
        <f t="shared" si="6"/>
        <v>0</v>
      </c>
      <c r="AY14"/>
      <c r="AZ14"/>
    </row>
    <row r="15" spans="1:52" ht="15">
      <c r="A15" s="312" t="str">
        <f>'Glacier Peak Financial'!B67</f>
        <v xml:space="preserve">Design </v>
      </c>
      <c r="B15" s="345">
        <f>'Glacier Peak Financial'!D67</f>
        <v>3654525</v>
      </c>
      <c r="C15" s="314">
        <f t="shared" si="4"/>
        <v>0</v>
      </c>
      <c r="D15" s="314">
        <f t="shared" si="2"/>
        <v>0</v>
      </c>
      <c r="E15" s="314">
        <f t="shared" si="2"/>
        <v>182726.25</v>
      </c>
      <c r="F15" s="314">
        <f t="shared" si="2"/>
        <v>182726.25</v>
      </c>
      <c r="G15" s="314">
        <f t="shared" si="2"/>
        <v>182726.25</v>
      </c>
      <c r="H15" s="314">
        <f t="shared" si="2"/>
        <v>365452.5</v>
      </c>
      <c r="I15" s="314">
        <f t="shared" si="2"/>
        <v>365452.5</v>
      </c>
      <c r="J15" s="314">
        <f t="shared" si="2"/>
        <v>365452.5</v>
      </c>
      <c r="K15" s="314">
        <f t="shared" si="2"/>
        <v>365452.5</v>
      </c>
      <c r="L15" s="314">
        <f t="shared" si="2"/>
        <v>365452.5</v>
      </c>
      <c r="M15" s="314">
        <f t="shared" si="2"/>
        <v>365452.5</v>
      </c>
      <c r="N15" s="314">
        <f t="shared" si="2"/>
        <v>365452.5</v>
      </c>
      <c r="O15" s="314">
        <f t="shared" si="2"/>
        <v>365452.5</v>
      </c>
      <c r="P15" s="314">
        <f t="shared" si="2"/>
        <v>182726.25</v>
      </c>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7"/>
      <c r="AR15" s="317"/>
      <c r="AS15" s="317"/>
      <c r="AT15" s="317"/>
      <c r="AU15" s="317"/>
      <c r="AV15" s="315">
        <f t="shared" si="5"/>
        <v>3654525</v>
      </c>
      <c r="AW15" s="315">
        <f t="shared" si="3"/>
        <v>3654525</v>
      </c>
      <c r="AX15" s="315">
        <f t="shared" si="6"/>
        <v>0</v>
      </c>
      <c r="AY15"/>
      <c r="AZ15"/>
    </row>
    <row r="16" spans="1:52" ht="15">
      <c r="A16" s="312" t="str">
        <f>'Glacier Peak Financial'!B68</f>
        <v>Developer Fee</v>
      </c>
      <c r="B16" s="345">
        <f>'Glacier Peak Financial'!D68</f>
        <v>5735075.8499999996</v>
      </c>
      <c r="C16" s="314">
        <f t="shared" si="4"/>
        <v>0</v>
      </c>
      <c r="D16" s="314">
        <f t="shared" si="2"/>
        <v>0</v>
      </c>
      <c r="E16" s="314">
        <f t="shared" si="2"/>
        <v>286753.79249999998</v>
      </c>
      <c r="F16" s="314">
        <f t="shared" si="2"/>
        <v>286753.79249999998</v>
      </c>
      <c r="G16" s="314">
        <f t="shared" si="2"/>
        <v>286753.79249999998</v>
      </c>
      <c r="H16" s="314">
        <f t="shared" si="2"/>
        <v>573507.58499999996</v>
      </c>
      <c r="I16" s="314">
        <f t="shared" si="2"/>
        <v>573507.58499999996</v>
      </c>
      <c r="J16" s="314">
        <f t="shared" si="2"/>
        <v>573507.58499999996</v>
      </c>
      <c r="K16" s="314">
        <f t="shared" si="2"/>
        <v>573507.58499999996</v>
      </c>
      <c r="L16" s="314">
        <f t="shared" si="2"/>
        <v>573507.58499999996</v>
      </c>
      <c r="M16" s="314">
        <f t="shared" si="2"/>
        <v>573507.58499999996</v>
      </c>
      <c r="N16" s="314">
        <f t="shared" si="2"/>
        <v>573507.58499999996</v>
      </c>
      <c r="O16" s="314">
        <f t="shared" si="2"/>
        <v>573507.58499999996</v>
      </c>
      <c r="P16" s="314">
        <f t="shared" si="2"/>
        <v>286753.79249999998</v>
      </c>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5">
        <f t="shared" si="5"/>
        <v>5735075.8499999996</v>
      </c>
      <c r="AW16" s="315">
        <f t="shared" si="3"/>
        <v>5735075.8499999996</v>
      </c>
      <c r="AX16" s="315">
        <f t="shared" si="6"/>
        <v>0</v>
      </c>
      <c r="AY16"/>
      <c r="AZ16"/>
    </row>
    <row r="17" spans="1:52" ht="15">
      <c r="A17" s="312" t="str">
        <f>'Glacier Peak Financial'!B69</f>
        <v>Construction Management Fee</v>
      </c>
      <c r="B17" s="345">
        <f>'Glacier Peak Financial'!D69</f>
        <v>2481321.4</v>
      </c>
      <c r="C17" s="314">
        <f t="shared" si="4"/>
        <v>0</v>
      </c>
      <c r="D17" s="314">
        <f t="shared" si="2"/>
        <v>0</v>
      </c>
      <c r="E17" s="314">
        <f t="shared" si="2"/>
        <v>124066.07</v>
      </c>
      <c r="F17" s="314">
        <f t="shared" si="2"/>
        <v>124066.07</v>
      </c>
      <c r="G17" s="314">
        <f t="shared" si="2"/>
        <v>124066.07</v>
      </c>
      <c r="H17" s="314">
        <f t="shared" si="2"/>
        <v>248132.14</v>
      </c>
      <c r="I17" s="314">
        <f t="shared" si="2"/>
        <v>248132.14</v>
      </c>
      <c r="J17" s="314">
        <f t="shared" si="2"/>
        <v>248132.14</v>
      </c>
      <c r="K17" s="314">
        <f t="shared" si="2"/>
        <v>248132.14</v>
      </c>
      <c r="L17" s="314">
        <f t="shared" si="2"/>
        <v>248132.14</v>
      </c>
      <c r="M17" s="314">
        <f t="shared" si="2"/>
        <v>248132.14</v>
      </c>
      <c r="N17" s="314">
        <f t="shared" si="2"/>
        <v>248132.14</v>
      </c>
      <c r="O17" s="314">
        <f t="shared" si="2"/>
        <v>248132.14</v>
      </c>
      <c r="P17" s="314">
        <f t="shared" si="2"/>
        <v>124066.07</v>
      </c>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5">
        <f t="shared" si="5"/>
        <v>2481321.4000000004</v>
      </c>
      <c r="AW17" s="315">
        <f t="shared" si="3"/>
        <v>2481321.4</v>
      </c>
      <c r="AX17" s="315">
        <f t="shared" si="6"/>
        <v>0</v>
      </c>
      <c r="AY17"/>
      <c r="AZ17"/>
    </row>
    <row r="18" spans="1:52" ht="15">
      <c r="A18" s="312" t="str">
        <f>'Glacier Peak Financial'!B70</f>
        <v>Taxes (2 years of assessments)</v>
      </c>
      <c r="B18" s="345">
        <f>'Glacier Peak Financial'!D70</f>
        <v>885090.00000000012</v>
      </c>
      <c r="C18" s="314">
        <f t="shared" si="4"/>
        <v>0</v>
      </c>
      <c r="D18" s="314">
        <f t="shared" si="2"/>
        <v>0</v>
      </c>
      <c r="E18" s="314">
        <f t="shared" si="2"/>
        <v>44254.500000000007</v>
      </c>
      <c r="F18" s="314">
        <f t="shared" si="2"/>
        <v>44254.500000000007</v>
      </c>
      <c r="G18" s="314">
        <f t="shared" si="2"/>
        <v>44254.500000000007</v>
      </c>
      <c r="H18" s="314">
        <f t="shared" si="2"/>
        <v>88509.000000000015</v>
      </c>
      <c r="I18" s="314">
        <f t="shared" si="2"/>
        <v>88509.000000000015</v>
      </c>
      <c r="J18" s="314">
        <f t="shared" si="2"/>
        <v>88509.000000000015</v>
      </c>
      <c r="K18" s="314">
        <f t="shared" si="2"/>
        <v>88509.000000000015</v>
      </c>
      <c r="L18" s="314">
        <f t="shared" si="2"/>
        <v>88509.000000000015</v>
      </c>
      <c r="M18" s="314">
        <f t="shared" si="2"/>
        <v>88509.000000000015</v>
      </c>
      <c r="N18" s="314">
        <f t="shared" si="2"/>
        <v>88509.000000000015</v>
      </c>
      <c r="O18" s="314">
        <f t="shared" si="2"/>
        <v>88509.000000000015</v>
      </c>
      <c r="P18" s="314">
        <f t="shared" si="2"/>
        <v>44254.500000000007</v>
      </c>
      <c r="Q18" s="314"/>
      <c r="R18" s="314"/>
      <c r="S18" s="182"/>
      <c r="T18" s="314"/>
      <c r="U18" s="182"/>
      <c r="V18" s="314"/>
      <c r="W18" s="314"/>
      <c r="X18" s="182"/>
      <c r="Y18" s="314"/>
      <c r="Z18" s="314"/>
      <c r="AA18" s="314"/>
      <c r="AB18" s="314"/>
      <c r="AC18" s="314"/>
      <c r="AD18" s="314"/>
      <c r="AE18" s="182"/>
      <c r="AF18" s="314"/>
      <c r="AG18" s="182"/>
      <c r="AH18" s="314"/>
      <c r="AI18" s="317"/>
      <c r="AJ18" s="314"/>
      <c r="AK18" s="314"/>
      <c r="AL18" s="314"/>
      <c r="AM18" s="314"/>
      <c r="AN18" s="314"/>
      <c r="AO18" s="314"/>
      <c r="AP18" s="388"/>
      <c r="AQ18" s="314"/>
      <c r="AR18" s="314"/>
      <c r="AS18" s="314"/>
      <c r="AT18" s="314"/>
      <c r="AU18" s="314"/>
      <c r="AV18" s="315">
        <f t="shared" si="5"/>
        <v>885090.00000000012</v>
      </c>
      <c r="AW18" s="315">
        <f t="shared" si="3"/>
        <v>885090.00000000012</v>
      </c>
      <c r="AX18" s="315">
        <f t="shared" si="6"/>
        <v>0</v>
      </c>
      <c r="AY18"/>
      <c r="AZ18"/>
    </row>
    <row r="19" spans="1:52" ht="15">
      <c r="A19" s="312" t="str">
        <f>'Glacier Peak Financial'!B71</f>
        <v>Insurance</v>
      </c>
      <c r="B19" s="345">
        <f>'Glacier Peak Financial'!D71</f>
        <v>417500</v>
      </c>
      <c r="C19" s="314">
        <f t="shared" si="4"/>
        <v>0</v>
      </c>
      <c r="D19" s="314">
        <f t="shared" si="2"/>
        <v>0</v>
      </c>
      <c r="E19" s="314">
        <f t="shared" si="2"/>
        <v>20875</v>
      </c>
      <c r="F19" s="314">
        <f t="shared" si="2"/>
        <v>20875</v>
      </c>
      <c r="G19" s="314">
        <f t="shared" si="2"/>
        <v>20875</v>
      </c>
      <c r="H19" s="314">
        <f t="shared" si="2"/>
        <v>41750</v>
      </c>
      <c r="I19" s="314">
        <f t="shared" si="2"/>
        <v>41750</v>
      </c>
      <c r="J19" s="314">
        <f t="shared" si="2"/>
        <v>41750</v>
      </c>
      <c r="K19" s="314">
        <f t="shared" si="2"/>
        <v>41750</v>
      </c>
      <c r="L19" s="314">
        <f t="shared" si="2"/>
        <v>41750</v>
      </c>
      <c r="M19" s="314">
        <f t="shared" si="2"/>
        <v>41750</v>
      </c>
      <c r="N19" s="314">
        <f t="shared" si="2"/>
        <v>41750</v>
      </c>
      <c r="O19" s="314">
        <f t="shared" si="2"/>
        <v>41750</v>
      </c>
      <c r="P19" s="314">
        <f t="shared" si="2"/>
        <v>20875</v>
      </c>
      <c r="Q19" s="314"/>
      <c r="R19" s="314"/>
      <c r="S19" s="314"/>
      <c r="T19" s="182"/>
      <c r="U19" s="314"/>
      <c r="V19" s="314"/>
      <c r="W19" s="314"/>
      <c r="X19" s="314"/>
      <c r="Y19" s="314"/>
      <c r="Z19" s="314"/>
      <c r="AA19" s="314"/>
      <c r="AB19" s="314"/>
      <c r="AC19" s="314"/>
      <c r="AD19" s="314"/>
      <c r="AE19" s="314"/>
      <c r="AF19" s="314"/>
      <c r="AG19" s="314"/>
      <c r="AH19" s="314"/>
      <c r="AI19" s="314"/>
      <c r="AJ19" s="314"/>
      <c r="AK19" s="388"/>
      <c r="AL19" s="389"/>
      <c r="AM19" s="314"/>
      <c r="AN19" s="314"/>
      <c r="AO19" s="314"/>
      <c r="AP19" s="388"/>
      <c r="AQ19" s="314"/>
      <c r="AR19" s="314"/>
      <c r="AS19" s="314"/>
      <c r="AT19" s="314"/>
      <c r="AU19" s="314"/>
      <c r="AV19" s="315">
        <f t="shared" si="5"/>
        <v>417500</v>
      </c>
      <c r="AW19" s="315">
        <f t="shared" si="3"/>
        <v>417500</v>
      </c>
      <c r="AX19" s="315">
        <f t="shared" si="6"/>
        <v>0</v>
      </c>
      <c r="AY19"/>
      <c r="AZ19"/>
    </row>
    <row r="20" spans="1:52" ht="15">
      <c r="A20" s="312" t="str">
        <f>'Glacier Peak Financial'!B72</f>
        <v>Marketing, FFE and Preleasing</v>
      </c>
      <c r="B20" s="345">
        <f>'Glacier Peak Financial'!D72</f>
        <v>417500</v>
      </c>
      <c r="C20" s="314">
        <f t="shared" si="4"/>
        <v>0</v>
      </c>
      <c r="D20" s="314">
        <f t="shared" si="2"/>
        <v>0</v>
      </c>
      <c r="E20" s="314">
        <f t="shared" si="2"/>
        <v>20875</v>
      </c>
      <c r="F20" s="314">
        <f t="shared" si="2"/>
        <v>20875</v>
      </c>
      <c r="G20" s="314">
        <f t="shared" si="2"/>
        <v>20875</v>
      </c>
      <c r="H20" s="314">
        <f t="shared" si="2"/>
        <v>41750</v>
      </c>
      <c r="I20" s="314">
        <f t="shared" si="2"/>
        <v>41750</v>
      </c>
      <c r="J20" s="314">
        <f t="shared" si="2"/>
        <v>41750</v>
      </c>
      <c r="K20" s="314">
        <f t="shared" si="2"/>
        <v>41750</v>
      </c>
      <c r="L20" s="314">
        <f t="shared" si="2"/>
        <v>41750</v>
      </c>
      <c r="M20" s="314">
        <f t="shared" si="2"/>
        <v>41750</v>
      </c>
      <c r="N20" s="314">
        <f t="shared" si="2"/>
        <v>41750</v>
      </c>
      <c r="O20" s="314">
        <f t="shared" si="2"/>
        <v>41750</v>
      </c>
      <c r="P20" s="314">
        <f t="shared" si="2"/>
        <v>20875</v>
      </c>
      <c r="Q20" s="314"/>
      <c r="R20" s="314"/>
      <c r="S20" s="314"/>
      <c r="T20" s="314"/>
      <c r="U20" s="314"/>
      <c r="V20" s="314"/>
      <c r="W20" s="314"/>
      <c r="X20" s="323"/>
      <c r="Y20" s="323"/>
      <c r="Z20" s="323"/>
      <c r="AA20" s="323"/>
      <c r="AB20" s="390"/>
      <c r="AC20" s="317"/>
      <c r="AD20" s="317"/>
      <c r="AE20" s="314"/>
      <c r="AF20" s="182"/>
      <c r="AG20" s="182"/>
      <c r="AH20" s="182"/>
      <c r="AI20" s="323"/>
      <c r="AJ20" s="323"/>
      <c r="AK20" s="323"/>
      <c r="AL20" s="323"/>
      <c r="AM20" s="317"/>
      <c r="AN20" s="317"/>
      <c r="AO20" s="317"/>
      <c r="AP20" s="386"/>
      <c r="AQ20" s="317"/>
      <c r="AR20" s="317"/>
      <c r="AS20" s="317"/>
      <c r="AT20" s="317"/>
      <c r="AU20" s="317"/>
      <c r="AV20" s="315">
        <f t="shared" si="5"/>
        <v>417500</v>
      </c>
      <c r="AW20" s="315">
        <f t="shared" si="3"/>
        <v>417500</v>
      </c>
      <c r="AX20" s="315">
        <f t="shared" si="6"/>
        <v>0</v>
      </c>
      <c r="AY20"/>
      <c r="AZ20"/>
    </row>
    <row r="21" spans="1:52" ht="15">
      <c r="A21" s="312" t="str">
        <f>'Glacier Peak Financial'!B73</f>
        <v>Operating Deficit</v>
      </c>
      <c r="B21" s="345">
        <f>'Glacier Peak Financial'!D73</f>
        <v>4707514.125</v>
      </c>
      <c r="C21" s="314">
        <f t="shared" si="4"/>
        <v>0</v>
      </c>
      <c r="D21" s="314">
        <f t="shared" si="2"/>
        <v>0</v>
      </c>
      <c r="E21" s="314">
        <f t="shared" si="2"/>
        <v>235375.70625000002</v>
      </c>
      <c r="F21" s="314">
        <f t="shared" si="2"/>
        <v>235375.70625000002</v>
      </c>
      <c r="G21" s="314">
        <f t="shared" si="2"/>
        <v>235375.70625000002</v>
      </c>
      <c r="H21" s="314">
        <f t="shared" si="2"/>
        <v>470751.41250000003</v>
      </c>
      <c r="I21" s="314">
        <f t="shared" si="2"/>
        <v>470751.41250000003</v>
      </c>
      <c r="J21" s="314">
        <f t="shared" si="2"/>
        <v>470751.41250000003</v>
      </c>
      <c r="K21" s="314">
        <f t="shared" si="2"/>
        <v>470751.41250000003</v>
      </c>
      <c r="L21" s="314">
        <f t="shared" si="2"/>
        <v>470751.41250000003</v>
      </c>
      <c r="M21" s="314">
        <f t="shared" si="2"/>
        <v>470751.41250000003</v>
      </c>
      <c r="N21" s="314">
        <f t="shared" si="2"/>
        <v>470751.41250000003</v>
      </c>
      <c r="O21" s="314">
        <f t="shared" si="2"/>
        <v>470751.41250000003</v>
      </c>
      <c r="P21" s="314">
        <f t="shared" si="2"/>
        <v>235375.70625000002</v>
      </c>
      <c r="Q21" s="314"/>
      <c r="R21" s="314"/>
      <c r="S21" s="314"/>
      <c r="T21" s="314"/>
      <c r="U21" s="314"/>
      <c r="V21" s="314"/>
      <c r="W21" s="314"/>
      <c r="X21" s="323"/>
      <c r="Y21" s="323"/>
      <c r="Z21" s="323"/>
      <c r="AA21" s="323"/>
      <c r="AB21" s="390"/>
      <c r="AC21" s="317"/>
      <c r="AD21" s="317"/>
      <c r="AE21" s="314"/>
      <c r="AF21" s="182"/>
      <c r="AG21" s="182"/>
      <c r="AH21" s="182"/>
      <c r="AI21" s="323"/>
      <c r="AJ21" s="323"/>
      <c r="AK21" s="323"/>
      <c r="AL21" s="323"/>
      <c r="AM21" s="317"/>
      <c r="AN21" s="317"/>
      <c r="AO21" s="317"/>
      <c r="AP21" s="386"/>
      <c r="AQ21" s="317"/>
      <c r="AR21" s="317"/>
      <c r="AS21" s="317"/>
      <c r="AT21" s="317"/>
      <c r="AU21" s="317"/>
      <c r="AV21" s="315">
        <f t="shared" ref="AV21" si="7">SUM(C21:AU21)</f>
        <v>4707514.125</v>
      </c>
      <c r="AW21" s="315">
        <f t="shared" ref="AW21" si="8">B21</f>
        <v>4707514.125</v>
      </c>
      <c r="AX21" s="315">
        <f t="shared" ref="AX21" si="9">AW21-AV21</f>
        <v>0</v>
      </c>
      <c r="AY21"/>
      <c r="AZ21"/>
    </row>
    <row r="22" spans="1:52" ht="15">
      <c r="A22" s="312" t="str">
        <f>'Glacier Peak Financial'!B74</f>
        <v>Net interest during closeout</v>
      </c>
      <c r="B22" s="345">
        <f>'Glacier Peak Financial'!D74</f>
        <v>1695602.88</v>
      </c>
      <c r="C22" s="314">
        <f t="shared" si="4"/>
        <v>0</v>
      </c>
      <c r="D22" s="314">
        <f t="shared" si="2"/>
        <v>0</v>
      </c>
      <c r="E22" s="314">
        <f t="shared" si="2"/>
        <v>84780.144</v>
      </c>
      <c r="F22" s="314">
        <f t="shared" si="2"/>
        <v>84780.144</v>
      </c>
      <c r="G22" s="314">
        <f t="shared" si="2"/>
        <v>84780.144</v>
      </c>
      <c r="H22" s="314">
        <f t="shared" si="2"/>
        <v>169560.288</v>
      </c>
      <c r="I22" s="314">
        <f t="shared" si="2"/>
        <v>169560.288</v>
      </c>
      <c r="J22" s="314">
        <f t="shared" si="2"/>
        <v>169560.288</v>
      </c>
      <c r="K22" s="314">
        <f t="shared" si="2"/>
        <v>169560.288</v>
      </c>
      <c r="L22" s="314">
        <f t="shared" si="2"/>
        <v>169560.288</v>
      </c>
      <c r="M22" s="314">
        <f t="shared" si="2"/>
        <v>169560.288</v>
      </c>
      <c r="N22" s="314">
        <f t="shared" si="2"/>
        <v>169560.288</v>
      </c>
      <c r="O22" s="314">
        <f t="shared" si="2"/>
        <v>169560.288</v>
      </c>
      <c r="P22" s="314">
        <f t="shared" si="2"/>
        <v>84780.144</v>
      </c>
      <c r="Q22" s="314"/>
      <c r="R22" s="314"/>
      <c r="S22" s="314"/>
      <c r="T22" s="314"/>
      <c r="U22" s="314"/>
      <c r="V22" s="314"/>
      <c r="W22" s="314"/>
      <c r="X22" s="314"/>
      <c r="Y22" s="314"/>
      <c r="Z22" s="391"/>
      <c r="AA22" s="391"/>
      <c r="AB22" s="390"/>
      <c r="AC22" s="317"/>
      <c r="AD22" s="317"/>
      <c r="AE22" s="314"/>
      <c r="AF22" s="323"/>
      <c r="AG22" s="323"/>
      <c r="AH22" s="323"/>
      <c r="AI22" s="323"/>
      <c r="AJ22" s="182"/>
      <c r="AK22" s="189"/>
      <c r="AL22" s="189"/>
      <c r="AM22" s="189"/>
      <c r="AN22" s="189"/>
      <c r="AO22" s="189"/>
      <c r="AP22" s="189"/>
      <c r="AQ22" s="317"/>
      <c r="AR22" s="318"/>
      <c r="AS22" s="318"/>
      <c r="AT22" s="318"/>
      <c r="AU22" s="318"/>
      <c r="AV22" s="315">
        <f t="shared" si="5"/>
        <v>1695602.8799999997</v>
      </c>
      <c r="AW22" s="315">
        <f t="shared" si="3"/>
        <v>1695602.88</v>
      </c>
      <c r="AX22" s="315">
        <f t="shared" si="6"/>
        <v>0</v>
      </c>
      <c r="AY22"/>
      <c r="AZ22"/>
    </row>
    <row r="23" spans="1:52" ht="15">
      <c r="A23" s="312" t="str">
        <f>'Glacier Peak Financial'!B75</f>
        <v>Retail Tenant Improvements</v>
      </c>
      <c r="B23" s="345">
        <f>'Glacier Peak Financial'!D75</f>
        <v>3750000</v>
      </c>
      <c r="C23" s="314">
        <f t="shared" si="4"/>
        <v>0</v>
      </c>
      <c r="D23" s="314">
        <f t="shared" si="4"/>
        <v>0</v>
      </c>
      <c r="E23" s="314">
        <f t="shared" si="4"/>
        <v>187500</v>
      </c>
      <c r="F23" s="314">
        <f t="shared" si="4"/>
        <v>187500</v>
      </c>
      <c r="G23" s="314">
        <f t="shared" si="4"/>
        <v>187500</v>
      </c>
      <c r="H23" s="314">
        <f t="shared" si="4"/>
        <v>375000</v>
      </c>
      <c r="I23" s="314">
        <f t="shared" si="4"/>
        <v>375000</v>
      </c>
      <c r="J23" s="314">
        <f t="shared" si="4"/>
        <v>375000</v>
      </c>
      <c r="K23" s="314">
        <f t="shared" si="4"/>
        <v>375000</v>
      </c>
      <c r="L23" s="314">
        <f t="shared" si="4"/>
        <v>375000</v>
      </c>
      <c r="M23" s="314">
        <f t="shared" si="4"/>
        <v>375000</v>
      </c>
      <c r="N23" s="314">
        <f t="shared" si="4"/>
        <v>375000</v>
      </c>
      <c r="O23" s="314">
        <f t="shared" si="4"/>
        <v>375000</v>
      </c>
      <c r="P23" s="314">
        <f t="shared" si="4"/>
        <v>187500</v>
      </c>
      <c r="Q23" s="314"/>
      <c r="R23" s="314"/>
      <c r="S23" s="314"/>
      <c r="T23" s="314"/>
      <c r="U23" s="314"/>
      <c r="V23" s="314"/>
      <c r="W23" s="314"/>
      <c r="X23" s="314"/>
      <c r="Y23" s="314"/>
      <c r="Z23" s="314"/>
      <c r="AA23" s="317"/>
      <c r="AB23" s="390"/>
      <c r="AC23" s="318"/>
      <c r="AD23" s="317"/>
      <c r="AE23" s="314"/>
      <c r="AF23" s="323"/>
      <c r="AG23" s="323"/>
      <c r="AH23" s="323"/>
      <c r="AI23" s="323"/>
      <c r="AJ23" s="391"/>
      <c r="AK23" s="392"/>
      <c r="AL23" s="387"/>
      <c r="AM23" s="317"/>
      <c r="AN23" s="317"/>
      <c r="AO23" s="317"/>
      <c r="AP23" s="386"/>
      <c r="AQ23" s="317"/>
      <c r="AR23" s="317"/>
      <c r="AS23" s="317"/>
      <c r="AT23" s="317"/>
      <c r="AU23" s="317"/>
      <c r="AV23" s="315">
        <f t="shared" si="5"/>
        <v>3750000</v>
      </c>
      <c r="AW23" s="315">
        <f t="shared" si="3"/>
        <v>3750000</v>
      </c>
      <c r="AX23" s="315">
        <f t="shared" si="6"/>
        <v>0</v>
      </c>
      <c r="AY23"/>
      <c r="AZ23"/>
    </row>
    <row r="24" spans="1:52" ht="15">
      <c r="A24" s="312" t="str">
        <f>'Glacier Peak Financial'!B76</f>
        <v>Retail brokerage</v>
      </c>
      <c r="B24" s="345">
        <f>'Glacier Peak Financial'!D76</f>
        <v>1099200</v>
      </c>
      <c r="C24" s="314">
        <f>B24</f>
        <v>1099200</v>
      </c>
      <c r="D24" s="314">
        <v>0</v>
      </c>
      <c r="E24" s="314">
        <v>0</v>
      </c>
      <c r="F24" s="314">
        <v>0</v>
      </c>
      <c r="G24" s="314">
        <v>0</v>
      </c>
      <c r="H24" s="314">
        <v>0</v>
      </c>
      <c r="I24" s="314">
        <v>0</v>
      </c>
      <c r="J24" s="314">
        <v>0</v>
      </c>
      <c r="K24" s="314">
        <v>0</v>
      </c>
      <c r="L24" s="314">
        <v>0</v>
      </c>
      <c r="M24" s="314">
        <v>0</v>
      </c>
      <c r="N24" s="314">
        <v>0</v>
      </c>
      <c r="O24" s="314">
        <v>0</v>
      </c>
      <c r="P24" s="314">
        <v>0</v>
      </c>
      <c r="Q24" s="314"/>
      <c r="R24" s="314"/>
      <c r="S24" s="314"/>
      <c r="T24" s="314"/>
      <c r="U24" s="314"/>
      <c r="V24" s="314"/>
      <c r="W24" s="314"/>
      <c r="X24" s="314"/>
      <c r="Y24" s="314"/>
      <c r="Z24" s="314"/>
      <c r="AA24" s="314"/>
      <c r="AB24" s="314"/>
      <c r="AC24" s="314"/>
      <c r="AD24" s="314"/>
      <c r="AE24" s="314"/>
      <c r="AF24" s="314"/>
      <c r="AG24" s="314"/>
      <c r="AH24" s="314"/>
      <c r="AI24" s="314"/>
      <c r="AJ24" s="314"/>
      <c r="AK24" s="388"/>
      <c r="AL24" s="387"/>
      <c r="AM24" s="317"/>
      <c r="AN24" s="314"/>
      <c r="AO24" s="314"/>
      <c r="AP24" s="388"/>
      <c r="AQ24" s="314"/>
      <c r="AR24" s="314"/>
      <c r="AS24" s="314"/>
      <c r="AT24" s="314"/>
      <c r="AU24" s="314"/>
      <c r="AV24" s="315">
        <f t="shared" si="5"/>
        <v>1099200</v>
      </c>
      <c r="AW24" s="315">
        <f t="shared" si="3"/>
        <v>1099200</v>
      </c>
      <c r="AX24" s="315">
        <f t="shared" si="6"/>
        <v>0</v>
      </c>
      <c r="AY24"/>
      <c r="AZ24"/>
    </row>
    <row r="25" spans="1:52" ht="15">
      <c r="A25" s="312" t="str">
        <f>'Glacier Peak Financial'!B77</f>
        <v>Construction Loan Origination</v>
      </c>
      <c r="B25" s="345">
        <f ca="1">'Glacier Peak Financial'!D77</f>
        <v>2214785.9930402404</v>
      </c>
      <c r="C25" s="314">
        <f ca="1">B25</f>
        <v>2214785.9930402404</v>
      </c>
      <c r="D25" s="314">
        <v>0</v>
      </c>
      <c r="E25" s="314">
        <v>0</v>
      </c>
      <c r="F25" s="314">
        <v>0</v>
      </c>
      <c r="G25" s="314">
        <v>0</v>
      </c>
      <c r="H25" s="314">
        <v>0</v>
      </c>
      <c r="I25" s="314">
        <v>0</v>
      </c>
      <c r="J25" s="314">
        <v>0</v>
      </c>
      <c r="K25" s="314">
        <v>0</v>
      </c>
      <c r="L25" s="314">
        <v>0</v>
      </c>
      <c r="M25" s="314">
        <v>0</v>
      </c>
      <c r="N25" s="314">
        <v>0</v>
      </c>
      <c r="O25" s="314">
        <v>0</v>
      </c>
      <c r="P25" s="314">
        <v>0</v>
      </c>
      <c r="Q25" s="314"/>
      <c r="R25" s="314"/>
      <c r="S25" s="314"/>
      <c r="T25" s="314"/>
      <c r="U25" s="314"/>
      <c r="V25" s="314"/>
      <c r="W25" s="182"/>
      <c r="X25" s="314"/>
      <c r="Y25" s="314"/>
      <c r="Z25" s="314"/>
      <c r="AA25" s="314"/>
      <c r="AB25" s="314"/>
      <c r="AC25" s="314"/>
      <c r="AD25" s="314"/>
      <c r="AE25" s="314"/>
      <c r="AF25" s="314"/>
      <c r="AG25" s="314"/>
      <c r="AH25" s="314"/>
      <c r="AI25" s="314"/>
      <c r="AJ25" s="314"/>
      <c r="AK25" s="388"/>
      <c r="AL25" s="389"/>
      <c r="AM25" s="314"/>
      <c r="AN25" s="314"/>
      <c r="AO25" s="314"/>
      <c r="AP25" s="388"/>
      <c r="AQ25" s="314"/>
      <c r="AR25" s="314"/>
      <c r="AS25" s="314"/>
      <c r="AT25" s="314"/>
      <c r="AU25" s="314"/>
      <c r="AV25" s="315">
        <f t="shared" ca="1" si="5"/>
        <v>2214785.9930402404</v>
      </c>
      <c r="AW25" s="315">
        <f t="shared" ca="1" si="3"/>
        <v>2214785.9930402404</v>
      </c>
      <c r="AX25" s="315">
        <f t="shared" ca="1" si="6"/>
        <v>0</v>
      </c>
      <c r="AY25"/>
      <c r="AZ25"/>
    </row>
    <row r="26" spans="1:52" ht="15">
      <c r="A26" s="312" t="str">
        <f>'Glacier Peak Financial'!B78</f>
        <v>Construction Interest</v>
      </c>
      <c r="B26" s="345">
        <f ca="1">'Glacier Peak Financial'!D78</f>
        <v>10335667.967521122</v>
      </c>
      <c r="C26" s="314">
        <f t="shared" ca="1" si="4"/>
        <v>0</v>
      </c>
      <c r="D26" s="314">
        <f t="shared" ca="1" si="4"/>
        <v>0</v>
      </c>
      <c r="E26" s="314">
        <f t="shared" ca="1" si="4"/>
        <v>516783.39837605611</v>
      </c>
      <c r="F26" s="314">
        <f t="shared" ca="1" si="4"/>
        <v>516783.39837605611</v>
      </c>
      <c r="G26" s="314">
        <f t="shared" ca="1" si="4"/>
        <v>516783.39837605611</v>
      </c>
      <c r="H26" s="314">
        <f t="shared" ca="1" si="4"/>
        <v>1033566.7967521122</v>
      </c>
      <c r="I26" s="314">
        <f t="shared" ca="1" si="4"/>
        <v>1033566.7967521122</v>
      </c>
      <c r="J26" s="314">
        <f t="shared" ca="1" si="4"/>
        <v>1033566.7967521122</v>
      </c>
      <c r="K26" s="314">
        <f t="shared" ca="1" si="4"/>
        <v>1033566.7967521122</v>
      </c>
      <c r="L26" s="314">
        <f t="shared" ca="1" si="4"/>
        <v>1033566.7967521122</v>
      </c>
      <c r="M26" s="314">
        <f t="shared" ca="1" si="4"/>
        <v>1033566.7967521122</v>
      </c>
      <c r="N26" s="314">
        <f t="shared" ca="1" si="4"/>
        <v>1033566.7967521122</v>
      </c>
      <c r="O26" s="314">
        <f t="shared" ca="1" si="4"/>
        <v>1033566.7967521122</v>
      </c>
      <c r="P26" s="314">
        <f t="shared" ca="1" si="4"/>
        <v>516783.39837605611</v>
      </c>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5">
        <f t="shared" ca="1" si="5"/>
        <v>10335667.967521122</v>
      </c>
      <c r="AW26" s="315">
        <f t="shared" ca="1" si="3"/>
        <v>10335667.967521122</v>
      </c>
      <c r="AX26" s="315">
        <f t="shared" ca="1" si="6"/>
        <v>0</v>
      </c>
      <c r="AY26"/>
      <c r="AZ26"/>
    </row>
    <row r="27" spans="1:52" ht="15.75" thickBot="1">
      <c r="A27" s="393" t="str">
        <f>'Glacier Peak Financial'!B79</f>
        <v>Additional Contingency</v>
      </c>
      <c r="B27" s="328">
        <f ca="1">'Glacier Peak Financial'!D79</f>
        <v>2249084.5321556139</v>
      </c>
      <c r="C27" s="327">
        <f t="shared" ca="1" si="4"/>
        <v>0</v>
      </c>
      <c r="D27" s="327">
        <f t="shared" ca="1" si="4"/>
        <v>0</v>
      </c>
      <c r="E27" s="327">
        <f t="shared" ca="1" si="4"/>
        <v>112454.2266077807</v>
      </c>
      <c r="F27" s="327">
        <f t="shared" ca="1" si="4"/>
        <v>112454.2266077807</v>
      </c>
      <c r="G27" s="327">
        <f t="shared" ca="1" si="4"/>
        <v>112454.2266077807</v>
      </c>
      <c r="H27" s="327">
        <f t="shared" ca="1" si="4"/>
        <v>224908.4532155614</v>
      </c>
      <c r="I27" s="327">
        <f t="shared" ca="1" si="4"/>
        <v>224908.4532155614</v>
      </c>
      <c r="J27" s="327">
        <f t="shared" ca="1" si="4"/>
        <v>224908.4532155614</v>
      </c>
      <c r="K27" s="327">
        <f t="shared" ca="1" si="4"/>
        <v>224908.4532155614</v>
      </c>
      <c r="L27" s="327">
        <f t="shared" ca="1" si="4"/>
        <v>224908.4532155614</v>
      </c>
      <c r="M27" s="327">
        <f t="shared" ca="1" si="4"/>
        <v>224908.4532155614</v>
      </c>
      <c r="N27" s="327">
        <f t="shared" ca="1" si="4"/>
        <v>224908.4532155614</v>
      </c>
      <c r="O27" s="327">
        <f t="shared" ca="1" si="4"/>
        <v>224908.4532155614</v>
      </c>
      <c r="P27" s="327">
        <f t="shared" ca="1" si="4"/>
        <v>112454.2266077807</v>
      </c>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94"/>
      <c r="AN27" s="394"/>
      <c r="AO27" s="394"/>
      <c r="AP27" s="394"/>
      <c r="AQ27" s="395"/>
      <c r="AR27" s="395"/>
      <c r="AS27" s="395"/>
      <c r="AT27" s="395"/>
      <c r="AU27" s="395"/>
      <c r="AV27" s="315">
        <f t="shared" ca="1" si="5"/>
        <v>2249084.5321556139</v>
      </c>
      <c r="AW27" s="315">
        <f t="shared" ca="1" si="3"/>
        <v>2249084.5321556139</v>
      </c>
      <c r="AX27" s="315">
        <f t="shared" ca="1" si="6"/>
        <v>0</v>
      </c>
      <c r="AY27"/>
      <c r="AZ27"/>
    </row>
    <row r="28" spans="1:52" ht="16.5" thickTop="1" thickBot="1">
      <c r="A28" s="393" t="str">
        <f>'Glacier Peak Financial'!B80</f>
        <v>Total Project Cost</v>
      </c>
      <c r="B28" s="118">
        <f t="shared" ref="B28:X28" ca="1" si="10">SUM(B6:B27)</f>
        <v>227157537.74771696</v>
      </c>
      <c r="C28" s="114">
        <f t="shared" ca="1" si="10"/>
        <v>55872555.993040241</v>
      </c>
      <c r="D28" s="114">
        <f t="shared" ca="1" si="10"/>
        <v>0</v>
      </c>
      <c r="E28" s="114">
        <f t="shared" ca="1" si="10"/>
        <v>8564249.0877338387</v>
      </c>
      <c r="F28" s="114">
        <f t="shared" ca="1" si="10"/>
        <v>8564249.0877338387</v>
      </c>
      <c r="G28" s="114">
        <f t="shared" ca="1" si="10"/>
        <v>8564249.0877338387</v>
      </c>
      <c r="H28" s="114">
        <f t="shared" ca="1" si="10"/>
        <v>17128498.175467677</v>
      </c>
      <c r="I28" s="114">
        <f t="shared" ca="1" si="10"/>
        <v>17128498.175467677</v>
      </c>
      <c r="J28" s="114">
        <f t="shared" ca="1" si="10"/>
        <v>17128498.175467677</v>
      </c>
      <c r="K28" s="114">
        <f t="shared" ca="1" si="10"/>
        <v>17128498.175467677</v>
      </c>
      <c r="L28" s="114">
        <f t="shared" ca="1" si="10"/>
        <v>17128498.175467677</v>
      </c>
      <c r="M28" s="114">
        <f t="shared" ca="1" si="10"/>
        <v>17128498.175467677</v>
      </c>
      <c r="N28" s="114">
        <f t="shared" ca="1" si="10"/>
        <v>17128498.175467677</v>
      </c>
      <c r="O28" s="114">
        <f t="shared" ca="1" si="10"/>
        <v>17128498.175467677</v>
      </c>
      <c r="P28" s="114">
        <f t="shared" ca="1" si="10"/>
        <v>8564249.0877338387</v>
      </c>
      <c r="Q28" s="114">
        <f t="shared" si="10"/>
        <v>0</v>
      </c>
      <c r="R28" s="114">
        <f t="shared" si="10"/>
        <v>0</v>
      </c>
      <c r="S28" s="114">
        <f t="shared" si="10"/>
        <v>0</v>
      </c>
      <c r="T28" s="114">
        <f t="shared" si="10"/>
        <v>0</v>
      </c>
      <c r="U28" s="114">
        <f t="shared" si="10"/>
        <v>0</v>
      </c>
      <c r="V28" s="114">
        <f t="shared" si="10"/>
        <v>0</v>
      </c>
      <c r="W28" s="114">
        <f t="shared" si="10"/>
        <v>0</v>
      </c>
      <c r="X28" s="114">
        <f t="shared" si="10"/>
        <v>0</v>
      </c>
      <c r="Y28" s="114"/>
      <c r="Z28" s="114"/>
      <c r="AA28" s="114"/>
      <c r="AB28" s="114"/>
      <c r="AC28" s="114"/>
      <c r="AD28" s="114"/>
      <c r="AE28" s="114"/>
      <c r="AF28" s="114"/>
      <c r="AG28" s="114"/>
      <c r="AH28" s="114"/>
      <c r="AI28" s="114"/>
      <c r="AJ28" s="114"/>
      <c r="AK28" s="114"/>
      <c r="AL28" s="114"/>
      <c r="AM28" s="114"/>
      <c r="AN28" s="114"/>
      <c r="AO28" s="114"/>
      <c r="AP28" s="114"/>
      <c r="AQ28" s="114"/>
      <c r="AR28" s="119"/>
      <c r="AS28" s="162"/>
      <c r="AT28" s="162"/>
      <c r="AU28" s="162"/>
      <c r="AV28" s="122">
        <f ca="1">SUM(AV6:AV27)</f>
        <v>227157537.74771696</v>
      </c>
      <c r="AW28" s="100">
        <f ca="1">SUM(AW6:AW27)</f>
        <v>227157537.74771696</v>
      </c>
      <c r="AX28" s="95"/>
      <c r="AY28"/>
      <c r="AZ28"/>
    </row>
    <row r="29" spans="1:52" ht="15.75" thickTop="1">
      <c r="A29" s="97" t="s">
        <v>196</v>
      </c>
      <c r="B29" s="153">
        <f ca="1">'Glacier Peak Financial'!C88</f>
        <v>-5707000</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96"/>
      <c r="AW29" s="348"/>
      <c r="AX29" s="95"/>
      <c r="AY29"/>
      <c r="AZ29"/>
    </row>
    <row r="30" spans="1:52" ht="15.75" thickBot="1">
      <c r="A30" s="329" t="s">
        <v>197</v>
      </c>
      <c r="B30" s="397">
        <f ca="1">B28+B29</f>
        <v>221450537.74771696</v>
      </c>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0"/>
      <c r="AA30" s="340"/>
      <c r="AB30" s="340"/>
      <c r="AC30" s="340"/>
      <c r="AD30" s="340"/>
      <c r="AE30" s="340"/>
      <c r="AF30" s="340"/>
      <c r="AG30" s="340"/>
      <c r="AH30" s="342"/>
      <c r="AI30" s="342"/>
      <c r="AJ30" s="342"/>
      <c r="AK30" s="342"/>
      <c r="AL30" s="342"/>
      <c r="AM30" s="342"/>
      <c r="AN30" s="342"/>
      <c r="AO30" s="342"/>
      <c r="AP30" s="342"/>
      <c r="AQ30" s="342"/>
      <c r="AR30" s="342"/>
      <c r="AS30" s="342"/>
      <c r="AT30" s="342"/>
      <c r="AU30" s="342"/>
      <c r="AV30" s="342"/>
      <c r="AW30" s="342"/>
      <c r="AX30" s="331"/>
      <c r="AY30"/>
      <c r="AZ30"/>
    </row>
    <row r="31" spans="1:52" ht="15">
      <c r="A31" s="332" t="s">
        <v>198</v>
      </c>
      <c r="B31" s="333">
        <f ca="1">SUM(C31:AR31)</f>
        <v>79505138.211700931</v>
      </c>
      <c r="C31" s="315">
        <f ca="1">C28</f>
        <v>55872555.993040241</v>
      </c>
      <c r="D31" s="315">
        <f t="shared" ref="D31:X31" ca="1" si="11">IF(C32+D28&lt;=$B$32,D28,($B$32-C32))</f>
        <v>0</v>
      </c>
      <c r="E31" s="315">
        <f t="shared" ca="1" si="11"/>
        <v>8564249.0877338387</v>
      </c>
      <c r="F31" s="315">
        <f t="shared" ca="1" si="11"/>
        <v>8564249.0877338387</v>
      </c>
      <c r="G31" s="315">
        <f t="shared" ca="1" si="11"/>
        <v>6504084.0431930125</v>
      </c>
      <c r="H31" s="315">
        <f t="shared" ca="1" si="11"/>
        <v>0</v>
      </c>
      <c r="I31" s="315">
        <f t="shared" ca="1" si="11"/>
        <v>0</v>
      </c>
      <c r="J31" s="315">
        <f t="shared" ca="1" si="11"/>
        <v>0</v>
      </c>
      <c r="K31" s="315">
        <f t="shared" ca="1" si="11"/>
        <v>0</v>
      </c>
      <c r="L31" s="315">
        <f t="shared" ca="1" si="11"/>
        <v>0</v>
      </c>
      <c r="M31" s="315">
        <f t="shared" ca="1" si="11"/>
        <v>0</v>
      </c>
      <c r="N31" s="315">
        <f t="shared" ca="1" si="11"/>
        <v>0</v>
      </c>
      <c r="O31" s="315">
        <f t="shared" ca="1" si="11"/>
        <v>0</v>
      </c>
      <c r="P31" s="315">
        <f t="shared" ca="1" si="11"/>
        <v>0</v>
      </c>
      <c r="Q31" s="315">
        <f t="shared" ca="1" si="11"/>
        <v>0</v>
      </c>
      <c r="R31" s="315">
        <f t="shared" ca="1" si="11"/>
        <v>0</v>
      </c>
      <c r="S31" s="315">
        <f t="shared" ca="1" si="11"/>
        <v>0</v>
      </c>
      <c r="T31" s="315">
        <f t="shared" ca="1" si="11"/>
        <v>0</v>
      </c>
      <c r="U31" s="315">
        <f t="shared" ca="1" si="11"/>
        <v>0</v>
      </c>
      <c r="V31" s="315">
        <f t="shared" ca="1" si="11"/>
        <v>0</v>
      </c>
      <c r="W31" s="315">
        <f t="shared" ca="1" si="11"/>
        <v>0</v>
      </c>
      <c r="X31" s="315">
        <f t="shared" ca="1" si="11"/>
        <v>0</v>
      </c>
      <c r="Y31" s="315"/>
      <c r="Z31" s="315"/>
      <c r="AA31" s="315"/>
      <c r="AB31" s="315"/>
      <c r="AC31" s="315"/>
      <c r="AD31" s="315"/>
      <c r="AE31" s="315"/>
      <c r="AF31" s="315"/>
      <c r="AG31" s="315"/>
      <c r="AH31" s="315"/>
      <c r="AI31" s="315"/>
      <c r="AJ31" s="315"/>
      <c r="AK31" s="315"/>
      <c r="AL31" s="315"/>
      <c r="AM31" s="315"/>
      <c r="AN31" s="315"/>
      <c r="AO31" s="315"/>
      <c r="AP31" s="315"/>
      <c r="AQ31" s="315"/>
      <c r="AR31" s="315"/>
      <c r="AS31" s="334"/>
      <c r="AT31" s="334"/>
      <c r="AU31" s="334"/>
      <c r="AV31" s="334"/>
      <c r="AW31" s="334"/>
      <c r="AX31" s="334"/>
      <c r="AY31"/>
      <c r="AZ31"/>
    </row>
    <row r="32" spans="1:52" ht="15.75" thickBot="1">
      <c r="A32" s="312" t="s">
        <v>199</v>
      </c>
      <c r="B32" s="101">
        <f ca="1">'Glacier Peak Financial'!C92</f>
        <v>79505138.211700931</v>
      </c>
      <c r="C32" s="315">
        <f ca="1">C31</f>
        <v>55872555.993040241</v>
      </c>
      <c r="D32" s="315">
        <f ca="1">IF(SUM($C$31:D31)&lt;=$B32,SUM($C$31:D31),0)</f>
        <v>55872555.993040241</v>
      </c>
      <c r="E32" s="315">
        <f ca="1">IF(SUM($C$31:E31)&lt;=$B32,SUM($C$31:E31),0)</f>
        <v>64436805.080774084</v>
      </c>
      <c r="F32" s="315">
        <f ca="1">IF(SUM($C$31:F31)&lt;=$B32,SUM($C$31:F31),0)</f>
        <v>73001054.168507919</v>
      </c>
      <c r="G32" s="315">
        <f ca="1">IF(SUM($C$31:G31)&lt;=$B32,SUM($C$31:G31),0)</f>
        <v>79505138.211700931</v>
      </c>
      <c r="H32" s="315">
        <f ca="1">IF(SUM($C$31:H31)&lt;=$B32,SUM($C$31:H31),0)</f>
        <v>79505138.211700931</v>
      </c>
      <c r="I32" s="315">
        <f ca="1">IF(SUM($C$31:I31)&lt;=$B32,SUM($C$31:I31),0)</f>
        <v>79505138.211700931</v>
      </c>
      <c r="J32" s="315">
        <f ca="1">IF(SUM($C$31:J31)&lt;=$B32,SUM($C$31:J31),0)</f>
        <v>79505138.211700931</v>
      </c>
      <c r="K32" s="315">
        <f ca="1">IF(SUM($C$31:K31)&lt;=$B32,SUM($C$31:K31),0)</f>
        <v>79505138.211700931</v>
      </c>
      <c r="L32" s="315">
        <f ca="1">IF(SUM($C$31:L31)&lt;=$B32,SUM($C$31:L31),0)</f>
        <v>79505138.211700931</v>
      </c>
      <c r="M32" s="315">
        <f ca="1">IF(SUM($C$31:M31)&lt;=$B32,SUM($C$31:M31),0)</f>
        <v>79505138.211700931</v>
      </c>
      <c r="N32" s="315">
        <f ca="1">IF(SUM($C$31:N31)&lt;=$B32,SUM($C$31:N31),0)</f>
        <v>79505138.211700931</v>
      </c>
      <c r="O32" s="315">
        <f ca="1">IF(SUM($C$31:O31)&lt;=$B32,SUM($C$31:O31),0)</f>
        <v>79505138.211700931</v>
      </c>
      <c r="P32" s="315">
        <f ca="1">IF(SUM($C$31:P31)&lt;=$B32,SUM($C$31:P31),0)</f>
        <v>79505138.211700931</v>
      </c>
      <c r="Q32" s="315">
        <f ca="1">IF(SUM($C$31:Q31)&lt;=$B32,SUM($C$31:Q31),0)</f>
        <v>79505138.211700931</v>
      </c>
      <c r="R32" s="315">
        <f ca="1">IF(SUM($C$31:R31)&lt;=$B32,SUM($C$31:R31),0)</f>
        <v>79505138.211700931</v>
      </c>
      <c r="S32" s="315">
        <f ca="1">IF(SUM($C$31:S31)&lt;=$B32,SUM($C$31:S31),0)</f>
        <v>79505138.211700931</v>
      </c>
      <c r="T32" s="315">
        <f ca="1">IF(SUM($C$31:T31)&lt;=$B32,SUM($C$31:T31),0)</f>
        <v>79505138.211700931</v>
      </c>
      <c r="U32" s="315">
        <f ca="1">IF(SUM($C$31:U31)&lt;=$B32,SUM($C$31:U31),0)</f>
        <v>79505138.211700931</v>
      </c>
      <c r="V32" s="315">
        <f ca="1">IF(SUM($C$31:V31)&lt;=$B32,SUM($C$31:V31),0)</f>
        <v>79505138.211700931</v>
      </c>
      <c r="W32" s="315">
        <f ca="1">IF(SUM($C$31:W31)&lt;=$B32,SUM($C$31:W31),0)</f>
        <v>79505138.211700931</v>
      </c>
      <c r="X32" s="349">
        <f ca="1">IF(SUM($C$31:X31)&lt;=$B32,SUM($C$31:X31),0)</f>
        <v>79505138.211700931</v>
      </c>
      <c r="Y32" s="315"/>
      <c r="Z32" s="315"/>
      <c r="AA32" s="315"/>
      <c r="AB32" s="315"/>
      <c r="AC32" s="315"/>
      <c r="AD32" s="315"/>
      <c r="AE32" s="315"/>
      <c r="AF32" s="315"/>
      <c r="AG32" s="315"/>
      <c r="AH32" s="315"/>
      <c r="AI32" s="315"/>
      <c r="AJ32" s="315"/>
      <c r="AK32" s="315"/>
      <c r="AL32" s="315"/>
      <c r="AM32" s="315"/>
      <c r="AN32" s="315"/>
      <c r="AO32" s="315"/>
      <c r="AP32" s="315"/>
      <c r="AQ32" s="315"/>
      <c r="AR32" s="315"/>
      <c r="AS32" s="334"/>
      <c r="AT32" s="334"/>
      <c r="AU32" s="334"/>
      <c r="AV32" s="334"/>
      <c r="AW32" s="334"/>
      <c r="AX32" s="334"/>
      <c r="AY32"/>
      <c r="AZ32"/>
    </row>
    <row r="33" spans="1:52" ht="15">
      <c r="A33" s="102" t="s">
        <v>200</v>
      </c>
      <c r="B33" s="103">
        <f ca="1">'Glacier Peak Financial'!C91</f>
        <v>147652399.53601602</v>
      </c>
      <c r="C33" s="335"/>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5"/>
      <c r="AT33" s="335"/>
      <c r="AU33" s="335"/>
      <c r="AV33" s="335"/>
      <c r="AW33" s="335"/>
      <c r="AX33" s="334"/>
      <c r="AY33"/>
      <c r="AZ33"/>
    </row>
    <row r="34" spans="1:52" ht="15.75" thickBot="1">
      <c r="A34" s="337" t="s">
        <v>201</v>
      </c>
      <c r="B34" s="338">
        <f ca="1">PMT(0.045,30,(B33))</f>
        <v>-9064608.6216720678</v>
      </c>
      <c r="C34" s="335"/>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336"/>
      <c r="AN34" s="336"/>
      <c r="AO34" s="336"/>
      <c r="AP34" s="336"/>
      <c r="AQ34" s="336"/>
      <c r="AR34" s="336"/>
      <c r="AS34" s="335"/>
      <c r="AT34" s="335"/>
      <c r="AU34" s="335"/>
      <c r="AV34" s="335"/>
      <c r="AW34" s="335"/>
      <c r="AX34" s="334"/>
      <c r="AY34"/>
      <c r="AZ34"/>
    </row>
    <row r="35" spans="1:52" ht="15">
      <c r="A35" s="104" t="s">
        <v>202</v>
      </c>
      <c r="B35" s="105">
        <f>SUM(C35:AV35)</f>
        <v>0</v>
      </c>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40"/>
      <c r="AW35" s="335"/>
      <c r="AX35" s="334"/>
      <c r="AY35"/>
      <c r="AZ35"/>
    </row>
    <row r="36" spans="1:52" ht="15">
      <c r="A36" s="1614" t="s">
        <v>203</v>
      </c>
      <c r="B36" s="16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72"/>
      <c r="AT36" s="72"/>
      <c r="AU36" s="72"/>
      <c r="AV36" s="340"/>
      <c r="AW36" s="336"/>
      <c r="AX36" s="334"/>
      <c r="AY36"/>
      <c r="AZ36"/>
    </row>
    <row r="37" spans="1:52" ht="15">
      <c r="A37" s="332" t="s">
        <v>204</v>
      </c>
      <c r="B37" s="333">
        <f ca="1">'Glacier Peak Financial'!C99+'Glacier Peak Financial'!C100</f>
        <v>131596900.46398398</v>
      </c>
      <c r="C37" s="340"/>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98"/>
      <c r="AH37" s="341"/>
      <c r="AI37" s="341"/>
      <c r="AJ37" s="341"/>
      <c r="AK37" s="341"/>
      <c r="AL37" s="341"/>
      <c r="AM37" s="341"/>
      <c r="AN37" s="341"/>
      <c r="AO37" s="341"/>
      <c r="AP37" s="341"/>
      <c r="AQ37" s="341"/>
      <c r="AR37" s="341"/>
      <c r="AS37" s="163"/>
      <c r="AT37" s="163"/>
      <c r="AU37" s="163"/>
      <c r="AV37" s="342"/>
      <c r="AW37" s="343"/>
      <c r="AX37" s="344"/>
      <c r="AY37"/>
      <c r="AZ37"/>
    </row>
    <row r="38" spans="1:52" ht="15">
      <c r="A38" s="332" t="s">
        <v>220</v>
      </c>
      <c r="B38" s="176">
        <f ca="1">SUM(C38:R38)</f>
        <v>52091762.252283052</v>
      </c>
      <c r="C38" s="345">
        <f t="shared" ref="C38:W38" ca="1" si="12">-C31</f>
        <v>-55872555.993040241</v>
      </c>
      <c r="D38" s="345">
        <f t="shared" ca="1" si="12"/>
        <v>0</v>
      </c>
      <c r="E38" s="345">
        <f t="shared" ca="1" si="12"/>
        <v>-8564249.0877338387</v>
      </c>
      <c r="F38" s="345">
        <f t="shared" ca="1" si="12"/>
        <v>-8564249.0877338387</v>
      </c>
      <c r="G38" s="345">
        <f t="shared" ca="1" si="12"/>
        <v>-6504084.0431930125</v>
      </c>
      <c r="H38" s="345">
        <f t="shared" ca="1" si="12"/>
        <v>0</v>
      </c>
      <c r="I38" s="345">
        <f t="shared" ca="1" si="12"/>
        <v>0</v>
      </c>
      <c r="J38" s="345">
        <f t="shared" ca="1" si="12"/>
        <v>0</v>
      </c>
      <c r="K38" s="345">
        <f t="shared" ca="1" si="12"/>
        <v>0</v>
      </c>
      <c r="L38" s="345">
        <f t="shared" ca="1" si="12"/>
        <v>0</v>
      </c>
      <c r="M38" s="345">
        <f t="shared" ca="1" si="12"/>
        <v>0</v>
      </c>
      <c r="N38" s="345">
        <f t="shared" ca="1" si="12"/>
        <v>0</v>
      </c>
      <c r="O38" s="345">
        <f t="shared" ca="1" si="12"/>
        <v>0</v>
      </c>
      <c r="P38" s="345">
        <f t="shared" ca="1" si="12"/>
        <v>0</v>
      </c>
      <c r="Q38" s="345">
        <f t="shared" ca="1" si="12"/>
        <v>0</v>
      </c>
      <c r="R38" s="346">
        <f ca="1">B37</f>
        <v>131596900.46398398</v>
      </c>
      <c r="S38" s="345">
        <f t="shared" ca="1" si="12"/>
        <v>0</v>
      </c>
      <c r="T38" s="345">
        <f t="shared" ca="1" si="12"/>
        <v>0</v>
      </c>
      <c r="U38" s="345">
        <f t="shared" ca="1" si="12"/>
        <v>0</v>
      </c>
      <c r="V38" s="345">
        <f t="shared" ca="1" si="12"/>
        <v>0</v>
      </c>
      <c r="W38" s="345">
        <f t="shared" ca="1" si="12"/>
        <v>0</v>
      </c>
      <c r="X38" s="346">
        <f ca="1">B37</f>
        <v>131596900.46398398</v>
      </c>
      <c r="Y38" s="345"/>
      <c r="Z38" s="345"/>
      <c r="AA38" s="345"/>
      <c r="AB38" s="345"/>
      <c r="AC38" s="345"/>
      <c r="AD38" s="345"/>
      <c r="AE38" s="345"/>
      <c r="AF38" s="345"/>
      <c r="AG38" s="345"/>
      <c r="AH38" s="345"/>
      <c r="AI38" s="345"/>
      <c r="AJ38" s="345"/>
      <c r="AK38" s="107"/>
      <c r="AL38" s="108"/>
      <c r="AM38" s="108"/>
      <c r="AN38" s="108"/>
      <c r="AO38" s="108"/>
      <c r="AP38" s="108"/>
      <c r="AQ38" s="108"/>
      <c r="AR38" s="108"/>
      <c r="AS38" s="164"/>
      <c r="AT38" s="164"/>
      <c r="AU38" s="164"/>
      <c r="AV38" s="110"/>
      <c r="AW38" s="345"/>
      <c r="AX38" s="315"/>
      <c r="AY38"/>
      <c r="AZ38"/>
    </row>
    <row r="39" spans="1:52" ht="15">
      <c r="A39" s="332" t="s">
        <v>206</v>
      </c>
      <c r="B39" s="174">
        <f ca="1">IF(B38&lt;0,0,IRR(C38:R38))</f>
        <v>3.6206831016245111E-2</v>
      </c>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348"/>
      <c r="AT39" s="348"/>
      <c r="AU39" s="348"/>
      <c r="AV39" s="342"/>
      <c r="AW39" s="348"/>
      <c r="AX39" s="349"/>
      <c r="AY39"/>
      <c r="AZ39"/>
    </row>
    <row r="40" spans="1:52" ht="15">
      <c r="A40" s="322" t="s">
        <v>207</v>
      </c>
      <c r="B40" s="175">
        <f ca="1">POWER((1+B39),4)-1</f>
        <v>0.15288450943988607</v>
      </c>
      <c r="C40" s="342"/>
      <c r="D40" s="342"/>
      <c r="E40" s="351"/>
      <c r="F40" s="351"/>
      <c r="G40" s="351"/>
      <c r="H40" s="351"/>
      <c r="I40" s="351"/>
      <c r="J40" s="351"/>
      <c r="K40" s="351"/>
      <c r="L40" s="351"/>
      <c r="M40" s="351"/>
      <c r="N40" s="351"/>
      <c r="O40" s="351"/>
      <c r="P40" s="352"/>
      <c r="Q40" s="351"/>
      <c r="R40" s="351"/>
      <c r="S40" s="351"/>
      <c r="T40" s="351"/>
      <c r="U40" s="351"/>
      <c r="V40" s="352"/>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99"/>
      <c r="AS40" s="399"/>
      <c r="AT40" s="399"/>
      <c r="AU40" s="399"/>
      <c r="AV40" s="351"/>
      <c r="AW40" s="351"/>
      <c r="AX40" s="353"/>
      <c r="AY40"/>
      <c r="AZ40"/>
    </row>
    <row r="41" spans="1:52">
      <c r="A41" s="1591" t="s">
        <v>208</v>
      </c>
      <c r="B41" s="1614"/>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22"/>
    </row>
    <row r="42" spans="1:52">
      <c r="A42" s="332" t="s">
        <v>209</v>
      </c>
      <c r="B42" s="401">
        <f ca="1">'Glacier Peak Financial'!C99+'Glacier Peak Financial'!C84</f>
        <v>273542300</v>
      </c>
      <c r="C42" s="342"/>
      <c r="D42" s="342"/>
      <c r="E42" s="342"/>
      <c r="F42" s="342"/>
      <c r="G42" s="342"/>
      <c r="H42" s="342"/>
      <c r="I42" s="342"/>
      <c r="J42" s="342"/>
      <c r="K42" s="342"/>
      <c r="L42" s="342"/>
      <c r="M42" s="336"/>
      <c r="N42" s="342"/>
      <c r="O42" s="342"/>
      <c r="P42" s="342"/>
      <c r="Q42" s="342"/>
      <c r="R42" s="342"/>
      <c r="S42" s="336"/>
      <c r="T42" s="342"/>
      <c r="U42" s="342"/>
      <c r="V42" s="342"/>
      <c r="W42" s="342"/>
      <c r="X42" s="342"/>
      <c r="Y42" s="342"/>
      <c r="Z42" s="342"/>
      <c r="AA42" s="342"/>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22"/>
    </row>
    <row r="43" spans="1:52">
      <c r="A43" s="332" t="s">
        <v>210</v>
      </c>
      <c r="B43" s="176">
        <f ca="1">SUM(C43:R43)</f>
        <v>46384762.252283037</v>
      </c>
      <c r="C43" s="315">
        <f ca="1">-C28</f>
        <v>-55872555.993040241</v>
      </c>
      <c r="D43" s="315">
        <f t="shared" ref="D43:W43" ca="1" si="13">-D28</f>
        <v>0</v>
      </c>
      <c r="E43" s="315">
        <f t="shared" ca="1" si="13"/>
        <v>-8564249.0877338387</v>
      </c>
      <c r="F43" s="315">
        <f t="shared" ca="1" si="13"/>
        <v>-8564249.0877338387</v>
      </c>
      <c r="G43" s="315">
        <f t="shared" ca="1" si="13"/>
        <v>-8564249.0877338387</v>
      </c>
      <c r="H43" s="315">
        <f t="shared" ca="1" si="13"/>
        <v>-17128498.175467677</v>
      </c>
      <c r="I43" s="315">
        <f t="shared" ca="1" si="13"/>
        <v>-17128498.175467677</v>
      </c>
      <c r="J43" s="315">
        <f t="shared" ca="1" si="13"/>
        <v>-17128498.175467677</v>
      </c>
      <c r="K43" s="315">
        <f t="shared" ca="1" si="13"/>
        <v>-17128498.175467677</v>
      </c>
      <c r="L43" s="315">
        <f t="shared" ca="1" si="13"/>
        <v>-17128498.175467677</v>
      </c>
      <c r="M43" s="315">
        <f t="shared" ca="1" si="13"/>
        <v>-17128498.175467677</v>
      </c>
      <c r="N43" s="315">
        <f t="shared" ca="1" si="13"/>
        <v>-17128498.175467677</v>
      </c>
      <c r="O43" s="315">
        <f t="shared" ca="1" si="13"/>
        <v>-17128498.175467677</v>
      </c>
      <c r="P43" s="315">
        <f t="shared" ca="1" si="13"/>
        <v>-8564249.0877338387</v>
      </c>
      <c r="Q43" s="315">
        <f t="shared" si="13"/>
        <v>0</v>
      </c>
      <c r="R43" s="349">
        <f ca="1">B42</f>
        <v>273542300</v>
      </c>
      <c r="S43" s="315">
        <f t="shared" si="13"/>
        <v>0</v>
      </c>
      <c r="T43" s="315">
        <f t="shared" si="13"/>
        <v>0</v>
      </c>
      <c r="U43" s="315">
        <f t="shared" si="13"/>
        <v>0</v>
      </c>
      <c r="V43" s="315">
        <f t="shared" si="13"/>
        <v>0</v>
      </c>
      <c r="W43" s="315">
        <f t="shared" si="13"/>
        <v>0</v>
      </c>
      <c r="X43" s="349">
        <f ca="1">-X28+B42</f>
        <v>273542300</v>
      </c>
      <c r="Y43" s="315">
        <f t="shared" ref="Y43:AR43" ca="1" si="14">IF(Y32&gt;=$B$32,-(Y28+Y38),Y38)</f>
        <v>0</v>
      </c>
      <c r="Z43" s="315">
        <f t="shared" ca="1" si="14"/>
        <v>0</v>
      </c>
      <c r="AA43" s="315">
        <f t="shared" ca="1" si="14"/>
        <v>0</v>
      </c>
      <c r="AB43" s="315">
        <f t="shared" ca="1" si="14"/>
        <v>0</v>
      </c>
      <c r="AC43" s="315">
        <f t="shared" ca="1" si="14"/>
        <v>0</v>
      </c>
      <c r="AD43" s="315">
        <f t="shared" ca="1" si="14"/>
        <v>0</v>
      </c>
      <c r="AE43" s="315">
        <f t="shared" ca="1" si="14"/>
        <v>0</v>
      </c>
      <c r="AF43" s="315">
        <f t="shared" ca="1" si="14"/>
        <v>0</v>
      </c>
      <c r="AG43" s="315">
        <f t="shared" ca="1" si="14"/>
        <v>0</v>
      </c>
      <c r="AH43" s="315">
        <f t="shared" ca="1" si="14"/>
        <v>0</v>
      </c>
      <c r="AI43" s="315">
        <f t="shared" ca="1" si="14"/>
        <v>0</v>
      </c>
      <c r="AJ43" s="315">
        <f t="shared" ca="1" si="14"/>
        <v>0</v>
      </c>
      <c r="AK43" s="315">
        <f t="shared" ca="1" si="14"/>
        <v>0</v>
      </c>
      <c r="AL43" s="315">
        <f t="shared" ca="1" si="14"/>
        <v>0</v>
      </c>
      <c r="AM43" s="315">
        <f t="shared" ca="1" si="14"/>
        <v>0</v>
      </c>
      <c r="AN43" s="315">
        <f t="shared" ca="1" si="14"/>
        <v>0</v>
      </c>
      <c r="AO43" s="315">
        <f t="shared" ca="1" si="14"/>
        <v>0</v>
      </c>
      <c r="AP43" s="315">
        <f t="shared" ca="1" si="14"/>
        <v>0</v>
      </c>
      <c r="AQ43" s="315">
        <f t="shared" ca="1" si="14"/>
        <v>0</v>
      </c>
      <c r="AR43" s="315">
        <f t="shared" ca="1" si="14"/>
        <v>0</v>
      </c>
      <c r="AS43" s="315"/>
      <c r="AT43" s="315"/>
      <c r="AU43" s="315"/>
      <c r="AV43" s="402"/>
      <c r="AW43" s="322"/>
      <c r="AX43" s="322"/>
    </row>
    <row r="44" spans="1:52">
      <c r="A44" s="332" t="s">
        <v>211</v>
      </c>
      <c r="B44" s="174">
        <f ca="1">IF(B43&lt;0,0,IRR(C43:R43))</f>
        <v>2.0330882470799727E-2</v>
      </c>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22"/>
    </row>
    <row r="45" spans="1:52">
      <c r="A45" s="322" t="s">
        <v>212</v>
      </c>
      <c r="B45" s="350">
        <f ca="1">POWER((1+B44),4)-1</f>
        <v>8.3837384086091316E-2</v>
      </c>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22"/>
    </row>
    <row r="46" spans="1:52">
      <c r="G46" s="7"/>
      <c r="AB46" s="7"/>
      <c r="AE46" s="7"/>
      <c r="AI46" s="7"/>
    </row>
    <row r="47" spans="1:52">
      <c r="G47" s="7"/>
      <c r="AB47" s="7"/>
      <c r="AE47" s="7"/>
      <c r="AI47" s="7"/>
    </row>
    <row r="48" spans="1:52">
      <c r="G48" s="7"/>
      <c r="AB48" s="7"/>
      <c r="AE48" s="7"/>
      <c r="AI48" s="7"/>
    </row>
    <row r="49" spans="7:35">
      <c r="G49" s="7"/>
      <c r="AB49" s="7"/>
      <c r="AE49" s="7"/>
      <c r="AI49" s="7"/>
    </row>
    <row r="50" spans="7:35">
      <c r="G50" s="7"/>
      <c r="AB50" s="7"/>
      <c r="AE50" s="7"/>
      <c r="AI50" s="7"/>
    </row>
    <row r="51" spans="7:35">
      <c r="G51" s="7"/>
      <c r="AB51" s="7"/>
      <c r="AE51" s="7"/>
      <c r="AI51" s="7"/>
    </row>
    <row r="52" spans="7:35">
      <c r="G52" s="7"/>
      <c r="AB52" s="7"/>
      <c r="AE52" s="7"/>
      <c r="AI52" s="7"/>
    </row>
    <row r="53" spans="7:35">
      <c r="G53" s="7"/>
    </row>
    <row r="54" spans="7:35">
      <c r="G54" s="7"/>
    </row>
    <row r="55" spans="7:35">
      <c r="G55" s="7"/>
    </row>
    <row r="56" spans="7:35">
      <c r="G56" s="7"/>
    </row>
    <row r="57" spans="7:35">
      <c r="G57" s="7"/>
    </row>
    <row r="58" spans="7:35">
      <c r="G58" s="7"/>
    </row>
    <row r="59" spans="7:35">
      <c r="G59" s="7"/>
    </row>
    <row r="60" spans="7:35">
      <c r="G60" s="7"/>
    </row>
    <row r="61" spans="7:35">
      <c r="G61" s="7"/>
    </row>
    <row r="62" spans="7:35">
      <c r="G62" s="7"/>
    </row>
    <row r="63" spans="7:35">
      <c r="G63" s="7"/>
    </row>
    <row r="64" spans="7:35">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row r="600" spans="7:7">
      <c r="G600" s="7"/>
    </row>
  </sheetData>
  <mergeCells count="4">
    <mergeCell ref="A1:A4"/>
    <mergeCell ref="A36:B36"/>
    <mergeCell ref="A41:B41"/>
    <mergeCell ref="AS2:AU2"/>
  </mergeCells>
  <conditionalFormatting sqref="D4:AU4">
    <cfRule type="cellIs" dxfId="83" priority="1" operator="equal">
      <formula>#REF!</formula>
    </cfRule>
    <cfRule type="cellIs" dxfId="82" priority="2" operator="equal">
      <formula>#REF!</formula>
    </cfRule>
    <cfRule type="cellIs" dxfId="81" priority="3" operator="equal">
      <formula>#REF!</formula>
    </cfRule>
    <cfRule type="cellIs" dxfId="80" priority="4" operator="equal">
      <formula>#REF!</formula>
    </cfRule>
  </conditionalFormatting>
  <conditionalFormatting sqref="Y5:AC5">
    <cfRule type="cellIs" dxfId="79" priority="5" operator="equal">
      <formula>#REF!</formula>
    </cfRule>
    <cfRule type="cellIs" dxfId="78" priority="6" operator="equal">
      <formula>#REF!</formula>
    </cfRule>
    <cfRule type="cellIs" dxfId="77" priority="7" operator="equal">
      <formula>#REF!</formula>
    </cfRule>
    <cfRule type="cellIs" dxfId="76" priority="8" operator="equal">
      <formula>#REF!</formula>
    </cfRule>
  </conditionalFormatting>
  <conditionalFormatting sqref="Y5:AU5">
    <cfRule type="cellIs" dxfId="75" priority="9" operator="equal">
      <formula>#REF!</formula>
    </cfRule>
    <cfRule type="cellIs" dxfId="74" priority="10" operator="equal">
      <formula>#REF!</formula>
    </cfRule>
    <cfRule type="cellIs" dxfId="73" priority="11" operator="equal">
      <formula>#REF!</formula>
    </cfRule>
    <cfRule type="cellIs" dxfId="72" priority="12" operator="equal">
      <formula>#REF!</formula>
    </cfRule>
  </conditionalFormatting>
  <conditionalFormatting sqref="AV4:AX4">
    <cfRule type="cellIs" dxfId="71" priority="13" operator="equal">
      <formula>#REF!</formula>
    </cfRule>
    <cfRule type="cellIs" dxfId="70" priority="14" operator="equal">
      <formula>#REF!</formula>
    </cfRule>
    <cfRule type="cellIs" dxfId="69" priority="15" operator="equal">
      <formula>#REF!</formula>
    </cfRule>
    <cfRule type="cellIs" dxfId="68" priority="16"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ignoredErrors>
    <ignoredError sqref="C1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294-7B10-40C8-B79C-51837EAB7369}">
  <sheetPr>
    <tabColor theme="6" tint="-0.249977111117893"/>
    <pageSetUpPr fitToPage="1"/>
  </sheetPr>
  <dimension ref="B1:M106"/>
  <sheetViews>
    <sheetView showGridLines="0" topLeftCell="B74" zoomScaleNormal="100" zoomScaleSheetLayoutView="90" workbookViewId="0">
      <selection activeCell="G42" sqref="G42"/>
    </sheetView>
  </sheetViews>
  <sheetFormatPr defaultColWidth="8.85546875" defaultRowHeight="23.25" customHeight="1"/>
  <cols>
    <col min="1" max="1" width="4.42578125" style="7" customWidth="1"/>
    <col min="2" max="2" width="38.42578125" style="7" bestFit="1" customWidth="1"/>
    <col min="3" max="3" width="27" style="7" customWidth="1"/>
    <col min="4" max="4" width="22.42578125" style="7" bestFit="1" customWidth="1"/>
    <col min="5" max="5" width="19.5703125" style="7" customWidth="1"/>
    <col min="6" max="6" width="19.140625" style="7" bestFit="1" customWidth="1"/>
    <col min="7" max="7" width="17.28515625" style="7" bestFit="1" customWidth="1"/>
    <col min="8" max="8" width="21.28515625" style="7" customWidth="1"/>
    <col min="9" max="9" width="24.5703125" style="7" customWidth="1"/>
    <col min="10" max="10" width="32.42578125" style="7" customWidth="1"/>
    <col min="11" max="11" width="20.140625" style="7" customWidth="1"/>
    <col min="12" max="15" width="8.85546875" style="7"/>
    <col min="16" max="16" width="20.140625" style="7" customWidth="1"/>
    <col min="17" max="16384" width="8.85546875" style="7"/>
  </cols>
  <sheetData>
    <row r="1" spans="2:13" ht="23.25" customHeight="1" thickBot="1">
      <c r="B1" s="3"/>
      <c r="C1" s="4"/>
      <c r="D1" s="5"/>
      <c r="E1" s="837"/>
    </row>
    <row r="2" spans="2:13" ht="16.5" thickBot="1">
      <c r="B2" s="1561" t="s">
        <v>108</v>
      </c>
      <c r="C2" s="1562"/>
      <c r="D2" s="1562"/>
      <c r="E2" s="1566" t="str">
        <f>'Development Program'!B8</f>
        <v>Chinook Condos</v>
      </c>
      <c r="F2" s="1566"/>
      <c r="G2" s="1567"/>
    </row>
    <row r="3" spans="2:13" ht="13.5" thickBot="1">
      <c r="B3" s="918" t="s">
        <v>337</v>
      </c>
      <c r="C3" s="919" t="s">
        <v>111</v>
      </c>
      <c r="D3" s="919" t="s">
        <v>221</v>
      </c>
      <c r="E3" s="919" t="s">
        <v>266</v>
      </c>
      <c r="F3" s="919" t="s">
        <v>222</v>
      </c>
      <c r="G3" s="920" t="s">
        <v>223</v>
      </c>
      <c r="H3" s="460"/>
      <c r="I3" s="460"/>
      <c r="J3" s="536"/>
      <c r="K3" s="536"/>
      <c r="L3" s="536"/>
      <c r="M3" s="536"/>
    </row>
    <row r="4" spans="2:13" ht="12.75">
      <c r="B4" s="1045" t="s">
        <v>341</v>
      </c>
      <c r="C4" s="1046"/>
      <c r="D4" s="1046"/>
      <c r="E4" s="1046"/>
      <c r="F4" s="1046"/>
      <c r="G4" s="1047"/>
      <c r="H4" s="460"/>
      <c r="I4" s="460"/>
      <c r="J4" s="536"/>
      <c r="K4" s="536"/>
      <c r="L4" s="536"/>
      <c r="M4" s="536"/>
    </row>
    <row r="5" spans="2:13" ht="12.75">
      <c r="B5" s="830">
        <f>C5/C12</f>
        <v>0.68556701030927836</v>
      </c>
      <c r="C5" s="215">
        <v>133</v>
      </c>
      <c r="D5" s="215">
        <v>980</v>
      </c>
      <c r="E5" s="832">
        <f>F5*D5</f>
        <v>955500</v>
      </c>
      <c r="F5" s="218">
        <v>975</v>
      </c>
      <c r="G5" s="959">
        <f>E5*C5</f>
        <v>127081500</v>
      </c>
      <c r="K5" s="533"/>
      <c r="L5" s="534"/>
      <c r="M5" s="535"/>
    </row>
    <row r="6" spans="2:13" ht="12.75">
      <c r="B6" s="831">
        <f>C6/C12</f>
        <v>0.1134020618556701</v>
      </c>
      <c r="C6" s="215">
        <v>22</v>
      </c>
      <c r="D6" s="215">
        <v>1200</v>
      </c>
      <c r="E6" s="832">
        <f>F6*D6</f>
        <v>1110000</v>
      </c>
      <c r="F6" s="218">
        <v>925</v>
      </c>
      <c r="G6" s="959">
        <f>E6*C6</f>
        <v>24420000</v>
      </c>
      <c r="K6" s="533"/>
      <c r="L6" s="534"/>
      <c r="M6" s="535"/>
    </row>
    <row r="7" spans="2:13" ht="12.75">
      <c r="B7" s="1048" t="s">
        <v>315</v>
      </c>
      <c r="C7" s="689">
        <f>SUM(C5:C6)</f>
        <v>155</v>
      </c>
      <c r="D7" s="689">
        <f>((C5*D5)+(C6*D6))/C7</f>
        <v>1011.2258064516129</v>
      </c>
      <c r="E7" s="689"/>
      <c r="F7" s="1040">
        <f>G7/C7</f>
        <v>977429.03225806449</v>
      </c>
      <c r="G7" s="1049">
        <f>SUM(G5:G6)</f>
        <v>151501500</v>
      </c>
      <c r="K7" s="533"/>
      <c r="L7" s="534"/>
      <c r="M7" s="535"/>
    </row>
    <row r="8" spans="2:13" ht="12.75">
      <c r="B8" s="992" t="s">
        <v>316</v>
      </c>
      <c r="C8" s="1003"/>
      <c r="D8" s="1003"/>
      <c r="E8" s="1003"/>
      <c r="F8" s="1003"/>
      <c r="G8" s="1050"/>
      <c r="K8" s="533"/>
      <c r="L8" s="534"/>
      <c r="M8" s="535"/>
    </row>
    <row r="9" spans="2:13" ht="12.75">
      <c r="B9" s="830">
        <f>C9/C12</f>
        <v>0.17010309278350516</v>
      </c>
      <c r="C9" s="215">
        <v>33</v>
      </c>
      <c r="D9" s="215">
        <v>980</v>
      </c>
      <c r="E9" s="832">
        <f ca="1">(Assumptions!D48+Assumptions!E48)/2</f>
        <v>339931.16318436631</v>
      </c>
      <c r="F9" s="218">
        <v>252</v>
      </c>
      <c r="G9" s="959">
        <f ca="1">E9*C9</f>
        <v>11217728.385084089</v>
      </c>
      <c r="K9" s="533"/>
      <c r="L9" s="534"/>
      <c r="M9" s="535"/>
    </row>
    <row r="10" spans="2:13" ht="12.75">
      <c r="B10" s="831">
        <f>C10/C12</f>
        <v>3.0927835051546393E-2</v>
      </c>
      <c r="C10" s="215">
        <v>6</v>
      </c>
      <c r="D10" s="215">
        <v>1200</v>
      </c>
      <c r="E10" s="832">
        <f ca="1">(Assumptions!E48+Assumptions!F48)/2</f>
        <v>446435.63259744656</v>
      </c>
      <c r="F10" s="218">
        <v>216</v>
      </c>
      <c r="G10" s="959">
        <f ca="1">E10*C10</f>
        <v>2678613.7955846796</v>
      </c>
      <c r="K10" s="533"/>
      <c r="L10" s="534"/>
      <c r="M10" s="535"/>
    </row>
    <row r="11" spans="2:13" ht="12.75">
      <c r="B11" s="1048" t="s">
        <v>342</v>
      </c>
      <c r="C11" s="689">
        <f>SUM(C9:C10)</f>
        <v>39</v>
      </c>
      <c r="D11" s="689">
        <f>((C9*D9)+(C10*D10))/C11</f>
        <v>1013.8461538461538</v>
      </c>
      <c r="E11" s="689"/>
      <c r="F11" s="1040">
        <f ca="1">G11/C11</f>
        <v>356316.46617099404</v>
      </c>
      <c r="G11" s="1051">
        <f ca="1">SUM(G9:G10)</f>
        <v>13896342.180668768</v>
      </c>
      <c r="H11" s="148"/>
      <c r="I11" s="148"/>
      <c r="J11" s="148"/>
      <c r="K11" s="533"/>
      <c r="L11" s="537"/>
      <c r="M11" s="538"/>
    </row>
    <row r="12" spans="2:13" ht="13.5" thickBot="1">
      <c r="B12" s="40" t="s">
        <v>115</v>
      </c>
      <c r="C12" s="1039">
        <f>C7+C11</f>
        <v>194</v>
      </c>
      <c r="D12" s="1042">
        <f>C5*D5 +C6*D6+C9*D9+C10*D10</f>
        <v>196280</v>
      </c>
      <c r="E12" s="1043"/>
      <c r="F12" s="1044"/>
      <c r="G12" s="827">
        <f ca="1">G7+G11</f>
        <v>165397842.18066877</v>
      </c>
    </row>
    <row r="13" spans="2:13" ht="14.25" thickTop="1" thickBot="1">
      <c r="B13" s="17" t="s">
        <v>116</v>
      </c>
      <c r="C13" s="585"/>
      <c r="D13" s="1041">
        <f>D12/C12</f>
        <v>1011.7525773195877</v>
      </c>
      <c r="E13" s="1052"/>
      <c r="F13" s="1052">
        <f ca="1">G12/D12</f>
        <v>842.66273782692463</v>
      </c>
      <c r="G13" s="826">
        <f ca="1">G12/C12</f>
        <v>852566.19680757099</v>
      </c>
    </row>
    <row r="14" spans="2:13" ht="13.5" thickBot="1"/>
    <row r="15" spans="2:13" ht="12.75">
      <c r="B15" s="731" t="s">
        <v>117</v>
      </c>
      <c r="C15" s="691" t="s">
        <v>118</v>
      </c>
      <c r="D15" s="691" t="s">
        <v>407</v>
      </c>
      <c r="E15" s="651" t="s">
        <v>113</v>
      </c>
    </row>
    <row r="16" spans="2:13" ht="13.5" thickBot="1">
      <c r="B16" s="227" t="s">
        <v>0</v>
      </c>
      <c r="C16" s="228">
        <v>122900</v>
      </c>
      <c r="D16" s="1115">
        <f>Assumptions!I7</f>
        <v>55</v>
      </c>
      <c r="E16" s="742">
        <f>C16*D16</f>
        <v>6759500</v>
      </c>
    </row>
    <row r="17" spans="2:8" ht="14.25" thickTop="1" thickBot="1">
      <c r="B17" s="33" t="s">
        <v>120</v>
      </c>
      <c r="C17" s="553">
        <f>SUM(C16:C16)</f>
        <v>122900</v>
      </c>
      <c r="D17" s="743">
        <f>IF(C17=0,0,E17/C17)</f>
        <v>55</v>
      </c>
      <c r="E17" s="729">
        <f>SUM(E16:E16)</f>
        <v>6759500</v>
      </c>
      <c r="F17" s="30"/>
    </row>
    <row r="18" spans="2:8" ht="13.5" thickBot="1">
      <c r="B18" s="35"/>
      <c r="C18" s="744"/>
      <c r="D18" s="31"/>
      <c r="E18" s="32"/>
      <c r="F18" s="30"/>
    </row>
    <row r="19" spans="2:8" ht="12.75" customHeight="1" thickBot="1">
      <c r="B19" s="951" t="s">
        <v>121</v>
      </c>
      <c r="C19" s="1070"/>
      <c r="E19" s="586"/>
      <c r="F19" s="586"/>
      <c r="G19" s="484"/>
    </row>
    <row r="20" spans="2:8" ht="12.75">
      <c r="B20" s="197" t="s">
        <v>122</v>
      </c>
      <c r="C20" s="734">
        <f>C12/2</f>
        <v>97</v>
      </c>
      <c r="D20" s="1546" t="s">
        <v>436</v>
      </c>
      <c r="E20" s="1547"/>
      <c r="F20" s="1548"/>
    </row>
    <row r="21" spans="2:8" ht="13.5" thickBot="1">
      <c r="B21" s="200" t="s">
        <v>123</v>
      </c>
      <c r="C21" s="735">
        <f>C17/1000</f>
        <v>122.9</v>
      </c>
      <c r="D21" s="1549"/>
      <c r="E21" s="1550"/>
      <c r="F21" s="1551"/>
      <c r="G21" s="31"/>
    </row>
    <row r="22" spans="2:8" ht="14.25" thickTop="1" thickBot="1">
      <c r="B22" s="833" t="s">
        <v>124</v>
      </c>
      <c r="C22" s="834">
        <f>SUM(C20:C21)</f>
        <v>219.9</v>
      </c>
      <c r="D22" s="1552"/>
      <c r="E22" s="1553"/>
      <c r="F22" s="1554"/>
    </row>
    <row r="23" spans="2:8" ht="13.5" thickBot="1">
      <c r="B23" s="836" t="s">
        <v>435</v>
      </c>
      <c r="C23" s="835">
        <f>C22-95</f>
        <v>124.9</v>
      </c>
      <c r="D23" s="586"/>
      <c r="E23" s="586"/>
      <c r="F23" s="586"/>
    </row>
    <row r="24" spans="2:8" ht="13.5" thickBot="1">
      <c r="B24" s="35"/>
      <c r="C24" s="744"/>
      <c r="D24" s="31"/>
      <c r="E24" s="32"/>
    </row>
    <row r="25" spans="2:8" ht="12.75">
      <c r="B25" s="732" t="s">
        <v>125</v>
      </c>
      <c r="C25" s="839">
        <f>E1</f>
        <v>0</v>
      </c>
      <c r="D25" s="36"/>
      <c r="E25" s="35"/>
      <c r="F25" s="35"/>
    </row>
    <row r="26" spans="2:8" ht="12.75">
      <c r="B26" s="838" t="s">
        <v>126</v>
      </c>
      <c r="C26" s="809">
        <v>28320</v>
      </c>
      <c r="E26" s="37"/>
      <c r="F26" s="771"/>
    </row>
    <row r="27" spans="2:8" ht="12.75">
      <c r="B27" s="234" t="s">
        <v>127</v>
      </c>
      <c r="C27" s="810">
        <f>C17+D12</f>
        <v>319180</v>
      </c>
      <c r="D27" s="36"/>
      <c r="E27" s="37"/>
      <c r="F27" s="527"/>
    </row>
    <row r="28" spans="2:8" ht="12.75">
      <c r="B28" s="236">
        <v>400</v>
      </c>
      <c r="C28" s="810">
        <f>B28*C23</f>
        <v>49960</v>
      </c>
      <c r="D28" s="36"/>
      <c r="E28" s="37"/>
      <c r="F28" s="35"/>
    </row>
    <row r="29" spans="2:8" ht="12.75">
      <c r="B29" s="359">
        <v>0.15</v>
      </c>
      <c r="C29" s="810">
        <f>(1+B29)*(C27+C28)</f>
        <v>424510.99999999994</v>
      </c>
      <c r="D29" s="36"/>
      <c r="E29" s="37"/>
      <c r="F29" s="35"/>
    </row>
    <row r="30" spans="2:8" ht="13.5" thickBot="1">
      <c r="B30" s="360">
        <f>6</f>
        <v>6</v>
      </c>
      <c r="C30" s="811">
        <f>C29/B30</f>
        <v>70751.833333333328</v>
      </c>
      <c r="D30" s="36"/>
      <c r="E30" s="37"/>
      <c r="F30" s="35"/>
    </row>
    <row r="31" spans="2:8" ht="13.5" thickBot="1">
      <c r="B31" s="722"/>
      <c r="C31" s="721"/>
      <c r="D31" s="36"/>
      <c r="E31" s="37"/>
      <c r="F31" s="35"/>
    </row>
    <row r="32" spans="2:8" ht="13.5" thickBot="1">
      <c r="B32" s="1620" t="s">
        <v>225</v>
      </c>
      <c r="C32" s="1621"/>
      <c r="D32" s="1621"/>
      <c r="E32" s="1617"/>
      <c r="F32" s="35"/>
      <c r="G32" s="60"/>
      <c r="H32" s="459"/>
    </row>
    <row r="33" spans="2:8" ht="13.5" thickBot="1">
      <c r="B33" s="841" t="s">
        <v>129</v>
      </c>
      <c r="C33" s="842" t="s">
        <v>130</v>
      </c>
      <c r="D33" s="842" t="s">
        <v>131</v>
      </c>
      <c r="E33" s="843" t="s">
        <v>226</v>
      </c>
      <c r="F33" s="35"/>
      <c r="H33" s="459"/>
    </row>
    <row r="34" spans="2:8" ht="12.75">
      <c r="B34" s="844" t="s">
        <v>171</v>
      </c>
      <c r="C34" s="845">
        <f ca="1">E34/C12</f>
        <v>852566.19680757099</v>
      </c>
      <c r="D34" s="845">
        <f ca="1">E34/D12</f>
        <v>842.66273782692463</v>
      </c>
      <c r="E34" s="1053">
        <f ca="1">G12</f>
        <v>165397842.18066877</v>
      </c>
      <c r="F34" s="35"/>
      <c r="H34" s="60"/>
    </row>
    <row r="35" spans="2:8" ht="13.5" thickBot="1">
      <c r="B35" s="846">
        <f>Assumptions!L13</f>
        <v>0.03</v>
      </c>
      <c r="C35" s="1622"/>
      <c r="D35" s="1623"/>
      <c r="E35" s="282">
        <f ca="1">-B35*E34</f>
        <v>-4961935.2654200634</v>
      </c>
      <c r="F35" s="35"/>
      <c r="H35" s="60"/>
    </row>
    <row r="36" spans="2:8" ht="14.25" thickTop="1" thickBot="1">
      <c r="B36" s="1624" t="s">
        <v>172</v>
      </c>
      <c r="C36" s="1625"/>
      <c r="D36" s="1626"/>
      <c r="E36" s="847">
        <f ca="1">E34+E35</f>
        <v>160435906.91524872</v>
      </c>
      <c r="F36" s="35"/>
    </row>
    <row r="37" spans="2:8" ht="15" customHeight="1" thickBot="1">
      <c r="B37" s="1618" t="s">
        <v>128</v>
      </c>
      <c r="C37" s="1619"/>
      <c r="D37" s="1616" t="str">
        <f>E2</f>
        <v>Chinook Condos</v>
      </c>
      <c r="E37" s="1617"/>
      <c r="F37" s="35"/>
      <c r="G37" s="60"/>
    </row>
    <row r="38" spans="2:8" ht="13.5" thickBot="1">
      <c r="B38" s="841" t="s">
        <v>129</v>
      </c>
      <c r="C38" s="842"/>
      <c r="D38" s="842"/>
      <c r="E38" s="848" t="s">
        <v>170</v>
      </c>
      <c r="F38" s="35"/>
      <c r="G38" s="60"/>
    </row>
    <row r="39" spans="2:8" ht="13.5" thickBot="1">
      <c r="B39" s="1197">
        <f>C17</f>
        <v>122900</v>
      </c>
      <c r="C39" s="849"/>
      <c r="D39" s="850"/>
      <c r="E39" s="282">
        <f>E17</f>
        <v>6759500</v>
      </c>
      <c r="F39" s="35"/>
      <c r="G39" s="60"/>
    </row>
    <row r="40" spans="2:8" ht="14.25" thickTop="1" thickBot="1">
      <c r="B40" s="860">
        <f>Assumptions!I14</f>
        <v>0.05</v>
      </c>
      <c r="C40" s="1629"/>
      <c r="D40" s="1630"/>
      <c r="E40" s="861">
        <f>-B40*E39</f>
        <v>-337975</v>
      </c>
      <c r="F40" s="35"/>
      <c r="G40" s="60"/>
    </row>
    <row r="41" spans="2:8" ht="13.5" thickTop="1">
      <c r="B41" s="851"/>
      <c r="C41" s="1635" t="s">
        <v>135</v>
      </c>
      <c r="D41" s="1636"/>
      <c r="E41" s="854">
        <f>E39+E40</f>
        <v>6421525</v>
      </c>
      <c r="F41" s="1196"/>
      <c r="G41" s="72"/>
      <c r="H41" s="60"/>
    </row>
    <row r="42" spans="2:8" ht="12.75">
      <c r="B42" s="855" t="s">
        <v>136</v>
      </c>
      <c r="C42" s="852"/>
      <c r="D42" s="853" t="s">
        <v>137</v>
      </c>
      <c r="E42" s="854"/>
      <c r="F42" s="1014"/>
      <c r="G42" s="60"/>
    </row>
    <row r="43" spans="2:8" ht="12.75">
      <c r="B43" s="633" t="s">
        <v>406</v>
      </c>
      <c r="C43" s="669">
        <f>Assumptions!L32</f>
        <v>325</v>
      </c>
      <c r="D43" s="856">
        <f>E43/D12</f>
        <v>1.9273486855512534</v>
      </c>
      <c r="E43" s="672">
        <f>C43*C20*12</f>
        <v>378300</v>
      </c>
      <c r="F43" s="35"/>
    </row>
    <row r="44" spans="2:8" ht="12.75">
      <c r="B44" s="633" t="s">
        <v>405</v>
      </c>
      <c r="C44" s="669">
        <f>Assumptions!L33</f>
        <v>350</v>
      </c>
      <c r="D44" s="856">
        <f>E44/C16</f>
        <v>4.2</v>
      </c>
      <c r="E44" s="672">
        <f>C44*C21*12</f>
        <v>516180</v>
      </c>
      <c r="F44" s="35"/>
      <c r="H44" s="60"/>
    </row>
    <row r="45" spans="2:8" ht="13.5" thickBot="1">
      <c r="B45" s="857" t="s">
        <v>139</v>
      </c>
      <c r="C45" s="858"/>
      <c r="D45" s="858"/>
      <c r="E45" s="859">
        <f>SUM(E43:E44)</f>
        <v>894480</v>
      </c>
      <c r="F45" s="35"/>
    </row>
    <row r="46" spans="2:8" ht="14.25" thickTop="1" thickBot="1">
      <c r="B46" s="862" t="s">
        <v>140</v>
      </c>
      <c r="C46" s="863">
        <f>E46/C12</f>
        <v>37711.365979381444</v>
      </c>
      <c r="D46" s="863">
        <f>F46/D12</f>
        <v>0</v>
      </c>
      <c r="E46" s="864">
        <f>E41+E45</f>
        <v>7316005</v>
      </c>
      <c r="F46" s="817"/>
      <c r="H46" s="1032"/>
    </row>
    <row r="47" spans="2:8" ht="13.5" thickBot="1">
      <c r="B47" s="865" t="s">
        <v>141</v>
      </c>
      <c r="C47" s="866"/>
      <c r="D47" s="866" t="s">
        <v>142</v>
      </c>
      <c r="E47" s="867" t="s">
        <v>170</v>
      </c>
      <c r="F47" s="817"/>
    </row>
    <row r="48" spans="2:8" ht="13.5" thickBot="1">
      <c r="B48" s="1322">
        <f>IF(Assumptions!I20=1,Assumptions!I19,Assumptions!I18)</f>
        <v>0.45</v>
      </c>
      <c r="C48" s="868"/>
      <c r="D48" s="868">
        <f>E48/C16</f>
        <v>-26.787650528885273</v>
      </c>
      <c r="E48" s="869">
        <f>-B48*(E41+E45)</f>
        <v>-3292202.25</v>
      </c>
      <c r="F48" s="797"/>
    </row>
    <row r="49" spans="2:7" ht="13.5" thickBot="1">
      <c r="B49" s="870" t="s">
        <v>144</v>
      </c>
      <c r="C49" s="871"/>
      <c r="D49" s="872"/>
      <c r="E49" s="873">
        <f>E46+E48</f>
        <v>4023802.75</v>
      </c>
      <c r="F49" s="35"/>
    </row>
    <row r="50" spans="2:7" ht="15.75" customHeight="1" thickBot="1">
      <c r="B50" s="874" t="s">
        <v>145</v>
      </c>
      <c r="C50" s="878" t="s">
        <v>338</v>
      </c>
      <c r="D50" s="875">
        <f>Assumptions!L9</f>
        <v>7.0000000000000007E-2</v>
      </c>
      <c r="E50" s="876">
        <f ca="1">(E49/D50)+E36</f>
        <v>217918803.34382015</v>
      </c>
      <c r="F50" s="35" t="s">
        <v>520</v>
      </c>
      <c r="G50" s="35"/>
    </row>
    <row r="51" spans="2:7" ht="13.5" thickBot="1">
      <c r="B51" s="1631" t="s">
        <v>231</v>
      </c>
      <c r="C51" s="1632"/>
      <c r="D51" s="1633" t="str">
        <f>E2</f>
        <v>Chinook Condos</v>
      </c>
      <c r="E51" s="1634"/>
    </row>
    <row r="52" spans="2:7" ht="13.5" thickBot="1">
      <c r="B52" s="820"/>
      <c r="C52" s="822" t="s">
        <v>148</v>
      </c>
      <c r="D52" s="822" t="s">
        <v>149</v>
      </c>
      <c r="E52" s="823" t="s">
        <v>130</v>
      </c>
    </row>
    <row r="53" spans="2:7" ht="12.75">
      <c r="B53" s="879" t="s">
        <v>538</v>
      </c>
      <c r="C53" s="877">
        <f>Assumptions!I27</f>
        <v>245</v>
      </c>
      <c r="D53" s="880">
        <f>C53*(D12)</f>
        <v>48088600</v>
      </c>
      <c r="E53" s="672">
        <f>D53/$C$12</f>
        <v>247879.38144329897</v>
      </c>
      <c r="F53" s="35" t="s">
        <v>519</v>
      </c>
    </row>
    <row r="54" spans="2:7" ht="12.75">
      <c r="B54" s="458" t="s">
        <v>151</v>
      </c>
      <c r="C54" s="513">
        <f>Assumptions!L29</f>
        <v>30000</v>
      </c>
      <c r="D54" s="638">
        <f>C54*(C22-95)</f>
        <v>3747000</v>
      </c>
      <c r="E54" s="602">
        <f t="shared" ref="E54:E75" si="0">D54/$C$12</f>
        <v>19314.432989690722</v>
      </c>
    </row>
    <row r="55" spans="2:7" ht="12.75">
      <c r="B55" s="458" t="s">
        <v>19</v>
      </c>
      <c r="C55" s="514">
        <v>0.08</v>
      </c>
      <c r="D55" s="638">
        <f>C55*D53</f>
        <v>3847088</v>
      </c>
      <c r="E55" s="602">
        <f t="shared" si="0"/>
        <v>19830.350515463917</v>
      </c>
      <c r="F55" s="60"/>
    </row>
    <row r="56" spans="2:7" ht="12.75">
      <c r="B56" s="458" t="s">
        <v>400</v>
      </c>
      <c r="C56" s="639">
        <v>7</v>
      </c>
      <c r="D56" s="638">
        <f>C56*C27*0.4</f>
        <v>893704</v>
      </c>
      <c r="E56" s="602">
        <f t="shared" si="0"/>
        <v>4606.7216494845361</v>
      </c>
      <c r="F56" s="60"/>
    </row>
    <row r="57" spans="2:7" ht="12.75">
      <c r="B57" s="458" t="s">
        <v>152</v>
      </c>
      <c r="C57" s="641" t="s">
        <v>153</v>
      </c>
      <c r="D57" s="638">
        <v>70000000</v>
      </c>
      <c r="E57" s="602">
        <f t="shared" si="0"/>
        <v>360824.74226804124</v>
      </c>
      <c r="F57" s="60"/>
    </row>
    <row r="58" spans="2:7" ht="12.75">
      <c r="B58" s="458" t="s">
        <v>20</v>
      </c>
      <c r="C58" s="1362">
        <v>1500</v>
      </c>
      <c r="D58" s="638">
        <f>C58*C12</f>
        <v>291000</v>
      </c>
      <c r="E58" s="602">
        <f t="shared" si="0"/>
        <v>1500</v>
      </c>
    </row>
    <row r="59" spans="2:7" ht="12.75">
      <c r="B59" s="458" t="s">
        <v>154</v>
      </c>
      <c r="C59" s="519" t="s">
        <v>155</v>
      </c>
      <c r="D59" s="638">
        <f>'Development Program'!I20</f>
        <v>3500000</v>
      </c>
      <c r="E59" s="602">
        <f t="shared" si="0"/>
        <v>18041.237113402061</v>
      </c>
      <c r="F59" s="60"/>
    </row>
    <row r="60" spans="2:7" ht="12.75">
      <c r="B60" s="712" t="s">
        <v>23</v>
      </c>
      <c r="C60" s="642" t="s">
        <v>24</v>
      </c>
      <c r="D60" s="263">
        <v>1000000</v>
      </c>
      <c r="E60" s="602">
        <f t="shared" si="0"/>
        <v>5154.6391752577319</v>
      </c>
      <c r="F60" s="60"/>
    </row>
    <row r="61" spans="2:7" ht="12.75">
      <c r="B61" s="712" t="s">
        <v>25</v>
      </c>
      <c r="C61" s="520">
        <v>0.01</v>
      </c>
      <c r="D61" s="263">
        <f>C61*D57</f>
        <v>700000</v>
      </c>
      <c r="E61" s="602">
        <f t="shared" si="0"/>
        <v>3608.2474226804125</v>
      </c>
      <c r="F61" s="60"/>
    </row>
    <row r="62" spans="2:7" ht="12.75">
      <c r="B62" s="712" t="s">
        <v>26</v>
      </c>
      <c r="C62" s="515">
        <v>0.03</v>
      </c>
      <c r="D62" s="263">
        <f>C62*(D53+D55)</f>
        <v>1558070.64</v>
      </c>
      <c r="E62" s="602">
        <f t="shared" si="0"/>
        <v>8031.2919587628858</v>
      </c>
      <c r="F62" s="60"/>
    </row>
    <row r="63" spans="2:7" ht="12.75">
      <c r="B63" s="712" t="s">
        <v>27</v>
      </c>
      <c r="C63" s="521">
        <v>0.03</v>
      </c>
      <c r="D63" s="263">
        <f>C63*SUM(D53:D62)</f>
        <v>4008763.8791999999</v>
      </c>
      <c r="E63" s="602">
        <f t="shared" si="0"/>
        <v>20663.731336082474</v>
      </c>
      <c r="F63" s="60"/>
    </row>
    <row r="64" spans="2:7" ht="12.75">
      <c r="B64" s="712" t="s">
        <v>28</v>
      </c>
      <c r="C64" s="515">
        <v>0.02</v>
      </c>
      <c r="D64" s="263">
        <f>C64*(D53+D55+D56)</f>
        <v>1056587.8400000001</v>
      </c>
      <c r="E64" s="602">
        <f t="shared" si="0"/>
        <v>5446.3290721649491</v>
      </c>
      <c r="F64" s="60"/>
    </row>
    <row r="65" spans="2:6" ht="12.75">
      <c r="B65" s="712" t="s">
        <v>398</v>
      </c>
      <c r="C65" s="1180">
        <v>9.0500000000000008E-3</v>
      </c>
      <c r="D65" s="263">
        <f>C65*D57*2</f>
        <v>1267000</v>
      </c>
      <c r="E65" s="602">
        <f t="shared" si="0"/>
        <v>6530.927835051546</v>
      </c>
      <c r="F65" s="60"/>
    </row>
    <row r="66" spans="2:6" ht="12.75">
      <c r="B66" s="712" t="s">
        <v>30</v>
      </c>
      <c r="C66" s="639">
        <v>1</v>
      </c>
      <c r="D66" s="263">
        <f>C66*(D12+C17)</f>
        <v>319180</v>
      </c>
      <c r="E66" s="602">
        <f t="shared" si="0"/>
        <v>1645.2577319587629</v>
      </c>
      <c r="F66" s="60"/>
    </row>
    <row r="67" spans="2:6" ht="12.75">
      <c r="B67" s="712" t="s">
        <v>31</v>
      </c>
      <c r="C67" s="639">
        <v>1</v>
      </c>
      <c r="D67" s="263">
        <f>C67*(D12+C17)</f>
        <v>319180</v>
      </c>
      <c r="E67" s="602">
        <f t="shared" si="0"/>
        <v>1645.2577319587629</v>
      </c>
      <c r="F67" s="60"/>
    </row>
    <row r="68" spans="2:6" ht="12.75">
      <c r="B68" s="712" t="s">
        <v>32</v>
      </c>
      <c r="C68" s="516">
        <v>6</v>
      </c>
      <c r="D68" s="263">
        <f>-C68*(E48/12)</f>
        <v>1646101.125</v>
      </c>
      <c r="E68" s="602">
        <f t="shared" si="0"/>
        <v>8485.0573453608249</v>
      </c>
      <c r="F68" s="60"/>
    </row>
    <row r="69" spans="2:6" ht="12.75">
      <c r="B69" s="712" t="s">
        <v>227</v>
      </c>
      <c r="C69" s="1189">
        <v>0.15</v>
      </c>
      <c r="D69" s="263">
        <v>894955</v>
      </c>
      <c r="E69" s="602">
        <f t="shared" si="0"/>
        <v>4613.1701030927834</v>
      </c>
      <c r="F69" s="60"/>
    </row>
    <row r="70" spans="2:6" ht="12.75">
      <c r="B70" s="712" t="s">
        <v>408</v>
      </c>
      <c r="C70" s="1363">
        <v>100</v>
      </c>
      <c r="D70" s="263">
        <f>C70*C16</f>
        <v>12290000</v>
      </c>
      <c r="E70" s="602">
        <f t="shared" si="0"/>
        <v>63350.515463917523</v>
      </c>
    </row>
    <row r="71" spans="2:6" ht="12.75">
      <c r="B71" s="712" t="s">
        <v>409</v>
      </c>
      <c r="C71" s="1031">
        <v>0.06</v>
      </c>
      <c r="D71" s="263">
        <f>C71*10*E41</f>
        <v>3852915</v>
      </c>
      <c r="E71" s="602">
        <f t="shared" si="0"/>
        <v>19860.386597938144</v>
      </c>
      <c r="F71" s="662"/>
    </row>
    <row r="72" spans="2:6" ht="12.75">
      <c r="B72" s="712" t="s">
        <v>35</v>
      </c>
      <c r="C72" s="523">
        <v>1.4999999999999999E-2</v>
      </c>
      <c r="D72" s="263">
        <f ca="1">C72*C85</f>
        <v>1260660.9743675417</v>
      </c>
      <c r="E72" s="602">
        <f t="shared" ca="1" si="0"/>
        <v>6498.2524451935142</v>
      </c>
      <c r="F72" s="72" t="s">
        <v>388</v>
      </c>
    </row>
    <row r="73" spans="2:6" ht="12.75">
      <c r="B73" s="713" t="s">
        <v>36</v>
      </c>
      <c r="C73" s="640">
        <v>7.0000000000000007E-2</v>
      </c>
      <c r="D73" s="263">
        <f ca="1">C73*C85</f>
        <v>5883084.5470485287</v>
      </c>
      <c r="E73" s="602">
        <f t="shared" ca="1" si="0"/>
        <v>30325.178077569737</v>
      </c>
      <c r="F73" s="72" t="s">
        <v>388</v>
      </c>
    </row>
    <row r="74" spans="2:6" ht="13.5" thickBot="1">
      <c r="B74" s="714" t="s">
        <v>159</v>
      </c>
      <c r="C74" s="1034">
        <v>0.01</v>
      </c>
      <c r="D74" s="751">
        <f ca="1">C74*SUM(D53:D73)</f>
        <v>1664238.9100561608</v>
      </c>
      <c r="E74" s="475">
        <f t="shared" ca="1" si="0"/>
        <v>8578.5510827637154</v>
      </c>
      <c r="F74" s="60"/>
    </row>
    <row r="75" spans="2:6" ht="14.25" thickTop="1" thickBot="1">
      <c r="B75" s="748" t="s">
        <v>160</v>
      </c>
      <c r="C75" s="749"/>
      <c r="D75" s="44">
        <f ca="1">SUM(D53:D74)</f>
        <v>168088129.91567224</v>
      </c>
      <c r="E75" s="750">
        <f t="shared" ca="1" si="0"/>
        <v>866433.65935913532</v>
      </c>
      <c r="F75" s="60"/>
    </row>
    <row r="76" spans="2:6" ht="12.75">
      <c r="B76" s="531"/>
      <c r="C76" s="532"/>
      <c r="F76" s="60"/>
    </row>
    <row r="77" spans="2:6" ht="12.75">
      <c r="B77" s="272" t="s">
        <v>162</v>
      </c>
      <c r="C77" s="273">
        <f ca="1">(E50/D75)-1</f>
        <v>0.29645563582120493</v>
      </c>
      <c r="D77" s="59"/>
      <c r="E77" s="60"/>
    </row>
    <row r="78" spans="2:6" ht="13.5" thickBot="1">
      <c r="B78" s="788">
        <v>0.2</v>
      </c>
      <c r="C78" s="275">
        <f ca="1">(E50/(1+B78))</f>
        <v>181599002.78651682</v>
      </c>
      <c r="F78" s="60"/>
    </row>
    <row r="79" spans="2:6" ht="13.5" thickBot="1">
      <c r="B79" s="881">
        <v>0.2</v>
      </c>
      <c r="C79" s="275">
        <f ca="1">ROUND((E50/(1+B79))-D75,-3)</f>
        <v>13511000</v>
      </c>
      <c r="D79" s="61" t="s">
        <v>163</v>
      </c>
    </row>
    <row r="80" spans="2:6" ht="13.5" thickBot="1">
      <c r="B80" s="62"/>
      <c r="C80" s="63"/>
    </row>
    <row r="81" spans="2:6" ht="14.45" customHeight="1">
      <c r="B81" s="1627" t="s">
        <v>164</v>
      </c>
      <c r="C81" s="1628"/>
      <c r="D81" s="882" t="str">
        <f>E2</f>
        <v>Chinook Condos</v>
      </c>
    </row>
    <row r="82" spans="2:6" ht="13.5" thickBot="1">
      <c r="B82" s="419"/>
      <c r="C82" s="653" t="s">
        <v>165</v>
      </c>
      <c r="D82" s="130" t="s">
        <v>130</v>
      </c>
    </row>
    <row r="83" spans="2:6" ht="12.75">
      <c r="B83" s="654" t="s">
        <v>166</v>
      </c>
      <c r="C83" s="65">
        <f ca="1">IF(C79&lt;0,C79,0)</f>
        <v>0</v>
      </c>
      <c r="D83" s="787">
        <f ca="1">C83/$C$12</f>
        <v>0</v>
      </c>
    </row>
    <row r="84" spans="2:6" ht="12.75">
      <c r="B84" s="654" t="s">
        <v>167</v>
      </c>
      <c r="C84" s="65">
        <f ca="1">D75+C83</f>
        <v>168088129.91567224</v>
      </c>
      <c r="D84" s="787">
        <f ca="1">C84/$C$12</f>
        <v>866433.65935913532</v>
      </c>
    </row>
    <row r="85" spans="2:6" ht="12.75">
      <c r="B85" s="375">
        <f>Assumptions!L17</f>
        <v>0.5</v>
      </c>
      <c r="C85" s="260">
        <f ca="1">B85*D75</f>
        <v>84044064.957836121</v>
      </c>
      <c r="D85" s="787">
        <f ca="1">C85/$C$12</f>
        <v>433216.82967956766</v>
      </c>
      <c r="E85" s="773"/>
    </row>
    <row r="86" spans="2:6" ht="13.5" thickBot="1">
      <c r="B86" s="281">
        <f>1-B85</f>
        <v>0.5</v>
      </c>
      <c r="C86" s="267">
        <f ca="1">B86*C$84</f>
        <v>84044064.957836121</v>
      </c>
      <c r="D86" s="475">
        <f t="shared" ref="D86:D87" ca="1" si="1">C86/$C$12</f>
        <v>433216.82967956766</v>
      </c>
      <c r="E86" s="60"/>
    </row>
    <row r="87" spans="2:6" ht="14.25" thickTop="1" thickBot="1">
      <c r="B87" s="603" t="s">
        <v>168</v>
      </c>
      <c r="C87" s="604">
        <f ca="1">C85+C86</f>
        <v>168088129.91567224</v>
      </c>
      <c r="D87" s="886">
        <f t="shared" ca="1" si="1"/>
        <v>866433.65935913532</v>
      </c>
    </row>
    <row r="88" spans="2:6" ht="13.5" thickBot="1">
      <c r="B88" s="885"/>
      <c r="C88" s="883"/>
      <c r="D88" s="884"/>
    </row>
    <row r="89" spans="2:6" ht="12.75">
      <c r="B89" s="887" t="s">
        <v>169</v>
      </c>
      <c r="C89" s="882" t="str">
        <f>E2</f>
        <v>Chinook Condos</v>
      </c>
    </row>
    <row r="90" spans="2:6" ht="12.75">
      <c r="B90" s="892"/>
      <c r="C90" s="754" t="s">
        <v>170</v>
      </c>
    </row>
    <row r="91" spans="2:6" ht="12.75">
      <c r="B91" s="197" t="s">
        <v>171</v>
      </c>
      <c r="C91" s="893">
        <f ca="1">ROUND(E50,-2)</f>
        <v>217918800</v>
      </c>
    </row>
    <row r="92" spans="2:6" ht="12.75">
      <c r="B92" s="889">
        <f>Assumptions!L14</f>
        <v>0.03</v>
      </c>
      <c r="C92" s="602">
        <f ca="1">(-ROUND(B92*C91,-2))</f>
        <v>-6537600</v>
      </c>
    </row>
    <row r="93" spans="2:6" ht="13.5" thickBot="1">
      <c r="B93" s="200" t="s">
        <v>172</v>
      </c>
      <c r="C93" s="894">
        <f ca="1">SUM(C91:C92)</f>
        <v>211381200</v>
      </c>
      <c r="F93" s="70"/>
    </row>
    <row r="94" spans="2:6" ht="13.5" thickTop="1">
      <c r="B94" s="888" t="s">
        <v>173</v>
      </c>
      <c r="C94" s="895">
        <f ca="1">-C85</f>
        <v>-84044064.957836121</v>
      </c>
    </row>
    <row r="95" spans="2:6" ht="13.5" thickBot="1">
      <c r="B95" s="200" t="s">
        <v>174</v>
      </c>
      <c r="C95" s="894">
        <f ca="1">-C86</f>
        <v>-84044064.957836121</v>
      </c>
    </row>
    <row r="96" spans="2:6" ht="14.25" thickTop="1" thickBot="1">
      <c r="B96" s="891" t="s">
        <v>175</v>
      </c>
      <c r="C96" s="890">
        <f ca="1">ROUND(C93+C94+C95,-2)</f>
        <v>43293100</v>
      </c>
      <c r="E96" s="72"/>
    </row>
    <row r="97" spans="2:5" ht="15.75" customHeight="1" thickBot="1">
      <c r="B97" s="1542" t="s">
        <v>176</v>
      </c>
      <c r="C97" s="1543"/>
    </row>
    <row r="98" spans="2:5" ht="12.75">
      <c r="B98" s="294" t="s">
        <v>177</v>
      </c>
      <c r="C98" s="295">
        <f ca="1">ROUND((C91)/C12,-2)</f>
        <v>1123300</v>
      </c>
    </row>
    <row r="99" spans="2:5" ht="13.5" thickBot="1">
      <c r="B99" s="296" t="s">
        <v>178</v>
      </c>
      <c r="C99" s="297">
        <f ca="1">ROUND((C93)/C12,-2)</f>
        <v>1089600</v>
      </c>
    </row>
    <row r="100" spans="2:5" ht="15.75" customHeight="1" thickBot="1">
      <c r="B100" s="1544" t="s">
        <v>179</v>
      </c>
      <c r="C100" s="1545"/>
    </row>
    <row r="101" spans="2:5" ht="12.75">
      <c r="B101" s="74"/>
      <c r="C101" s="652" t="s">
        <v>170</v>
      </c>
    </row>
    <row r="102" spans="2:5" ht="12.75">
      <c r="B102" s="298" t="s">
        <v>340</v>
      </c>
      <c r="C102" s="299">
        <f ca="1">(C96+C86)/C86</f>
        <v>1.5151238225057251</v>
      </c>
    </row>
    <row r="103" spans="2:5" ht="12.75">
      <c r="B103" s="300" t="s">
        <v>330</v>
      </c>
      <c r="C103" s="606">
        <f ca="1">'Chinook Draw'!B45</f>
        <v>0.15028229044864028</v>
      </c>
    </row>
    <row r="104" spans="2:5" ht="12.75">
      <c r="B104" s="300" t="s">
        <v>181</v>
      </c>
      <c r="C104" s="606">
        <f ca="1">'Chinook Draw'!B40</f>
        <v>0.20595893345161498</v>
      </c>
      <c r="E104" s="75"/>
    </row>
    <row r="105" spans="2:5" ht="12.75">
      <c r="B105" s="298" t="s">
        <v>182</v>
      </c>
      <c r="C105" s="591">
        <f ca="1">E49/C85</f>
        <v>4.7877298081889452E-2</v>
      </c>
    </row>
    <row r="106" spans="2:5" ht="13.5" thickBot="1">
      <c r="B106" s="764" t="s">
        <v>183</v>
      </c>
      <c r="C106" s="799">
        <f>D50</f>
        <v>7.0000000000000007E-2</v>
      </c>
    </row>
  </sheetData>
  <mergeCells count="15">
    <mergeCell ref="B81:C81"/>
    <mergeCell ref="B97:C97"/>
    <mergeCell ref="B100:C100"/>
    <mergeCell ref="C40:D40"/>
    <mergeCell ref="B51:C51"/>
    <mergeCell ref="D51:E51"/>
    <mergeCell ref="C41:D41"/>
    <mergeCell ref="B2:D2"/>
    <mergeCell ref="D37:E37"/>
    <mergeCell ref="B37:C37"/>
    <mergeCell ref="B32:E32"/>
    <mergeCell ref="C35:D35"/>
    <mergeCell ref="B36:D36"/>
    <mergeCell ref="E2:G2"/>
    <mergeCell ref="D20:F22"/>
  </mergeCells>
  <printOptions horizontalCentered="1" verticalCentered="1"/>
  <pageMargins left="0.7" right="0.7" top="0.75" bottom="0.75" header="0.3" footer="0.3"/>
  <pageSetup scale="96" fitToHeight="0" orientation="landscape" horizontalDpi="4294967292" verticalDpi="4294967292" r:id="rId1"/>
  <headerFooter>
    <oddHeader>&amp;C&amp;"Times New Roman Bold,Bold"&amp;14&amp;K000000INVESTOR SHEET</oddHeader>
    <oddFooter>&amp;CPage &amp;P of &amp;N</oddFooter>
  </headerFooter>
  <ignoredErrors>
    <ignoredError sqref="D17" formula="1"/>
    <ignoredError sqref="B92 B35"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B75A-F282-4C6B-8AB2-C98A1ACEC3CD}">
  <sheetPr>
    <tabColor rgb="FF0070C0"/>
  </sheetPr>
  <dimension ref="A1:AO600"/>
  <sheetViews>
    <sheetView zoomScaleNormal="100" zoomScalePageLayoutView="125" workbookViewId="0">
      <pane xSplit="1" ySplit="4" topLeftCell="F5" activePane="bottomRight" state="frozen"/>
      <selection pane="topRight" activeCell="B1" sqref="B1"/>
      <selection pane="bottomLeft" activeCell="A4" sqref="A4"/>
      <selection pane="bottomRight" activeCell="B34" sqref="B34"/>
    </sheetView>
  </sheetViews>
  <sheetFormatPr defaultColWidth="8.85546875" defaultRowHeight="12.75"/>
  <cols>
    <col min="1" max="1" width="45.5703125" style="7" customWidth="1"/>
    <col min="2" max="2" width="21.42578125" style="7" customWidth="1"/>
    <col min="3" max="3" width="18.140625" style="7" customWidth="1"/>
    <col min="4" max="4" width="15.5703125" style="7" customWidth="1"/>
    <col min="5" max="5" width="16.85546875" style="7" customWidth="1"/>
    <col min="6" max="6" width="18.5703125" style="7" customWidth="1"/>
    <col min="7" max="7" width="14.42578125" style="89" customWidth="1"/>
    <col min="8" max="8" width="19" style="7" customWidth="1"/>
    <col min="9" max="9" width="13.42578125" style="7" customWidth="1"/>
    <col min="10" max="10" width="16.42578125" style="7" customWidth="1"/>
    <col min="11" max="11" width="12.42578125" style="7" customWidth="1"/>
    <col min="12" max="12" width="12.85546875" style="7" bestFit="1" customWidth="1"/>
    <col min="13" max="13" width="17.5703125" style="7" bestFit="1" customWidth="1"/>
    <col min="14" max="38" width="17" style="7" customWidth="1"/>
    <col min="39" max="39" width="16.5703125" style="7" customWidth="1"/>
    <col min="40" max="40" width="15" style="7" customWidth="1"/>
    <col min="41" max="41" width="17.85546875" style="7" bestFit="1" customWidth="1"/>
    <col min="42" max="42" width="9.5703125" style="7" bestFit="1" customWidth="1"/>
    <col min="43" max="43" width="11.85546875" style="7" bestFit="1" customWidth="1"/>
    <col min="44" max="45" width="9.5703125" style="7" bestFit="1" customWidth="1"/>
    <col min="46" max="16384" width="8.85546875" style="7"/>
  </cols>
  <sheetData>
    <row r="1" spans="1:41" ht="15">
      <c r="A1" s="1588" t="str">
        <f>'Development Program'!B28</f>
        <v>Chinook Condos</v>
      </c>
      <c r="B1" s="156" t="s">
        <v>184</v>
      </c>
      <c r="C1" s="144" t="str">
        <f>'Development Program'!D23</f>
        <v>Pre-Development</v>
      </c>
      <c r="D1" s="144" t="str">
        <f>'Development Program'!E23</f>
        <v>Demolition</v>
      </c>
      <c r="E1" s="144" t="str">
        <f>'Development Program'!F23</f>
        <v>Construction</v>
      </c>
      <c r="F1" s="145" t="str">
        <f>'Development Program'!G23</f>
        <v>Close-out</v>
      </c>
      <c r="G1" s="7"/>
      <c r="AM1"/>
      <c r="AN1"/>
      <c r="AO1"/>
    </row>
    <row r="2" spans="1:41" ht="15">
      <c r="A2" s="1575"/>
      <c r="B2" s="488" t="s">
        <v>185</v>
      </c>
      <c r="C2" s="655" t="str">
        <f>'Development Program'!D28</f>
        <v>01/1/28 to 12/31/28</v>
      </c>
      <c r="D2" s="655" t="str">
        <f>'Development Program'!E28</f>
        <v>None</v>
      </c>
      <c r="E2" s="655" t="str">
        <f>'Development Program'!F28</f>
        <v>1/1/29 to 12/31/30</v>
      </c>
      <c r="F2" s="655" t="str">
        <f>'Development Program'!G28</f>
        <v>1/1/31 to 6/30/31</v>
      </c>
      <c r="G2" s="7"/>
      <c r="M2" s="1577"/>
      <c r="N2" s="1577"/>
      <c r="O2" s="1577"/>
      <c r="P2" s="169"/>
      <c r="AM2"/>
      <c r="AN2"/>
      <c r="AO2"/>
    </row>
    <row r="3" spans="1:41" ht="26.25">
      <c r="A3" s="1575"/>
      <c r="B3" s="656"/>
      <c r="C3" s="657" t="s">
        <v>232</v>
      </c>
      <c r="D3" s="658"/>
      <c r="E3" s="658"/>
      <c r="F3" s="658"/>
      <c r="G3" s="7"/>
      <c r="J3" s="501" t="s">
        <v>233</v>
      </c>
      <c r="K3" s="501" t="s">
        <v>234</v>
      </c>
      <c r="L3" s="501" t="s">
        <v>235</v>
      </c>
      <c r="M3" s="500"/>
      <c r="N3" s="478"/>
      <c r="O3" s="478"/>
      <c r="P3" s="169"/>
      <c r="AM3"/>
      <c r="AN3"/>
      <c r="AO3"/>
    </row>
    <row r="4" spans="1:41" ht="15.75" thickBot="1">
      <c r="A4" s="1576"/>
      <c r="B4" s="92" t="s">
        <v>62</v>
      </c>
      <c r="C4" s="146">
        <v>47119</v>
      </c>
      <c r="D4" s="147">
        <f>EOMONTH(C4,3)</f>
        <v>47238</v>
      </c>
      <c r="E4" s="147">
        <f t="shared" ref="E4:L4" si="0">EOMONTH(D4,3)</f>
        <v>47330</v>
      </c>
      <c r="F4" s="147">
        <f t="shared" si="0"/>
        <v>47422</v>
      </c>
      <c r="G4" s="188">
        <f t="shared" si="0"/>
        <v>47514</v>
      </c>
      <c r="H4" s="188">
        <f t="shared" si="0"/>
        <v>47603</v>
      </c>
      <c r="I4" s="188">
        <f t="shared" si="0"/>
        <v>47695</v>
      </c>
      <c r="J4" s="188">
        <f t="shared" si="0"/>
        <v>47787</v>
      </c>
      <c r="K4" s="188">
        <f t="shared" si="0"/>
        <v>47879</v>
      </c>
      <c r="L4" s="188">
        <f t="shared" si="0"/>
        <v>47968</v>
      </c>
      <c r="M4" s="420" t="s">
        <v>192</v>
      </c>
      <c r="N4" s="307" t="s">
        <v>193</v>
      </c>
      <c r="O4" s="306"/>
      <c r="P4" s="306"/>
      <c r="Q4" s="306"/>
      <c r="R4" s="306"/>
      <c r="S4" s="306"/>
      <c r="T4" s="421"/>
      <c r="U4" s="421"/>
      <c r="V4" s="421"/>
      <c r="W4" s="421"/>
      <c r="X4" s="421"/>
      <c r="Y4" s="421"/>
      <c r="Z4" s="421"/>
      <c r="AA4" s="421"/>
      <c r="AB4" s="421"/>
      <c r="AC4" s="421"/>
      <c r="AD4" s="421"/>
      <c r="AE4" s="421"/>
      <c r="AF4" s="421"/>
      <c r="AG4" s="421"/>
      <c r="AH4" s="421"/>
      <c r="AI4" s="421"/>
      <c r="AJ4" s="421"/>
      <c r="AK4" s="421"/>
      <c r="AL4" s="421"/>
      <c r="AM4"/>
      <c r="AN4"/>
      <c r="AO4"/>
    </row>
    <row r="5" spans="1:41" ht="15.75" thickBot="1">
      <c r="A5" s="308" t="s">
        <v>194</v>
      </c>
      <c r="B5" s="309">
        <v>1</v>
      </c>
      <c r="C5" s="181">
        <v>0</v>
      </c>
      <c r="D5" s="181">
        <v>0.05</v>
      </c>
      <c r="E5" s="181">
        <v>0.15</v>
      </c>
      <c r="F5" s="181">
        <v>0.15</v>
      </c>
      <c r="G5" s="181">
        <v>0.15</v>
      </c>
      <c r="H5" s="181">
        <v>0.1</v>
      </c>
      <c r="I5" s="181">
        <v>0.1</v>
      </c>
      <c r="J5" s="181">
        <v>0.15</v>
      </c>
      <c r="K5" s="181">
        <v>0.15</v>
      </c>
      <c r="L5" s="181">
        <v>0</v>
      </c>
      <c r="M5" s="195">
        <f t="shared" ref="M5:M27" si="1">SUM(C5:L5)</f>
        <v>1</v>
      </c>
      <c r="N5" s="311"/>
      <c r="O5" s="159" t="s">
        <v>195</v>
      </c>
      <c r="P5" s="93"/>
      <c r="Q5" s="93"/>
      <c r="R5" s="93"/>
      <c r="S5" s="93"/>
      <c r="T5" s="93"/>
      <c r="U5" s="93"/>
      <c r="V5" s="93"/>
      <c r="W5" s="93"/>
      <c r="X5" s="93"/>
      <c r="Y5" s="93"/>
      <c r="Z5" s="93"/>
      <c r="AA5" s="93"/>
      <c r="AB5" s="93"/>
      <c r="AC5" s="93"/>
      <c r="AD5" s="93"/>
      <c r="AE5" s="93"/>
      <c r="AF5" s="93"/>
      <c r="AG5" s="93"/>
      <c r="AH5" s="93"/>
      <c r="AI5" s="93"/>
      <c r="AJ5" s="93"/>
      <c r="AK5" s="93"/>
      <c r="AL5" s="93"/>
      <c r="AM5"/>
      <c r="AN5"/>
      <c r="AO5"/>
    </row>
    <row r="6" spans="1:41" ht="15">
      <c r="A6" s="312" t="str">
        <f>'Chinook Financial'!B53</f>
        <v>Hard Costs for Construction - MF</v>
      </c>
      <c r="B6" s="409">
        <f>'Chinook Financial'!D53</f>
        <v>48088600</v>
      </c>
      <c r="C6" s="314">
        <f>$B6*C$5</f>
        <v>0</v>
      </c>
      <c r="D6" s="314">
        <f t="shared" ref="D6:L22" si="2">$B6*D$5</f>
        <v>2404430</v>
      </c>
      <c r="E6" s="314">
        <f t="shared" si="2"/>
        <v>7213290</v>
      </c>
      <c r="F6" s="314">
        <f t="shared" si="2"/>
        <v>7213290</v>
      </c>
      <c r="G6" s="314">
        <f t="shared" si="2"/>
        <v>7213290</v>
      </c>
      <c r="H6" s="314">
        <f t="shared" si="2"/>
        <v>4808860</v>
      </c>
      <c r="I6" s="314">
        <f t="shared" si="2"/>
        <v>4808860</v>
      </c>
      <c r="J6" s="314">
        <f t="shared" si="2"/>
        <v>7213290</v>
      </c>
      <c r="K6" s="314">
        <f t="shared" si="2"/>
        <v>7213290</v>
      </c>
      <c r="L6" s="314">
        <f t="shared" si="2"/>
        <v>0</v>
      </c>
      <c r="M6" s="161">
        <f t="shared" si="1"/>
        <v>48088600</v>
      </c>
      <c r="N6" s="315">
        <f t="shared" ref="N6:N27" si="3">B6</f>
        <v>48088600</v>
      </c>
      <c r="O6" s="315">
        <f>N6-M6</f>
        <v>0</v>
      </c>
      <c r="P6" s="315"/>
      <c r="Q6" s="315"/>
      <c r="R6" s="315"/>
      <c r="S6" s="315"/>
      <c r="T6" s="315"/>
      <c r="U6" s="315"/>
      <c r="V6" s="315"/>
      <c r="W6" s="315"/>
      <c r="X6" s="315"/>
      <c r="Y6" s="315"/>
      <c r="Z6" s="315"/>
      <c r="AA6" s="315"/>
      <c r="AB6" s="315"/>
      <c r="AC6" s="315"/>
      <c r="AD6" s="315"/>
      <c r="AE6" s="315"/>
      <c r="AF6" s="315"/>
      <c r="AG6" s="315"/>
      <c r="AH6" s="315"/>
      <c r="AI6" s="315"/>
      <c r="AJ6" s="315"/>
      <c r="AK6" s="315"/>
      <c r="AL6" s="315"/>
      <c r="AM6"/>
      <c r="AN6"/>
      <c r="AO6"/>
    </row>
    <row r="7" spans="1:41" ht="15">
      <c r="A7" s="312" t="str">
        <f>'Chinook Financial'!B54</f>
        <v>Parking stalls</v>
      </c>
      <c r="B7" s="409">
        <f>'Chinook Financial'!D54</f>
        <v>3747000</v>
      </c>
      <c r="C7" s="314">
        <f t="shared" ref="C7:L27" si="4">$B7*C$5</f>
        <v>0</v>
      </c>
      <c r="D7" s="314">
        <f t="shared" si="2"/>
        <v>187350</v>
      </c>
      <c r="E7" s="314">
        <f t="shared" si="2"/>
        <v>562050</v>
      </c>
      <c r="F7" s="314">
        <f t="shared" si="2"/>
        <v>562050</v>
      </c>
      <c r="G7" s="314">
        <f t="shared" si="2"/>
        <v>562050</v>
      </c>
      <c r="H7" s="314">
        <f t="shared" si="2"/>
        <v>374700</v>
      </c>
      <c r="I7" s="314">
        <f t="shared" si="2"/>
        <v>374700</v>
      </c>
      <c r="J7" s="314">
        <f t="shared" si="2"/>
        <v>562050</v>
      </c>
      <c r="K7" s="314">
        <f t="shared" si="2"/>
        <v>562050</v>
      </c>
      <c r="L7" s="314">
        <f t="shared" si="2"/>
        <v>0</v>
      </c>
      <c r="M7" s="315">
        <f t="shared" si="1"/>
        <v>3747000</v>
      </c>
      <c r="N7" s="315">
        <f t="shared" si="3"/>
        <v>3747000</v>
      </c>
      <c r="O7" s="315">
        <f t="shared" ref="O7:O27" si="5">N7-M7</f>
        <v>0</v>
      </c>
      <c r="P7" s="315"/>
      <c r="Q7" s="315"/>
      <c r="R7" s="315"/>
      <c r="S7" s="315"/>
      <c r="T7" s="315"/>
      <c r="U7" s="315"/>
      <c r="V7" s="315"/>
      <c r="W7" s="315"/>
      <c r="X7" s="315"/>
      <c r="Y7" s="315"/>
      <c r="Z7" s="315"/>
      <c r="AA7" s="315"/>
      <c r="AB7" s="315"/>
      <c r="AC7" s="315"/>
      <c r="AD7" s="315"/>
      <c r="AE7" s="315"/>
      <c r="AF7" s="315"/>
      <c r="AG7" s="315"/>
      <c r="AH7" s="315"/>
      <c r="AI7" s="315"/>
      <c r="AJ7" s="315"/>
      <c r="AK7" s="315"/>
      <c r="AL7" s="315"/>
      <c r="AM7"/>
      <c r="AN7"/>
      <c r="AO7"/>
    </row>
    <row r="8" spans="1:41" ht="15">
      <c r="A8" s="312" t="str">
        <f>'Chinook Financial'!B55</f>
        <v>Hard Cost Contingency</v>
      </c>
      <c r="B8" s="409">
        <f>'Chinook Financial'!D55</f>
        <v>3847088</v>
      </c>
      <c r="C8" s="314">
        <f t="shared" si="4"/>
        <v>0</v>
      </c>
      <c r="D8" s="314">
        <f t="shared" si="2"/>
        <v>192354.40000000002</v>
      </c>
      <c r="E8" s="314">
        <f t="shared" si="2"/>
        <v>577063.19999999995</v>
      </c>
      <c r="F8" s="314">
        <f t="shared" si="2"/>
        <v>577063.19999999995</v>
      </c>
      <c r="G8" s="314">
        <f t="shared" si="2"/>
        <v>577063.19999999995</v>
      </c>
      <c r="H8" s="314">
        <f t="shared" si="2"/>
        <v>384708.80000000005</v>
      </c>
      <c r="I8" s="314">
        <f t="shared" si="2"/>
        <v>384708.80000000005</v>
      </c>
      <c r="J8" s="314">
        <f t="shared" si="2"/>
        <v>577063.19999999995</v>
      </c>
      <c r="K8" s="314">
        <f t="shared" si="2"/>
        <v>577063.19999999995</v>
      </c>
      <c r="L8" s="314">
        <f t="shared" si="2"/>
        <v>0</v>
      </c>
      <c r="M8" s="315">
        <f t="shared" si="1"/>
        <v>3847088</v>
      </c>
      <c r="N8" s="315">
        <f t="shared" si="3"/>
        <v>3847088</v>
      </c>
      <c r="O8" s="315">
        <f t="shared" si="5"/>
        <v>0</v>
      </c>
      <c r="P8" s="315"/>
      <c r="Q8" s="315"/>
      <c r="R8" s="315"/>
      <c r="S8" s="315"/>
      <c r="T8" s="315"/>
      <c r="U8" s="315"/>
      <c r="V8" s="315"/>
      <c r="W8" s="315"/>
      <c r="X8" s="315"/>
      <c r="Y8" s="315"/>
      <c r="Z8" s="315"/>
      <c r="AA8" s="315"/>
      <c r="AB8" s="315"/>
      <c r="AC8" s="315"/>
      <c r="AD8" s="315"/>
      <c r="AE8" s="315"/>
      <c r="AF8" s="315"/>
      <c r="AG8" s="315"/>
      <c r="AH8" s="315"/>
      <c r="AI8" s="315"/>
      <c r="AJ8" s="315"/>
      <c r="AK8" s="315"/>
      <c r="AL8" s="315"/>
      <c r="AM8"/>
      <c r="AN8"/>
      <c r="AO8"/>
    </row>
    <row r="9" spans="1:41" ht="15">
      <c r="A9" s="312" t="str">
        <f>'Chinook Financial'!B56</f>
        <v>Demolition (interior only)</v>
      </c>
      <c r="B9" s="409">
        <f>'Chinook Financial'!D56</f>
        <v>893704</v>
      </c>
      <c r="C9" s="314">
        <f>B9</f>
        <v>893704</v>
      </c>
      <c r="D9" s="314">
        <v>0</v>
      </c>
      <c r="E9" s="314">
        <v>0</v>
      </c>
      <c r="F9" s="314">
        <v>0</v>
      </c>
      <c r="G9" s="314">
        <v>0</v>
      </c>
      <c r="H9" s="314">
        <v>0</v>
      </c>
      <c r="I9" s="314">
        <v>0</v>
      </c>
      <c r="J9" s="314">
        <v>0</v>
      </c>
      <c r="K9" s="314">
        <v>0</v>
      </c>
      <c r="L9" s="314">
        <f t="shared" si="2"/>
        <v>0</v>
      </c>
      <c r="M9" s="315">
        <f t="shared" si="1"/>
        <v>893704</v>
      </c>
      <c r="N9" s="315">
        <f t="shared" si="3"/>
        <v>893704</v>
      </c>
      <c r="O9" s="315">
        <f t="shared" si="5"/>
        <v>0</v>
      </c>
      <c r="P9" s="315"/>
      <c r="Q9" s="315"/>
      <c r="R9" s="315"/>
      <c r="S9" s="315"/>
      <c r="T9" s="315"/>
      <c r="U9" s="315"/>
      <c r="V9" s="315"/>
      <c r="W9" s="315"/>
      <c r="X9" s="315"/>
      <c r="Y9" s="315"/>
      <c r="Z9" s="315"/>
      <c r="AA9" s="315"/>
      <c r="AB9" s="315"/>
      <c r="AC9" s="315"/>
      <c r="AD9" s="315"/>
      <c r="AE9" s="315"/>
      <c r="AF9" s="315"/>
      <c r="AG9" s="315"/>
      <c r="AH9" s="315"/>
      <c r="AI9" s="315"/>
      <c r="AJ9" s="315"/>
      <c r="AK9" s="315"/>
      <c r="AL9" s="315"/>
      <c r="AM9"/>
      <c r="AN9"/>
      <c r="AO9"/>
    </row>
    <row r="10" spans="1:41" ht="15">
      <c r="A10" s="312" t="str">
        <f>'Chinook Financial'!B57</f>
        <v>LAND</v>
      </c>
      <c r="B10" s="409">
        <f>'Chinook Financial'!D57</f>
        <v>70000000</v>
      </c>
      <c r="C10" s="314">
        <f>B10</f>
        <v>70000000</v>
      </c>
      <c r="D10" s="314">
        <v>0</v>
      </c>
      <c r="E10" s="314">
        <v>0</v>
      </c>
      <c r="F10" s="314">
        <v>0</v>
      </c>
      <c r="G10" s="314">
        <v>0</v>
      </c>
      <c r="H10" s="314">
        <v>0</v>
      </c>
      <c r="I10" s="314">
        <v>0</v>
      </c>
      <c r="J10" s="314">
        <v>0</v>
      </c>
      <c r="K10" s="314">
        <v>0</v>
      </c>
      <c r="L10" s="314">
        <f t="shared" si="2"/>
        <v>0</v>
      </c>
      <c r="M10" s="315">
        <f t="shared" si="1"/>
        <v>70000000</v>
      </c>
      <c r="N10" s="315">
        <f t="shared" si="3"/>
        <v>70000000</v>
      </c>
      <c r="O10" s="315">
        <f t="shared" si="5"/>
        <v>0</v>
      </c>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c r="AN10"/>
      <c r="AO10"/>
    </row>
    <row r="11" spans="1:41" ht="15">
      <c r="A11" s="312" t="str">
        <f>'Chinook Financial'!B58</f>
        <v>Municipal Fees and Allowances</v>
      </c>
      <c r="B11" s="409">
        <f>'Chinook Financial'!D58</f>
        <v>291000</v>
      </c>
      <c r="C11" s="314">
        <f>B11</f>
        <v>291000</v>
      </c>
      <c r="D11" s="314">
        <v>0</v>
      </c>
      <c r="E11" s="314">
        <v>0</v>
      </c>
      <c r="F11" s="314">
        <v>0</v>
      </c>
      <c r="G11" s="314">
        <v>0</v>
      </c>
      <c r="H11" s="314">
        <v>0</v>
      </c>
      <c r="I11" s="314">
        <v>0</v>
      </c>
      <c r="J11" s="314">
        <v>0</v>
      </c>
      <c r="K11" s="314">
        <v>0</v>
      </c>
      <c r="L11" s="314">
        <f t="shared" si="2"/>
        <v>0</v>
      </c>
      <c r="M11" s="315">
        <f t="shared" si="1"/>
        <v>291000</v>
      </c>
      <c r="N11" s="315">
        <f t="shared" si="3"/>
        <v>291000</v>
      </c>
      <c r="O11" s="315">
        <f t="shared" si="5"/>
        <v>0</v>
      </c>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c r="AN11"/>
      <c r="AO11"/>
    </row>
    <row r="12" spans="1:41" ht="15">
      <c r="A12" s="312" t="str">
        <f>'Chinook Financial'!B59</f>
        <v>Infrastructure allocation</v>
      </c>
      <c r="B12" s="409">
        <f>'Chinook Financial'!D59</f>
        <v>3500000</v>
      </c>
      <c r="C12" s="314">
        <f t="shared" si="4"/>
        <v>0</v>
      </c>
      <c r="D12" s="314">
        <f t="shared" si="2"/>
        <v>175000</v>
      </c>
      <c r="E12" s="314">
        <f t="shared" si="2"/>
        <v>525000</v>
      </c>
      <c r="F12" s="314">
        <f t="shared" si="2"/>
        <v>525000</v>
      </c>
      <c r="G12" s="314">
        <f t="shared" si="2"/>
        <v>525000</v>
      </c>
      <c r="H12" s="314">
        <f t="shared" si="2"/>
        <v>350000</v>
      </c>
      <c r="I12" s="314">
        <f t="shared" si="2"/>
        <v>350000</v>
      </c>
      <c r="J12" s="314">
        <f t="shared" si="2"/>
        <v>525000</v>
      </c>
      <c r="K12" s="314">
        <f t="shared" si="2"/>
        <v>525000</v>
      </c>
      <c r="L12" s="314">
        <f t="shared" si="2"/>
        <v>0</v>
      </c>
      <c r="M12" s="315">
        <f t="shared" si="1"/>
        <v>3500000</v>
      </c>
      <c r="N12" s="315">
        <f t="shared" si="3"/>
        <v>3500000</v>
      </c>
      <c r="O12" s="315">
        <f t="shared" si="5"/>
        <v>0</v>
      </c>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c r="AN12"/>
      <c r="AO12"/>
    </row>
    <row r="13" spans="1:41" ht="15">
      <c r="A13" s="312" t="str">
        <f>'Chinook Financial'!B60</f>
        <v>Legal</v>
      </c>
      <c r="B13" s="409">
        <f>'Chinook Financial'!D60</f>
        <v>1000000</v>
      </c>
      <c r="C13" s="314">
        <f t="shared" si="4"/>
        <v>0</v>
      </c>
      <c r="D13" s="314">
        <f t="shared" si="2"/>
        <v>50000</v>
      </c>
      <c r="E13" s="314">
        <f t="shared" si="2"/>
        <v>150000</v>
      </c>
      <c r="F13" s="314">
        <f t="shared" si="2"/>
        <v>150000</v>
      </c>
      <c r="G13" s="314">
        <f t="shared" si="2"/>
        <v>150000</v>
      </c>
      <c r="H13" s="314">
        <f t="shared" si="2"/>
        <v>100000</v>
      </c>
      <c r="I13" s="314">
        <f t="shared" si="2"/>
        <v>100000</v>
      </c>
      <c r="J13" s="314">
        <f t="shared" si="2"/>
        <v>150000</v>
      </c>
      <c r="K13" s="314">
        <f t="shared" si="2"/>
        <v>150000</v>
      </c>
      <c r="L13" s="314">
        <f t="shared" si="2"/>
        <v>0</v>
      </c>
      <c r="M13" s="315">
        <f t="shared" si="1"/>
        <v>1000000</v>
      </c>
      <c r="N13" s="315">
        <f t="shared" si="3"/>
        <v>1000000</v>
      </c>
      <c r="O13" s="315">
        <f t="shared" si="5"/>
        <v>0</v>
      </c>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c r="AN13"/>
      <c r="AO13"/>
    </row>
    <row r="14" spans="1:41" ht="15">
      <c r="A14" s="312" t="str">
        <f>'Chinook Financial'!B61</f>
        <v>Land Closing Costs/commissions</v>
      </c>
      <c r="B14" s="409">
        <f>'Chinook Financial'!D61</f>
        <v>700000</v>
      </c>
      <c r="C14" s="314">
        <f t="shared" si="4"/>
        <v>0</v>
      </c>
      <c r="D14" s="314">
        <f t="shared" si="2"/>
        <v>35000</v>
      </c>
      <c r="E14" s="314">
        <f t="shared" si="2"/>
        <v>105000</v>
      </c>
      <c r="F14" s="314">
        <f t="shared" si="2"/>
        <v>105000</v>
      </c>
      <c r="G14" s="314">
        <f t="shared" si="2"/>
        <v>105000</v>
      </c>
      <c r="H14" s="314">
        <f t="shared" si="2"/>
        <v>70000</v>
      </c>
      <c r="I14" s="314">
        <f t="shared" si="2"/>
        <v>70000</v>
      </c>
      <c r="J14" s="314">
        <f t="shared" si="2"/>
        <v>105000</v>
      </c>
      <c r="K14" s="314">
        <f t="shared" si="2"/>
        <v>105000</v>
      </c>
      <c r="L14" s="314">
        <f t="shared" si="2"/>
        <v>0</v>
      </c>
      <c r="M14" s="315">
        <f t="shared" si="1"/>
        <v>700000</v>
      </c>
      <c r="N14" s="315">
        <f t="shared" si="3"/>
        <v>700000</v>
      </c>
      <c r="O14" s="315">
        <f t="shared" si="5"/>
        <v>0</v>
      </c>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c r="AN14"/>
      <c r="AO14"/>
    </row>
    <row r="15" spans="1:41" ht="15">
      <c r="A15" s="312" t="str">
        <f>'Chinook Financial'!B62</f>
        <v xml:space="preserve">Design </v>
      </c>
      <c r="B15" s="409">
        <f>'Chinook Financial'!D62</f>
        <v>1558070.64</v>
      </c>
      <c r="C15" s="314">
        <f t="shared" si="4"/>
        <v>0</v>
      </c>
      <c r="D15" s="314">
        <f t="shared" si="2"/>
        <v>77903.531999999992</v>
      </c>
      <c r="E15" s="314">
        <f t="shared" si="2"/>
        <v>233710.59599999999</v>
      </c>
      <c r="F15" s="314">
        <f t="shared" si="2"/>
        <v>233710.59599999999</v>
      </c>
      <c r="G15" s="314">
        <f t="shared" si="2"/>
        <v>233710.59599999999</v>
      </c>
      <c r="H15" s="314">
        <f t="shared" si="2"/>
        <v>155807.06399999998</v>
      </c>
      <c r="I15" s="314">
        <f t="shared" si="2"/>
        <v>155807.06399999998</v>
      </c>
      <c r="J15" s="314">
        <f t="shared" si="2"/>
        <v>233710.59599999999</v>
      </c>
      <c r="K15" s="314">
        <f t="shared" si="2"/>
        <v>233710.59599999999</v>
      </c>
      <c r="L15" s="314">
        <f t="shared" si="2"/>
        <v>0</v>
      </c>
      <c r="M15" s="315">
        <f t="shared" si="1"/>
        <v>1558070.6399999997</v>
      </c>
      <c r="N15" s="315">
        <f t="shared" si="3"/>
        <v>1558070.64</v>
      </c>
      <c r="O15" s="315">
        <f t="shared" si="5"/>
        <v>0</v>
      </c>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c r="AN15"/>
      <c r="AO15"/>
    </row>
    <row r="16" spans="1:41" ht="15">
      <c r="A16" s="312" t="str">
        <f>'Chinook Financial'!B63</f>
        <v>Developer Fee</v>
      </c>
      <c r="B16" s="409">
        <f>'Chinook Financial'!D63</f>
        <v>4008763.8791999999</v>
      </c>
      <c r="C16" s="314">
        <f t="shared" si="4"/>
        <v>0</v>
      </c>
      <c r="D16" s="314">
        <f t="shared" si="2"/>
        <v>200438.19396</v>
      </c>
      <c r="E16" s="314">
        <f t="shared" si="2"/>
        <v>601314.58187999995</v>
      </c>
      <c r="F16" s="314">
        <f t="shared" si="2"/>
        <v>601314.58187999995</v>
      </c>
      <c r="G16" s="314">
        <f t="shared" si="2"/>
        <v>601314.58187999995</v>
      </c>
      <c r="H16" s="314">
        <f t="shared" si="2"/>
        <v>400876.38792000001</v>
      </c>
      <c r="I16" s="314">
        <f t="shared" si="2"/>
        <v>400876.38792000001</v>
      </c>
      <c r="J16" s="314">
        <f t="shared" si="2"/>
        <v>601314.58187999995</v>
      </c>
      <c r="K16" s="314">
        <f t="shared" si="2"/>
        <v>601314.58187999995</v>
      </c>
      <c r="L16" s="314">
        <f t="shared" si="2"/>
        <v>0</v>
      </c>
      <c r="M16" s="315">
        <f t="shared" si="1"/>
        <v>4008763.8791999999</v>
      </c>
      <c r="N16" s="315">
        <f t="shared" si="3"/>
        <v>4008763.8791999999</v>
      </c>
      <c r="O16" s="315">
        <f t="shared" si="5"/>
        <v>0</v>
      </c>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c r="AN16"/>
      <c r="AO16"/>
    </row>
    <row r="17" spans="1:41" ht="15">
      <c r="A17" s="312" t="str">
        <f>'Chinook Financial'!B64</f>
        <v>Construction Management Fee</v>
      </c>
      <c r="B17" s="409">
        <f>'Chinook Financial'!D64</f>
        <v>1056587.8400000001</v>
      </c>
      <c r="C17" s="314">
        <f t="shared" si="4"/>
        <v>0</v>
      </c>
      <c r="D17" s="314">
        <f t="shared" si="2"/>
        <v>52829.392000000007</v>
      </c>
      <c r="E17" s="314">
        <f t="shared" si="2"/>
        <v>158488.17600000001</v>
      </c>
      <c r="F17" s="314">
        <f t="shared" si="2"/>
        <v>158488.17600000001</v>
      </c>
      <c r="G17" s="314">
        <f t="shared" si="2"/>
        <v>158488.17600000001</v>
      </c>
      <c r="H17" s="314">
        <f t="shared" si="2"/>
        <v>105658.78400000001</v>
      </c>
      <c r="I17" s="314">
        <f t="shared" si="2"/>
        <v>105658.78400000001</v>
      </c>
      <c r="J17" s="314">
        <f t="shared" si="2"/>
        <v>158488.17600000001</v>
      </c>
      <c r="K17" s="314">
        <f t="shared" si="2"/>
        <v>158488.17600000001</v>
      </c>
      <c r="L17" s="314">
        <f t="shared" si="2"/>
        <v>0</v>
      </c>
      <c r="M17" s="315">
        <f t="shared" si="1"/>
        <v>1056587.8400000001</v>
      </c>
      <c r="N17" s="315">
        <f t="shared" si="3"/>
        <v>1056587.8400000001</v>
      </c>
      <c r="O17" s="315">
        <f t="shared" si="5"/>
        <v>0</v>
      </c>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c r="AN17"/>
      <c r="AO17"/>
    </row>
    <row r="18" spans="1:41" ht="15">
      <c r="A18" s="312" t="str">
        <f>'Chinook Financial'!B65</f>
        <v>Taxes (2 years of assessments)</v>
      </c>
      <c r="B18" s="409">
        <f>'Chinook Financial'!D65</f>
        <v>1267000</v>
      </c>
      <c r="C18" s="314">
        <f t="shared" si="4"/>
        <v>0</v>
      </c>
      <c r="D18" s="314">
        <f t="shared" si="2"/>
        <v>63350</v>
      </c>
      <c r="E18" s="314">
        <f t="shared" si="2"/>
        <v>190050</v>
      </c>
      <c r="F18" s="314">
        <f t="shared" si="2"/>
        <v>190050</v>
      </c>
      <c r="G18" s="314">
        <f t="shared" si="2"/>
        <v>190050</v>
      </c>
      <c r="H18" s="314">
        <f t="shared" si="2"/>
        <v>126700</v>
      </c>
      <c r="I18" s="314">
        <f t="shared" si="2"/>
        <v>126700</v>
      </c>
      <c r="J18" s="314">
        <f t="shared" si="2"/>
        <v>190050</v>
      </c>
      <c r="K18" s="314">
        <f t="shared" si="2"/>
        <v>190050</v>
      </c>
      <c r="L18" s="314">
        <f t="shared" si="2"/>
        <v>0</v>
      </c>
      <c r="M18" s="315">
        <f t="shared" si="1"/>
        <v>1267000</v>
      </c>
      <c r="N18" s="315">
        <f t="shared" si="3"/>
        <v>1267000</v>
      </c>
      <c r="O18" s="315">
        <f t="shared" si="5"/>
        <v>0</v>
      </c>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c r="AN18"/>
      <c r="AO18"/>
    </row>
    <row r="19" spans="1:41" ht="15">
      <c r="A19" s="312" t="str">
        <f>'Chinook Financial'!B66</f>
        <v>Insurance</v>
      </c>
      <c r="B19" s="409">
        <f>'Chinook Financial'!D66</f>
        <v>319180</v>
      </c>
      <c r="C19" s="314">
        <f t="shared" si="4"/>
        <v>0</v>
      </c>
      <c r="D19" s="314">
        <f t="shared" si="2"/>
        <v>15959</v>
      </c>
      <c r="E19" s="314">
        <f t="shared" si="2"/>
        <v>47877</v>
      </c>
      <c r="F19" s="314">
        <f t="shared" si="2"/>
        <v>47877</v>
      </c>
      <c r="G19" s="314">
        <f t="shared" si="2"/>
        <v>47877</v>
      </c>
      <c r="H19" s="314">
        <f t="shared" si="2"/>
        <v>31918</v>
      </c>
      <c r="I19" s="314">
        <f t="shared" si="2"/>
        <v>31918</v>
      </c>
      <c r="J19" s="314">
        <f t="shared" si="2"/>
        <v>47877</v>
      </c>
      <c r="K19" s="314">
        <f t="shared" si="2"/>
        <v>47877</v>
      </c>
      <c r="L19" s="314">
        <f t="shared" si="2"/>
        <v>0</v>
      </c>
      <c r="M19" s="315">
        <f t="shared" si="1"/>
        <v>319180</v>
      </c>
      <c r="N19" s="315">
        <f t="shared" si="3"/>
        <v>319180</v>
      </c>
      <c r="O19" s="315">
        <f t="shared" si="5"/>
        <v>0</v>
      </c>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c r="AN19"/>
      <c r="AO19"/>
    </row>
    <row r="20" spans="1:41" ht="15">
      <c r="A20" s="312" t="str">
        <f>'Chinook Financial'!B67</f>
        <v>Marketing, FFE and Preleasing</v>
      </c>
      <c r="B20" s="409">
        <f>'Chinook Financial'!D67</f>
        <v>319180</v>
      </c>
      <c r="C20" s="314">
        <f t="shared" si="4"/>
        <v>0</v>
      </c>
      <c r="D20" s="314">
        <f t="shared" si="2"/>
        <v>15959</v>
      </c>
      <c r="E20" s="314">
        <f t="shared" si="2"/>
        <v>47877</v>
      </c>
      <c r="F20" s="314">
        <f t="shared" si="2"/>
        <v>47877</v>
      </c>
      <c r="G20" s="314">
        <f t="shared" si="2"/>
        <v>47877</v>
      </c>
      <c r="H20" s="314">
        <f t="shared" si="2"/>
        <v>31918</v>
      </c>
      <c r="I20" s="314">
        <f t="shared" si="2"/>
        <v>31918</v>
      </c>
      <c r="J20" s="314">
        <f t="shared" si="2"/>
        <v>47877</v>
      </c>
      <c r="K20" s="314">
        <f t="shared" si="2"/>
        <v>47877</v>
      </c>
      <c r="L20" s="314">
        <f t="shared" si="2"/>
        <v>0</v>
      </c>
      <c r="M20" s="315">
        <f t="shared" si="1"/>
        <v>319180</v>
      </c>
      <c r="N20" s="315">
        <f t="shared" si="3"/>
        <v>319180</v>
      </c>
      <c r="O20" s="315">
        <f t="shared" si="5"/>
        <v>0</v>
      </c>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c r="AN20"/>
      <c r="AO20"/>
    </row>
    <row r="21" spans="1:41" ht="15">
      <c r="A21" s="312" t="str">
        <f>'Chinook Financial'!B68</f>
        <v>Operating Deficit</v>
      </c>
      <c r="B21" s="409">
        <f>'Chinook Financial'!D68</f>
        <v>1646101.125</v>
      </c>
      <c r="C21" s="314">
        <f t="shared" si="4"/>
        <v>0</v>
      </c>
      <c r="D21" s="314">
        <f t="shared" si="2"/>
        <v>82305.056250000009</v>
      </c>
      <c r="E21" s="314">
        <f t="shared" si="2"/>
        <v>246915.16874999998</v>
      </c>
      <c r="F21" s="314">
        <f t="shared" si="2"/>
        <v>246915.16874999998</v>
      </c>
      <c r="G21" s="314">
        <f t="shared" si="2"/>
        <v>246915.16874999998</v>
      </c>
      <c r="H21" s="314">
        <f t="shared" si="2"/>
        <v>164610.11250000002</v>
      </c>
      <c r="I21" s="314">
        <f t="shared" si="2"/>
        <v>164610.11250000002</v>
      </c>
      <c r="J21" s="314">
        <f t="shared" si="2"/>
        <v>246915.16874999998</v>
      </c>
      <c r="K21" s="314">
        <f t="shared" si="2"/>
        <v>246915.16874999998</v>
      </c>
      <c r="L21" s="314">
        <f t="shared" si="2"/>
        <v>0</v>
      </c>
      <c r="M21" s="315">
        <f t="shared" si="1"/>
        <v>1646101.1249999998</v>
      </c>
      <c r="N21" s="315">
        <f t="shared" si="3"/>
        <v>1646101.125</v>
      </c>
      <c r="O21" s="315">
        <f t="shared" si="5"/>
        <v>0</v>
      </c>
      <c r="P21" s="331"/>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c r="AN21"/>
      <c r="AO21"/>
    </row>
    <row r="22" spans="1:41" ht="15">
      <c r="A22" s="312" t="str">
        <f>'Chinook Financial'!B69</f>
        <v>Net interest during closeout</v>
      </c>
      <c r="B22" s="409">
        <f>'Chinook Financial'!D69</f>
        <v>894955</v>
      </c>
      <c r="C22" s="314">
        <f t="shared" si="4"/>
        <v>0</v>
      </c>
      <c r="D22" s="314">
        <f t="shared" si="2"/>
        <v>44747.75</v>
      </c>
      <c r="E22" s="314">
        <f t="shared" si="2"/>
        <v>134243.25</v>
      </c>
      <c r="F22" s="314">
        <f t="shared" si="2"/>
        <v>134243.25</v>
      </c>
      <c r="G22" s="314">
        <f t="shared" si="2"/>
        <v>134243.25</v>
      </c>
      <c r="H22" s="314">
        <f t="shared" si="2"/>
        <v>89495.5</v>
      </c>
      <c r="I22" s="314">
        <f t="shared" si="2"/>
        <v>89495.5</v>
      </c>
      <c r="J22" s="314">
        <f t="shared" si="2"/>
        <v>134243.25</v>
      </c>
      <c r="K22" s="314">
        <f t="shared" si="2"/>
        <v>134243.25</v>
      </c>
      <c r="L22" s="314">
        <f t="shared" si="2"/>
        <v>0</v>
      </c>
      <c r="M22" s="315">
        <f t="shared" ref="M22" si="6">SUM(C22:L22)</f>
        <v>894955</v>
      </c>
      <c r="N22" s="315">
        <f t="shared" ref="N22" si="7">B22</f>
        <v>894955</v>
      </c>
      <c r="O22" s="315">
        <f t="shared" ref="O22" si="8">N22-M22</f>
        <v>0</v>
      </c>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c r="AN22"/>
      <c r="AO22"/>
    </row>
    <row r="23" spans="1:41" ht="15">
      <c r="A23" s="312" t="str">
        <f>'Chinook Financial'!B70</f>
        <v>Office Tenant Improvements</v>
      </c>
      <c r="B23" s="409">
        <f>'Chinook Financial'!D70</f>
        <v>12290000</v>
      </c>
      <c r="C23" s="314">
        <f t="shared" si="4"/>
        <v>0</v>
      </c>
      <c r="D23" s="314">
        <f t="shared" si="4"/>
        <v>614500</v>
      </c>
      <c r="E23" s="314">
        <f t="shared" si="4"/>
        <v>1843500</v>
      </c>
      <c r="F23" s="314">
        <f t="shared" si="4"/>
        <v>1843500</v>
      </c>
      <c r="G23" s="314">
        <f t="shared" si="4"/>
        <v>1843500</v>
      </c>
      <c r="H23" s="314">
        <f t="shared" si="4"/>
        <v>1229000</v>
      </c>
      <c r="I23" s="314">
        <f t="shared" si="4"/>
        <v>1229000</v>
      </c>
      <c r="J23" s="314">
        <f t="shared" si="4"/>
        <v>1843500</v>
      </c>
      <c r="K23" s="314">
        <f t="shared" si="4"/>
        <v>1843500</v>
      </c>
      <c r="L23" s="314">
        <f t="shared" si="4"/>
        <v>0</v>
      </c>
      <c r="M23" s="315">
        <f t="shared" si="1"/>
        <v>12290000</v>
      </c>
      <c r="N23" s="315">
        <f t="shared" si="3"/>
        <v>12290000</v>
      </c>
      <c r="O23" s="315">
        <f t="shared" si="5"/>
        <v>0</v>
      </c>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c r="AN23"/>
      <c r="AO23"/>
    </row>
    <row r="24" spans="1:41" ht="15">
      <c r="A24" s="312" t="str">
        <f>'Chinook Financial'!B71</f>
        <v>Office Leasing Commissions</v>
      </c>
      <c r="B24" s="409">
        <f>'Chinook Financial'!D71</f>
        <v>3852915</v>
      </c>
      <c r="C24" s="314">
        <f>B24</f>
        <v>3852915</v>
      </c>
      <c r="D24" s="314">
        <v>0</v>
      </c>
      <c r="E24" s="314">
        <v>0</v>
      </c>
      <c r="F24" s="314">
        <v>0</v>
      </c>
      <c r="G24" s="314">
        <v>0</v>
      </c>
      <c r="H24" s="314">
        <v>0</v>
      </c>
      <c r="I24" s="314">
        <v>0</v>
      </c>
      <c r="J24" s="314">
        <v>0</v>
      </c>
      <c r="K24" s="314">
        <v>0</v>
      </c>
      <c r="L24" s="314">
        <f t="shared" si="4"/>
        <v>0</v>
      </c>
      <c r="M24" s="315">
        <f t="shared" si="1"/>
        <v>3852915</v>
      </c>
      <c r="N24" s="315">
        <f t="shared" si="3"/>
        <v>3852915</v>
      </c>
      <c r="O24" s="315">
        <f t="shared" si="5"/>
        <v>0</v>
      </c>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c r="AN24"/>
      <c r="AO24"/>
    </row>
    <row r="25" spans="1:41" ht="15">
      <c r="A25" s="312" t="str">
        <f>'Chinook Financial'!B72</f>
        <v>Construction Loan Origination</v>
      </c>
      <c r="B25" s="409">
        <f ca="1">'Chinook Financial'!D72</f>
        <v>1260660.9743675417</v>
      </c>
      <c r="C25" s="314">
        <f ca="1">B25</f>
        <v>1260660.9743675417</v>
      </c>
      <c r="D25" s="314">
        <v>0</v>
      </c>
      <c r="E25" s="314">
        <v>0</v>
      </c>
      <c r="F25" s="314">
        <v>0</v>
      </c>
      <c r="G25" s="314">
        <v>0</v>
      </c>
      <c r="H25" s="314">
        <v>0</v>
      </c>
      <c r="I25" s="314">
        <v>0</v>
      </c>
      <c r="J25" s="314">
        <v>0</v>
      </c>
      <c r="K25" s="314">
        <v>0</v>
      </c>
      <c r="L25" s="314">
        <f t="shared" ca="1" si="4"/>
        <v>0</v>
      </c>
      <c r="M25" s="315">
        <f t="shared" ca="1" si="1"/>
        <v>1260660.9743675417</v>
      </c>
      <c r="N25" s="315">
        <f t="shared" ca="1" si="3"/>
        <v>1260660.9743675417</v>
      </c>
      <c r="O25" s="315">
        <f t="shared" ca="1" si="5"/>
        <v>0</v>
      </c>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c r="AN25"/>
      <c r="AO25"/>
    </row>
    <row r="26" spans="1:41" ht="15">
      <c r="A26" s="312" t="str">
        <f>'Chinook Financial'!B73</f>
        <v>Construction Interest</v>
      </c>
      <c r="B26" s="409">
        <f ca="1">'Chinook Financial'!D73</f>
        <v>5883084.5470485287</v>
      </c>
      <c r="C26" s="314">
        <f t="shared" ca="1" si="4"/>
        <v>0</v>
      </c>
      <c r="D26" s="314">
        <f t="shared" ca="1" si="4"/>
        <v>294154.22735242645</v>
      </c>
      <c r="E26" s="314">
        <f t="shared" ca="1" si="4"/>
        <v>882462.68205727928</v>
      </c>
      <c r="F26" s="314">
        <f t="shared" ca="1" si="4"/>
        <v>882462.68205727928</v>
      </c>
      <c r="G26" s="314">
        <f t="shared" ca="1" si="4"/>
        <v>882462.68205727928</v>
      </c>
      <c r="H26" s="314">
        <f t="shared" ca="1" si="4"/>
        <v>588308.45470485289</v>
      </c>
      <c r="I26" s="314">
        <f t="shared" ca="1" si="4"/>
        <v>588308.45470485289</v>
      </c>
      <c r="J26" s="314">
        <f t="shared" ca="1" si="4"/>
        <v>882462.68205727928</v>
      </c>
      <c r="K26" s="314">
        <f t="shared" ca="1" si="4"/>
        <v>882462.68205727928</v>
      </c>
      <c r="L26" s="314">
        <f t="shared" ca="1" si="4"/>
        <v>0</v>
      </c>
      <c r="M26" s="315">
        <f t="shared" ca="1" si="1"/>
        <v>5883084.5470485287</v>
      </c>
      <c r="N26" s="315">
        <f t="shared" ca="1" si="3"/>
        <v>5883084.5470485287</v>
      </c>
      <c r="O26" s="315">
        <f t="shared" ca="1" si="5"/>
        <v>0</v>
      </c>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c r="AN26"/>
      <c r="AO26"/>
    </row>
    <row r="27" spans="1:41" ht="26.25" customHeight="1" thickBot="1">
      <c r="A27" s="426" t="str">
        <f>'Chinook Financial'!B74</f>
        <v>Additional Contingency</v>
      </c>
      <c r="B27" s="328">
        <f ca="1">'Chinook Financial'!D74</f>
        <v>1664238.9100561608</v>
      </c>
      <c r="C27" s="327">
        <f t="shared" ca="1" si="4"/>
        <v>0</v>
      </c>
      <c r="D27" s="327">
        <f t="shared" ca="1" si="4"/>
        <v>83211.945502808041</v>
      </c>
      <c r="E27" s="327">
        <f t="shared" ca="1" si="4"/>
        <v>249635.83650842411</v>
      </c>
      <c r="F27" s="327">
        <f t="shared" ca="1" si="4"/>
        <v>249635.83650842411</v>
      </c>
      <c r="G27" s="327">
        <f t="shared" ca="1" si="4"/>
        <v>249635.83650842411</v>
      </c>
      <c r="H27" s="327">
        <f t="shared" ca="1" si="4"/>
        <v>166423.89100561608</v>
      </c>
      <c r="I27" s="327">
        <f t="shared" ca="1" si="4"/>
        <v>166423.89100561608</v>
      </c>
      <c r="J27" s="327">
        <f t="shared" ca="1" si="4"/>
        <v>249635.83650842411</v>
      </c>
      <c r="K27" s="327">
        <f t="shared" ca="1" si="4"/>
        <v>249635.83650842411</v>
      </c>
      <c r="L27" s="327">
        <f t="shared" ca="1" si="4"/>
        <v>0</v>
      </c>
      <c r="M27" s="328">
        <f t="shared" ca="1" si="1"/>
        <v>1664238.9100561605</v>
      </c>
      <c r="N27" s="315">
        <f t="shared" ca="1" si="3"/>
        <v>1664238.9100561608</v>
      </c>
      <c r="O27" s="315">
        <f t="shared" ca="1" si="5"/>
        <v>0</v>
      </c>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c r="AN27"/>
      <c r="AO27"/>
    </row>
    <row r="28" spans="1:41" ht="16.5" thickTop="1" thickBot="1">
      <c r="A28" s="426" t="str">
        <f>'Chinook Financial'!B75</f>
        <v>Total Project Cost</v>
      </c>
      <c r="B28" s="132">
        <f t="shared" ref="B28:L28" ca="1" si="9">SUM(B6:B27)</f>
        <v>168088129.91567224</v>
      </c>
      <c r="C28" s="99">
        <f t="shared" ca="1" si="9"/>
        <v>76298279.974367544</v>
      </c>
      <c r="D28" s="99">
        <f t="shared" ca="1" si="9"/>
        <v>4589492.497065234</v>
      </c>
      <c r="E28" s="99">
        <f t="shared" ca="1" si="9"/>
        <v>13768477.491195705</v>
      </c>
      <c r="F28" s="99">
        <f t="shared" ca="1" si="9"/>
        <v>13768477.491195705</v>
      </c>
      <c r="G28" s="99">
        <f t="shared" ca="1" si="9"/>
        <v>13768477.491195705</v>
      </c>
      <c r="H28" s="99">
        <f t="shared" ca="1" si="9"/>
        <v>9178984.994130468</v>
      </c>
      <c r="I28" s="99">
        <f t="shared" ca="1" si="9"/>
        <v>9178984.994130468</v>
      </c>
      <c r="J28" s="99">
        <f t="shared" ca="1" si="9"/>
        <v>13768477.491195705</v>
      </c>
      <c r="K28" s="99">
        <f t="shared" ca="1" si="9"/>
        <v>13768477.491195705</v>
      </c>
      <c r="L28" s="99">
        <f t="shared" ca="1" si="9"/>
        <v>0</v>
      </c>
      <c r="M28" s="96">
        <f ca="1">SUM(M6:M27)</f>
        <v>168088129.91567224</v>
      </c>
      <c r="N28" s="95">
        <f ca="1">SUM(N6:N27)</f>
        <v>168088129.91567224</v>
      </c>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c r="AN28"/>
      <c r="AO28"/>
    </row>
    <row r="29" spans="1:41" ht="15.75" thickTop="1">
      <c r="A29" s="97" t="s">
        <v>196</v>
      </c>
      <c r="B29" s="125">
        <f ca="1">IF('Chinook Financial'!C83&lt;0,'Chinook Financial'!C83,0)</f>
        <v>0</v>
      </c>
      <c r="C29" s="411"/>
      <c r="D29" s="342"/>
      <c r="E29" s="342"/>
      <c r="F29" s="342"/>
      <c r="G29" s="342"/>
      <c r="H29" s="342"/>
      <c r="I29" s="342"/>
      <c r="J29" s="342"/>
      <c r="K29" s="342"/>
      <c r="L29" s="342"/>
      <c r="M29" s="411"/>
      <c r="N29" s="41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c r="AN29"/>
      <c r="AO29"/>
    </row>
    <row r="30" spans="1:41" ht="15.75" thickBot="1">
      <c r="A30" s="329" t="s">
        <v>197</v>
      </c>
      <c r="B30" s="410">
        <f ca="1">B28+B29</f>
        <v>168088129.91567224</v>
      </c>
      <c r="C30" s="133"/>
      <c r="D30" s="429"/>
      <c r="E30" s="429"/>
      <c r="F30" s="429"/>
      <c r="G30" s="429"/>
      <c r="H30" s="429"/>
      <c r="I30" s="429"/>
      <c r="J30" s="429"/>
      <c r="K30" s="429"/>
      <c r="L30" s="429"/>
      <c r="M30" s="411"/>
      <c r="N30" s="41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c r="AN30"/>
      <c r="AO30"/>
    </row>
    <row r="31" spans="1:41" ht="15">
      <c r="A31" s="102" t="s">
        <v>198</v>
      </c>
      <c r="B31" s="134">
        <f ca="1">SUM(C31:L31)</f>
        <v>84044064.957836121</v>
      </c>
      <c r="C31" s="135">
        <f ca="1">C28</f>
        <v>76298279.974367544</v>
      </c>
      <c r="D31" s="135">
        <f t="shared" ref="D31:L31" ca="1" si="10">IF(C32+D28&lt;=$B$32,D28,($B$32-C32))</f>
        <v>4589492.497065234</v>
      </c>
      <c r="E31" s="135">
        <f t="shared" ca="1" si="10"/>
        <v>3156292.4864033461</v>
      </c>
      <c r="F31" s="135">
        <f t="shared" ca="1" si="10"/>
        <v>0</v>
      </c>
      <c r="G31" s="135">
        <f t="shared" ca="1" si="10"/>
        <v>0</v>
      </c>
      <c r="H31" s="135">
        <f t="shared" ca="1" si="10"/>
        <v>0</v>
      </c>
      <c r="I31" s="135">
        <f t="shared" ca="1" si="10"/>
        <v>0</v>
      </c>
      <c r="J31" s="135">
        <f t="shared" ca="1" si="10"/>
        <v>0</v>
      </c>
      <c r="K31" s="135">
        <f t="shared" ca="1" si="10"/>
        <v>0</v>
      </c>
      <c r="L31" s="135">
        <f t="shared" ca="1" si="10"/>
        <v>0</v>
      </c>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c r="AN31"/>
      <c r="AO31"/>
    </row>
    <row r="32" spans="1:41" ht="15.75" thickBot="1">
      <c r="A32" s="337" t="s">
        <v>199</v>
      </c>
      <c r="B32" s="430">
        <f ca="1">'Chinook Financial'!C86</f>
        <v>84044064.957836121</v>
      </c>
      <c r="C32" s="431">
        <f ca="1">C31</f>
        <v>76298279.974367544</v>
      </c>
      <c r="D32" s="431">
        <f ca="1">IF(SUM($C$31:D31)&lt;=$B32,SUM($C$31:D31),0)</f>
        <v>80887772.471432775</v>
      </c>
      <c r="E32" s="431">
        <f ca="1">IF(SUM($C$31:E31)&lt;=$B32,SUM($C$31:E31),0)</f>
        <v>84044064.957836121</v>
      </c>
      <c r="F32" s="431">
        <f ca="1">IF(SUM($C$31:F31)&lt;=$B32,SUM($C$31:F31),0)</f>
        <v>84044064.957836121</v>
      </c>
      <c r="G32" s="431">
        <f ca="1">IF(SUM($C$31:G31)&lt;=$B32,SUM($C$31:G31),0)</f>
        <v>84044064.957836121</v>
      </c>
      <c r="H32" s="431">
        <f ca="1">IF(SUM($C$31:H31)&lt;=$B32,SUM($C$31:H31),0)</f>
        <v>84044064.957836121</v>
      </c>
      <c r="I32" s="431">
        <f ca="1">IF(SUM($C$31:I31)&lt;=$B32,SUM($C$31:I31),0)</f>
        <v>84044064.957836121</v>
      </c>
      <c r="J32" s="431">
        <f ca="1">IF(SUM($C$31:J31)&lt;=$B32,SUM($C$31:J31),0)</f>
        <v>84044064.957836121</v>
      </c>
      <c r="K32" s="431">
        <f ca="1">IF(SUM($C$31:K31)&lt;=$B32,SUM($C$31:K31),0)</f>
        <v>84044064.957836121</v>
      </c>
      <c r="L32" s="431">
        <f ca="1">IF(SUM($C$31:L31)&lt;=$B32,SUM($C$31:L31),0)</f>
        <v>84044064.957836121</v>
      </c>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c r="AN32"/>
      <c r="AO32"/>
    </row>
    <row r="33" spans="1:41" ht="15">
      <c r="A33" s="131" t="s">
        <v>236</v>
      </c>
      <c r="B33" s="136">
        <f ca="1">'Chinook Financial'!C85</f>
        <v>84044064.957836121</v>
      </c>
      <c r="C33" s="137"/>
      <c r="D33" s="138"/>
      <c r="E33" s="138"/>
      <c r="F33" s="138"/>
      <c r="G33" s="138"/>
      <c r="H33" s="138"/>
      <c r="I33" s="138"/>
      <c r="J33" s="138"/>
      <c r="K33" s="138"/>
      <c r="L33" s="138"/>
      <c r="M33" s="335"/>
      <c r="N33" s="335"/>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c r="AN33"/>
      <c r="AO33"/>
    </row>
    <row r="34" spans="1:41" ht="15.75" thickBot="1">
      <c r="A34" s="337" t="s">
        <v>237</v>
      </c>
      <c r="B34" s="338">
        <f ca="1">PMT(0.045,30,(B33))</f>
        <v>-5159594.8200715864</v>
      </c>
      <c r="C34" s="335"/>
      <c r="D34" s="336"/>
      <c r="E34" s="336"/>
      <c r="F34" s="336"/>
      <c r="G34" s="336"/>
      <c r="H34" s="336"/>
      <c r="I34" s="336"/>
      <c r="J34" s="336"/>
      <c r="K34" s="336"/>
      <c r="L34" s="336"/>
      <c r="M34" s="335"/>
      <c r="N34" s="335"/>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c r="AN34"/>
      <c r="AO34"/>
    </row>
    <row r="35" spans="1:41" ht="15">
      <c r="A35" s="104" t="s">
        <v>202</v>
      </c>
      <c r="B35" s="105">
        <f>SUM(C35:M35)</f>
        <v>0</v>
      </c>
      <c r="C35" s="315"/>
      <c r="D35" s="315"/>
      <c r="E35" s="315"/>
      <c r="F35" s="315"/>
      <c r="G35" s="315"/>
      <c r="H35" s="315"/>
      <c r="I35" s="315"/>
      <c r="J35" s="315"/>
      <c r="K35" s="315"/>
      <c r="L35" s="315"/>
      <c r="M35" s="340"/>
      <c r="N35" s="335"/>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c r="AN35"/>
      <c r="AO35"/>
    </row>
    <row r="36" spans="1:41" ht="15">
      <c r="A36" s="339" t="s">
        <v>203</v>
      </c>
      <c r="B36" s="659"/>
      <c r="C36" s="336"/>
      <c r="D36" s="336"/>
      <c r="E36" s="336"/>
      <c r="F36" s="336"/>
      <c r="G36" s="336"/>
      <c r="H36" s="336"/>
      <c r="I36" s="336"/>
      <c r="J36" s="336"/>
      <c r="K36" s="336"/>
      <c r="L36" s="336"/>
      <c r="M36" s="340"/>
      <c r="N36" s="336"/>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c r="AN36"/>
      <c r="AO36"/>
    </row>
    <row r="37" spans="1:41" ht="15">
      <c r="A37" s="332" t="s">
        <v>204</v>
      </c>
      <c r="B37" s="333">
        <f ca="1">'Chinook Financial'!C93-'Chinook Draw'!B33</f>
        <v>127337135.04216388</v>
      </c>
      <c r="C37" s="340"/>
      <c r="D37" s="341"/>
      <c r="E37" s="341"/>
      <c r="F37" s="341"/>
      <c r="G37" s="341"/>
      <c r="H37" s="341"/>
      <c r="I37" s="341"/>
      <c r="J37" s="341"/>
      <c r="K37" s="341"/>
      <c r="L37" s="341"/>
      <c r="M37" s="342"/>
      <c r="N37" s="343"/>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c r="AN37"/>
      <c r="AO37"/>
    </row>
    <row r="38" spans="1:41" ht="15">
      <c r="A38" s="332" t="s">
        <v>205</v>
      </c>
      <c r="B38" s="176">
        <f ca="1">SUM(C38:L38)</f>
        <v>43293070.084327757</v>
      </c>
      <c r="C38" s="345">
        <f t="shared" ref="C38:K38" ca="1" si="11">-C31</f>
        <v>-76298279.974367544</v>
      </c>
      <c r="D38" s="345">
        <f t="shared" ca="1" si="11"/>
        <v>-4589492.497065234</v>
      </c>
      <c r="E38" s="345">
        <f t="shared" ca="1" si="11"/>
        <v>-3156292.4864033461</v>
      </c>
      <c r="F38" s="345">
        <f t="shared" ca="1" si="11"/>
        <v>0</v>
      </c>
      <c r="G38" s="345">
        <f t="shared" ca="1" si="11"/>
        <v>0</v>
      </c>
      <c r="H38" s="345">
        <f t="shared" ca="1" si="11"/>
        <v>0</v>
      </c>
      <c r="I38" s="345">
        <f t="shared" ca="1" si="11"/>
        <v>0</v>
      </c>
      <c r="J38" s="345">
        <f t="shared" ca="1" si="11"/>
        <v>0</v>
      </c>
      <c r="K38" s="345">
        <f t="shared" ca="1" si="11"/>
        <v>0</v>
      </c>
      <c r="L38" s="346">
        <f ca="1">B37</f>
        <v>127337135.04216388</v>
      </c>
      <c r="M38" s="322"/>
      <c r="N38" s="315"/>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c r="AN38"/>
      <c r="AO38"/>
    </row>
    <row r="39" spans="1:41" ht="15">
      <c r="A39" s="332" t="s">
        <v>229</v>
      </c>
      <c r="B39" s="174">
        <f ca="1">IF(B38&lt;0,0,IRR(C38:L38))</f>
        <v>4.7932066195465195E-2</v>
      </c>
      <c r="C39" s="348"/>
      <c r="D39" s="348"/>
      <c r="E39" s="348"/>
      <c r="F39" s="348"/>
      <c r="G39" s="348"/>
      <c r="H39" s="348"/>
      <c r="I39" s="348"/>
      <c r="J39" s="348"/>
      <c r="K39" s="348"/>
      <c r="L39" s="348"/>
      <c r="M39" s="342"/>
      <c r="N39" s="348"/>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c r="AN39"/>
      <c r="AO39"/>
    </row>
    <row r="40" spans="1:41">
      <c r="A40" s="322" t="s">
        <v>207</v>
      </c>
      <c r="B40" s="175">
        <f ca="1">POWER((1+B39),4)-1</f>
        <v>0.20595893345161498</v>
      </c>
      <c r="C40" s="342"/>
      <c r="D40" s="342"/>
      <c r="E40" s="351"/>
      <c r="F40" s="351"/>
      <c r="G40" s="351"/>
      <c r="H40" s="351"/>
      <c r="I40" s="351"/>
      <c r="J40" s="351"/>
      <c r="K40" s="351"/>
      <c r="L40" s="351"/>
      <c r="M40" s="351"/>
      <c r="N40" s="351"/>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row>
    <row r="41" spans="1:41">
      <c r="A41" s="354" t="s">
        <v>208</v>
      </c>
      <c r="B41" s="432"/>
      <c r="C41" s="342"/>
      <c r="D41" s="342"/>
      <c r="E41" s="342"/>
      <c r="F41" s="342"/>
      <c r="G41" s="342"/>
      <c r="H41" s="342"/>
      <c r="I41" s="342"/>
      <c r="J41" s="342"/>
      <c r="K41" s="342"/>
      <c r="L41" s="342"/>
      <c r="M41" s="342"/>
      <c r="N41" s="342"/>
    </row>
    <row r="42" spans="1:41">
      <c r="A42" s="332" t="s">
        <v>209</v>
      </c>
      <c r="B42" s="199">
        <f ca="1">'Chinook Financial'!C93-B29</f>
        <v>211381200</v>
      </c>
      <c r="C42" s="342"/>
      <c r="D42" s="342"/>
      <c r="E42" s="342"/>
      <c r="F42" s="342"/>
      <c r="G42" s="342"/>
      <c r="H42" s="342"/>
      <c r="I42" s="342"/>
      <c r="J42" s="342"/>
      <c r="K42" s="342"/>
      <c r="L42" s="342"/>
      <c r="M42" s="342"/>
      <c r="N42" s="342"/>
    </row>
    <row r="43" spans="1:41">
      <c r="A43" s="322" t="s">
        <v>210</v>
      </c>
      <c r="B43" s="433">
        <f ca="1">SUM(C43:L43)</f>
        <v>43293070.084327757</v>
      </c>
      <c r="C43" s="315">
        <f ca="1">-C28</f>
        <v>-76298279.974367544</v>
      </c>
      <c r="D43" s="315">
        <f t="shared" ref="D43:K43" ca="1" si="12">-D28</f>
        <v>-4589492.497065234</v>
      </c>
      <c r="E43" s="315">
        <f t="shared" ca="1" si="12"/>
        <v>-13768477.491195705</v>
      </c>
      <c r="F43" s="315">
        <f t="shared" ca="1" si="12"/>
        <v>-13768477.491195705</v>
      </c>
      <c r="G43" s="315">
        <f t="shared" ca="1" si="12"/>
        <v>-13768477.491195705</v>
      </c>
      <c r="H43" s="315">
        <f t="shared" ca="1" si="12"/>
        <v>-9178984.994130468</v>
      </c>
      <c r="I43" s="315">
        <f t="shared" ca="1" si="12"/>
        <v>-9178984.994130468</v>
      </c>
      <c r="J43" s="315">
        <f t="shared" ca="1" si="12"/>
        <v>-13768477.491195705</v>
      </c>
      <c r="K43" s="315">
        <f t="shared" ca="1" si="12"/>
        <v>-13768477.491195705</v>
      </c>
      <c r="L43" s="349">
        <f ca="1">-L28+B42</f>
        <v>211381200</v>
      </c>
      <c r="M43" s="322"/>
      <c r="N43" s="322"/>
    </row>
    <row r="44" spans="1:41">
      <c r="A44" s="332" t="s">
        <v>211</v>
      </c>
      <c r="B44" s="174">
        <f ca="1">IF(B43&lt;0,0,IRR(C43:L43))</f>
        <v>3.562162009132841E-2</v>
      </c>
      <c r="C44" s="342"/>
      <c r="D44" s="342"/>
      <c r="E44" s="342"/>
      <c r="F44" s="342"/>
      <c r="G44" s="342"/>
      <c r="H44" s="342"/>
      <c r="I44" s="342"/>
      <c r="J44" s="342"/>
      <c r="K44" s="342"/>
      <c r="L44" s="342"/>
      <c r="M44" s="342"/>
      <c r="N44" s="342"/>
    </row>
    <row r="45" spans="1:41">
      <c r="A45" s="322" t="s">
        <v>212</v>
      </c>
      <c r="B45" s="175">
        <f ca="1">POWER((1+B44),4)-1</f>
        <v>0.15028229044864028</v>
      </c>
      <c r="C45" s="342"/>
      <c r="D45" s="342"/>
      <c r="E45" s="342"/>
      <c r="F45" s="342"/>
      <c r="G45" s="342"/>
      <c r="H45" s="342"/>
      <c r="I45" s="342"/>
      <c r="J45" s="342"/>
      <c r="K45" s="342"/>
      <c r="L45" s="342"/>
      <c r="M45" s="342"/>
      <c r="N45" s="342"/>
    </row>
    <row r="46" spans="1:41">
      <c r="G46" s="7"/>
    </row>
    <row r="47" spans="1:41">
      <c r="G47" s="7"/>
    </row>
    <row r="48" spans="1:41">
      <c r="G48" s="7"/>
    </row>
    <row r="49" spans="7:7">
      <c r="G49" s="7"/>
    </row>
    <row r="50" spans="7:7">
      <c r="G50" s="7"/>
    </row>
    <row r="51" spans="7:7">
      <c r="G51" s="7"/>
    </row>
    <row r="52" spans="7:7">
      <c r="G52" s="7"/>
    </row>
    <row r="53" spans="7:7">
      <c r="G53" s="7"/>
    </row>
    <row r="54" spans="7:7">
      <c r="G54" s="7"/>
    </row>
    <row r="55" spans="7:7">
      <c r="G55" s="7"/>
    </row>
    <row r="56" spans="7:7">
      <c r="G56" s="7"/>
    </row>
    <row r="57" spans="7:7">
      <c r="G57" s="7"/>
    </row>
    <row r="58" spans="7:7">
      <c r="G58" s="7"/>
    </row>
    <row r="59" spans="7:7">
      <c r="G59" s="7"/>
    </row>
    <row r="60" spans="7:7">
      <c r="G60" s="7"/>
    </row>
    <row r="61" spans="7:7">
      <c r="G61" s="7"/>
    </row>
    <row r="62" spans="7:7">
      <c r="G62" s="7"/>
    </row>
    <row r="63" spans="7:7">
      <c r="G63" s="7"/>
    </row>
    <row r="64" spans="7:7">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row r="600" spans="7:7">
      <c r="G600" s="7"/>
    </row>
  </sheetData>
  <mergeCells count="2">
    <mergeCell ref="A1:A4"/>
    <mergeCell ref="M2:O2"/>
  </mergeCells>
  <conditionalFormatting sqref="D4:L4">
    <cfRule type="cellIs" dxfId="67" priority="1" operator="equal">
      <formula>#REF!</formula>
    </cfRule>
    <cfRule type="cellIs" dxfId="66" priority="2" operator="equal">
      <formula>#REF!</formula>
    </cfRule>
    <cfRule type="cellIs" dxfId="65" priority="3" operator="equal">
      <formula>#REF!</formula>
    </cfRule>
    <cfRule type="cellIs" dxfId="64" priority="4" operator="equal">
      <formula>#REF!</formula>
    </cfRule>
  </conditionalFormatting>
  <conditionalFormatting sqref="G4:AL4">
    <cfRule type="cellIs" dxfId="63" priority="13" operator="equal">
      <formula>#REF!</formula>
    </cfRule>
    <cfRule type="cellIs" dxfId="62" priority="14" operator="equal">
      <formula>#REF!</formula>
    </cfRule>
    <cfRule type="cellIs" dxfId="61" priority="15" operator="equal">
      <formula>#REF!</formula>
    </cfRule>
    <cfRule type="cellIs" dxfId="60" priority="16"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766B-0F40-4AB1-97EC-2B7CDC9E21ED}">
  <sheetPr>
    <tabColor theme="6" tint="-0.249977111117893"/>
  </sheetPr>
  <dimension ref="B1:P102"/>
  <sheetViews>
    <sheetView topLeftCell="A79" workbookViewId="0">
      <selection activeCell="H19" sqref="H19"/>
    </sheetView>
  </sheetViews>
  <sheetFormatPr defaultColWidth="8.85546875" defaultRowHeight="23.25" customHeight="1"/>
  <cols>
    <col min="1" max="1" width="4.28515625" style="7" customWidth="1"/>
    <col min="2" max="2" width="44.85546875" style="7" customWidth="1"/>
    <col min="3" max="3" width="28.42578125" style="7" bestFit="1" customWidth="1"/>
    <col min="4" max="4" width="22.42578125" style="7" bestFit="1" customWidth="1"/>
    <col min="5" max="5" width="18.7109375" style="7" customWidth="1"/>
    <col min="6" max="6" width="21.42578125" style="7" customWidth="1"/>
    <col min="7" max="7" width="16.28515625" style="7" customWidth="1"/>
    <col min="8" max="8" width="14" style="461" bestFit="1" customWidth="1"/>
    <col min="9" max="9" width="19.5703125" style="7" customWidth="1"/>
    <col min="10" max="10" width="26.7109375" style="7" customWidth="1"/>
    <col min="11" max="11" width="20.140625" style="7" customWidth="1"/>
    <col min="12" max="15" width="8.85546875" style="7"/>
    <col min="16" max="16" width="21.42578125" style="461" customWidth="1"/>
    <col min="17" max="16384" width="8.85546875" style="7"/>
  </cols>
  <sheetData>
    <row r="1" spans="2:16" ht="21" customHeight="1" thickBot="1">
      <c r="B1" s="3"/>
      <c r="C1" s="4"/>
      <c r="D1" s="5"/>
      <c r="E1" s="6"/>
    </row>
    <row r="2" spans="2:16" ht="16.5" thickBot="1">
      <c r="B2" s="1561" t="s">
        <v>108</v>
      </c>
      <c r="C2" s="1562"/>
      <c r="D2" s="1562"/>
      <c r="E2" s="1645" t="str">
        <f>'Development Program'!B27</f>
        <v>4th Street Site</v>
      </c>
      <c r="F2" s="1646"/>
      <c r="H2" s="7"/>
      <c r="P2" s="7"/>
    </row>
    <row r="3" spans="2:16" ht="13.5" thickBot="1">
      <c r="B3" s="899"/>
      <c r="C3" s="900"/>
      <c r="D3" s="900"/>
      <c r="E3" s="901">
        <v>0</v>
      </c>
      <c r="F3" s="902" t="s">
        <v>109</v>
      </c>
      <c r="H3" s="7"/>
      <c r="P3" s="7"/>
    </row>
    <row r="4" spans="2:16" s="819" customFormat="1" ht="13.5" thickBot="1">
      <c r="B4" s="865" t="s">
        <v>110</v>
      </c>
      <c r="C4" s="866" t="s">
        <v>111</v>
      </c>
      <c r="D4" s="896" t="s">
        <v>347</v>
      </c>
      <c r="E4" s="866" t="s">
        <v>112</v>
      </c>
      <c r="F4" s="867" t="s">
        <v>113</v>
      </c>
    </row>
    <row r="5" spans="2:16" ht="13.5" thickBot="1">
      <c r="B5" s="662" t="s">
        <v>410</v>
      </c>
      <c r="C5" s="663">
        <v>115</v>
      </c>
      <c r="D5" s="664">
        <v>240</v>
      </c>
      <c r="E5" s="897">
        <v>4.17</v>
      </c>
      <c r="F5" s="898">
        <f>12*C5*D5*E5</f>
        <v>1381104</v>
      </c>
      <c r="H5" s="7"/>
      <c r="P5" s="7"/>
    </row>
    <row r="6" spans="2:16" ht="14.25" thickTop="1" thickBot="1">
      <c r="B6" s="13" t="s">
        <v>115</v>
      </c>
      <c r="C6" s="14">
        <f>SUM(C5:C5)</f>
        <v>115</v>
      </c>
      <c r="D6" s="15">
        <f>D5*C5</f>
        <v>27600</v>
      </c>
      <c r="E6" s="1493">
        <v>48</v>
      </c>
      <c r="F6" s="728">
        <f>D6*E6</f>
        <v>1324800</v>
      </c>
      <c r="H6" s="7"/>
      <c r="P6" s="7"/>
    </row>
    <row r="7" spans="2:16" ht="14.25" thickTop="1" thickBot="1">
      <c r="B7" s="17" t="s">
        <v>116</v>
      </c>
      <c r="C7" s="585"/>
      <c r="D7" s="19">
        <f>D6/C6</f>
        <v>240</v>
      </c>
      <c r="E7" s="20">
        <v>4.17</v>
      </c>
      <c r="F7" s="584"/>
      <c r="H7" s="7"/>
      <c r="P7" s="7"/>
    </row>
    <row r="8" spans="2:16" ht="13.5" thickBot="1">
      <c r="B8" s="35"/>
      <c r="C8" s="723"/>
      <c r="D8" s="36"/>
      <c r="E8" s="37"/>
      <c r="P8" s="7"/>
    </row>
    <row r="9" spans="2:16" ht="12.75">
      <c r="B9" s="903" t="s">
        <v>117</v>
      </c>
      <c r="C9" s="904" t="s">
        <v>118</v>
      </c>
      <c r="D9" s="904" t="s">
        <v>119</v>
      </c>
      <c r="E9" s="905" t="s">
        <v>113</v>
      </c>
      <c r="H9" s="7"/>
      <c r="K9" s="461"/>
      <c r="P9" s="7"/>
    </row>
    <row r="10" spans="2:16" ht="12.75">
      <c r="B10" s="906" t="s">
        <v>348</v>
      </c>
      <c r="C10" s="225">
        <v>10000</v>
      </c>
      <c r="D10" s="217">
        <f>Assumptions!I12</f>
        <v>37</v>
      </c>
      <c r="E10" s="741">
        <f>C10*D10</f>
        <v>370000</v>
      </c>
      <c r="H10" s="7"/>
      <c r="K10" s="461"/>
      <c r="P10" s="7"/>
    </row>
    <row r="11" spans="2:16" ht="12.75">
      <c r="B11" s="906" t="s">
        <v>457</v>
      </c>
      <c r="C11" s="225">
        <v>19980</v>
      </c>
      <c r="D11" s="217">
        <f>Assumptions!I12</f>
        <v>37</v>
      </c>
      <c r="E11" s="741">
        <f>C11*D11</f>
        <v>739260</v>
      </c>
      <c r="F11" s="70"/>
      <c r="H11" s="7"/>
    </row>
    <row r="12" spans="2:16" ht="12.75">
      <c r="B12" s="224" t="s">
        <v>311</v>
      </c>
      <c r="C12" s="225">
        <v>26400</v>
      </c>
      <c r="D12" s="217">
        <f>Assumptions!I8</f>
        <v>25</v>
      </c>
      <c r="E12" s="741">
        <f>C12*D12</f>
        <v>660000</v>
      </c>
      <c r="G12" s="665"/>
    </row>
    <row r="13" spans="2:16" ht="13.5" thickBot="1">
      <c r="B13" s="227" t="s">
        <v>312</v>
      </c>
      <c r="C13" s="228">
        <v>39600</v>
      </c>
      <c r="D13" s="476">
        <f>Assumptions!I9</f>
        <v>18</v>
      </c>
      <c r="E13" s="742">
        <f>C13*D13</f>
        <v>712800</v>
      </c>
      <c r="H13" s="7"/>
    </row>
    <row r="14" spans="2:16" ht="14.25" thickTop="1" thickBot="1">
      <c r="B14" s="907" t="s">
        <v>120</v>
      </c>
      <c r="C14" s="908">
        <f>SUM(C10:C13)</f>
        <v>95980</v>
      </c>
      <c r="D14" s="909">
        <f>IF(C14=0,0,E14/C14)</f>
        <v>25.860179204000833</v>
      </c>
      <c r="E14" s="730">
        <f>SUM(E10:E13)</f>
        <v>2482060</v>
      </c>
      <c r="F14" s="30"/>
      <c r="H14" s="7"/>
    </row>
    <row r="15" spans="2:16" ht="13.5" thickBot="1">
      <c r="B15" s="35"/>
      <c r="C15" s="744"/>
      <c r="D15" s="745"/>
      <c r="E15" s="746"/>
      <c r="F15" s="30"/>
    </row>
    <row r="16" spans="2:16" ht="15" customHeight="1">
      <c r="B16" s="230" t="s">
        <v>121</v>
      </c>
      <c r="C16" s="910" t="str">
        <f>E2</f>
        <v>4th Street Site</v>
      </c>
      <c r="D16" s="1592" t="s">
        <v>613</v>
      </c>
      <c r="E16" s="1593"/>
      <c r="F16" s="1594"/>
    </row>
    <row r="17" spans="2:8" ht="12.75">
      <c r="B17" s="197" t="s">
        <v>122</v>
      </c>
      <c r="C17" s="734">
        <v>0</v>
      </c>
      <c r="D17" s="1595"/>
      <c r="E17" s="1596"/>
      <c r="F17" s="1597"/>
    </row>
    <row r="18" spans="2:8" ht="13.5" thickBot="1">
      <c r="B18" s="200" t="s">
        <v>123</v>
      </c>
      <c r="C18" s="735">
        <v>25</v>
      </c>
      <c r="D18" s="1595"/>
      <c r="E18" s="1596"/>
      <c r="F18" s="1597"/>
    </row>
    <row r="19" spans="2:8" ht="14.25" thickTop="1" thickBot="1">
      <c r="B19" s="33" t="s">
        <v>124</v>
      </c>
      <c r="C19" s="736">
        <f>SUM(C17:C18)</f>
        <v>25</v>
      </c>
      <c r="D19" s="1598"/>
      <c r="E19" s="1599"/>
      <c r="F19" s="1600"/>
    </row>
    <row r="20" spans="2:8" ht="13.5" thickBot="1">
      <c r="B20" s="35"/>
      <c r="C20" s="771"/>
      <c r="D20" s="31"/>
      <c r="E20" s="32"/>
    </row>
    <row r="21" spans="2:8" ht="13.5" thickBot="1">
      <c r="B21" s="911" t="s">
        <v>125</v>
      </c>
      <c r="C21" s="912" t="str">
        <f>E2</f>
        <v>4th Street Site</v>
      </c>
      <c r="D21" s="35"/>
      <c r="E21" s="771"/>
      <c r="F21" s="35"/>
    </row>
    <row r="22" spans="2:8" ht="12.75">
      <c r="B22" s="838" t="s">
        <v>126</v>
      </c>
      <c r="C22" s="809">
        <v>26400</v>
      </c>
      <c r="D22" s="36"/>
      <c r="E22" s="37"/>
      <c r="F22" s="35"/>
    </row>
    <row r="23" spans="2:8" ht="12.75">
      <c r="B23" s="234" t="s">
        <v>127</v>
      </c>
      <c r="C23" s="810">
        <f>D6+C14</f>
        <v>123580</v>
      </c>
      <c r="D23" s="36"/>
      <c r="E23" s="37"/>
      <c r="F23" s="35"/>
    </row>
    <row r="24" spans="2:8" ht="12.75">
      <c r="B24" s="236">
        <v>400</v>
      </c>
      <c r="C24" s="810">
        <f>400*C19</f>
        <v>10000</v>
      </c>
      <c r="D24" s="36"/>
      <c r="E24" s="37"/>
      <c r="F24" s="35"/>
    </row>
    <row r="25" spans="2:8" ht="12.75">
      <c r="B25" s="359">
        <v>0.2</v>
      </c>
      <c r="C25" s="810">
        <f>(1+B25)*(C23+C24)</f>
        <v>160296</v>
      </c>
      <c r="D25" s="36"/>
      <c r="E25" s="37"/>
      <c r="F25" s="35"/>
    </row>
    <row r="26" spans="2:8" ht="13.5" thickBot="1">
      <c r="B26" s="360">
        <f>6</f>
        <v>6</v>
      </c>
      <c r="C26" s="811">
        <f>C25/B26</f>
        <v>26716</v>
      </c>
      <c r="D26" s="36"/>
      <c r="E26" s="37"/>
      <c r="F26" s="35"/>
    </row>
    <row r="27" spans="2:8" ht="13.5" thickBot="1">
      <c r="B27" s="772"/>
      <c r="C27" s="721"/>
      <c r="D27" s="36"/>
      <c r="E27" s="37"/>
      <c r="F27" s="35"/>
    </row>
    <row r="28" spans="2:8" ht="15" customHeight="1" thickBot="1">
      <c r="B28" s="1607" t="s">
        <v>128</v>
      </c>
      <c r="C28" s="1608"/>
      <c r="D28" s="916" t="str">
        <f>E2</f>
        <v>4th Street Site</v>
      </c>
      <c r="E28" s="917"/>
      <c r="F28" s="35"/>
    </row>
    <row r="29" spans="2:8" ht="13.5" thickBot="1">
      <c r="B29" s="918" t="s">
        <v>129</v>
      </c>
      <c r="C29" s="919" t="s">
        <v>130</v>
      </c>
      <c r="D29" s="919" t="s">
        <v>131</v>
      </c>
      <c r="E29" s="920" t="s">
        <v>170</v>
      </c>
      <c r="F29" s="35"/>
      <c r="H29" s="1174"/>
    </row>
    <row r="30" spans="2:8" ht="12.75">
      <c r="B30" s="241" t="s">
        <v>612</v>
      </c>
      <c r="C30" s="913">
        <f>E30/C6</f>
        <v>11520</v>
      </c>
      <c r="D30" s="914">
        <f>E30/D6</f>
        <v>48</v>
      </c>
      <c r="E30" s="38">
        <f>F6</f>
        <v>1324800</v>
      </c>
      <c r="F30" s="35"/>
    </row>
    <row r="31" spans="2:8" ht="13.5" thickBot="1">
      <c r="B31" s="775">
        <f>C14</f>
        <v>95980</v>
      </c>
      <c r="C31" s="507"/>
      <c r="D31" s="507"/>
      <c r="E31" s="475">
        <f>E14</f>
        <v>2482060</v>
      </c>
      <c r="F31" s="35"/>
    </row>
    <row r="32" spans="2:8" ht="14.25" thickTop="1" thickBot="1">
      <c r="B32" s="915">
        <f>Assumptions!I14</f>
        <v>0.05</v>
      </c>
      <c r="C32" s="1637"/>
      <c r="D32" s="1638"/>
      <c r="E32" s="718">
        <f>-B32*SUM(E30:E31)</f>
        <v>-190343</v>
      </c>
      <c r="F32" s="35"/>
    </row>
    <row r="33" spans="2:8" ht="13.5" thickTop="1">
      <c r="B33" s="645"/>
      <c r="C33" s="1647" t="s">
        <v>135</v>
      </c>
      <c r="D33" s="1647"/>
      <c r="E33" s="646">
        <f>E30+E31+E32</f>
        <v>3616517</v>
      </c>
      <c r="F33" s="35"/>
    </row>
    <row r="34" spans="2:8" ht="12.75">
      <c r="B34" s="634" t="s">
        <v>136</v>
      </c>
      <c r="C34" s="246" t="s">
        <v>344</v>
      </c>
      <c r="D34" s="246" t="s">
        <v>137</v>
      </c>
      <c r="E34" s="646"/>
      <c r="F34" s="35"/>
    </row>
    <row r="35" spans="2:8" ht="12.75">
      <c r="B35" s="645" t="s">
        <v>349</v>
      </c>
      <c r="C35" s="262">
        <f>Assumptions!L36</f>
        <v>175</v>
      </c>
      <c r="D35" s="631">
        <f>E35/D6</f>
        <v>0</v>
      </c>
      <c r="E35" s="602">
        <f>C35*C17*12</f>
        <v>0</v>
      </c>
      <c r="F35" s="35"/>
    </row>
    <row r="36" spans="2:8" ht="12.75">
      <c r="B36" s="645" t="s">
        <v>350</v>
      </c>
      <c r="C36" s="262">
        <f>Assumptions!L36</f>
        <v>175</v>
      </c>
      <c r="D36" s="631">
        <f>E36/C14</f>
        <v>0.54698895603250675</v>
      </c>
      <c r="E36" s="602">
        <f>C36*12*C18</f>
        <v>52500</v>
      </c>
      <c r="F36" s="35"/>
    </row>
    <row r="37" spans="2:8" ht="13.5" thickBot="1">
      <c r="B37" s="40" t="s">
        <v>139</v>
      </c>
      <c r="C37" s="840"/>
      <c r="D37" s="840"/>
      <c r="E37" s="720">
        <f>SUM(E35:E36)</f>
        <v>52500</v>
      </c>
      <c r="F37" s="35"/>
    </row>
    <row r="38" spans="2:8" ht="14.25" thickTop="1" thickBot="1">
      <c r="B38" s="250" t="s">
        <v>140</v>
      </c>
      <c r="C38" s="44">
        <f>E38/C6</f>
        <v>31904.495652173911</v>
      </c>
      <c r="D38" s="816">
        <f>E38/D6</f>
        <v>132.93539855072464</v>
      </c>
      <c r="E38" s="815">
        <f>E33+E37</f>
        <v>3669017</v>
      </c>
      <c r="F38" s="35"/>
    </row>
    <row r="39" spans="2:8" ht="12.75">
      <c r="B39" s="10" t="s">
        <v>141</v>
      </c>
      <c r="C39" s="11" t="s">
        <v>130</v>
      </c>
      <c r="D39" s="11" t="s">
        <v>142</v>
      </c>
      <c r="E39" s="46" t="s">
        <v>170</v>
      </c>
      <c r="F39" s="817"/>
    </row>
    <row r="40" spans="2:8" ht="13.5" thickBot="1">
      <c r="B40" s="1323">
        <f>Assumptions!I17</f>
        <v>0.35</v>
      </c>
      <c r="C40" s="48">
        <f>E40/C6</f>
        <v>-4031.9999999999995</v>
      </c>
      <c r="D40" s="48">
        <f>E40/D6</f>
        <v>-16.799999999999997</v>
      </c>
      <c r="E40" s="637">
        <f>-B40*E30</f>
        <v>-463679.99999999994</v>
      </c>
      <c r="F40" s="797"/>
    </row>
    <row r="41" spans="2:8" ht="13.5" thickBot="1">
      <c r="B41" s="921" t="s">
        <v>144</v>
      </c>
      <c r="C41" s="922">
        <f>E41/C6</f>
        <v>27872.495652173911</v>
      </c>
      <c r="D41" s="923"/>
      <c r="E41" s="924">
        <f>E38+E40</f>
        <v>3205337</v>
      </c>
      <c r="F41" s="817"/>
      <c r="H41" s="1188"/>
    </row>
    <row r="42" spans="2:8" ht="13.5" thickBot="1">
      <c r="B42" s="667" t="s">
        <v>145</v>
      </c>
      <c r="C42" s="818" t="s">
        <v>338</v>
      </c>
      <c r="D42" s="50">
        <f>Assumptions!L11</f>
        <v>6.25E-2</v>
      </c>
      <c r="E42" s="587">
        <f>E41/D42</f>
        <v>51285392</v>
      </c>
      <c r="F42" s="35"/>
      <c r="H42" s="1188"/>
    </row>
    <row r="43" spans="2:8" ht="13.5" thickBot="1">
      <c r="B43" s="1639" t="s">
        <v>147</v>
      </c>
      <c r="C43" s="1640"/>
      <c r="D43" s="1641" t="str">
        <f>E2</f>
        <v>4th Street Site</v>
      </c>
      <c r="E43" s="1642"/>
      <c r="H43" s="1188"/>
    </row>
    <row r="44" spans="2:8" ht="13.5" thickBot="1">
      <c r="B44" s="693"/>
      <c r="C44" s="541" t="s">
        <v>148</v>
      </c>
      <c r="D44" s="541" t="s">
        <v>149</v>
      </c>
      <c r="E44" s="668" t="s">
        <v>130</v>
      </c>
      <c r="H44" s="1198"/>
    </row>
    <row r="45" spans="2:8" ht="12.75">
      <c r="B45" s="458" t="s">
        <v>321</v>
      </c>
      <c r="C45" s="666">
        <v>80</v>
      </c>
      <c r="D45" s="638">
        <f>C45*(D6)</f>
        <v>2208000</v>
      </c>
      <c r="E45" s="787">
        <f>D45/$C$6</f>
        <v>19200</v>
      </c>
      <c r="F45" s="72"/>
    </row>
    <row r="46" spans="2:8" ht="12.75">
      <c r="B46" s="458" t="s">
        <v>322</v>
      </c>
      <c r="C46" s="517">
        <v>200</v>
      </c>
      <c r="D46" s="638">
        <f>C46*(C11+C10)</f>
        <v>5996000</v>
      </c>
      <c r="E46" s="787">
        <f t="shared" ref="E46:E54" si="0">D46/$C$6</f>
        <v>52139.130434782608</v>
      </c>
      <c r="F46" s="72"/>
    </row>
    <row r="47" spans="2:8" ht="12.75">
      <c r="B47" s="458" t="s">
        <v>323</v>
      </c>
      <c r="C47" s="517">
        <v>200</v>
      </c>
      <c r="D47" s="638">
        <f>C47*C12</f>
        <v>5280000</v>
      </c>
      <c r="E47" s="787">
        <f t="shared" si="0"/>
        <v>45913.043478260872</v>
      </c>
      <c r="F47" s="72"/>
    </row>
    <row r="48" spans="2:8" ht="12.75">
      <c r="B48" s="458" t="s">
        <v>324</v>
      </c>
      <c r="C48" s="517">
        <v>200</v>
      </c>
      <c r="D48" s="638">
        <f>C48*C13</f>
        <v>7920000</v>
      </c>
      <c r="E48" s="787">
        <f t="shared" si="0"/>
        <v>68869.565217391311</v>
      </c>
      <c r="F48" s="72"/>
    </row>
    <row r="49" spans="2:8" ht="12.75">
      <c r="B49" s="458" t="s">
        <v>151</v>
      </c>
      <c r="C49" s="513">
        <f>Assumptions!L29</f>
        <v>30000</v>
      </c>
      <c r="D49" s="263">
        <f>C49*C19</f>
        <v>750000</v>
      </c>
      <c r="E49" s="787">
        <f t="shared" si="0"/>
        <v>6521.739130434783</v>
      </c>
      <c r="F49" s="72"/>
    </row>
    <row r="50" spans="2:8" ht="12.75">
      <c r="B50" s="458" t="s">
        <v>19</v>
      </c>
      <c r="C50" s="514">
        <v>0.08</v>
      </c>
      <c r="D50" s="263">
        <f>C50 *SUM(D45:D49)</f>
        <v>1772320</v>
      </c>
      <c r="E50" s="787">
        <f t="shared" si="0"/>
        <v>15411.478260869566</v>
      </c>
      <c r="F50" s="72"/>
    </row>
    <row r="51" spans="2:8" ht="12.75">
      <c r="B51" s="458" t="s">
        <v>5</v>
      </c>
      <c r="C51" s="639">
        <v>7</v>
      </c>
      <c r="D51" s="638">
        <f>18000*C51</f>
        <v>126000</v>
      </c>
      <c r="E51" s="787">
        <f t="shared" si="0"/>
        <v>1095.6521739130435</v>
      </c>
      <c r="F51" s="72"/>
    </row>
    <row r="52" spans="2:8" ht="12.75">
      <c r="B52" s="458" t="s">
        <v>152</v>
      </c>
      <c r="C52" s="641" t="s">
        <v>153</v>
      </c>
      <c r="D52" s="638">
        <v>10000000</v>
      </c>
      <c r="E52" s="787">
        <f t="shared" si="0"/>
        <v>86956.521739130432</v>
      </c>
      <c r="F52" s="72"/>
    </row>
    <row r="53" spans="2:8" ht="12.75">
      <c r="B53" s="458" t="s">
        <v>20</v>
      </c>
      <c r="C53" s="1362">
        <v>1500</v>
      </c>
      <c r="D53" s="638">
        <f>C6*C53</f>
        <v>172500</v>
      </c>
      <c r="E53" s="787">
        <f t="shared" si="0"/>
        <v>1500</v>
      </c>
      <c r="F53" s="72"/>
    </row>
    <row r="54" spans="2:8" ht="12.75">
      <c r="B54" s="458" t="s">
        <v>154</v>
      </c>
      <c r="C54" s="519" t="s">
        <v>155</v>
      </c>
      <c r="D54" s="638">
        <f>'Development Program'!H20</f>
        <v>250000</v>
      </c>
      <c r="E54" s="787">
        <f t="shared" si="0"/>
        <v>2173.913043478261</v>
      </c>
      <c r="F54" s="72"/>
    </row>
    <row r="55" spans="2:8" ht="12.75">
      <c r="B55" s="712" t="s">
        <v>23</v>
      </c>
      <c r="C55" s="642" t="s">
        <v>24</v>
      </c>
      <c r="D55" s="263">
        <v>300000</v>
      </c>
      <c r="E55" s="602">
        <f t="shared" ref="E55:E56" si="1">D55/$C$6</f>
        <v>2608.695652173913</v>
      </c>
      <c r="F55" s="72"/>
    </row>
    <row r="56" spans="2:8" ht="12.75">
      <c r="B56" s="712" t="s">
        <v>25</v>
      </c>
      <c r="C56" s="520">
        <v>0.01</v>
      </c>
      <c r="D56" s="263">
        <f>C56*D52</f>
        <v>100000</v>
      </c>
      <c r="E56" s="602">
        <f t="shared" si="1"/>
        <v>869.56521739130437</v>
      </c>
      <c r="F56" s="72"/>
    </row>
    <row r="57" spans="2:8" ht="12.75">
      <c r="B57" s="712" t="s">
        <v>26</v>
      </c>
      <c r="C57" s="1495">
        <v>2.5000000000000001E-2</v>
      </c>
      <c r="D57" s="263">
        <f>C57*(SUM($D$45:$D$48))</f>
        <v>535100</v>
      </c>
      <c r="E57" s="602">
        <f>D57/$C$6</f>
        <v>4653.04347826087</v>
      </c>
      <c r="F57" s="72"/>
    </row>
    <row r="58" spans="2:8" ht="12.75">
      <c r="B58" s="712" t="s">
        <v>27</v>
      </c>
      <c r="C58" s="1494">
        <v>5.0000000000000001E-3</v>
      </c>
      <c r="D58" s="263">
        <f>C58*(SUM($D$45:$D$57))</f>
        <v>177049.60000000001</v>
      </c>
      <c r="E58" s="602">
        <f>D58/$C$6</f>
        <v>1539.5617391304349</v>
      </c>
      <c r="F58" s="72"/>
    </row>
    <row r="59" spans="2:8" ht="12.75">
      <c r="B59" s="712" t="s">
        <v>28</v>
      </c>
      <c r="C59" s="515">
        <v>0.02</v>
      </c>
      <c r="D59" s="263">
        <f>C59*(SUM($D$45:$D$50))</f>
        <v>478526.4</v>
      </c>
      <c r="E59" s="602">
        <f t="shared" ref="E59:E69" si="2">D59/$C$6</f>
        <v>4161.0991304347826</v>
      </c>
      <c r="F59" s="72"/>
    </row>
    <row r="60" spans="2:8" ht="12.75">
      <c r="B60" s="712" t="s">
        <v>398</v>
      </c>
      <c r="C60" s="1180">
        <v>9.0500000000000008E-3</v>
      </c>
      <c r="D60" s="263">
        <f>C60*D52*2</f>
        <v>181000.00000000003</v>
      </c>
      <c r="E60" s="602">
        <f t="shared" si="2"/>
        <v>1573.9130434782612</v>
      </c>
      <c r="F60" s="72"/>
    </row>
    <row r="61" spans="2:8" ht="12.75" customHeight="1">
      <c r="B61" s="712" t="s">
        <v>30</v>
      </c>
      <c r="C61" s="639">
        <v>1</v>
      </c>
      <c r="D61" s="263">
        <f>C61*C14</f>
        <v>95980</v>
      </c>
      <c r="E61" s="602">
        <f t="shared" si="2"/>
        <v>834.60869565217388</v>
      </c>
      <c r="F61" s="72"/>
      <c r="G61" s="524"/>
      <c r="H61" s="1198"/>
    </row>
    <row r="62" spans="2:8" ht="12.95" customHeight="1">
      <c r="B62" s="712" t="s">
        <v>31</v>
      </c>
      <c r="C62" s="639">
        <v>2</v>
      </c>
      <c r="D62" s="263">
        <f>C62*C14</f>
        <v>191960</v>
      </c>
      <c r="E62" s="602">
        <f t="shared" si="2"/>
        <v>1669.2173913043478</v>
      </c>
      <c r="F62" s="72"/>
      <c r="G62" s="524"/>
      <c r="H62" s="1320"/>
    </row>
    <row r="63" spans="2:8" ht="12.95" customHeight="1">
      <c r="B63" s="712" t="s">
        <v>32</v>
      </c>
      <c r="C63" s="516">
        <v>6</v>
      </c>
      <c r="D63" s="263">
        <f>-C63*E40/12</f>
        <v>231839.99999999997</v>
      </c>
      <c r="E63" s="602">
        <f t="shared" si="2"/>
        <v>2015.9999999999998</v>
      </c>
      <c r="F63" s="72"/>
      <c r="G63" s="524"/>
      <c r="H63" s="1320"/>
    </row>
    <row r="64" spans="2:8" ht="12.75">
      <c r="B64" s="712" t="s">
        <v>227</v>
      </c>
      <c r="C64" s="1189">
        <v>0.1</v>
      </c>
      <c r="D64" s="263">
        <f ca="1">D68*C64</f>
        <v>97547.869072258298</v>
      </c>
      <c r="E64" s="602">
        <f t="shared" ca="1" si="2"/>
        <v>848.2423397587678</v>
      </c>
      <c r="F64" s="72"/>
    </row>
    <row r="65" spans="2:6" ht="12.75">
      <c r="B65" s="712" t="s">
        <v>33</v>
      </c>
      <c r="C65" s="784">
        <v>75</v>
      </c>
      <c r="D65" s="263">
        <f>C65*C14</f>
        <v>7198500</v>
      </c>
      <c r="E65" s="602">
        <f t="shared" si="2"/>
        <v>62595.65217391304</v>
      </c>
      <c r="F65" s="72"/>
    </row>
    <row r="66" spans="2:6" ht="12.75">
      <c r="B66" s="712" t="s">
        <v>411</v>
      </c>
      <c r="C66" s="522">
        <v>0.06</v>
      </c>
      <c r="D66" s="263">
        <f>C66*E14*5</f>
        <v>744618</v>
      </c>
      <c r="E66" s="602">
        <f t="shared" si="2"/>
        <v>6474.9391304347828</v>
      </c>
      <c r="F66" s="72"/>
    </row>
    <row r="67" spans="2:6" ht="12.75">
      <c r="B67" s="712" t="s">
        <v>35</v>
      </c>
      <c r="C67" s="523">
        <v>1.4999999999999999E-2</v>
      </c>
      <c r="D67" s="263">
        <f ca="1">C67*C81</f>
        <v>209031.148011982</v>
      </c>
      <c r="E67" s="602">
        <f t="shared" ca="1" si="2"/>
        <v>1817.6621566259305</v>
      </c>
      <c r="F67" s="72"/>
    </row>
    <row r="68" spans="2:6" ht="12.75">
      <c r="B68" s="713" t="s">
        <v>36</v>
      </c>
      <c r="C68" s="640">
        <v>7.0000000000000007E-2</v>
      </c>
      <c r="D68" s="263">
        <f ca="1">C68*C81</f>
        <v>975478.69072258286</v>
      </c>
      <c r="E68" s="602">
        <f t="shared" ca="1" si="2"/>
        <v>8482.4233975876778</v>
      </c>
      <c r="F68" s="72"/>
    </row>
    <row r="69" spans="2:6" ht="13.5" thickBot="1">
      <c r="B69" s="714" t="s">
        <v>159</v>
      </c>
      <c r="C69" s="1034">
        <v>0.01</v>
      </c>
      <c r="D69" s="751">
        <f ca="1">C69*SUM(D45:D68)</f>
        <v>459914.51707806828</v>
      </c>
      <c r="E69" s="475">
        <f t="shared" ca="1" si="2"/>
        <v>3999.2566702440722</v>
      </c>
      <c r="F69" s="72"/>
    </row>
    <row r="70" spans="2:6" ht="14.25" thickTop="1" thickBot="1">
      <c r="B70" s="748" t="s">
        <v>160</v>
      </c>
      <c r="C70" s="749"/>
      <c r="D70" s="44">
        <f ca="1">SUM(D45:D69)</f>
        <v>46451366.224884897</v>
      </c>
      <c r="E70" s="750">
        <f ca="1">ROUND(D70/$C$6,-3)</f>
        <v>404000</v>
      </c>
      <c r="F70" s="72"/>
    </row>
    <row r="71" spans="2:6" ht="15" customHeight="1">
      <c r="B71" s="926" t="s">
        <v>161</v>
      </c>
      <c r="C71" s="927">
        <f ca="1">E41/D70</f>
        <v>6.9004149081041216E-2</v>
      </c>
      <c r="F71" s="72"/>
    </row>
    <row r="72" spans="2:6" ht="12.75">
      <c r="B72" s="272" t="s">
        <v>162</v>
      </c>
      <c r="C72" s="273">
        <f ca="1">(E42/D70)-1</f>
        <v>0.10406638529665946</v>
      </c>
      <c r="D72" s="59"/>
      <c r="E72" s="60"/>
      <c r="F72" s="72"/>
    </row>
    <row r="73" spans="2:6" ht="13.5" thickBot="1">
      <c r="B73" s="925">
        <v>0.2</v>
      </c>
      <c r="C73" s="275">
        <f>(E42/(1+B73))</f>
        <v>42737826.666666672</v>
      </c>
      <c r="F73" s="72"/>
    </row>
    <row r="74" spans="2:6" ht="13.5" thickBot="1">
      <c r="B74" s="928">
        <v>0.2</v>
      </c>
      <c r="C74" s="275">
        <f ca="1">ROUND((E42/(1+B74))-D70,-3)</f>
        <v>-3714000</v>
      </c>
      <c r="D74" s="61" t="s">
        <v>163</v>
      </c>
    </row>
    <row r="75" spans="2:6" ht="13.5" thickBot="1">
      <c r="B75" s="62"/>
      <c r="C75" s="63"/>
    </row>
    <row r="76" spans="2:6" ht="12.75">
      <c r="B76" s="1643" t="s">
        <v>164</v>
      </c>
      <c r="C76" s="1644"/>
      <c r="D76" s="932" t="str">
        <f>E2</f>
        <v>4th Street Site</v>
      </c>
    </row>
    <row r="77" spans="2:6" ht="12.75">
      <c r="B77" s="753"/>
      <c r="C77" s="198" t="s">
        <v>165</v>
      </c>
      <c r="D77" s="754" t="s">
        <v>130</v>
      </c>
    </row>
    <row r="78" spans="2:6" ht="12.75">
      <c r="B78" s="933" t="s">
        <v>352</v>
      </c>
      <c r="C78" s="280">
        <f ca="1">IF(C74&lt;0,C74,0)</f>
        <v>-3714000</v>
      </c>
      <c r="D78" s="671">
        <f ca="1">C78/C6</f>
        <v>-32295.652173913044</v>
      </c>
    </row>
    <row r="79" spans="2:6" ht="15" customHeight="1">
      <c r="B79" s="933" t="s">
        <v>351</v>
      </c>
      <c r="C79" s="280">
        <f ca="1">D70+C78</f>
        <v>42737366.224884897</v>
      </c>
      <c r="D79" s="671">
        <f ca="1">C79/C6</f>
        <v>371629.27152073826</v>
      </c>
    </row>
    <row r="80" spans="2:6" ht="15" customHeight="1">
      <c r="B80" s="933" t="s">
        <v>598</v>
      </c>
      <c r="C80" s="1452">
        <f ca="1">-C78</f>
        <v>3714000</v>
      </c>
      <c r="D80" s="671">
        <f ca="1">C80/C6</f>
        <v>32295.652173913044</v>
      </c>
    </row>
    <row r="81" spans="2:6" ht="12.75">
      <c r="B81" s="936">
        <f>Assumptions!L19</f>
        <v>0.3</v>
      </c>
      <c r="C81" s="669">
        <f ca="1">B81*D$70</f>
        <v>13935409.867465468</v>
      </c>
      <c r="D81" s="672">
        <f ca="1">C81/C6</f>
        <v>121177.47710839538</v>
      </c>
    </row>
    <row r="82" spans="2:6" ht="13.5" thickBot="1">
      <c r="B82" s="934">
        <f>1-B81</f>
        <v>0.7</v>
      </c>
      <c r="C82" s="670">
        <f ca="1">B82*D$70-C80</f>
        <v>28801956.357419427</v>
      </c>
      <c r="D82" s="282">
        <f ca="1">C82/C6</f>
        <v>250451.79441234286</v>
      </c>
      <c r="E82" s="60"/>
    </row>
    <row r="83" spans="2:6" ht="14.25" thickTop="1" thickBot="1">
      <c r="B83" s="935" t="s">
        <v>168</v>
      </c>
      <c r="C83" s="929">
        <f ca="1">C81+C82+C80</f>
        <v>46451366.224884897</v>
      </c>
      <c r="D83" s="930">
        <f ca="1">ROUND((D82+D81),-3)</f>
        <v>372000</v>
      </c>
    </row>
    <row r="84" spans="2:6" ht="13.5" thickBot="1">
      <c r="B84" s="615"/>
      <c r="C84" s="615"/>
      <c r="D84" s="615"/>
      <c r="F84" s="70"/>
    </row>
    <row r="85" spans="2:6" ht="13.5" thickBot="1">
      <c r="B85" s="938" t="s">
        <v>169</v>
      </c>
      <c r="C85" s="931" t="str">
        <f>E2</f>
        <v>4th Street Site</v>
      </c>
    </row>
    <row r="86" spans="2:6" ht="13.5" thickBot="1">
      <c r="B86" s="68"/>
      <c r="C86" s="939" t="s">
        <v>170</v>
      </c>
      <c r="D86" s="597"/>
    </row>
    <row r="87" spans="2:6" ht="12.75">
      <c r="B87" s="940" t="s">
        <v>171</v>
      </c>
      <c r="C87" s="941">
        <f>E42</f>
        <v>51285392</v>
      </c>
      <c r="D87" s="791"/>
    </row>
    <row r="88" spans="2:6" ht="13.5" thickBot="1">
      <c r="B88" s="937">
        <f>Assumptions!L14</f>
        <v>0.03</v>
      </c>
      <c r="C88" s="289">
        <f>-B88*C87</f>
        <v>-1538561.76</v>
      </c>
      <c r="D88" s="791"/>
    </row>
    <row r="89" spans="2:6" ht="14.25" thickTop="1" thickBot="1">
      <c r="B89" s="291" t="s">
        <v>172</v>
      </c>
      <c r="C89" s="178">
        <f>C87+C88</f>
        <v>49746830.240000002</v>
      </c>
      <c r="D89" s="791"/>
    </row>
    <row r="90" spans="2:6" ht="12.75">
      <c r="B90" s="940" t="s">
        <v>173</v>
      </c>
      <c r="C90" s="941">
        <f ca="1">-C81</f>
        <v>-13935409.867465468</v>
      </c>
      <c r="D90" s="791"/>
    </row>
    <row r="91" spans="2:6" ht="13.5" thickBot="1">
      <c r="B91" s="292" t="s">
        <v>174</v>
      </c>
      <c r="C91" s="293">
        <f ca="1">-C82</f>
        <v>-28801956.357419427</v>
      </c>
      <c r="D91" s="791"/>
    </row>
    <row r="92" spans="2:6" ht="14.25" thickTop="1" thickBot="1">
      <c r="B92" s="87" t="s">
        <v>175</v>
      </c>
      <c r="C92" s="179">
        <f ca="1">ROUND(C89+C90+C91,-2)</f>
        <v>7009500</v>
      </c>
      <c r="D92" s="792"/>
      <c r="E92" s="72"/>
    </row>
    <row r="93" spans="2:6" ht="13.5" thickBot="1">
      <c r="B93" s="761" t="s">
        <v>176</v>
      </c>
      <c r="C93" s="717"/>
      <c r="D93" s="793"/>
    </row>
    <row r="94" spans="2:6" ht="12.75">
      <c r="B94" s="294" t="s">
        <v>177</v>
      </c>
      <c r="C94" s="295">
        <f>ROUND((C87)/C$6,-2)</f>
        <v>446000</v>
      </c>
      <c r="D94" s="794"/>
    </row>
    <row r="95" spans="2:6" ht="13.5" thickBot="1">
      <c r="B95" s="296" t="s">
        <v>178</v>
      </c>
      <c r="C95" s="297">
        <f>ROUND((C89)/C$6,-2)</f>
        <v>432600</v>
      </c>
      <c r="D95" s="795"/>
    </row>
    <row r="96" spans="2:6" ht="13.5" thickBot="1">
      <c r="B96" s="942" t="s">
        <v>179</v>
      </c>
      <c r="C96" s="943"/>
      <c r="D96" s="793"/>
    </row>
    <row r="97" spans="2:5" ht="12.75">
      <c r="B97" s="74"/>
      <c r="C97" s="939" t="s">
        <v>170</v>
      </c>
      <c r="D97" s="597"/>
    </row>
    <row r="98" spans="2:5" ht="12.75">
      <c r="B98" s="298" t="s">
        <v>180</v>
      </c>
      <c r="C98" s="299">
        <f ca="1">(C92+C82)/C82</f>
        <v>1.2433688848429334</v>
      </c>
      <c r="D98" s="790"/>
    </row>
    <row r="99" spans="2:5" ht="12.75">
      <c r="B99" s="300" t="s">
        <v>330</v>
      </c>
      <c r="C99" s="606">
        <f ca="1">'4th Street Draw'!B48</f>
        <v>0</v>
      </c>
      <c r="D99" s="796"/>
      <c r="E99" s="75"/>
    </row>
    <row r="100" spans="2:5" ht="12.75">
      <c r="B100" s="300" t="s">
        <v>181</v>
      </c>
      <c r="C100" s="606">
        <f ca="1">'4th Street Draw'!B43</f>
        <v>0.10118808233816745</v>
      </c>
      <c r="D100" s="796"/>
      <c r="E100" s="75"/>
    </row>
    <row r="101" spans="2:5" ht="12.75">
      <c r="B101" s="298" t="s">
        <v>182</v>
      </c>
      <c r="C101" s="301">
        <f ca="1">E41/C81</f>
        <v>0.23001383027013739</v>
      </c>
      <c r="D101" s="797"/>
    </row>
    <row r="102" spans="2:5" ht="13.5" thickBot="1">
      <c r="B102" s="764" t="s">
        <v>183</v>
      </c>
      <c r="C102" s="799">
        <f>D42</f>
        <v>6.25E-2</v>
      </c>
      <c r="D102" s="798"/>
    </row>
  </sheetData>
  <mergeCells count="9">
    <mergeCell ref="C32:D32"/>
    <mergeCell ref="B43:C43"/>
    <mergeCell ref="D43:E43"/>
    <mergeCell ref="B76:C76"/>
    <mergeCell ref="B2:D2"/>
    <mergeCell ref="E2:F2"/>
    <mergeCell ref="B28:C28"/>
    <mergeCell ref="C33:D33"/>
    <mergeCell ref="D16:F19"/>
  </mergeCells>
  <pageMargins left="0.7" right="0.7" top="0.75" bottom="0.75" header="0.3" footer="0.3"/>
  <pageSetup orientation="portrait" r:id="rId1"/>
  <ignoredErrors>
    <ignoredError sqref="D14" formula="1"/>
    <ignoredError sqref="B88"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D1097-0A18-4FA0-BE19-CE96BAD87478}">
  <sheetPr>
    <tabColor rgb="FF0070C0"/>
  </sheetPr>
  <dimension ref="A1:AR605"/>
  <sheetViews>
    <sheetView topLeftCell="C2" workbookViewId="0">
      <selection activeCell="B45" sqref="B45"/>
    </sheetView>
  </sheetViews>
  <sheetFormatPr defaultColWidth="8.85546875" defaultRowHeight="15"/>
  <cols>
    <col min="1" max="1" width="39.7109375" style="7" customWidth="1"/>
    <col min="2" max="2" width="18.140625" style="7" customWidth="1"/>
    <col min="3" max="3" width="17.85546875" style="7" customWidth="1"/>
    <col min="4" max="5" width="15.28515625" style="7" bestFit="1" customWidth="1"/>
    <col min="6" max="6" width="16.28515625" style="7" bestFit="1" customWidth="1"/>
    <col min="7" max="7" width="12.140625" style="89" customWidth="1"/>
    <col min="8" max="8" width="18.42578125" style="7" customWidth="1"/>
    <col min="9" max="9" width="18.5703125" style="7" customWidth="1"/>
    <col min="10" max="10" width="12.28515625" style="7" bestFit="1" customWidth="1"/>
    <col min="11" max="12" width="11.7109375" style="7" bestFit="1" customWidth="1"/>
    <col min="13" max="13" width="16" style="7" bestFit="1" customWidth="1"/>
    <col min="14" max="14" width="14.7109375" style="7" bestFit="1" customWidth="1"/>
    <col min="15" max="15" width="13.28515625" style="7" bestFit="1" customWidth="1"/>
    <col min="16" max="16" width="17.5703125" style="7" bestFit="1" customWidth="1"/>
    <col min="17" max="41" width="17" style="7" customWidth="1"/>
    <col min="42" max="42" width="16.5703125" style="7" customWidth="1"/>
    <col min="43" max="43" width="15" customWidth="1"/>
    <col min="44" max="44" width="17.85546875" bestFit="1" customWidth="1"/>
    <col min="45" max="45" width="9.5703125" style="7" bestFit="1" customWidth="1"/>
    <col min="46" max="46" width="11.85546875" style="7" bestFit="1" customWidth="1"/>
    <col min="47" max="48" width="9.5703125" style="7" bestFit="1" customWidth="1"/>
    <col min="49" max="16384" width="8.85546875" style="7"/>
  </cols>
  <sheetData>
    <row r="1" spans="1:42">
      <c r="A1" s="1588" t="str">
        <f>'Development Program'!B27</f>
        <v>4th Street Site</v>
      </c>
      <c r="B1" s="156" t="s">
        <v>184</v>
      </c>
      <c r="C1" s="144" t="s">
        <v>64</v>
      </c>
      <c r="D1" s="144" t="s">
        <v>5</v>
      </c>
      <c r="E1" s="144" t="s">
        <v>65</v>
      </c>
      <c r="F1" s="144" t="s">
        <v>66</v>
      </c>
      <c r="G1" s="60"/>
    </row>
    <row r="2" spans="1:42" ht="41.45" customHeight="1" thickBot="1">
      <c r="A2" s="1575"/>
      <c r="B2" s="303" t="s">
        <v>185</v>
      </c>
      <c r="C2" s="304" t="str">
        <f>'Development Program'!D27</f>
        <v>01/1/28 to 12/31/28</v>
      </c>
      <c r="D2" s="304" t="str">
        <f>'Development Program'!E27</f>
        <v>1/1/29 to 6/30/29</v>
      </c>
      <c r="E2" s="304" t="str">
        <f>'Development Program'!F27</f>
        <v>7/1/29 to 6/30/31</v>
      </c>
      <c r="F2" s="304" t="str">
        <f>'Development Program'!G27</f>
        <v>7/1/31 to 12/31/31</v>
      </c>
      <c r="G2" s="7"/>
      <c r="P2" s="1577"/>
      <c r="Q2" s="1577"/>
      <c r="R2" s="1577"/>
    </row>
    <row r="3" spans="1:42" ht="41.45" customHeight="1">
      <c r="A3" s="1575"/>
      <c r="B3" s="543"/>
      <c r="C3" s="544" t="s">
        <v>325</v>
      </c>
      <c r="D3" s="545" t="s">
        <v>326</v>
      </c>
      <c r="E3" s="496" t="s">
        <v>187</v>
      </c>
      <c r="F3" s="498"/>
      <c r="G3" s="498"/>
      <c r="H3" s="497"/>
      <c r="I3" s="497"/>
      <c r="J3" s="498"/>
      <c r="K3" s="498"/>
      <c r="L3" s="498"/>
      <c r="M3" s="496" t="s">
        <v>188</v>
      </c>
      <c r="N3" s="496" t="s">
        <v>189</v>
      </c>
      <c r="O3" s="496" t="s">
        <v>190</v>
      </c>
      <c r="P3" s="478"/>
      <c r="Q3" s="478"/>
      <c r="R3" s="478"/>
    </row>
    <row r="4" spans="1:42" ht="15.75" thickBot="1">
      <c r="A4" s="1576"/>
      <c r="B4" s="92" t="s">
        <v>62</v>
      </c>
      <c r="C4" s="146">
        <v>47119</v>
      </c>
      <c r="D4" s="147">
        <f>EOMONTH(C4,3)</f>
        <v>47238</v>
      </c>
      <c r="E4" s="147">
        <f t="shared" ref="E4:O4" si="0">EOMONTH(D4,3)</f>
        <v>47330</v>
      </c>
      <c r="F4" s="185">
        <f t="shared" si="0"/>
        <v>47422</v>
      </c>
      <c r="G4" s="188">
        <f t="shared" si="0"/>
        <v>47514</v>
      </c>
      <c r="H4" s="188">
        <f t="shared" si="0"/>
        <v>47603</v>
      </c>
      <c r="I4" s="188">
        <f t="shared" si="0"/>
        <v>47695</v>
      </c>
      <c r="J4" s="188">
        <f t="shared" si="0"/>
        <v>47787</v>
      </c>
      <c r="K4" s="188">
        <f t="shared" si="0"/>
        <v>47879</v>
      </c>
      <c r="L4" s="188">
        <f t="shared" si="0"/>
        <v>47968</v>
      </c>
      <c r="M4" s="188">
        <f t="shared" si="0"/>
        <v>48060</v>
      </c>
      <c r="N4" s="188">
        <f t="shared" si="0"/>
        <v>48152</v>
      </c>
      <c r="O4" s="188">
        <f t="shared" si="0"/>
        <v>48244</v>
      </c>
      <c r="P4" s="306" t="s">
        <v>192</v>
      </c>
      <c r="Q4" s="307" t="s">
        <v>193</v>
      </c>
      <c r="R4" s="306"/>
      <c r="S4"/>
      <c r="T4"/>
      <c r="U4"/>
      <c r="V4"/>
      <c r="W4"/>
      <c r="X4"/>
      <c r="Y4"/>
      <c r="Z4"/>
      <c r="AA4"/>
      <c r="AB4"/>
      <c r="AC4"/>
      <c r="AD4"/>
      <c r="AE4"/>
      <c r="AF4"/>
      <c r="AG4"/>
      <c r="AH4"/>
      <c r="AI4"/>
      <c r="AJ4"/>
      <c r="AK4"/>
      <c r="AL4"/>
      <c r="AM4"/>
      <c r="AN4"/>
      <c r="AO4"/>
      <c r="AP4"/>
    </row>
    <row r="5" spans="1:42" ht="15.75" thickBot="1">
      <c r="A5" s="308" t="s">
        <v>194</v>
      </c>
      <c r="B5" s="309">
        <v>1</v>
      </c>
      <c r="C5" s="181">
        <v>0</v>
      </c>
      <c r="D5" s="181">
        <v>0</v>
      </c>
      <c r="E5" s="181">
        <v>0.05</v>
      </c>
      <c r="F5" s="181">
        <v>0.05</v>
      </c>
      <c r="G5" s="180">
        <v>0.05</v>
      </c>
      <c r="H5" s="180">
        <v>0.1</v>
      </c>
      <c r="I5" s="180">
        <v>0.1</v>
      </c>
      <c r="J5" s="180">
        <v>0.2</v>
      </c>
      <c r="K5" s="180">
        <v>0.15</v>
      </c>
      <c r="L5" s="180">
        <v>0.1</v>
      </c>
      <c r="M5" s="180">
        <v>0.1</v>
      </c>
      <c r="N5" s="180">
        <v>0.1</v>
      </c>
      <c r="O5" s="180">
        <v>0</v>
      </c>
      <c r="P5" s="454">
        <f t="shared" ref="P5:P24" si="1">SUM(C5:O5)</f>
        <v>1</v>
      </c>
      <c r="Q5" s="455"/>
      <c r="R5" s="456" t="s">
        <v>195</v>
      </c>
      <c r="S5"/>
      <c r="T5"/>
      <c r="U5"/>
      <c r="V5"/>
      <c r="W5"/>
      <c r="X5"/>
      <c r="Y5"/>
      <c r="Z5"/>
      <c r="AA5"/>
      <c r="AB5"/>
      <c r="AC5"/>
      <c r="AD5"/>
      <c r="AE5"/>
      <c r="AF5"/>
      <c r="AG5"/>
      <c r="AH5"/>
      <c r="AI5"/>
      <c r="AJ5"/>
      <c r="AK5"/>
      <c r="AL5"/>
      <c r="AM5"/>
      <c r="AN5"/>
      <c r="AO5"/>
      <c r="AP5"/>
    </row>
    <row r="6" spans="1:42">
      <c r="A6" s="52" t="str">
        <f>'4th Street Financial '!B45</f>
        <v>Hard Costs for Construction (Renovate SRO)</v>
      </c>
      <c r="B6" s="313">
        <f>'4th Street Financial '!D45</f>
        <v>2208000</v>
      </c>
      <c r="C6" s="314">
        <f>$B6*C$5</f>
        <v>0</v>
      </c>
      <c r="D6" s="314">
        <f t="shared" ref="D6:O21" si="2">$B6*D$5</f>
        <v>0</v>
      </c>
      <c r="E6" s="314">
        <f t="shared" si="2"/>
        <v>110400</v>
      </c>
      <c r="F6" s="314">
        <f t="shared" si="2"/>
        <v>110400</v>
      </c>
      <c r="G6" s="314">
        <f t="shared" si="2"/>
        <v>110400</v>
      </c>
      <c r="H6" s="314">
        <f t="shared" si="2"/>
        <v>220800</v>
      </c>
      <c r="I6" s="314">
        <f t="shared" si="2"/>
        <v>220800</v>
      </c>
      <c r="J6" s="314">
        <f t="shared" si="2"/>
        <v>441600</v>
      </c>
      <c r="K6" s="314">
        <f t="shared" si="2"/>
        <v>331200</v>
      </c>
      <c r="L6" s="314">
        <f t="shared" si="2"/>
        <v>220800</v>
      </c>
      <c r="M6" s="314">
        <f t="shared" si="2"/>
        <v>220800</v>
      </c>
      <c r="N6" s="314">
        <f t="shared" si="2"/>
        <v>220800</v>
      </c>
      <c r="O6" s="314">
        <f t="shared" si="2"/>
        <v>0</v>
      </c>
      <c r="P6" s="315">
        <f t="shared" si="1"/>
        <v>2208000</v>
      </c>
      <c r="Q6" s="315">
        <f t="shared" ref="Q6:Q24" si="3">B6</f>
        <v>2208000</v>
      </c>
      <c r="R6" s="315">
        <f>Q6-P6</f>
        <v>0</v>
      </c>
      <c r="S6"/>
      <c r="T6"/>
      <c r="U6"/>
      <c r="V6"/>
      <c r="W6"/>
      <c r="X6"/>
      <c r="Y6"/>
      <c r="Z6"/>
      <c r="AA6"/>
      <c r="AB6"/>
      <c r="AC6"/>
      <c r="AD6"/>
      <c r="AE6"/>
      <c r="AF6"/>
      <c r="AG6"/>
      <c r="AH6"/>
      <c r="AI6"/>
      <c r="AJ6"/>
      <c r="AK6"/>
      <c r="AL6"/>
      <c r="AM6"/>
      <c r="AN6"/>
      <c r="AO6"/>
      <c r="AP6"/>
    </row>
    <row r="7" spans="1:42">
      <c r="A7" s="52" t="str">
        <f>'4th Street Financial '!B46</f>
        <v>Hard Costs for Construction Retail</v>
      </c>
      <c r="B7" s="313">
        <f>'4th Street Financial '!D46</f>
        <v>5996000</v>
      </c>
      <c r="C7" s="314">
        <f t="shared" ref="C7:O30" si="4">$B7*C$5</f>
        <v>0</v>
      </c>
      <c r="D7" s="314">
        <f t="shared" si="2"/>
        <v>0</v>
      </c>
      <c r="E7" s="314">
        <f t="shared" si="2"/>
        <v>299800</v>
      </c>
      <c r="F7" s="314">
        <f t="shared" si="2"/>
        <v>299800</v>
      </c>
      <c r="G7" s="314">
        <f t="shared" si="2"/>
        <v>299800</v>
      </c>
      <c r="H7" s="314">
        <f t="shared" si="2"/>
        <v>599600</v>
      </c>
      <c r="I7" s="314">
        <f t="shared" si="2"/>
        <v>599600</v>
      </c>
      <c r="J7" s="314">
        <f t="shared" si="2"/>
        <v>1199200</v>
      </c>
      <c r="K7" s="314">
        <f t="shared" si="2"/>
        <v>899400</v>
      </c>
      <c r="L7" s="314">
        <f t="shared" si="2"/>
        <v>599600</v>
      </c>
      <c r="M7" s="314">
        <f t="shared" si="2"/>
        <v>599600</v>
      </c>
      <c r="N7" s="314">
        <f t="shared" si="2"/>
        <v>599600</v>
      </c>
      <c r="O7" s="314">
        <f t="shared" si="2"/>
        <v>0</v>
      </c>
      <c r="P7" s="315">
        <f t="shared" si="1"/>
        <v>5996000</v>
      </c>
      <c r="Q7" s="315">
        <f t="shared" si="3"/>
        <v>5996000</v>
      </c>
      <c r="R7" s="315">
        <f t="shared" ref="R7:R24" si="5">Q7-P7</f>
        <v>0</v>
      </c>
      <c r="S7"/>
      <c r="T7"/>
      <c r="U7"/>
      <c r="V7"/>
      <c r="W7"/>
      <c r="X7"/>
      <c r="Y7"/>
      <c r="Z7"/>
      <c r="AA7"/>
      <c r="AB7"/>
      <c r="AC7"/>
      <c r="AD7"/>
      <c r="AE7"/>
      <c r="AF7"/>
      <c r="AG7"/>
      <c r="AH7"/>
      <c r="AI7"/>
      <c r="AJ7"/>
      <c r="AK7"/>
      <c r="AL7"/>
      <c r="AM7"/>
      <c r="AN7"/>
      <c r="AO7"/>
      <c r="AP7"/>
    </row>
    <row r="8" spans="1:42" ht="26.25">
      <c r="A8" s="52" t="str">
        <f>'4th Street Financial '!B47</f>
        <v>Hard Costs for Construction Office/Commercial</v>
      </c>
      <c r="B8" s="313">
        <f>'4th Street Financial '!D47</f>
        <v>5280000</v>
      </c>
      <c r="C8" s="314">
        <f t="shared" si="4"/>
        <v>0</v>
      </c>
      <c r="D8" s="314">
        <f t="shared" si="2"/>
        <v>0</v>
      </c>
      <c r="E8" s="314">
        <f t="shared" si="2"/>
        <v>264000</v>
      </c>
      <c r="F8" s="314">
        <f t="shared" si="2"/>
        <v>264000</v>
      </c>
      <c r="G8" s="314">
        <f t="shared" si="2"/>
        <v>264000</v>
      </c>
      <c r="H8" s="314">
        <f t="shared" si="2"/>
        <v>528000</v>
      </c>
      <c r="I8" s="314">
        <f t="shared" si="2"/>
        <v>528000</v>
      </c>
      <c r="J8" s="314">
        <f t="shared" si="2"/>
        <v>1056000</v>
      </c>
      <c r="K8" s="314">
        <f t="shared" si="2"/>
        <v>792000</v>
      </c>
      <c r="L8" s="314">
        <f t="shared" si="2"/>
        <v>528000</v>
      </c>
      <c r="M8" s="314">
        <f t="shared" si="2"/>
        <v>528000</v>
      </c>
      <c r="N8" s="314">
        <f t="shared" si="2"/>
        <v>528000</v>
      </c>
      <c r="O8" s="314">
        <f t="shared" si="2"/>
        <v>0</v>
      </c>
      <c r="P8" s="315">
        <f t="shared" si="1"/>
        <v>5280000</v>
      </c>
      <c r="Q8" s="315">
        <f t="shared" si="3"/>
        <v>5280000</v>
      </c>
      <c r="R8" s="315">
        <f t="shared" si="5"/>
        <v>0</v>
      </c>
      <c r="S8"/>
      <c r="T8"/>
      <c r="U8"/>
      <c r="V8"/>
      <c r="W8"/>
      <c r="X8"/>
      <c r="Y8"/>
      <c r="Z8"/>
      <c r="AA8"/>
      <c r="AB8"/>
      <c r="AC8"/>
      <c r="AD8"/>
      <c r="AE8"/>
      <c r="AF8"/>
      <c r="AG8"/>
      <c r="AH8"/>
      <c r="AI8"/>
      <c r="AJ8"/>
      <c r="AK8"/>
      <c r="AL8"/>
      <c r="AM8"/>
      <c r="AN8"/>
      <c r="AO8"/>
      <c r="AP8"/>
    </row>
    <row r="9" spans="1:42">
      <c r="A9" s="52" t="str">
        <f>'4th Street Financial '!B48</f>
        <v>Hard Costs for Industrial</v>
      </c>
      <c r="B9" s="313">
        <f>'4th Street Financial '!D48</f>
        <v>7920000</v>
      </c>
      <c r="C9" s="314">
        <f>B9</f>
        <v>7920000</v>
      </c>
      <c r="D9" s="314">
        <v>0</v>
      </c>
      <c r="E9" s="314">
        <v>0</v>
      </c>
      <c r="F9" s="314">
        <v>0</v>
      </c>
      <c r="G9" s="314">
        <v>0</v>
      </c>
      <c r="H9" s="314">
        <v>0</v>
      </c>
      <c r="I9" s="314">
        <v>0</v>
      </c>
      <c r="J9" s="314">
        <v>0</v>
      </c>
      <c r="K9" s="314">
        <v>0</v>
      </c>
      <c r="L9" s="314">
        <v>0</v>
      </c>
      <c r="M9" s="314">
        <v>0</v>
      </c>
      <c r="N9" s="314">
        <v>0</v>
      </c>
      <c r="O9" s="314">
        <v>0</v>
      </c>
      <c r="P9" s="315">
        <f t="shared" si="1"/>
        <v>7920000</v>
      </c>
      <c r="Q9" s="315">
        <f t="shared" si="3"/>
        <v>7920000</v>
      </c>
      <c r="R9" s="315">
        <f t="shared" si="5"/>
        <v>0</v>
      </c>
      <c r="S9"/>
      <c r="T9"/>
      <c r="U9"/>
      <c r="V9"/>
      <c r="W9"/>
      <c r="X9"/>
      <c r="Y9"/>
      <c r="Z9"/>
      <c r="AA9"/>
      <c r="AB9"/>
      <c r="AC9"/>
      <c r="AD9"/>
      <c r="AE9"/>
      <c r="AF9"/>
      <c r="AG9"/>
      <c r="AH9"/>
      <c r="AI9"/>
      <c r="AJ9"/>
      <c r="AK9"/>
      <c r="AL9"/>
      <c r="AM9"/>
      <c r="AN9"/>
      <c r="AO9"/>
      <c r="AP9"/>
    </row>
    <row r="10" spans="1:42">
      <c r="A10" s="52" t="str">
        <f>'4th Street Financial '!B49</f>
        <v>Parking stalls</v>
      </c>
      <c r="B10" s="313">
        <f>'4th Street Financial '!D49</f>
        <v>750000</v>
      </c>
      <c r="C10" s="314">
        <f>B10</f>
        <v>750000</v>
      </c>
      <c r="D10" s="314">
        <v>0</v>
      </c>
      <c r="E10" s="314">
        <v>0</v>
      </c>
      <c r="F10" s="314">
        <v>0</v>
      </c>
      <c r="G10" s="314">
        <v>0</v>
      </c>
      <c r="H10" s="314">
        <v>0</v>
      </c>
      <c r="I10" s="314">
        <v>0</v>
      </c>
      <c r="J10" s="314">
        <v>0</v>
      </c>
      <c r="K10" s="314">
        <v>0</v>
      </c>
      <c r="L10" s="314">
        <v>0</v>
      </c>
      <c r="M10" s="314">
        <v>0</v>
      </c>
      <c r="N10" s="314">
        <v>0</v>
      </c>
      <c r="O10" s="314">
        <v>0</v>
      </c>
      <c r="P10" s="315">
        <f t="shared" si="1"/>
        <v>750000</v>
      </c>
      <c r="Q10" s="315">
        <f t="shared" si="3"/>
        <v>750000</v>
      </c>
      <c r="R10" s="315">
        <f t="shared" si="5"/>
        <v>0</v>
      </c>
      <c r="S10"/>
      <c r="T10"/>
      <c r="U10"/>
      <c r="V10"/>
      <c r="W10"/>
      <c r="X10"/>
      <c r="Y10"/>
      <c r="Z10"/>
      <c r="AA10"/>
      <c r="AB10"/>
      <c r="AC10"/>
      <c r="AD10"/>
      <c r="AE10"/>
      <c r="AF10"/>
      <c r="AG10"/>
      <c r="AH10"/>
      <c r="AI10"/>
      <c r="AJ10"/>
      <c r="AK10"/>
      <c r="AL10"/>
      <c r="AM10"/>
      <c r="AN10"/>
      <c r="AO10"/>
      <c r="AP10"/>
    </row>
    <row r="11" spans="1:42">
      <c r="A11" s="52" t="str">
        <f>'4th Street Financial '!B50</f>
        <v>Hard Cost Contingency</v>
      </c>
      <c r="B11" s="313">
        <f>'4th Street Financial '!D50</f>
        <v>1772320</v>
      </c>
      <c r="C11" s="314">
        <f>B11</f>
        <v>1772320</v>
      </c>
      <c r="D11" s="314">
        <v>0</v>
      </c>
      <c r="E11" s="314">
        <v>0</v>
      </c>
      <c r="F11" s="314">
        <v>0</v>
      </c>
      <c r="G11" s="314">
        <v>0</v>
      </c>
      <c r="H11" s="314">
        <v>0</v>
      </c>
      <c r="I11" s="314">
        <v>0</v>
      </c>
      <c r="J11" s="314">
        <v>0</v>
      </c>
      <c r="K11" s="314">
        <v>0</v>
      </c>
      <c r="L11" s="314">
        <v>0</v>
      </c>
      <c r="M11" s="314">
        <v>0</v>
      </c>
      <c r="N11" s="314">
        <v>0</v>
      </c>
      <c r="O11" s="314">
        <v>0</v>
      </c>
      <c r="P11" s="315">
        <f t="shared" si="1"/>
        <v>1772320</v>
      </c>
      <c r="Q11" s="315">
        <f t="shared" si="3"/>
        <v>1772320</v>
      </c>
      <c r="R11" s="315">
        <f t="shared" si="5"/>
        <v>0</v>
      </c>
      <c r="S11"/>
      <c r="T11"/>
      <c r="U11"/>
      <c r="V11"/>
      <c r="W11"/>
      <c r="X11"/>
      <c r="Y11"/>
      <c r="Z11"/>
      <c r="AA11"/>
      <c r="AB11"/>
      <c r="AC11"/>
      <c r="AD11"/>
      <c r="AE11"/>
      <c r="AF11"/>
      <c r="AG11"/>
      <c r="AH11"/>
      <c r="AI11"/>
      <c r="AJ11"/>
      <c r="AK11"/>
      <c r="AL11"/>
      <c r="AM11"/>
      <c r="AN11"/>
      <c r="AO11"/>
      <c r="AP11"/>
    </row>
    <row r="12" spans="1:42" ht="18.95" customHeight="1">
      <c r="A12" s="52" t="str">
        <f>'4th Street Financial '!B51</f>
        <v>Demolition</v>
      </c>
      <c r="B12" s="313">
        <f>'4th Street Financial '!D51</f>
        <v>126000</v>
      </c>
      <c r="C12" s="314">
        <f t="shared" si="4"/>
        <v>0</v>
      </c>
      <c r="D12" s="314">
        <f t="shared" si="2"/>
        <v>0</v>
      </c>
      <c r="E12" s="314">
        <f t="shared" si="2"/>
        <v>6300</v>
      </c>
      <c r="F12" s="314">
        <f t="shared" si="2"/>
        <v>6300</v>
      </c>
      <c r="G12" s="314">
        <f t="shared" si="2"/>
        <v>6300</v>
      </c>
      <c r="H12" s="314">
        <f t="shared" si="2"/>
        <v>12600</v>
      </c>
      <c r="I12" s="314">
        <f t="shared" si="2"/>
        <v>12600</v>
      </c>
      <c r="J12" s="314">
        <f t="shared" si="2"/>
        <v>25200</v>
      </c>
      <c r="K12" s="314">
        <f t="shared" si="2"/>
        <v>18900</v>
      </c>
      <c r="L12" s="314">
        <f t="shared" si="2"/>
        <v>12600</v>
      </c>
      <c r="M12" s="314">
        <f t="shared" si="2"/>
        <v>12600</v>
      </c>
      <c r="N12" s="314">
        <f t="shared" si="2"/>
        <v>12600</v>
      </c>
      <c r="O12" s="314">
        <f t="shared" si="2"/>
        <v>0</v>
      </c>
      <c r="P12" s="315">
        <f t="shared" si="1"/>
        <v>126000</v>
      </c>
      <c r="Q12" s="315">
        <f t="shared" si="3"/>
        <v>126000</v>
      </c>
      <c r="R12" s="315">
        <f t="shared" si="5"/>
        <v>0</v>
      </c>
      <c r="S12"/>
      <c r="T12"/>
      <c r="U12"/>
      <c r="V12"/>
      <c r="W12"/>
      <c r="X12"/>
      <c r="Y12"/>
      <c r="Z12"/>
      <c r="AA12"/>
      <c r="AB12"/>
      <c r="AC12"/>
      <c r="AD12"/>
      <c r="AE12"/>
      <c r="AF12"/>
      <c r="AG12"/>
      <c r="AH12"/>
      <c r="AI12"/>
      <c r="AJ12"/>
      <c r="AK12"/>
      <c r="AL12"/>
      <c r="AM12"/>
      <c r="AN12"/>
      <c r="AO12"/>
      <c r="AP12"/>
    </row>
    <row r="13" spans="1:42">
      <c r="A13" s="52" t="str">
        <f>'4th Street Financial '!B52</f>
        <v>LAND</v>
      </c>
      <c r="B13" s="313">
        <f>'4th Street Financial '!D52</f>
        <v>10000000</v>
      </c>
      <c r="C13" s="314">
        <f t="shared" si="4"/>
        <v>0</v>
      </c>
      <c r="D13" s="314">
        <f t="shared" si="2"/>
        <v>0</v>
      </c>
      <c r="E13" s="314">
        <f t="shared" si="2"/>
        <v>500000</v>
      </c>
      <c r="F13" s="314">
        <f t="shared" si="2"/>
        <v>500000</v>
      </c>
      <c r="G13" s="314">
        <f t="shared" si="2"/>
        <v>500000</v>
      </c>
      <c r="H13" s="314">
        <f t="shared" si="2"/>
        <v>1000000</v>
      </c>
      <c r="I13" s="314">
        <f t="shared" si="2"/>
        <v>1000000</v>
      </c>
      <c r="J13" s="314">
        <f t="shared" si="2"/>
        <v>2000000</v>
      </c>
      <c r="K13" s="314">
        <f t="shared" si="2"/>
        <v>1500000</v>
      </c>
      <c r="L13" s="314">
        <f t="shared" si="2"/>
        <v>1000000</v>
      </c>
      <c r="M13" s="314">
        <f t="shared" si="2"/>
        <v>1000000</v>
      </c>
      <c r="N13" s="314">
        <f t="shared" si="2"/>
        <v>1000000</v>
      </c>
      <c r="O13" s="314">
        <f t="shared" si="2"/>
        <v>0</v>
      </c>
      <c r="P13" s="315">
        <f t="shared" si="1"/>
        <v>10000000</v>
      </c>
      <c r="Q13" s="315">
        <f t="shared" si="3"/>
        <v>10000000</v>
      </c>
      <c r="R13" s="315">
        <f t="shared" si="5"/>
        <v>0</v>
      </c>
      <c r="S13"/>
      <c r="T13"/>
      <c r="U13"/>
      <c r="V13"/>
      <c r="W13"/>
      <c r="X13"/>
      <c r="Y13"/>
      <c r="Z13"/>
      <c r="AA13"/>
      <c r="AB13"/>
      <c r="AC13"/>
      <c r="AD13"/>
      <c r="AE13"/>
      <c r="AF13"/>
      <c r="AG13"/>
      <c r="AH13"/>
      <c r="AI13"/>
      <c r="AJ13"/>
      <c r="AK13"/>
      <c r="AL13"/>
      <c r="AM13"/>
      <c r="AN13"/>
      <c r="AO13"/>
      <c r="AP13"/>
    </row>
    <row r="14" spans="1:42">
      <c r="A14" s="52" t="str">
        <f>'4th Street Financial '!B53</f>
        <v>Municipal Fees and Allowances</v>
      </c>
      <c r="B14" s="313">
        <f>'4th Street Financial '!D53</f>
        <v>172500</v>
      </c>
      <c r="C14" s="314">
        <f>B14</f>
        <v>172500</v>
      </c>
      <c r="D14" s="314">
        <v>0</v>
      </c>
      <c r="E14" s="314">
        <v>0</v>
      </c>
      <c r="F14" s="314">
        <v>0</v>
      </c>
      <c r="G14" s="314">
        <v>0</v>
      </c>
      <c r="H14" s="314">
        <v>0</v>
      </c>
      <c r="I14" s="314">
        <v>0</v>
      </c>
      <c r="J14" s="314">
        <v>0</v>
      </c>
      <c r="K14" s="314">
        <v>0</v>
      </c>
      <c r="L14" s="314">
        <v>0</v>
      </c>
      <c r="M14" s="314">
        <v>0</v>
      </c>
      <c r="N14" s="314">
        <v>0</v>
      </c>
      <c r="O14" s="314">
        <v>0</v>
      </c>
      <c r="P14" s="315">
        <f t="shared" si="1"/>
        <v>172500</v>
      </c>
      <c r="Q14" s="315">
        <f t="shared" si="3"/>
        <v>172500</v>
      </c>
      <c r="R14" s="315">
        <f t="shared" si="5"/>
        <v>0</v>
      </c>
      <c r="S14"/>
      <c r="T14"/>
      <c r="U14"/>
      <c r="V14"/>
      <c r="W14"/>
      <c r="X14"/>
      <c r="Y14"/>
      <c r="Z14"/>
      <c r="AA14"/>
      <c r="AB14"/>
      <c r="AC14"/>
      <c r="AD14"/>
      <c r="AE14"/>
      <c r="AF14"/>
      <c r="AG14"/>
      <c r="AH14"/>
      <c r="AI14"/>
      <c r="AJ14"/>
      <c r="AK14"/>
      <c r="AL14"/>
      <c r="AM14"/>
      <c r="AN14"/>
      <c r="AO14"/>
      <c r="AP14"/>
    </row>
    <row r="15" spans="1:42">
      <c r="A15" s="52" t="str">
        <f>'4th Street Financial '!B54</f>
        <v>Infrastructure allocation</v>
      </c>
      <c r="B15" s="313">
        <f>'4th Street Financial '!D54</f>
        <v>250000</v>
      </c>
      <c r="C15" s="314">
        <f t="shared" si="4"/>
        <v>0</v>
      </c>
      <c r="D15" s="314">
        <f t="shared" si="2"/>
        <v>0</v>
      </c>
      <c r="E15" s="314">
        <f t="shared" si="2"/>
        <v>12500</v>
      </c>
      <c r="F15" s="314">
        <f t="shared" si="2"/>
        <v>12500</v>
      </c>
      <c r="G15" s="314">
        <f t="shared" si="2"/>
        <v>12500</v>
      </c>
      <c r="H15" s="314">
        <f t="shared" si="2"/>
        <v>25000</v>
      </c>
      <c r="I15" s="314">
        <f t="shared" si="2"/>
        <v>25000</v>
      </c>
      <c r="J15" s="314">
        <f t="shared" si="2"/>
        <v>50000</v>
      </c>
      <c r="K15" s="314">
        <f t="shared" si="2"/>
        <v>37500</v>
      </c>
      <c r="L15" s="314">
        <f t="shared" si="2"/>
        <v>25000</v>
      </c>
      <c r="M15" s="314">
        <f t="shared" si="2"/>
        <v>25000</v>
      </c>
      <c r="N15" s="314">
        <f t="shared" si="2"/>
        <v>25000</v>
      </c>
      <c r="O15" s="314">
        <f t="shared" si="2"/>
        <v>0</v>
      </c>
      <c r="P15" s="315">
        <f t="shared" si="1"/>
        <v>250000</v>
      </c>
      <c r="Q15" s="315">
        <f t="shared" si="3"/>
        <v>250000</v>
      </c>
      <c r="R15" s="315">
        <f t="shared" si="5"/>
        <v>0</v>
      </c>
      <c r="S15"/>
      <c r="T15"/>
      <c r="U15"/>
      <c r="V15"/>
      <c r="W15"/>
      <c r="X15"/>
      <c r="Y15"/>
      <c r="Z15"/>
      <c r="AA15"/>
      <c r="AB15"/>
      <c r="AC15"/>
      <c r="AD15"/>
      <c r="AE15"/>
      <c r="AF15"/>
      <c r="AG15"/>
      <c r="AH15"/>
      <c r="AI15"/>
      <c r="AJ15"/>
      <c r="AK15"/>
      <c r="AL15"/>
      <c r="AM15"/>
      <c r="AN15"/>
      <c r="AO15"/>
      <c r="AP15"/>
    </row>
    <row r="16" spans="1:42">
      <c r="A16" s="52" t="str">
        <f>'4th Street Financial '!B55</f>
        <v>Legal</v>
      </c>
      <c r="B16" s="313">
        <f>'4th Street Financial '!D55</f>
        <v>300000</v>
      </c>
      <c r="C16" s="314">
        <f t="shared" si="4"/>
        <v>0</v>
      </c>
      <c r="D16" s="314">
        <f t="shared" si="2"/>
        <v>0</v>
      </c>
      <c r="E16" s="314">
        <f t="shared" si="2"/>
        <v>15000</v>
      </c>
      <c r="F16" s="314">
        <f t="shared" si="2"/>
        <v>15000</v>
      </c>
      <c r="G16" s="314">
        <f t="shared" si="2"/>
        <v>15000</v>
      </c>
      <c r="H16" s="314">
        <f t="shared" si="2"/>
        <v>30000</v>
      </c>
      <c r="I16" s="314">
        <f t="shared" si="2"/>
        <v>30000</v>
      </c>
      <c r="J16" s="314">
        <f t="shared" si="2"/>
        <v>60000</v>
      </c>
      <c r="K16" s="314">
        <f t="shared" si="2"/>
        <v>45000</v>
      </c>
      <c r="L16" s="314">
        <f t="shared" si="2"/>
        <v>30000</v>
      </c>
      <c r="M16" s="314">
        <f t="shared" si="2"/>
        <v>30000</v>
      </c>
      <c r="N16" s="314">
        <f t="shared" si="2"/>
        <v>30000</v>
      </c>
      <c r="O16" s="314">
        <f t="shared" si="2"/>
        <v>0</v>
      </c>
      <c r="P16" s="315">
        <f t="shared" si="1"/>
        <v>300000</v>
      </c>
      <c r="Q16" s="315">
        <f t="shared" si="3"/>
        <v>300000</v>
      </c>
      <c r="R16" s="315">
        <f t="shared" si="5"/>
        <v>0</v>
      </c>
      <c r="S16"/>
      <c r="T16"/>
      <c r="U16"/>
      <c r="V16"/>
      <c r="W16"/>
      <c r="X16"/>
      <c r="Y16"/>
      <c r="Z16"/>
      <c r="AA16"/>
      <c r="AB16"/>
      <c r="AC16"/>
      <c r="AD16"/>
      <c r="AE16"/>
      <c r="AF16"/>
      <c r="AG16"/>
      <c r="AH16"/>
      <c r="AI16"/>
      <c r="AJ16"/>
      <c r="AK16"/>
      <c r="AL16"/>
      <c r="AM16"/>
      <c r="AN16"/>
      <c r="AO16"/>
      <c r="AP16"/>
    </row>
    <row r="17" spans="1:44">
      <c r="A17" s="52" t="str">
        <f>'4th Street Financial '!B56</f>
        <v>Land Closing Costs/commissions</v>
      </c>
      <c r="B17" s="313">
        <f>'4th Street Financial '!D56</f>
        <v>100000</v>
      </c>
      <c r="C17" s="314">
        <f t="shared" si="4"/>
        <v>0</v>
      </c>
      <c r="D17" s="314">
        <f t="shared" si="2"/>
        <v>0</v>
      </c>
      <c r="E17" s="314">
        <f t="shared" si="2"/>
        <v>5000</v>
      </c>
      <c r="F17" s="314">
        <f t="shared" si="2"/>
        <v>5000</v>
      </c>
      <c r="G17" s="314">
        <f t="shared" si="2"/>
        <v>5000</v>
      </c>
      <c r="H17" s="314">
        <f t="shared" si="2"/>
        <v>10000</v>
      </c>
      <c r="I17" s="314">
        <f t="shared" si="2"/>
        <v>10000</v>
      </c>
      <c r="J17" s="314">
        <f t="shared" si="2"/>
        <v>20000</v>
      </c>
      <c r="K17" s="314">
        <f t="shared" si="2"/>
        <v>15000</v>
      </c>
      <c r="L17" s="314">
        <f t="shared" si="2"/>
        <v>10000</v>
      </c>
      <c r="M17" s="314">
        <f t="shared" si="2"/>
        <v>10000</v>
      </c>
      <c r="N17" s="314">
        <f t="shared" si="2"/>
        <v>10000</v>
      </c>
      <c r="O17" s="314">
        <f t="shared" si="2"/>
        <v>0</v>
      </c>
      <c r="P17" s="315">
        <f t="shared" si="1"/>
        <v>100000</v>
      </c>
      <c r="Q17" s="315">
        <f t="shared" si="3"/>
        <v>100000</v>
      </c>
      <c r="R17" s="315">
        <f t="shared" si="5"/>
        <v>0</v>
      </c>
      <c r="S17"/>
      <c r="T17"/>
      <c r="U17"/>
      <c r="V17"/>
      <c r="W17"/>
      <c r="X17"/>
      <c r="Y17"/>
      <c r="Z17"/>
      <c r="AA17"/>
      <c r="AB17"/>
      <c r="AC17"/>
      <c r="AD17"/>
      <c r="AE17"/>
      <c r="AF17"/>
      <c r="AG17"/>
      <c r="AH17"/>
      <c r="AI17"/>
      <c r="AJ17"/>
      <c r="AK17"/>
      <c r="AL17"/>
      <c r="AM17"/>
      <c r="AN17"/>
      <c r="AO17"/>
      <c r="AP17"/>
    </row>
    <row r="18" spans="1:44">
      <c r="A18" s="52" t="str">
        <f>'4th Street Financial '!B57</f>
        <v xml:space="preserve">Design </v>
      </c>
      <c r="B18" s="313">
        <f>'4th Street Financial '!D57</f>
        <v>535100</v>
      </c>
      <c r="C18" s="314">
        <f t="shared" si="4"/>
        <v>0</v>
      </c>
      <c r="D18" s="314">
        <f t="shared" si="2"/>
        <v>0</v>
      </c>
      <c r="E18" s="314">
        <f t="shared" si="2"/>
        <v>26755</v>
      </c>
      <c r="F18" s="314">
        <f t="shared" si="2"/>
        <v>26755</v>
      </c>
      <c r="G18" s="314">
        <f t="shared" si="2"/>
        <v>26755</v>
      </c>
      <c r="H18" s="314">
        <f t="shared" si="2"/>
        <v>53510</v>
      </c>
      <c r="I18" s="314">
        <f t="shared" si="2"/>
        <v>53510</v>
      </c>
      <c r="J18" s="314">
        <f t="shared" si="2"/>
        <v>107020</v>
      </c>
      <c r="K18" s="314">
        <f t="shared" si="2"/>
        <v>80265</v>
      </c>
      <c r="L18" s="314">
        <f t="shared" si="2"/>
        <v>53510</v>
      </c>
      <c r="M18" s="314">
        <f t="shared" si="2"/>
        <v>53510</v>
      </c>
      <c r="N18" s="314">
        <f t="shared" si="2"/>
        <v>53510</v>
      </c>
      <c r="O18" s="314">
        <f t="shared" si="2"/>
        <v>0</v>
      </c>
      <c r="P18" s="315">
        <f t="shared" si="1"/>
        <v>535100</v>
      </c>
      <c r="Q18" s="315">
        <f t="shared" si="3"/>
        <v>535100</v>
      </c>
      <c r="R18" s="315">
        <f t="shared" si="5"/>
        <v>0</v>
      </c>
      <c r="S18"/>
      <c r="T18"/>
      <c r="U18"/>
      <c r="V18"/>
      <c r="W18"/>
      <c r="X18"/>
      <c r="Y18"/>
      <c r="Z18"/>
      <c r="AA18"/>
      <c r="AB18"/>
      <c r="AC18"/>
      <c r="AD18"/>
      <c r="AE18"/>
      <c r="AF18"/>
      <c r="AG18"/>
      <c r="AH18"/>
      <c r="AI18"/>
      <c r="AJ18"/>
      <c r="AK18"/>
      <c r="AL18"/>
      <c r="AM18"/>
      <c r="AN18"/>
      <c r="AO18"/>
      <c r="AP18"/>
    </row>
    <row r="19" spans="1:44">
      <c r="A19" s="52" t="str">
        <f>'4th Street Financial '!B58</f>
        <v>Developer Fee</v>
      </c>
      <c r="B19" s="313">
        <f>'4th Street Financial '!D58</f>
        <v>177049.60000000001</v>
      </c>
      <c r="C19" s="314">
        <f t="shared" si="4"/>
        <v>0</v>
      </c>
      <c r="D19" s="314">
        <f t="shared" si="2"/>
        <v>0</v>
      </c>
      <c r="E19" s="314">
        <f t="shared" si="2"/>
        <v>8852.4800000000014</v>
      </c>
      <c r="F19" s="314">
        <f t="shared" si="2"/>
        <v>8852.4800000000014</v>
      </c>
      <c r="G19" s="314">
        <f t="shared" si="2"/>
        <v>8852.4800000000014</v>
      </c>
      <c r="H19" s="314">
        <f t="shared" si="2"/>
        <v>17704.960000000003</v>
      </c>
      <c r="I19" s="314">
        <f t="shared" si="2"/>
        <v>17704.960000000003</v>
      </c>
      <c r="J19" s="314">
        <f t="shared" si="2"/>
        <v>35409.920000000006</v>
      </c>
      <c r="K19" s="314">
        <f t="shared" si="2"/>
        <v>26557.439999999999</v>
      </c>
      <c r="L19" s="314">
        <f t="shared" si="2"/>
        <v>17704.960000000003</v>
      </c>
      <c r="M19" s="314">
        <f t="shared" si="2"/>
        <v>17704.960000000003</v>
      </c>
      <c r="N19" s="314">
        <f t="shared" si="2"/>
        <v>17704.960000000003</v>
      </c>
      <c r="O19" s="314">
        <f t="shared" si="2"/>
        <v>0</v>
      </c>
      <c r="P19" s="315">
        <f t="shared" si="1"/>
        <v>177049.60000000001</v>
      </c>
      <c r="Q19" s="315">
        <f t="shared" si="3"/>
        <v>177049.60000000001</v>
      </c>
      <c r="R19" s="315">
        <f t="shared" si="5"/>
        <v>0</v>
      </c>
      <c r="S19"/>
      <c r="T19"/>
      <c r="U19"/>
      <c r="V19"/>
      <c r="W19"/>
      <c r="X19"/>
      <c r="Y19"/>
      <c r="Z19"/>
      <c r="AA19"/>
      <c r="AB19"/>
      <c r="AC19"/>
      <c r="AD19"/>
      <c r="AE19"/>
      <c r="AF19"/>
      <c r="AG19"/>
      <c r="AH19"/>
      <c r="AI19"/>
      <c r="AJ19"/>
      <c r="AK19"/>
      <c r="AL19"/>
      <c r="AM19"/>
      <c r="AN19"/>
      <c r="AO19"/>
      <c r="AP19"/>
    </row>
    <row r="20" spans="1:44">
      <c r="A20" s="52" t="str">
        <f>'4th Street Financial '!B59</f>
        <v>Construction Management Fee</v>
      </c>
      <c r="B20" s="313">
        <f>'4th Street Financial '!D59</f>
        <v>478526.4</v>
      </c>
      <c r="C20" s="314">
        <f t="shared" si="4"/>
        <v>0</v>
      </c>
      <c r="D20" s="314">
        <f t="shared" si="2"/>
        <v>0</v>
      </c>
      <c r="E20" s="314">
        <f t="shared" si="2"/>
        <v>23926.320000000003</v>
      </c>
      <c r="F20" s="314">
        <f t="shared" si="2"/>
        <v>23926.320000000003</v>
      </c>
      <c r="G20" s="314">
        <f t="shared" si="2"/>
        <v>23926.320000000003</v>
      </c>
      <c r="H20" s="314">
        <f t="shared" si="2"/>
        <v>47852.640000000007</v>
      </c>
      <c r="I20" s="314">
        <f t="shared" si="2"/>
        <v>47852.640000000007</v>
      </c>
      <c r="J20" s="314">
        <f t="shared" si="2"/>
        <v>95705.280000000013</v>
      </c>
      <c r="K20" s="314">
        <f t="shared" si="2"/>
        <v>71778.960000000006</v>
      </c>
      <c r="L20" s="314">
        <f t="shared" si="2"/>
        <v>47852.640000000007</v>
      </c>
      <c r="M20" s="314">
        <f t="shared" si="2"/>
        <v>47852.640000000007</v>
      </c>
      <c r="N20" s="314">
        <f t="shared" si="2"/>
        <v>47852.640000000007</v>
      </c>
      <c r="O20" s="314">
        <f t="shared" si="2"/>
        <v>0</v>
      </c>
      <c r="P20" s="315">
        <f t="shared" si="1"/>
        <v>478526.40000000008</v>
      </c>
      <c r="Q20" s="315">
        <f t="shared" si="3"/>
        <v>478526.4</v>
      </c>
      <c r="R20" s="315">
        <f t="shared" si="5"/>
        <v>0</v>
      </c>
      <c r="S20"/>
      <c r="T20"/>
      <c r="U20"/>
      <c r="V20"/>
      <c r="W20"/>
      <c r="X20"/>
      <c r="Y20"/>
      <c r="Z20"/>
      <c r="AA20"/>
      <c r="AB20"/>
      <c r="AC20"/>
      <c r="AD20"/>
      <c r="AE20"/>
      <c r="AF20"/>
      <c r="AG20"/>
      <c r="AH20"/>
      <c r="AI20"/>
      <c r="AJ20"/>
      <c r="AK20"/>
      <c r="AL20"/>
      <c r="AM20"/>
      <c r="AN20"/>
      <c r="AO20"/>
      <c r="AP20"/>
    </row>
    <row r="21" spans="1:44">
      <c r="A21" s="52" t="str">
        <f>'4th Street Financial '!B60</f>
        <v>Taxes (2 years of assessments)</v>
      </c>
      <c r="B21" s="313">
        <f>'4th Street Financial '!D60</f>
        <v>181000.00000000003</v>
      </c>
      <c r="C21" s="314">
        <f t="shared" si="4"/>
        <v>0</v>
      </c>
      <c r="D21" s="314">
        <f t="shared" si="2"/>
        <v>0</v>
      </c>
      <c r="E21" s="314">
        <f t="shared" si="2"/>
        <v>9050.0000000000018</v>
      </c>
      <c r="F21" s="314">
        <f t="shared" si="2"/>
        <v>9050.0000000000018</v>
      </c>
      <c r="G21" s="314">
        <f t="shared" si="2"/>
        <v>9050.0000000000018</v>
      </c>
      <c r="H21" s="314">
        <f t="shared" si="2"/>
        <v>18100.000000000004</v>
      </c>
      <c r="I21" s="314">
        <f t="shared" si="2"/>
        <v>18100.000000000004</v>
      </c>
      <c r="J21" s="314">
        <f t="shared" si="2"/>
        <v>36200.000000000007</v>
      </c>
      <c r="K21" s="314">
        <f t="shared" si="2"/>
        <v>27150.000000000004</v>
      </c>
      <c r="L21" s="314">
        <f t="shared" si="2"/>
        <v>18100.000000000004</v>
      </c>
      <c r="M21" s="314">
        <f t="shared" si="2"/>
        <v>18100.000000000004</v>
      </c>
      <c r="N21" s="314">
        <f t="shared" si="2"/>
        <v>18100.000000000004</v>
      </c>
      <c r="O21" s="314">
        <f t="shared" si="2"/>
        <v>0</v>
      </c>
      <c r="P21" s="315">
        <f t="shared" si="1"/>
        <v>181000.00000000003</v>
      </c>
      <c r="Q21" s="315">
        <f t="shared" si="3"/>
        <v>181000.00000000003</v>
      </c>
      <c r="R21" s="315">
        <f t="shared" si="5"/>
        <v>0</v>
      </c>
      <c r="S21"/>
      <c r="T21"/>
      <c r="U21"/>
      <c r="V21"/>
      <c r="W21"/>
      <c r="X21"/>
      <c r="Y21"/>
      <c r="Z21"/>
      <c r="AA21"/>
      <c r="AB21"/>
      <c r="AC21"/>
      <c r="AD21"/>
      <c r="AE21"/>
      <c r="AF21"/>
      <c r="AG21"/>
      <c r="AH21"/>
      <c r="AI21"/>
      <c r="AJ21"/>
      <c r="AK21"/>
      <c r="AL21"/>
      <c r="AM21"/>
      <c r="AN21"/>
      <c r="AO21"/>
      <c r="AP21"/>
    </row>
    <row r="22" spans="1:44">
      <c r="A22" s="52" t="str">
        <f>'4th Street Financial '!B61</f>
        <v>Insurance</v>
      </c>
      <c r="B22" s="313">
        <f>'4th Street Financial '!D61</f>
        <v>95980</v>
      </c>
      <c r="C22" s="314">
        <f t="shared" si="4"/>
        <v>0</v>
      </c>
      <c r="D22" s="314">
        <f t="shared" ref="D22:O22" si="6">$B22*D$5</f>
        <v>0</v>
      </c>
      <c r="E22" s="314">
        <f t="shared" si="6"/>
        <v>4799</v>
      </c>
      <c r="F22" s="314">
        <f t="shared" si="6"/>
        <v>4799</v>
      </c>
      <c r="G22" s="314">
        <f t="shared" si="6"/>
        <v>4799</v>
      </c>
      <c r="H22" s="314">
        <f t="shared" si="6"/>
        <v>9598</v>
      </c>
      <c r="I22" s="314">
        <f t="shared" si="6"/>
        <v>9598</v>
      </c>
      <c r="J22" s="314">
        <f t="shared" si="6"/>
        <v>19196</v>
      </c>
      <c r="K22" s="314">
        <f t="shared" si="6"/>
        <v>14397</v>
      </c>
      <c r="L22" s="314">
        <f t="shared" si="6"/>
        <v>9598</v>
      </c>
      <c r="M22" s="314">
        <f t="shared" si="6"/>
        <v>9598</v>
      </c>
      <c r="N22" s="314">
        <f t="shared" si="6"/>
        <v>9598</v>
      </c>
      <c r="O22" s="314">
        <f t="shared" si="6"/>
        <v>0</v>
      </c>
      <c r="P22" s="315">
        <f t="shared" si="1"/>
        <v>95980</v>
      </c>
      <c r="Q22" s="315">
        <f t="shared" si="3"/>
        <v>95980</v>
      </c>
      <c r="R22" s="315">
        <f t="shared" si="5"/>
        <v>0</v>
      </c>
      <c r="S22"/>
      <c r="T22"/>
      <c r="U22"/>
      <c r="V22"/>
      <c r="W22"/>
      <c r="X22"/>
      <c r="Y22"/>
      <c r="Z22"/>
      <c r="AA22"/>
      <c r="AB22"/>
      <c r="AC22"/>
      <c r="AD22"/>
      <c r="AE22"/>
      <c r="AF22"/>
      <c r="AG22"/>
      <c r="AH22"/>
      <c r="AI22"/>
      <c r="AJ22"/>
      <c r="AK22"/>
      <c r="AL22"/>
      <c r="AM22"/>
      <c r="AN22"/>
      <c r="AO22"/>
      <c r="AP22"/>
    </row>
    <row r="23" spans="1:44">
      <c r="A23" s="52" t="str">
        <f>'4th Street Financial '!B62</f>
        <v>Marketing, FFE and Preleasing</v>
      </c>
      <c r="B23" s="313">
        <f>'4th Street Financial '!D62</f>
        <v>191960</v>
      </c>
      <c r="C23" s="314">
        <f>B23</f>
        <v>191960</v>
      </c>
      <c r="D23" s="314">
        <v>0</v>
      </c>
      <c r="E23" s="314">
        <v>0</v>
      </c>
      <c r="F23" s="314">
        <v>0</v>
      </c>
      <c r="G23" s="314">
        <v>0</v>
      </c>
      <c r="H23" s="314">
        <v>0</v>
      </c>
      <c r="I23" s="314">
        <v>0</v>
      </c>
      <c r="J23" s="314">
        <v>0</v>
      </c>
      <c r="K23" s="314">
        <v>0</v>
      </c>
      <c r="L23" s="314">
        <v>0</v>
      </c>
      <c r="M23" s="314">
        <v>0</v>
      </c>
      <c r="N23" s="314">
        <v>0</v>
      </c>
      <c r="O23" s="314">
        <v>0</v>
      </c>
      <c r="P23" s="315">
        <f t="shared" si="1"/>
        <v>191960</v>
      </c>
      <c r="Q23" s="315">
        <f t="shared" si="3"/>
        <v>191960</v>
      </c>
      <c r="R23" s="315">
        <f t="shared" si="5"/>
        <v>0</v>
      </c>
      <c r="S23"/>
      <c r="T23"/>
      <c r="U23"/>
      <c r="V23"/>
      <c r="W23"/>
      <c r="X23"/>
      <c r="Y23"/>
      <c r="Z23"/>
      <c r="AA23"/>
      <c r="AB23"/>
      <c r="AC23"/>
      <c r="AD23"/>
      <c r="AE23"/>
      <c r="AF23"/>
      <c r="AG23"/>
      <c r="AH23"/>
      <c r="AI23"/>
      <c r="AJ23"/>
      <c r="AK23"/>
      <c r="AL23"/>
      <c r="AM23"/>
      <c r="AN23"/>
      <c r="AO23"/>
      <c r="AP23"/>
    </row>
    <row r="24" spans="1:44">
      <c r="A24" s="52" t="str">
        <f>'4th Street Financial '!B63</f>
        <v>Operating Deficit</v>
      </c>
      <c r="B24" s="313">
        <f>'4th Street Financial '!D63</f>
        <v>231839.99999999997</v>
      </c>
      <c r="C24" s="314">
        <f t="shared" si="4"/>
        <v>0</v>
      </c>
      <c r="D24" s="314">
        <f t="shared" si="4"/>
        <v>0</v>
      </c>
      <c r="E24" s="314">
        <f t="shared" si="4"/>
        <v>11592</v>
      </c>
      <c r="F24" s="314">
        <f t="shared" si="4"/>
        <v>11592</v>
      </c>
      <c r="G24" s="314">
        <f t="shared" si="4"/>
        <v>11592</v>
      </c>
      <c r="H24" s="314">
        <f t="shared" si="4"/>
        <v>23184</v>
      </c>
      <c r="I24" s="314">
        <f t="shared" si="4"/>
        <v>23184</v>
      </c>
      <c r="J24" s="314">
        <f t="shared" si="4"/>
        <v>46368</v>
      </c>
      <c r="K24" s="314">
        <f t="shared" si="4"/>
        <v>34775.999999999993</v>
      </c>
      <c r="L24" s="314">
        <f t="shared" si="4"/>
        <v>23184</v>
      </c>
      <c r="M24" s="314">
        <f t="shared" si="4"/>
        <v>23184</v>
      </c>
      <c r="N24" s="314">
        <f t="shared" si="4"/>
        <v>23184</v>
      </c>
      <c r="O24" s="314">
        <f t="shared" si="4"/>
        <v>0</v>
      </c>
      <c r="P24" s="315">
        <f t="shared" si="1"/>
        <v>231840</v>
      </c>
      <c r="Q24" s="315">
        <f t="shared" si="3"/>
        <v>231839.99999999997</v>
      </c>
      <c r="R24" s="315">
        <f t="shared" si="5"/>
        <v>0</v>
      </c>
      <c r="S24"/>
      <c r="T24"/>
      <c r="U24"/>
      <c r="V24"/>
      <c r="W24"/>
      <c r="X24"/>
      <c r="Y24"/>
      <c r="Z24"/>
      <c r="AA24"/>
      <c r="AB24"/>
      <c r="AC24"/>
      <c r="AD24"/>
      <c r="AE24"/>
      <c r="AF24"/>
      <c r="AG24"/>
      <c r="AH24"/>
      <c r="AI24"/>
      <c r="AJ24"/>
      <c r="AK24"/>
      <c r="AL24"/>
      <c r="AM24"/>
      <c r="AN24"/>
      <c r="AO24"/>
      <c r="AP24"/>
    </row>
    <row r="25" spans="1:44">
      <c r="A25" s="52" t="str">
        <f>'4th Street Financial '!B64</f>
        <v>Net interest during closeout</v>
      </c>
      <c r="B25" s="313">
        <f ca="1">'4th Street Financial '!D64</f>
        <v>97547.869072258298</v>
      </c>
      <c r="C25" s="314">
        <f t="shared" ca="1" si="4"/>
        <v>0</v>
      </c>
      <c r="D25" s="314">
        <f t="shared" ca="1" si="4"/>
        <v>0</v>
      </c>
      <c r="E25" s="314">
        <f t="shared" ca="1" si="4"/>
        <v>4877.3934536129154</v>
      </c>
      <c r="F25" s="314">
        <f t="shared" ca="1" si="4"/>
        <v>4877.3934536129154</v>
      </c>
      <c r="G25" s="314">
        <f t="shared" ca="1" si="4"/>
        <v>4877.3934536129154</v>
      </c>
      <c r="H25" s="314">
        <f t="shared" ca="1" si="4"/>
        <v>9754.7869072258309</v>
      </c>
      <c r="I25" s="314">
        <f t="shared" ca="1" si="4"/>
        <v>9754.7869072258309</v>
      </c>
      <c r="J25" s="314">
        <f t="shared" ca="1" si="4"/>
        <v>19509.573814451662</v>
      </c>
      <c r="K25" s="314">
        <f t="shared" ca="1" si="4"/>
        <v>14632.180360838744</v>
      </c>
      <c r="L25" s="314">
        <f t="shared" ca="1" si="4"/>
        <v>9754.7869072258309</v>
      </c>
      <c r="M25" s="314">
        <f t="shared" ca="1" si="4"/>
        <v>9754.7869072258309</v>
      </c>
      <c r="N25" s="314">
        <f t="shared" ca="1" si="4"/>
        <v>9754.7869072258309</v>
      </c>
      <c r="O25" s="314">
        <f t="shared" ca="1" si="4"/>
        <v>0</v>
      </c>
      <c r="P25" s="315"/>
      <c r="Q25" s="315"/>
      <c r="R25" s="315"/>
      <c r="S25"/>
      <c r="T25"/>
      <c r="U25"/>
      <c r="V25"/>
      <c r="W25"/>
      <c r="X25"/>
      <c r="Y25"/>
      <c r="Z25"/>
      <c r="AA25"/>
      <c r="AB25"/>
      <c r="AC25"/>
      <c r="AD25"/>
      <c r="AE25"/>
      <c r="AF25"/>
      <c r="AG25"/>
      <c r="AH25"/>
      <c r="AI25"/>
      <c r="AJ25"/>
      <c r="AK25"/>
      <c r="AL25"/>
      <c r="AM25"/>
      <c r="AN25"/>
      <c r="AO25"/>
      <c r="AP25"/>
    </row>
    <row r="26" spans="1:44">
      <c r="A26" s="52" t="str">
        <f>'4th Street Financial '!B65</f>
        <v>Commercial Tenant Improvements</v>
      </c>
      <c r="B26" s="313">
        <f>'4th Street Financial '!D65</f>
        <v>7198500</v>
      </c>
      <c r="C26" s="314">
        <f t="shared" si="4"/>
        <v>0</v>
      </c>
      <c r="D26" s="314">
        <f t="shared" si="4"/>
        <v>0</v>
      </c>
      <c r="E26" s="314">
        <f t="shared" si="4"/>
        <v>359925</v>
      </c>
      <c r="F26" s="314">
        <f t="shared" si="4"/>
        <v>359925</v>
      </c>
      <c r="G26" s="314">
        <f t="shared" si="4"/>
        <v>359925</v>
      </c>
      <c r="H26" s="314">
        <f t="shared" si="4"/>
        <v>719850</v>
      </c>
      <c r="I26" s="314">
        <f t="shared" si="4"/>
        <v>719850</v>
      </c>
      <c r="J26" s="314">
        <f t="shared" si="4"/>
        <v>1439700</v>
      </c>
      <c r="K26" s="314">
        <f t="shared" si="4"/>
        <v>1079775</v>
      </c>
      <c r="L26" s="314">
        <f t="shared" si="4"/>
        <v>719850</v>
      </c>
      <c r="M26" s="314">
        <f t="shared" si="4"/>
        <v>719850</v>
      </c>
      <c r="N26" s="314">
        <f t="shared" si="4"/>
        <v>719850</v>
      </c>
      <c r="O26" s="314">
        <f t="shared" si="4"/>
        <v>0</v>
      </c>
      <c r="P26" s="315"/>
      <c r="Q26" s="315"/>
      <c r="R26" s="315"/>
      <c r="S26"/>
      <c r="T26"/>
      <c r="U26"/>
      <c r="V26"/>
      <c r="W26"/>
      <c r="X26"/>
      <c r="Y26"/>
      <c r="Z26"/>
      <c r="AA26"/>
      <c r="AB26"/>
      <c r="AC26"/>
      <c r="AD26"/>
      <c r="AE26"/>
      <c r="AF26"/>
      <c r="AG26"/>
      <c r="AH26"/>
      <c r="AI26"/>
      <c r="AJ26"/>
      <c r="AK26"/>
      <c r="AL26"/>
      <c r="AM26"/>
      <c r="AN26"/>
      <c r="AO26"/>
      <c r="AP26"/>
    </row>
    <row r="27" spans="1:44">
      <c r="A27" s="52" t="str">
        <f>'4th Street Financial '!B66</f>
        <v>Commercial Brokerage Commissions</v>
      </c>
      <c r="B27" s="313">
        <f>'4th Street Financial '!D66</f>
        <v>744618</v>
      </c>
      <c r="C27" s="314">
        <f>B27</f>
        <v>744618</v>
      </c>
      <c r="D27" s="314">
        <v>0</v>
      </c>
      <c r="E27" s="314">
        <v>0</v>
      </c>
      <c r="F27" s="314">
        <v>0</v>
      </c>
      <c r="G27" s="314">
        <v>0</v>
      </c>
      <c r="H27" s="314">
        <v>0</v>
      </c>
      <c r="I27" s="314">
        <v>0</v>
      </c>
      <c r="J27" s="314">
        <v>0</v>
      </c>
      <c r="K27" s="314">
        <v>0</v>
      </c>
      <c r="L27" s="314">
        <v>0</v>
      </c>
      <c r="M27" s="314">
        <v>0</v>
      </c>
      <c r="N27" s="314">
        <v>0</v>
      </c>
      <c r="O27" s="314">
        <f t="shared" si="4"/>
        <v>0</v>
      </c>
      <c r="P27" s="315"/>
      <c r="Q27" s="315"/>
      <c r="R27" s="315"/>
      <c r="S27"/>
      <c r="T27"/>
      <c r="U27"/>
      <c r="V27"/>
      <c r="W27"/>
      <c r="X27"/>
      <c r="Y27"/>
      <c r="Z27"/>
      <c r="AA27"/>
      <c r="AB27"/>
      <c r="AC27"/>
      <c r="AD27"/>
      <c r="AE27"/>
      <c r="AF27"/>
      <c r="AG27"/>
      <c r="AH27"/>
      <c r="AI27"/>
      <c r="AJ27"/>
      <c r="AK27"/>
      <c r="AL27"/>
      <c r="AM27"/>
      <c r="AN27"/>
      <c r="AO27"/>
      <c r="AP27"/>
    </row>
    <row r="28" spans="1:44">
      <c r="A28" s="52" t="str">
        <f>'4th Street Financial '!B67</f>
        <v>Construction Loan Origination</v>
      </c>
      <c r="B28" s="313">
        <f ca="1">'4th Street Financial '!D67</f>
        <v>209031.148011982</v>
      </c>
      <c r="C28" s="314">
        <f ca="1">B28</f>
        <v>209031.148011982</v>
      </c>
      <c r="D28" s="314">
        <f t="shared" ca="1" si="4"/>
        <v>0</v>
      </c>
      <c r="E28" s="314">
        <v>0</v>
      </c>
      <c r="F28" s="314">
        <v>0</v>
      </c>
      <c r="G28" s="314">
        <v>0</v>
      </c>
      <c r="H28" s="314">
        <v>0</v>
      </c>
      <c r="I28" s="314">
        <v>0</v>
      </c>
      <c r="J28" s="314">
        <v>0</v>
      </c>
      <c r="K28" s="314">
        <v>0</v>
      </c>
      <c r="L28" s="314">
        <v>0</v>
      </c>
      <c r="M28" s="314">
        <v>0</v>
      </c>
      <c r="N28" s="314">
        <v>0</v>
      </c>
      <c r="O28" s="314">
        <f t="shared" ca="1" si="4"/>
        <v>0</v>
      </c>
      <c r="P28" s="315"/>
      <c r="Q28" s="315"/>
      <c r="R28" s="315"/>
      <c r="S28"/>
      <c r="T28"/>
      <c r="U28"/>
      <c r="V28"/>
      <c r="W28"/>
      <c r="X28"/>
      <c r="Y28"/>
      <c r="Z28"/>
      <c r="AA28"/>
      <c r="AB28"/>
      <c r="AC28"/>
      <c r="AD28"/>
      <c r="AE28"/>
      <c r="AF28"/>
      <c r="AG28"/>
      <c r="AH28"/>
      <c r="AI28"/>
      <c r="AJ28"/>
      <c r="AK28"/>
      <c r="AL28"/>
      <c r="AM28"/>
      <c r="AN28"/>
      <c r="AO28"/>
      <c r="AP28"/>
    </row>
    <row r="29" spans="1:44">
      <c r="A29" s="52" t="str">
        <f>'4th Street Financial '!B68</f>
        <v>Construction Interest</v>
      </c>
      <c r="B29" s="313">
        <f ca="1">'4th Street Financial '!D68</f>
        <v>975478.69072258286</v>
      </c>
      <c r="C29" s="314">
        <f t="shared" ca="1" si="4"/>
        <v>0</v>
      </c>
      <c r="D29" s="314">
        <f t="shared" ca="1" si="4"/>
        <v>0</v>
      </c>
      <c r="E29" s="314">
        <f t="shared" ca="1" si="4"/>
        <v>48773.934536129149</v>
      </c>
      <c r="F29" s="314">
        <f t="shared" ca="1" si="4"/>
        <v>48773.934536129149</v>
      </c>
      <c r="G29" s="314">
        <f t="shared" ca="1" si="4"/>
        <v>48773.934536129149</v>
      </c>
      <c r="H29" s="314">
        <f t="shared" ca="1" si="4"/>
        <v>97547.869072258298</v>
      </c>
      <c r="I29" s="314">
        <f t="shared" ca="1" si="4"/>
        <v>97547.869072258298</v>
      </c>
      <c r="J29" s="314">
        <f t="shared" ca="1" si="4"/>
        <v>195095.7381445166</v>
      </c>
      <c r="K29" s="314">
        <f t="shared" ca="1" si="4"/>
        <v>146321.80360838742</v>
      </c>
      <c r="L29" s="314">
        <f t="shared" ca="1" si="4"/>
        <v>97547.869072258298</v>
      </c>
      <c r="M29" s="314">
        <f t="shared" ca="1" si="4"/>
        <v>97547.869072258298</v>
      </c>
      <c r="N29" s="314">
        <f t="shared" ca="1" si="4"/>
        <v>97547.869072258298</v>
      </c>
      <c r="O29" s="314">
        <f t="shared" ca="1" si="4"/>
        <v>0</v>
      </c>
      <c r="P29" s="315"/>
      <c r="Q29" s="315"/>
      <c r="R29" s="315"/>
      <c r="S29"/>
      <c r="T29"/>
      <c r="U29"/>
      <c r="V29"/>
      <c r="W29"/>
      <c r="X29"/>
      <c r="Y29"/>
      <c r="Z29"/>
      <c r="AA29"/>
      <c r="AB29"/>
      <c r="AC29"/>
      <c r="AD29"/>
      <c r="AE29"/>
      <c r="AF29"/>
      <c r="AG29"/>
      <c r="AH29"/>
      <c r="AI29"/>
      <c r="AJ29"/>
      <c r="AK29"/>
      <c r="AL29"/>
      <c r="AM29"/>
      <c r="AN29"/>
      <c r="AO29"/>
      <c r="AP29"/>
    </row>
    <row r="30" spans="1:44">
      <c r="A30" s="52" t="str">
        <f>'4th Street Financial '!B69</f>
        <v>Additional Contingency</v>
      </c>
      <c r="B30" s="313">
        <f ca="1">'4th Street Financial '!D69</f>
        <v>459914.51707806828</v>
      </c>
      <c r="C30" s="314">
        <f t="shared" ca="1" si="4"/>
        <v>0</v>
      </c>
      <c r="D30" s="314">
        <f t="shared" ca="1" si="4"/>
        <v>0</v>
      </c>
      <c r="E30" s="314">
        <f t="shared" ca="1" si="4"/>
        <v>22995.725853903416</v>
      </c>
      <c r="F30" s="314">
        <f t="shared" ca="1" si="4"/>
        <v>22995.725853903416</v>
      </c>
      <c r="G30" s="314">
        <f t="shared" ca="1" si="4"/>
        <v>22995.725853903416</v>
      </c>
      <c r="H30" s="314">
        <f t="shared" ca="1" si="4"/>
        <v>45991.451707806831</v>
      </c>
      <c r="I30" s="314">
        <f t="shared" ca="1" si="4"/>
        <v>45991.451707806831</v>
      </c>
      <c r="J30" s="314">
        <f t="shared" ca="1" si="4"/>
        <v>91982.903415613662</v>
      </c>
      <c r="K30" s="314">
        <f t="shared" ca="1" si="4"/>
        <v>68987.177561710239</v>
      </c>
      <c r="L30" s="314">
        <f t="shared" ca="1" si="4"/>
        <v>45991.451707806831</v>
      </c>
      <c r="M30" s="314">
        <f t="shared" ca="1" si="4"/>
        <v>45991.451707806831</v>
      </c>
      <c r="N30" s="314">
        <f t="shared" ca="1" si="4"/>
        <v>45991.451707806831</v>
      </c>
      <c r="O30" s="314">
        <f t="shared" ca="1" si="4"/>
        <v>0</v>
      </c>
      <c r="P30" s="315"/>
      <c r="Q30" s="315"/>
      <c r="R30" s="315"/>
      <c r="S30"/>
      <c r="T30"/>
      <c r="U30"/>
      <c r="V30"/>
      <c r="W30"/>
      <c r="X30"/>
      <c r="Y30"/>
      <c r="Z30"/>
      <c r="AA30"/>
      <c r="AB30"/>
      <c r="AC30"/>
      <c r="AD30"/>
      <c r="AE30"/>
      <c r="AF30"/>
      <c r="AG30"/>
      <c r="AH30"/>
      <c r="AI30"/>
      <c r="AJ30"/>
      <c r="AK30"/>
      <c r="AL30"/>
      <c r="AM30"/>
      <c r="AN30"/>
      <c r="AO30"/>
      <c r="AP30"/>
    </row>
    <row r="31" spans="1:44" s="554" customFormat="1" ht="15.75" thickBot="1">
      <c r="A31" s="675" t="str">
        <f>'4th Street Financial '!B70</f>
        <v>Total Project Cost</v>
      </c>
      <c r="B31" s="676">
        <f t="shared" ref="B31:Q31" ca="1" si="7">SUM(B6:B30)</f>
        <v>46451366.224884897</v>
      </c>
      <c r="C31" s="677">
        <f t="shared" ca="1" si="7"/>
        <v>11760429.148011982</v>
      </c>
      <c r="D31" s="677">
        <f t="shared" ca="1" si="7"/>
        <v>0</v>
      </c>
      <c r="E31" s="677">
        <f t="shared" ca="1" si="7"/>
        <v>1734546.8538436457</v>
      </c>
      <c r="F31" s="677">
        <f t="shared" ca="1" si="7"/>
        <v>1734546.8538436457</v>
      </c>
      <c r="G31" s="677">
        <f t="shared" ca="1" si="7"/>
        <v>1734546.8538436457</v>
      </c>
      <c r="H31" s="677">
        <f t="shared" ca="1" si="7"/>
        <v>3469093.7076872913</v>
      </c>
      <c r="I31" s="677">
        <f t="shared" ca="1" si="7"/>
        <v>3469093.7076872913</v>
      </c>
      <c r="J31" s="677">
        <f t="shared" ca="1" si="7"/>
        <v>6938187.4153745826</v>
      </c>
      <c r="K31" s="677">
        <f t="shared" ca="1" si="7"/>
        <v>5203640.5615309374</v>
      </c>
      <c r="L31" s="677">
        <f t="shared" ca="1" si="7"/>
        <v>3469093.7076872913</v>
      </c>
      <c r="M31" s="677">
        <f t="shared" ca="1" si="7"/>
        <v>3469093.7076872913</v>
      </c>
      <c r="N31" s="677">
        <f t="shared" ca="1" si="7"/>
        <v>3469093.7076872913</v>
      </c>
      <c r="O31" s="677">
        <f t="shared" ca="1" si="7"/>
        <v>0</v>
      </c>
      <c r="P31" s="678">
        <f t="shared" si="7"/>
        <v>36766276</v>
      </c>
      <c r="Q31" s="679">
        <f t="shared" si="7"/>
        <v>36766276</v>
      </c>
      <c r="R31" s="679"/>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row>
    <row r="32" spans="1:44">
      <c r="A32" s="673" t="s">
        <v>196</v>
      </c>
      <c r="B32" s="674">
        <f ca="1">'4th Street Financial '!C78</f>
        <v>-3714000</v>
      </c>
      <c r="C32" s="99"/>
      <c r="D32" s="99"/>
      <c r="E32" s="99"/>
      <c r="F32" s="99"/>
      <c r="G32" s="99"/>
      <c r="H32" s="99"/>
      <c r="I32" s="99"/>
      <c r="J32" s="99"/>
      <c r="K32" s="99"/>
      <c r="L32" s="99"/>
      <c r="M32" s="99"/>
      <c r="N32" s="99"/>
      <c r="O32" s="99"/>
      <c r="P32" s="96"/>
      <c r="Q32" s="95"/>
      <c r="R32" s="95"/>
      <c r="S32"/>
      <c r="T32"/>
      <c r="U32"/>
      <c r="V32"/>
      <c r="W32"/>
      <c r="X32"/>
      <c r="Y32"/>
      <c r="Z32"/>
      <c r="AA32"/>
      <c r="AB32"/>
      <c r="AC32"/>
      <c r="AD32"/>
      <c r="AE32"/>
      <c r="AF32"/>
      <c r="AG32"/>
      <c r="AH32"/>
      <c r="AI32"/>
      <c r="AJ32"/>
      <c r="AK32"/>
      <c r="AL32"/>
      <c r="AM32"/>
      <c r="AN32"/>
      <c r="AO32"/>
      <c r="AP32"/>
    </row>
    <row r="33" spans="1:44" s="554" customFormat="1" ht="15.75" thickBot="1">
      <c r="A33" s="329" t="s">
        <v>197</v>
      </c>
      <c r="B33" s="330">
        <f ca="1">B31+B32</f>
        <v>42737366.224884897</v>
      </c>
      <c r="C33" s="681"/>
      <c r="D33" s="681"/>
      <c r="E33" s="681"/>
      <c r="F33" s="681"/>
      <c r="G33" s="681"/>
      <c r="H33" s="681"/>
      <c r="I33" s="681"/>
      <c r="J33" s="681"/>
      <c r="K33" s="681"/>
      <c r="L33" s="681"/>
      <c r="M33" s="681"/>
      <c r="N33" s="681"/>
      <c r="O33" s="681"/>
      <c r="P33" s="682"/>
      <c r="Q33" s="682"/>
      <c r="R33" s="682"/>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row>
    <row r="34" spans="1:44">
      <c r="A34" s="104" t="s">
        <v>198</v>
      </c>
      <c r="B34" s="105">
        <f ca="1">SUM(C34:O34)</f>
        <v>28801956.357419427</v>
      </c>
      <c r="C34" s="161">
        <f ca="1">C31</f>
        <v>11760429.148011982</v>
      </c>
      <c r="D34" s="161">
        <f t="shared" ref="D34:O34" ca="1" si="8">IF(C35+D31&lt;=$B$35,D31,($B$35-C35))</f>
        <v>0</v>
      </c>
      <c r="E34" s="161">
        <f t="shared" ca="1" si="8"/>
        <v>1734546.8538436457</v>
      </c>
      <c r="F34" s="161">
        <f t="shared" ca="1" si="8"/>
        <v>1734546.8538436457</v>
      </c>
      <c r="G34" s="161">
        <f t="shared" ca="1" si="8"/>
        <v>1734546.8538436457</v>
      </c>
      <c r="H34" s="161">
        <f t="shared" ca="1" si="8"/>
        <v>3469093.7076872913</v>
      </c>
      <c r="I34" s="161">
        <f t="shared" ca="1" si="8"/>
        <v>3469093.7076872913</v>
      </c>
      <c r="J34" s="161">
        <f t="shared" ca="1" si="8"/>
        <v>4899699.232501924</v>
      </c>
      <c r="K34" s="161">
        <f t="shared" ca="1" si="8"/>
        <v>0</v>
      </c>
      <c r="L34" s="161">
        <f t="shared" ca="1" si="8"/>
        <v>0</v>
      </c>
      <c r="M34" s="161">
        <f t="shared" ca="1" si="8"/>
        <v>0</v>
      </c>
      <c r="N34" s="161">
        <f t="shared" ca="1" si="8"/>
        <v>0</v>
      </c>
      <c r="O34" s="161">
        <f t="shared" ca="1" si="8"/>
        <v>0</v>
      </c>
      <c r="P34" s="555"/>
      <c r="Q34" s="555"/>
      <c r="R34" s="555"/>
      <c r="S34"/>
      <c r="T34"/>
      <c r="U34"/>
      <c r="V34"/>
      <c r="W34"/>
      <c r="X34"/>
      <c r="Y34"/>
      <c r="Z34"/>
      <c r="AA34"/>
      <c r="AB34"/>
      <c r="AC34"/>
      <c r="AD34"/>
      <c r="AE34"/>
      <c r="AF34"/>
      <c r="AG34"/>
      <c r="AH34"/>
      <c r="AI34"/>
      <c r="AJ34"/>
      <c r="AK34"/>
      <c r="AL34"/>
      <c r="AM34"/>
      <c r="AN34"/>
      <c r="AO34"/>
      <c r="AP34"/>
    </row>
    <row r="35" spans="1:44" ht="15.75" thickBot="1">
      <c r="A35" s="312" t="s">
        <v>199</v>
      </c>
      <c r="B35" s="101">
        <f ca="1">'4th Street Financial '!C82</f>
        <v>28801956.357419427</v>
      </c>
      <c r="C35" s="315">
        <f ca="1">C34</f>
        <v>11760429.148011982</v>
      </c>
      <c r="D35" s="315">
        <f ca="1">IF(SUM($C$34:D$34)&lt;=$B35,SUM($C$34:D$34),0)</f>
        <v>11760429.148011982</v>
      </c>
      <c r="E35" s="315">
        <f ca="1">IF(SUM($C$34:E34)&lt;=$B35,SUM($C$34:E34),0)</f>
        <v>13494976.001855629</v>
      </c>
      <c r="F35" s="315">
        <f ca="1">IF(SUM($C$34:F34)&lt;=$B35,SUM($C$34:F34),0)</f>
        <v>15229522.855699275</v>
      </c>
      <c r="G35" s="315">
        <f ca="1">IF(SUM($C$34:G34)&lt;=$B35,SUM($C$34:G34),0)</f>
        <v>16964069.709542919</v>
      </c>
      <c r="H35" s="315">
        <f ca="1">IF(SUM($C$34:H34)&lt;=$B35,SUM($C$34:H34),0)</f>
        <v>20433163.417230211</v>
      </c>
      <c r="I35" s="315">
        <f ca="1">IF(SUM($C$34:I34)&lt;=$B35,SUM($C$34:I34),0)</f>
        <v>23902257.124917503</v>
      </c>
      <c r="J35" s="315">
        <f ca="1">IF(SUM($C$34:J34)&lt;=$B35,SUM($C$34:J34),0)</f>
        <v>28801956.357419427</v>
      </c>
      <c r="K35" s="315">
        <f ca="1">IF(SUM($C$34:K34)&lt;=$B35,SUM($C$34:K34),0)</f>
        <v>28801956.357419427</v>
      </c>
      <c r="L35" s="315">
        <f ca="1">IF(SUM($C$34:L34)&lt;=$B35,SUM($C$34:L34),0)</f>
        <v>28801956.357419427</v>
      </c>
      <c r="M35" s="315">
        <f ca="1">IF(SUM($C$34:M34)&lt;=$B35,SUM($C$34:M34),0)</f>
        <v>28801956.357419427</v>
      </c>
      <c r="N35" s="315">
        <f ca="1">IF(SUM($C$34:N34)&lt;=$B35,SUM($C$34:N34),0)</f>
        <v>28801956.357419427</v>
      </c>
      <c r="O35" s="315">
        <f ca="1">IF(SUM($C$34:O34)&lt;=$B35,SUM($C$34:O34),0)</f>
        <v>28801956.357419427</v>
      </c>
      <c r="P35" s="334"/>
      <c r="Q35" s="334"/>
      <c r="R35" s="334"/>
      <c r="S35"/>
      <c r="T35"/>
      <c r="U35"/>
      <c r="V35"/>
      <c r="W35"/>
      <c r="X35"/>
      <c r="Y35"/>
      <c r="Z35"/>
      <c r="AA35"/>
      <c r="AB35"/>
      <c r="AC35"/>
      <c r="AD35"/>
      <c r="AE35"/>
      <c r="AF35"/>
      <c r="AG35"/>
      <c r="AH35"/>
      <c r="AI35"/>
      <c r="AJ35"/>
      <c r="AK35"/>
      <c r="AL35"/>
      <c r="AM35"/>
      <c r="AN35"/>
      <c r="AO35"/>
      <c r="AP35"/>
    </row>
    <row r="36" spans="1:44">
      <c r="A36" s="102" t="s">
        <v>200</v>
      </c>
      <c r="B36" s="103">
        <f ca="1">'4th Street Financial '!C81</f>
        <v>13935409.867465468</v>
      </c>
      <c r="C36" s="335"/>
      <c r="D36" s="336"/>
      <c r="E36" s="336"/>
      <c r="F36" s="336"/>
      <c r="G36" s="336"/>
      <c r="H36" s="336"/>
      <c r="I36" s="336"/>
      <c r="J36" s="336"/>
      <c r="K36" s="336"/>
      <c r="L36" s="336"/>
      <c r="M36" s="336"/>
      <c r="N36" s="336"/>
      <c r="O36" s="336"/>
      <c r="P36" s="334"/>
      <c r="Q36" s="334"/>
      <c r="R36" s="334"/>
      <c r="S36"/>
      <c r="T36"/>
      <c r="U36"/>
      <c r="V36"/>
      <c r="W36"/>
      <c r="X36"/>
      <c r="Y36"/>
      <c r="Z36"/>
      <c r="AA36"/>
      <c r="AB36"/>
      <c r="AC36"/>
      <c r="AD36"/>
      <c r="AE36"/>
      <c r="AF36"/>
      <c r="AG36"/>
      <c r="AH36"/>
      <c r="AI36"/>
      <c r="AJ36"/>
      <c r="AK36"/>
      <c r="AL36"/>
      <c r="AM36"/>
      <c r="AN36"/>
      <c r="AO36"/>
      <c r="AP36"/>
    </row>
    <row r="37" spans="1:44" ht="15.75" thickBot="1">
      <c r="A37" s="337" t="s">
        <v>201</v>
      </c>
      <c r="B37" s="338">
        <f ca="1">PMT(0.045,30,(B36))</f>
        <v>-855516.31282733858</v>
      </c>
      <c r="C37" s="335"/>
      <c r="D37" s="336"/>
      <c r="E37" s="336"/>
      <c r="F37" s="336"/>
      <c r="G37" s="336"/>
      <c r="H37" s="336"/>
      <c r="I37" s="336"/>
      <c r="J37" s="336"/>
      <c r="K37" s="336"/>
      <c r="L37" s="336"/>
      <c r="M37" s="336"/>
      <c r="N37" s="336"/>
      <c r="O37" s="336"/>
      <c r="P37" s="334"/>
      <c r="Q37" s="334"/>
      <c r="R37" s="334"/>
      <c r="S37"/>
      <c r="T37"/>
      <c r="U37"/>
      <c r="V37"/>
      <c r="W37"/>
      <c r="X37"/>
      <c r="Y37"/>
      <c r="Z37"/>
      <c r="AA37"/>
      <c r="AB37"/>
      <c r="AC37"/>
      <c r="AD37"/>
      <c r="AE37"/>
      <c r="AF37"/>
      <c r="AG37"/>
      <c r="AH37"/>
      <c r="AI37"/>
      <c r="AJ37"/>
      <c r="AK37"/>
      <c r="AL37"/>
      <c r="AM37"/>
      <c r="AN37"/>
      <c r="AO37"/>
      <c r="AP37"/>
    </row>
    <row r="38" spans="1:44">
      <c r="A38" s="104" t="s">
        <v>202</v>
      </c>
      <c r="B38" s="105">
        <f>SUM(C38:P38)</f>
        <v>0</v>
      </c>
      <c r="C38" s="315"/>
      <c r="D38" s="315"/>
      <c r="E38" s="315"/>
      <c r="F38" s="315"/>
      <c r="G38" s="315"/>
      <c r="H38" s="315"/>
      <c r="I38" s="315"/>
      <c r="J38" s="315"/>
      <c r="K38" s="315"/>
      <c r="L38" s="315"/>
      <c r="M38" s="315"/>
      <c r="N38" s="315"/>
      <c r="O38" s="315"/>
      <c r="P38" s="199"/>
      <c r="Q38" s="315"/>
      <c r="R38" s="334"/>
      <c r="S38"/>
      <c r="T38"/>
      <c r="U38"/>
      <c r="V38"/>
      <c r="W38"/>
      <c r="X38"/>
      <c r="Y38"/>
      <c r="Z38"/>
      <c r="AA38"/>
      <c r="AB38"/>
      <c r="AC38"/>
      <c r="AD38"/>
      <c r="AE38"/>
      <c r="AF38"/>
      <c r="AG38"/>
      <c r="AH38"/>
      <c r="AI38"/>
      <c r="AJ38"/>
      <c r="AK38"/>
      <c r="AL38"/>
      <c r="AM38"/>
      <c r="AN38"/>
      <c r="AO38"/>
      <c r="AP38"/>
    </row>
    <row r="39" spans="1:44">
      <c r="A39" s="1614" t="s">
        <v>203</v>
      </c>
      <c r="B39" s="1615"/>
      <c r="C39" s="336"/>
      <c r="D39" s="336"/>
      <c r="E39" s="336"/>
      <c r="F39" s="336"/>
      <c r="G39" s="336"/>
      <c r="H39" s="336"/>
      <c r="I39" s="336"/>
      <c r="J39" s="336"/>
      <c r="K39" s="336"/>
      <c r="L39" s="336"/>
      <c r="M39" s="336"/>
      <c r="N39" s="336"/>
      <c r="O39" s="336"/>
      <c r="P39" s="199"/>
      <c r="Q39" s="315"/>
      <c r="R39" s="334"/>
      <c r="S39"/>
      <c r="T39"/>
      <c r="U39"/>
      <c r="V39"/>
      <c r="W39"/>
      <c r="X39"/>
      <c r="Y39"/>
      <c r="Z39"/>
      <c r="AA39"/>
      <c r="AB39"/>
      <c r="AC39"/>
      <c r="AD39"/>
      <c r="AE39"/>
      <c r="AF39"/>
      <c r="AG39"/>
      <c r="AH39"/>
      <c r="AI39"/>
      <c r="AJ39"/>
      <c r="AK39"/>
      <c r="AL39"/>
      <c r="AM39"/>
      <c r="AN39"/>
      <c r="AO39"/>
      <c r="AP39"/>
    </row>
    <row r="40" spans="1:44">
      <c r="A40" s="322" t="s">
        <v>204</v>
      </c>
      <c r="B40" s="199">
        <f ca="1">'4th Street Financial '!C89+'4th Street Financial '!C90</f>
        <v>35811420.372534536</v>
      </c>
      <c r="C40" s="340"/>
      <c r="D40" s="341"/>
      <c r="E40" s="341"/>
      <c r="F40" s="341"/>
      <c r="G40" s="341"/>
      <c r="H40" s="341"/>
      <c r="I40" s="341"/>
      <c r="J40" s="341"/>
      <c r="K40" s="341"/>
      <c r="L40" s="341"/>
      <c r="M40" s="341"/>
      <c r="N40" s="341"/>
      <c r="O40" s="341"/>
      <c r="P40" s="322"/>
      <c r="Q40" s="347"/>
      <c r="R40" s="344"/>
      <c r="S40"/>
      <c r="T40"/>
      <c r="U40"/>
      <c r="V40"/>
      <c r="W40"/>
      <c r="X40"/>
      <c r="Y40"/>
      <c r="Z40"/>
      <c r="AA40"/>
      <c r="AB40"/>
      <c r="AC40"/>
      <c r="AD40"/>
      <c r="AE40"/>
      <c r="AF40"/>
      <c r="AG40"/>
      <c r="AH40"/>
      <c r="AI40"/>
      <c r="AJ40"/>
      <c r="AK40"/>
      <c r="AL40"/>
      <c r="AM40"/>
      <c r="AN40"/>
      <c r="AO40"/>
      <c r="AP40"/>
    </row>
    <row r="41" spans="1:44">
      <c r="A41" s="322" t="s">
        <v>205</v>
      </c>
      <c r="B41" s="315">
        <f ca="1">SUM(C41:O41)</f>
        <v>7009464.0151151083</v>
      </c>
      <c r="C41" s="345">
        <f t="shared" ref="C41:N41" ca="1" si="9">-C34</f>
        <v>-11760429.148011982</v>
      </c>
      <c r="D41" s="345">
        <f t="shared" ca="1" si="9"/>
        <v>0</v>
      </c>
      <c r="E41" s="345">
        <f t="shared" ca="1" si="9"/>
        <v>-1734546.8538436457</v>
      </c>
      <c r="F41" s="345">
        <f t="shared" ca="1" si="9"/>
        <v>-1734546.8538436457</v>
      </c>
      <c r="G41" s="345">
        <f t="shared" ca="1" si="9"/>
        <v>-1734546.8538436457</v>
      </c>
      <c r="H41" s="345">
        <f t="shared" ca="1" si="9"/>
        <v>-3469093.7076872913</v>
      </c>
      <c r="I41" s="345">
        <f t="shared" ca="1" si="9"/>
        <v>-3469093.7076872913</v>
      </c>
      <c r="J41" s="345">
        <f t="shared" ca="1" si="9"/>
        <v>-4899699.232501924</v>
      </c>
      <c r="K41" s="345">
        <f t="shared" ca="1" si="9"/>
        <v>0</v>
      </c>
      <c r="L41" s="345">
        <f t="shared" ca="1" si="9"/>
        <v>0</v>
      </c>
      <c r="M41" s="345">
        <f t="shared" ca="1" si="9"/>
        <v>0</v>
      </c>
      <c r="N41" s="345">
        <f t="shared" ca="1" si="9"/>
        <v>0</v>
      </c>
      <c r="O41" s="346">
        <f ca="1">B40</f>
        <v>35811420.372534536</v>
      </c>
      <c r="P41" s="347"/>
      <c r="Q41" s="315"/>
      <c r="R41" s="315"/>
      <c r="S41"/>
      <c r="T41"/>
      <c r="U41"/>
      <c r="V41"/>
      <c r="W41"/>
      <c r="X41"/>
      <c r="Y41"/>
      <c r="Z41"/>
      <c r="AA41"/>
      <c r="AB41"/>
      <c r="AC41"/>
      <c r="AD41"/>
      <c r="AE41"/>
      <c r="AF41"/>
      <c r="AG41"/>
      <c r="AH41"/>
      <c r="AI41"/>
      <c r="AJ41"/>
      <c r="AK41"/>
      <c r="AL41"/>
      <c r="AM41"/>
      <c r="AN41"/>
      <c r="AO41"/>
      <c r="AP41"/>
    </row>
    <row r="42" spans="1:44">
      <c r="A42" s="322" t="s">
        <v>206</v>
      </c>
      <c r="B42" s="415">
        <f ca="1">IF(B41&lt;0,0,IRR(C41:O41))</f>
        <v>2.4390107013120943E-2</v>
      </c>
      <c r="C42" s="348"/>
      <c r="D42" s="348"/>
      <c r="E42" s="348"/>
      <c r="F42" s="348"/>
      <c r="G42" s="348"/>
      <c r="H42" s="348"/>
      <c r="I42" s="348"/>
      <c r="J42" s="348"/>
      <c r="K42" s="348"/>
      <c r="L42" s="348"/>
      <c r="M42" s="348"/>
      <c r="N42" s="348"/>
      <c r="O42" s="348"/>
      <c r="P42" s="322"/>
      <c r="Q42" s="349"/>
      <c r="R42" s="349"/>
      <c r="S42"/>
      <c r="T42"/>
      <c r="U42"/>
      <c r="V42"/>
      <c r="W42"/>
      <c r="X42"/>
      <c r="Y42"/>
      <c r="Z42"/>
      <c r="AA42"/>
      <c r="AB42"/>
      <c r="AC42"/>
      <c r="AD42"/>
      <c r="AE42"/>
      <c r="AF42"/>
      <c r="AG42"/>
      <c r="AH42"/>
      <c r="AI42"/>
      <c r="AJ42"/>
      <c r="AK42"/>
      <c r="AL42"/>
      <c r="AM42"/>
      <c r="AN42"/>
      <c r="AO42"/>
      <c r="AP42"/>
    </row>
    <row r="43" spans="1:44">
      <c r="A43" s="322" t="s">
        <v>207</v>
      </c>
      <c r="B43" s="417">
        <f ca="1">POWER((1+B42),4)-1</f>
        <v>0.10118808233816745</v>
      </c>
      <c r="C43" s="342"/>
      <c r="D43" s="342"/>
      <c r="E43" s="351"/>
      <c r="F43" s="351"/>
      <c r="G43" s="351"/>
      <c r="H43" s="351"/>
      <c r="I43" s="351"/>
      <c r="J43" s="351"/>
      <c r="K43" s="351"/>
      <c r="L43" s="351"/>
      <c r="M43" s="351"/>
      <c r="N43" s="351"/>
      <c r="O43" s="351"/>
      <c r="P43" s="353"/>
      <c r="Q43" s="353"/>
      <c r="R43" s="35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row>
    <row r="44" spans="1:44">
      <c r="A44" s="1591" t="s">
        <v>208</v>
      </c>
      <c r="B44" s="1591"/>
      <c r="C44" s="342"/>
      <c r="D44" s="342"/>
      <c r="E44" s="351"/>
      <c r="F44" s="351"/>
      <c r="G44" s="351"/>
      <c r="H44" s="351"/>
      <c r="I44" s="351"/>
      <c r="J44" s="351"/>
      <c r="K44" s="351"/>
      <c r="L44" s="351"/>
      <c r="M44" s="351"/>
      <c r="N44" s="351"/>
      <c r="O44" s="351"/>
      <c r="P44" s="353"/>
      <c r="Q44" s="353"/>
      <c r="R44" s="35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row>
    <row r="45" spans="1:44">
      <c r="A45" s="322" t="s">
        <v>209</v>
      </c>
      <c r="B45" s="324">
        <f ca="1">'4th Street Financial '!C89+'4th Street Financial '!C78</f>
        <v>46032830.240000002</v>
      </c>
      <c r="C45" s="342"/>
      <c r="D45" s="342"/>
      <c r="E45" s="351"/>
      <c r="F45" s="351"/>
      <c r="G45" s="351"/>
      <c r="H45" s="351"/>
      <c r="I45" s="351"/>
      <c r="J45" s="351"/>
      <c r="K45" s="351"/>
      <c r="L45" s="351"/>
      <c r="M45" s="351"/>
      <c r="N45" s="351"/>
      <c r="O45" s="351"/>
      <c r="P45" s="353"/>
      <c r="Q45" s="353"/>
      <c r="R45" s="35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row>
    <row r="46" spans="1:44">
      <c r="A46" s="322" t="s">
        <v>210</v>
      </c>
      <c r="B46" s="315">
        <f ca="1">SUM(C46:O46)</f>
        <v>-418535.98488488793</v>
      </c>
      <c r="C46" s="315">
        <f ca="1">-C31</f>
        <v>-11760429.148011982</v>
      </c>
      <c r="D46" s="315">
        <f ca="1">-D31</f>
        <v>0</v>
      </c>
      <c r="E46" s="315">
        <f ca="1">-E31</f>
        <v>-1734546.8538436457</v>
      </c>
      <c r="F46" s="315">
        <f t="shared" ref="F46:M46" ca="1" si="10">-F31</f>
        <v>-1734546.8538436457</v>
      </c>
      <c r="G46" s="315">
        <f t="shared" ca="1" si="10"/>
        <v>-1734546.8538436457</v>
      </c>
      <c r="H46" s="315">
        <f t="shared" ca="1" si="10"/>
        <v>-3469093.7076872913</v>
      </c>
      <c r="I46" s="315">
        <f t="shared" ca="1" si="10"/>
        <v>-3469093.7076872913</v>
      </c>
      <c r="J46" s="315">
        <f t="shared" ca="1" si="10"/>
        <v>-6938187.4153745826</v>
      </c>
      <c r="K46" s="315">
        <f t="shared" ca="1" si="10"/>
        <v>-5203640.5615309374</v>
      </c>
      <c r="L46" s="315">
        <f t="shared" ca="1" si="10"/>
        <v>-3469093.7076872913</v>
      </c>
      <c r="M46" s="315">
        <f t="shared" ca="1" si="10"/>
        <v>-3469093.7076872913</v>
      </c>
      <c r="N46" s="315">
        <f ca="1">-N31</f>
        <v>-3469093.7076872913</v>
      </c>
      <c r="O46" s="349">
        <f ca="1">-O31+B45</f>
        <v>46032830.240000002</v>
      </c>
      <c r="P46" s="349"/>
      <c r="Q46" s="322"/>
      <c r="R46" s="322"/>
    </row>
    <row r="47" spans="1:44">
      <c r="A47" s="322" t="s">
        <v>211</v>
      </c>
      <c r="B47" s="415">
        <f ca="1">IF(B46&lt;0,0,IRR(C46:O46))</f>
        <v>0</v>
      </c>
      <c r="C47" s="342"/>
      <c r="D47" s="342"/>
      <c r="E47" s="342"/>
      <c r="F47" s="342"/>
      <c r="G47" s="342"/>
      <c r="H47" s="342"/>
      <c r="I47" s="342"/>
      <c r="J47" s="342"/>
      <c r="K47" s="342"/>
      <c r="L47" s="342"/>
      <c r="M47" s="336"/>
      <c r="N47" s="342"/>
      <c r="O47" s="342"/>
      <c r="P47" s="322"/>
      <c r="Q47" s="322"/>
      <c r="R47" s="322"/>
    </row>
    <row r="48" spans="1:44">
      <c r="A48" s="322" t="s">
        <v>212</v>
      </c>
      <c r="B48" s="417">
        <f ca="1">POWER((1+B47),4)-1</f>
        <v>0</v>
      </c>
      <c r="C48" s="342"/>
      <c r="D48" s="342"/>
      <c r="E48" s="342"/>
      <c r="F48" s="342"/>
      <c r="G48" s="342"/>
      <c r="H48" s="342"/>
      <c r="I48" s="342"/>
      <c r="J48" s="342"/>
      <c r="K48" s="342"/>
      <c r="L48" s="342"/>
      <c r="M48" s="336"/>
      <c r="N48" s="342"/>
      <c r="O48" s="342"/>
      <c r="P48" s="322"/>
      <c r="Q48" s="322"/>
      <c r="R48" s="322"/>
    </row>
    <row r="49" spans="7:7">
      <c r="G49" s="7"/>
    </row>
    <row r="50" spans="7:7">
      <c r="G50" s="7"/>
    </row>
    <row r="51" spans="7:7">
      <c r="G51" s="7"/>
    </row>
    <row r="52" spans="7:7">
      <c r="G52" s="7"/>
    </row>
    <row r="53" spans="7:7">
      <c r="G53" s="7"/>
    </row>
    <row r="54" spans="7:7">
      <c r="G54" s="7"/>
    </row>
    <row r="55" spans="7:7">
      <c r="G55" s="7"/>
    </row>
    <row r="56" spans="7:7">
      <c r="G56" s="7"/>
    </row>
    <row r="57" spans="7:7">
      <c r="G57" s="7"/>
    </row>
    <row r="58" spans="7:7">
      <c r="G58" s="7"/>
    </row>
    <row r="59" spans="7:7">
      <c r="G59" s="7"/>
    </row>
    <row r="60" spans="7:7">
      <c r="G60" s="7"/>
    </row>
    <row r="61" spans="7:7">
      <c r="G61" s="7"/>
    </row>
    <row r="62" spans="7:7">
      <c r="G62" s="7"/>
    </row>
    <row r="63" spans="7:7">
      <c r="G63" s="7"/>
    </row>
    <row r="64" spans="7:7">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row r="600" spans="7:7">
      <c r="G600" s="7"/>
    </row>
    <row r="601" spans="7:7">
      <c r="G601" s="7"/>
    </row>
    <row r="602" spans="7:7">
      <c r="G602" s="7"/>
    </row>
    <row r="603" spans="7:7">
      <c r="G603" s="7"/>
    </row>
    <row r="604" spans="7:7">
      <c r="G604" s="7"/>
    </row>
    <row r="605" spans="7:7">
      <c r="G605" s="7"/>
    </row>
  </sheetData>
  <mergeCells count="4">
    <mergeCell ref="A1:A4"/>
    <mergeCell ref="P2:R2"/>
    <mergeCell ref="A39:B39"/>
    <mergeCell ref="A44:B44"/>
  </mergeCells>
  <conditionalFormatting sqref="D4:O4">
    <cfRule type="cellIs" dxfId="59" priority="1" operator="equal">
      <formula>#REF!</formula>
    </cfRule>
    <cfRule type="cellIs" dxfId="58" priority="2" operator="equal">
      <formula>#REF!</formula>
    </cfRule>
    <cfRule type="cellIs" dxfId="57" priority="3" operator="equal">
      <formula>#REF!</formula>
    </cfRule>
    <cfRule type="cellIs" dxfId="56" priority="4" operator="equal">
      <formula>#REF!</formula>
    </cfRule>
  </conditionalFormatting>
  <conditionalFormatting sqref="P4:R4">
    <cfRule type="cellIs" dxfId="55" priority="13" operator="equal">
      <formula>#REF!</formula>
    </cfRule>
    <cfRule type="cellIs" dxfId="54" priority="14" operator="equal">
      <formula>#REF!</formula>
    </cfRule>
    <cfRule type="cellIs" dxfId="53" priority="15" operator="equal">
      <formula>#REF!</formula>
    </cfRule>
    <cfRule type="cellIs" dxfId="52" priority="16" operator="equal">
      <formula>#REF!</formula>
    </cfRule>
  </conditionalFormatting>
  <pageMargins left="0.7" right="0.7" top="0.75" bottom="0.75" header="0.3" footer="0.3"/>
  <ignoredErrors>
    <ignoredError sqref="C14:C2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0EB93-B177-4EBA-A470-4DBF6B0EAE00}">
  <sheetPr>
    <tabColor theme="6" tint="-0.249977111117893"/>
    <pageSetUpPr fitToPage="1"/>
  </sheetPr>
  <dimension ref="B1:L126"/>
  <sheetViews>
    <sheetView showGridLines="0" topLeftCell="A32" zoomScaleNormal="100" zoomScaleSheetLayoutView="90" workbookViewId="0">
      <selection activeCell="F83" sqref="F83"/>
    </sheetView>
  </sheetViews>
  <sheetFormatPr defaultColWidth="8.85546875" defaultRowHeight="23.25" customHeight="1"/>
  <cols>
    <col min="1" max="1" width="4.28515625" style="7" customWidth="1"/>
    <col min="2" max="2" width="40.140625" style="7" bestFit="1" customWidth="1"/>
    <col min="3" max="3" width="26.42578125" style="7" customWidth="1"/>
    <col min="4" max="4" width="22.42578125" style="7" bestFit="1" customWidth="1"/>
    <col min="5" max="5" width="17.42578125" style="7" customWidth="1"/>
    <col min="6" max="6" width="20.28515625" style="7" customWidth="1"/>
    <col min="7" max="8" width="9.7109375" style="7" bestFit="1" customWidth="1"/>
    <col min="9" max="9" width="16.42578125" style="7" bestFit="1" customWidth="1"/>
    <col min="10" max="16384" width="8.85546875" style="7"/>
  </cols>
  <sheetData>
    <row r="1" spans="2:10" ht="18.75" customHeight="1" thickBot="1"/>
    <row r="2" spans="2:10" ht="15" customHeight="1" thickBot="1">
      <c r="B2" s="1561" t="s">
        <v>108</v>
      </c>
      <c r="C2" s="1562"/>
      <c r="D2" s="1562"/>
      <c r="E2" s="1566" t="str">
        <f>'Development Program'!B11</f>
        <v>Baker Tower Apts</v>
      </c>
      <c r="F2" s="1567"/>
    </row>
    <row r="3" spans="2:10" ht="12.75">
      <c r="B3" s="944"/>
      <c r="C3" s="945"/>
      <c r="D3" s="945"/>
      <c r="E3" s="612">
        <v>0</v>
      </c>
      <c r="F3" s="953" t="s">
        <v>109</v>
      </c>
    </row>
    <row r="4" spans="2:10" ht="12.75">
      <c r="B4" s="10" t="s">
        <v>110</v>
      </c>
      <c r="C4" s="11" t="s">
        <v>111</v>
      </c>
      <c r="D4" s="51" t="s">
        <v>347</v>
      </c>
      <c r="E4" s="11" t="s">
        <v>112</v>
      </c>
      <c r="F4" s="12" t="s">
        <v>113</v>
      </c>
    </row>
    <row r="5" spans="2:10" ht="12.75">
      <c r="B5" s="480" t="s">
        <v>341</v>
      </c>
      <c r="C5" s="623"/>
      <c r="D5" s="624"/>
      <c r="E5" s="623"/>
      <c r="F5" s="625"/>
    </row>
    <row r="6" spans="2:10" ht="12.75">
      <c r="B6" s="684">
        <f>C6/C10</f>
        <v>0.36979969183359018</v>
      </c>
      <c r="C6" s="1168">
        <f>180*0.8</f>
        <v>144</v>
      </c>
      <c r="D6" s="1168">
        <v>500</v>
      </c>
      <c r="E6" s="683">
        <v>5</v>
      </c>
      <c r="F6" s="529">
        <f>12*C6*D6*E6</f>
        <v>4320000</v>
      </c>
      <c r="G6" s="459"/>
      <c r="H6" s="459"/>
    </row>
    <row r="7" spans="2:10" ht="12.75">
      <c r="B7" s="685">
        <f>C7/C10</f>
        <v>0.45197740112994356</v>
      </c>
      <c r="C7" s="1168">
        <f>220*0.8</f>
        <v>176</v>
      </c>
      <c r="D7" s="1168">
        <v>700</v>
      </c>
      <c r="E7" s="683">
        <v>4.6500000000000004</v>
      </c>
      <c r="F7" s="529">
        <f>12*C7*D7*E7</f>
        <v>6874560.0000000009</v>
      </c>
      <c r="G7" s="459"/>
      <c r="H7" s="459"/>
    </row>
    <row r="8" spans="2:10" ht="12.75">
      <c r="B8" s="686">
        <f>C8/C10</f>
        <v>0.120698510529019</v>
      </c>
      <c r="C8" s="1168">
        <v>47</v>
      </c>
      <c r="D8" s="1168">
        <v>1000</v>
      </c>
      <c r="E8" s="683">
        <v>4.3499999999999996</v>
      </c>
      <c r="F8" s="529">
        <f t="shared" ref="F8" si="0">12*C8*D8*E8</f>
        <v>2453400</v>
      </c>
      <c r="G8" s="459"/>
      <c r="H8" s="459"/>
    </row>
    <row r="9" spans="2:10" ht="12.75">
      <c r="B9" s="687">
        <f>C9/C10</f>
        <v>5.752439650744736E-2</v>
      </c>
      <c r="C9" s="1168">
        <f>28*0.8</f>
        <v>22.400000000000002</v>
      </c>
      <c r="D9" s="1168">
        <v>1200</v>
      </c>
      <c r="E9" s="683">
        <v>4</v>
      </c>
      <c r="F9" s="529">
        <f>12*C9*D9*E9</f>
        <v>1290240</v>
      </c>
      <c r="G9" s="459"/>
      <c r="H9" s="459"/>
    </row>
    <row r="10" spans="2:10" ht="12.75">
      <c r="B10" s="1173">
        <f>C10/C21</f>
        <v>0.79893311448502258</v>
      </c>
      <c r="C10" s="689">
        <f>SUM(C6:C9)</f>
        <v>389.4</v>
      </c>
      <c r="D10" s="689">
        <f>+SUMPRODUCT(D6:D9,C6:C9)/C10</f>
        <v>691.01181304571139</v>
      </c>
      <c r="E10" s="690">
        <f>+SUM(F6:F9)/(D10*C10)/12</f>
        <v>4.626319310242307</v>
      </c>
      <c r="F10" s="946">
        <f>SUM(F6:F9)</f>
        <v>14938200</v>
      </c>
      <c r="J10" s="459"/>
    </row>
    <row r="11" spans="2:10" ht="12.75">
      <c r="B11" s="688" t="s">
        <v>316</v>
      </c>
      <c r="C11" s="1166"/>
      <c r="D11" s="1167"/>
      <c r="E11" s="623"/>
      <c r="F11" s="625"/>
      <c r="J11" s="459"/>
    </row>
    <row r="12" spans="2:10" ht="12.75">
      <c r="B12" s="1157">
        <f>C12/C21</f>
        <v>3.6930652441526469E-2</v>
      </c>
      <c r="C12" s="1168">
        <v>18</v>
      </c>
      <c r="D12" s="1168">
        <f>D6</f>
        <v>500</v>
      </c>
      <c r="E12" s="683">
        <f>720/D12</f>
        <v>1.44</v>
      </c>
      <c r="F12" s="529">
        <f t="shared" ref="F12:F19" si="1">12*C12*D12*E12</f>
        <v>155520</v>
      </c>
      <c r="H12" s="459"/>
    </row>
    <row r="13" spans="2:10" ht="12.75">
      <c r="B13" s="1158">
        <f>C13/C21</f>
        <v>3.6930652441526469E-2</v>
      </c>
      <c r="C13" s="1168">
        <v>18</v>
      </c>
      <c r="D13" s="1168">
        <f>D6</f>
        <v>500</v>
      </c>
      <c r="E13" s="683">
        <f>1198/D13</f>
        <v>2.3959999999999999</v>
      </c>
      <c r="F13" s="529">
        <f t="shared" si="1"/>
        <v>258768</v>
      </c>
      <c r="H13" s="459"/>
    </row>
    <row r="14" spans="2:10" ht="12.75">
      <c r="B14" s="1159">
        <f>C14/C21</f>
        <v>4.5137464095199017E-2</v>
      </c>
      <c r="C14" s="1168">
        <v>22</v>
      </c>
      <c r="D14" s="1168">
        <f>D7</f>
        <v>700</v>
      </c>
      <c r="E14" s="683">
        <f>771/D14</f>
        <v>1.1014285714285714</v>
      </c>
      <c r="F14" s="529">
        <f t="shared" si="1"/>
        <v>203544</v>
      </c>
      <c r="H14" s="459"/>
    </row>
    <row r="15" spans="2:10" ht="12.75">
      <c r="B15" s="1160">
        <f>C15/C21</f>
        <v>4.5137464095199017E-2</v>
      </c>
      <c r="C15" s="1168">
        <v>22</v>
      </c>
      <c r="D15" s="1168">
        <f>D7</f>
        <v>700</v>
      </c>
      <c r="E15" s="683">
        <f>1284/D15</f>
        <v>1.8342857142857143</v>
      </c>
      <c r="F15" s="529">
        <f t="shared" si="1"/>
        <v>338976</v>
      </c>
      <c r="H15" s="459"/>
    </row>
    <row r="16" spans="2:10" ht="12.75">
      <c r="B16" s="1161">
        <f>C16/C21</f>
        <v>1.2310217480508824E-2</v>
      </c>
      <c r="C16" s="1168">
        <v>6</v>
      </c>
      <c r="D16" s="1168">
        <f>D8</f>
        <v>1000</v>
      </c>
      <c r="E16" s="683">
        <v>2.85</v>
      </c>
      <c r="F16" s="529">
        <f t="shared" si="1"/>
        <v>205200</v>
      </c>
      <c r="H16" s="459"/>
    </row>
    <row r="17" spans="2:12" ht="12.75">
      <c r="B17" s="1162">
        <f>C17/C21</f>
        <v>1.2310217480508824E-2</v>
      </c>
      <c r="C17" s="1168">
        <v>6</v>
      </c>
      <c r="D17" s="1168">
        <f>D8</f>
        <v>1000</v>
      </c>
      <c r="E17" s="683">
        <f>1541/D17</f>
        <v>1.5409999999999999</v>
      </c>
      <c r="F17" s="529">
        <f t="shared" si="1"/>
        <v>110952</v>
      </c>
      <c r="H17" s="459"/>
    </row>
    <row r="18" spans="2:12" ht="12.75">
      <c r="B18" s="1163">
        <f>C18/C21</f>
        <v>6.1551087402544119E-3</v>
      </c>
      <c r="C18" s="1168">
        <v>3</v>
      </c>
      <c r="D18" s="1168">
        <f>D9</f>
        <v>1200</v>
      </c>
      <c r="E18" s="683">
        <f>1069/D18</f>
        <v>0.89083333333333337</v>
      </c>
      <c r="F18" s="529">
        <f t="shared" si="1"/>
        <v>38484</v>
      </c>
      <c r="H18" s="459"/>
    </row>
    <row r="19" spans="2:12" ht="12.75">
      <c r="B19" s="1164">
        <f>C19/C21</f>
        <v>6.1551087402544119E-3</v>
      </c>
      <c r="C19" s="1168">
        <v>3</v>
      </c>
      <c r="D19" s="1168">
        <f>D9</f>
        <v>1200</v>
      </c>
      <c r="E19" s="683">
        <f>1781/D19</f>
        <v>1.4841666666666666</v>
      </c>
      <c r="F19" s="529">
        <f t="shared" si="1"/>
        <v>64116</v>
      </c>
      <c r="H19" s="459"/>
    </row>
    <row r="20" spans="2:12" ht="13.5" thickBot="1">
      <c r="B20" s="1165">
        <f>C20/C21</f>
        <v>0.20106688551497745</v>
      </c>
      <c r="C20" s="689">
        <f>SUM(C12:C19)</f>
        <v>98</v>
      </c>
      <c r="D20" s="481">
        <f>SUMPRODUCT(D12:D19,C12:C19)/C20</f>
        <v>693.87755102040819</v>
      </c>
      <c r="E20" s="482"/>
      <c r="F20" s="946">
        <f>SUM(F12:F19)</f>
        <v>1375560</v>
      </c>
      <c r="J20" s="459"/>
    </row>
    <row r="21" spans="2:12" ht="14.25" thickTop="1" thickBot="1">
      <c r="B21" s="13" t="s">
        <v>317</v>
      </c>
      <c r="C21" s="14">
        <f>+C10+C20</f>
        <v>487.4</v>
      </c>
      <c r="D21" s="15">
        <f>C6*D6+C7*D7+C8*D8+C9*D9+C19*D19+C12*D12+C17*D17+C18*D18</f>
        <v>291280</v>
      </c>
      <c r="E21" s="594"/>
      <c r="F21" s="728">
        <f>F10+F20</f>
        <v>16313760</v>
      </c>
    </row>
    <row r="22" spans="2:12" ht="14.25" thickTop="1" thickBot="1">
      <c r="B22" s="17" t="s">
        <v>116</v>
      </c>
      <c r="C22" s="585"/>
      <c r="D22" s="19">
        <f>D21/C21</f>
        <v>597.62002462043495</v>
      </c>
      <c r="E22" s="20">
        <f>F21/D21/12</f>
        <v>4.6672617412798685</v>
      </c>
      <c r="F22" s="947"/>
    </row>
    <row r="23" spans="2:12" ht="13.5" thickBot="1">
      <c r="B23" s="35"/>
      <c r="C23" s="723"/>
      <c r="D23" s="36"/>
      <c r="E23" s="37"/>
    </row>
    <row r="24" spans="2:12" ht="12.75">
      <c r="B24" s="903" t="s">
        <v>117</v>
      </c>
      <c r="C24" s="904" t="s">
        <v>118</v>
      </c>
      <c r="D24" s="904" t="s">
        <v>119</v>
      </c>
      <c r="E24" s="905" t="s">
        <v>113</v>
      </c>
    </row>
    <row r="25" spans="2:12" ht="13.5" thickBot="1">
      <c r="B25" s="227" t="s">
        <v>327</v>
      </c>
      <c r="C25" s="950">
        <v>61453</v>
      </c>
      <c r="D25" s="476">
        <f>Assumptions!I12</f>
        <v>37</v>
      </c>
      <c r="E25" s="742">
        <f>C25*D25</f>
        <v>2273761</v>
      </c>
    </row>
    <row r="26" spans="2:12" ht="14.25" thickTop="1" thickBot="1">
      <c r="B26" s="33" t="s">
        <v>120</v>
      </c>
      <c r="C26" s="553">
        <f>SUM(C25:C25)</f>
        <v>61453</v>
      </c>
      <c r="D26" s="743">
        <f>IF(C26=0,0,E26/C26)</f>
        <v>37</v>
      </c>
      <c r="E26" s="729">
        <f>SUM(E25:E25)</f>
        <v>2273761</v>
      </c>
      <c r="K26" s="484"/>
    </row>
    <row r="27" spans="2:12" ht="13.5" thickBot="1">
      <c r="B27" s="35"/>
      <c r="C27" s="723"/>
      <c r="D27" s="949"/>
      <c r="E27" s="37"/>
      <c r="K27" s="484"/>
    </row>
    <row r="28" spans="2:12" ht="12.75">
      <c r="B28" s="951" t="s">
        <v>121</v>
      </c>
      <c r="C28" s="1055"/>
      <c r="D28" s="1546" t="s">
        <v>437</v>
      </c>
      <c r="E28" s="1547"/>
      <c r="F28" s="1548"/>
      <c r="K28" s="484"/>
    </row>
    <row r="29" spans="2:12" ht="12.75">
      <c r="B29" s="197" t="s">
        <v>122</v>
      </c>
      <c r="C29" s="734">
        <f>C21/2</f>
        <v>243.7</v>
      </c>
      <c r="D29" s="1549"/>
      <c r="E29" s="1550"/>
      <c r="F29" s="1551"/>
      <c r="K29" s="484"/>
    </row>
    <row r="30" spans="2:12" ht="13.5" thickBot="1">
      <c r="B30" s="200" t="s">
        <v>123</v>
      </c>
      <c r="C30" s="735">
        <f>C26/1000</f>
        <v>61.453000000000003</v>
      </c>
      <c r="D30" s="1549"/>
      <c r="E30" s="1550"/>
      <c r="F30" s="1551"/>
      <c r="K30" s="484"/>
    </row>
    <row r="31" spans="2:12" ht="14.25" thickTop="1" thickBot="1">
      <c r="B31" s="13" t="s">
        <v>124</v>
      </c>
      <c r="C31" s="1056">
        <v>580</v>
      </c>
      <c r="D31" s="1549"/>
      <c r="E31" s="1550"/>
      <c r="F31" s="1551"/>
      <c r="L31" s="737"/>
    </row>
    <row r="32" spans="2:12" ht="14.25" thickTop="1" thickBot="1">
      <c r="B32" s="17" t="s">
        <v>394</v>
      </c>
      <c r="C32" s="835">
        <f>C31-C30-C29</f>
        <v>274.84700000000004</v>
      </c>
      <c r="D32" s="1552"/>
      <c r="E32" s="1553"/>
      <c r="F32" s="1554"/>
      <c r="L32" s="737"/>
    </row>
    <row r="33" spans="2:9" ht="13.5" thickBot="1">
      <c r="B33" s="35"/>
      <c r="C33" s="771"/>
      <c r="D33" s="31"/>
      <c r="E33" s="32"/>
    </row>
    <row r="34" spans="2:9" ht="12.75">
      <c r="B34" s="951" t="s">
        <v>125</v>
      </c>
      <c r="C34" s="952" t="str">
        <f>E2</f>
        <v>Baker Tower Apts</v>
      </c>
      <c r="D34" s="35"/>
      <c r="E34" s="35"/>
      <c r="F34" s="35"/>
    </row>
    <row r="35" spans="2:9" ht="12.75">
      <c r="B35" s="838" t="s">
        <v>357</v>
      </c>
      <c r="C35" s="809">
        <v>59242</v>
      </c>
      <c r="D35" s="37"/>
      <c r="F35" s="771"/>
    </row>
    <row r="36" spans="2:9" ht="12.75">
      <c r="B36" s="234" t="s">
        <v>127</v>
      </c>
      <c r="C36" s="810">
        <f>D21+C26</f>
        <v>352733</v>
      </c>
      <c r="D36" s="36"/>
      <c r="E36" s="37"/>
      <c r="F36" s="35"/>
    </row>
    <row r="37" spans="2:9" ht="12.75">
      <c r="B37" s="236">
        <v>400</v>
      </c>
      <c r="C37" s="810">
        <f>C31*B37</f>
        <v>232000</v>
      </c>
      <c r="D37" s="36"/>
      <c r="E37" s="37"/>
      <c r="F37" s="35"/>
    </row>
    <row r="38" spans="2:9" ht="12.75">
      <c r="B38" s="359">
        <v>0.2</v>
      </c>
      <c r="C38" s="810">
        <f>(1+B38)*(C36+C37)</f>
        <v>701679.6</v>
      </c>
      <c r="D38" s="36"/>
      <c r="E38" s="37"/>
      <c r="F38" s="35"/>
    </row>
    <row r="39" spans="2:9" ht="13.5" thickBot="1">
      <c r="B39" s="360">
        <v>10</v>
      </c>
      <c r="C39" s="811">
        <f>C38/B39</f>
        <v>70167.959999999992</v>
      </c>
      <c r="D39" s="36"/>
      <c r="E39" s="37"/>
      <c r="F39" s="35"/>
    </row>
    <row r="40" spans="2:9" ht="13.5" thickBot="1">
      <c r="B40" s="722"/>
      <c r="C40" s="721"/>
      <c r="D40" s="36"/>
      <c r="E40" s="37"/>
      <c r="F40" s="35"/>
    </row>
    <row r="41" spans="2:9" ht="15" customHeight="1" thickBot="1">
      <c r="B41" s="1607" t="s">
        <v>128</v>
      </c>
      <c r="C41" s="1608"/>
      <c r="D41" s="1606" t="str">
        <f>'Development Program'!B26</f>
        <v>Glacier Peak Apts</v>
      </c>
      <c r="E41" s="1565"/>
      <c r="F41" s="35"/>
      <c r="I41" s="1178"/>
    </row>
    <row r="42" spans="2:9" ht="14.45" customHeight="1" thickBot="1">
      <c r="B42" s="918" t="s">
        <v>129</v>
      </c>
      <c r="C42" s="904" t="s">
        <v>130</v>
      </c>
      <c r="D42" s="904" t="s">
        <v>131</v>
      </c>
      <c r="E42" s="905" t="s">
        <v>170</v>
      </c>
      <c r="F42" s="35"/>
    </row>
    <row r="43" spans="2:9" ht="12.75">
      <c r="B43" s="241" t="s">
        <v>133</v>
      </c>
      <c r="C43" s="595">
        <f>E43/C21</f>
        <v>33470.988920804266</v>
      </c>
      <c r="D43" s="596">
        <f>E43/D21</f>
        <v>56.007140895358418</v>
      </c>
      <c r="E43" s="692">
        <f>F21</f>
        <v>16313760</v>
      </c>
      <c r="F43" s="35"/>
      <c r="I43" s="72"/>
    </row>
    <row r="44" spans="2:9" ht="13.5" thickBot="1">
      <c r="B44" s="775">
        <f>C26</f>
        <v>61453</v>
      </c>
      <c r="C44" s="1200"/>
      <c r="D44" s="1200"/>
      <c r="E44" s="475">
        <f>E26</f>
        <v>2273761</v>
      </c>
      <c r="F44" s="35"/>
      <c r="I44" s="60"/>
    </row>
    <row r="45" spans="2:9" ht="14.25" thickTop="1" thickBot="1">
      <c r="B45" s="42">
        <f>Assumptions!I14</f>
        <v>0.05</v>
      </c>
      <c r="C45" s="954"/>
      <c r="D45" s="1199"/>
      <c r="E45" s="718">
        <f>-B45*(E43+E44)</f>
        <v>-929376.05</v>
      </c>
      <c r="F45" s="35"/>
    </row>
    <row r="46" spans="2:9" ht="13.5" thickTop="1">
      <c r="B46" s="645"/>
      <c r="C46" s="1654" t="s">
        <v>135</v>
      </c>
      <c r="D46" s="1654"/>
      <c r="E46" s="646">
        <f>E43+E44+E45</f>
        <v>17658144.949999999</v>
      </c>
      <c r="F46" s="35"/>
      <c r="I46" s="54"/>
    </row>
    <row r="47" spans="2:9" ht="12.75">
      <c r="B47" s="634" t="s">
        <v>136</v>
      </c>
      <c r="C47" s="246"/>
      <c r="D47" s="246" t="s">
        <v>137</v>
      </c>
      <c r="E47" s="646"/>
      <c r="F47" s="35"/>
    </row>
    <row r="48" spans="2:9" ht="12.75">
      <c r="B48" s="645" t="s">
        <v>404</v>
      </c>
      <c r="C48" s="248">
        <f>Assumptions!L32</f>
        <v>325</v>
      </c>
      <c r="D48" s="249">
        <f>E48/D21</f>
        <v>3.2629428728371326</v>
      </c>
      <c r="E48" s="602">
        <f>C48*C29*12</f>
        <v>950430</v>
      </c>
      <c r="F48" s="35"/>
    </row>
    <row r="49" spans="2:9" ht="12.75">
      <c r="B49" s="645" t="s">
        <v>438</v>
      </c>
      <c r="C49" s="248">
        <f>Assumptions!L35</f>
        <v>25</v>
      </c>
      <c r="D49" s="249">
        <f>E49/C26</f>
        <v>9.125</v>
      </c>
      <c r="E49" s="602">
        <f>C49*C30*365</f>
        <v>560758.625</v>
      </c>
      <c r="F49" s="35"/>
      <c r="I49" s="72"/>
    </row>
    <row r="50" spans="2:9" ht="12.75">
      <c r="B50" s="633" t="s">
        <v>503</v>
      </c>
      <c r="C50" s="248"/>
      <c r="D50" s="249">
        <f>E50/C36</f>
        <v>2.50304691508875</v>
      </c>
      <c r="E50" s="602">
        <f>Assumptions!I15*'Baker Tower Financial'!E46</f>
        <v>882907.24750000006</v>
      </c>
      <c r="F50" s="35"/>
      <c r="I50" s="60"/>
    </row>
    <row r="51" spans="2:9" ht="13.5" thickBot="1">
      <c r="B51" s="1071" t="s">
        <v>139</v>
      </c>
      <c r="C51" s="840"/>
      <c r="D51" s="840"/>
      <c r="E51" s="720">
        <f>SUM(E48:E50)</f>
        <v>2394095.8725000001</v>
      </c>
      <c r="F51" s="35"/>
    </row>
    <row r="52" spans="2:9" ht="14.25" thickTop="1" thickBot="1">
      <c r="B52" s="250" t="s">
        <v>140</v>
      </c>
      <c r="C52" s="44">
        <f>E52/C21</f>
        <v>41141.240916085349</v>
      </c>
      <c r="D52" s="816">
        <f>E52/D21</f>
        <v>68.841804526572361</v>
      </c>
      <c r="E52" s="815">
        <f>E46+E51</f>
        <v>20052240.822499998</v>
      </c>
    </row>
    <row r="53" spans="2:9" ht="13.5" thickBot="1">
      <c r="B53" s="539" t="s">
        <v>141</v>
      </c>
      <c r="C53" s="540" t="s">
        <v>130</v>
      </c>
      <c r="D53" s="540" t="s">
        <v>142</v>
      </c>
      <c r="E53" s="542" t="s">
        <v>170</v>
      </c>
      <c r="F53" s="817"/>
      <c r="I53" s="72"/>
    </row>
    <row r="54" spans="2:9" ht="13.5" thickBot="1">
      <c r="B54" s="1323">
        <f>IF(Assumptions!I20=1,Assumptions!I19,Assumptions!I18)</f>
        <v>0.45</v>
      </c>
      <c r="C54" s="48">
        <f>E54/C21</f>
        <v>-16457.174561448504</v>
      </c>
      <c r="D54" s="48">
        <f>E54/D21</f>
        <v>-27.537856637084595</v>
      </c>
      <c r="E54" s="637">
        <f>-B54*(E43+E48+E49)</f>
        <v>-8021226.8812500006</v>
      </c>
      <c r="F54" s="797"/>
      <c r="I54" s="1054"/>
    </row>
    <row r="55" spans="2:9" ht="13.5" thickBot="1">
      <c r="B55" s="921" t="s">
        <v>144</v>
      </c>
      <c r="C55" s="922">
        <f>E55/C21</f>
        <v>24684.066354636841</v>
      </c>
      <c r="D55" s="923"/>
      <c r="E55" s="924">
        <f>E52+E54</f>
        <v>12031013.941249996</v>
      </c>
      <c r="F55" s="35"/>
      <c r="I55" s="1054"/>
    </row>
    <row r="56" spans="2:9" ht="13.5" thickBot="1">
      <c r="B56" s="667" t="s">
        <v>145</v>
      </c>
      <c r="C56" s="818" t="s">
        <v>338</v>
      </c>
      <c r="D56" s="50">
        <f>Assumptions!L7</f>
        <v>0.05</v>
      </c>
      <c r="E56" s="587">
        <f>E55/D56</f>
        <v>240620278.82499993</v>
      </c>
      <c r="F56" s="35"/>
    </row>
    <row r="57" spans="2:9" ht="13.5" thickBot="1">
      <c r="B57" s="1650" t="s">
        <v>147</v>
      </c>
      <c r="C57" s="1651"/>
      <c r="D57" s="1652" t="str">
        <f>'Development Program'!B26</f>
        <v>Glacier Peak Apts</v>
      </c>
      <c r="E57" s="1653"/>
    </row>
    <row r="58" spans="2:9" ht="13.5" thickBot="1">
      <c r="B58" s="693"/>
      <c r="C58" s="541" t="s">
        <v>148</v>
      </c>
      <c r="D58" s="541" t="s">
        <v>149</v>
      </c>
      <c r="E58" s="668" t="s">
        <v>130</v>
      </c>
    </row>
    <row r="59" spans="2:9" ht="12.75">
      <c r="B59" s="1342" t="s">
        <v>538</v>
      </c>
      <c r="C59" s="666">
        <f>Assumptions!I25</f>
        <v>245</v>
      </c>
      <c r="D59" s="955">
        <f>C59*D21</f>
        <v>71363600</v>
      </c>
      <c r="E59" s="787">
        <f>D59/$C$21</f>
        <v>146416.90603200658</v>
      </c>
      <c r="F59" s="72"/>
    </row>
    <row r="60" spans="2:9" ht="12.75">
      <c r="B60" s="1343" t="s">
        <v>539</v>
      </c>
      <c r="C60" s="966">
        <v>150</v>
      </c>
      <c r="D60" s="263">
        <f>C60*C25</f>
        <v>9217950</v>
      </c>
      <c r="E60" s="787">
        <f t="shared" ref="E60:E80" si="2">D60/$C$21</f>
        <v>18912.494870742717</v>
      </c>
    </row>
    <row r="61" spans="2:9" ht="12.75">
      <c r="B61" s="458" t="s">
        <v>475</v>
      </c>
      <c r="C61" s="694">
        <f>Assumptions!L29</f>
        <v>30000</v>
      </c>
      <c r="D61" s="263">
        <f>C61*(C29+C30)</f>
        <v>9154590</v>
      </c>
      <c r="E61" s="787">
        <f t="shared" si="2"/>
        <v>18782.498974148544</v>
      </c>
    </row>
    <row r="62" spans="2:9" ht="12.75">
      <c r="B62" s="458" t="s">
        <v>19</v>
      </c>
      <c r="C62" s="514">
        <v>0.08</v>
      </c>
      <c r="D62" s="638">
        <f>C62*(D59+D60)</f>
        <v>6446524</v>
      </c>
      <c r="E62" s="787">
        <f t="shared" si="2"/>
        <v>13226.352072219943</v>
      </c>
      <c r="F62" s="60"/>
    </row>
    <row r="63" spans="2:9" ht="12.75">
      <c r="B63" s="458" t="s">
        <v>5</v>
      </c>
      <c r="C63" s="639">
        <v>10</v>
      </c>
      <c r="D63" s="263">
        <f>C63*120000</f>
        <v>1200000</v>
      </c>
      <c r="E63" s="787">
        <f t="shared" si="2"/>
        <v>2462.0434961017645</v>
      </c>
      <c r="F63" s="60"/>
    </row>
    <row r="64" spans="2:9" ht="12.75">
      <c r="B64" s="458" t="s">
        <v>152</v>
      </c>
      <c r="C64" s="641" t="s">
        <v>213</v>
      </c>
      <c r="D64" s="638">
        <f>'Market Research'!AJ12</f>
        <v>55600000</v>
      </c>
      <c r="E64" s="787">
        <f t="shared" si="2"/>
        <v>114074.68198604842</v>
      </c>
      <c r="F64" s="60"/>
    </row>
    <row r="65" spans="2:6" ht="12.75">
      <c r="B65" s="458" t="s">
        <v>20</v>
      </c>
      <c r="C65" s="1362">
        <v>1500</v>
      </c>
      <c r="D65" s="638">
        <f>C65*C21</f>
        <v>731100</v>
      </c>
      <c r="E65" s="787">
        <f t="shared" si="2"/>
        <v>1500</v>
      </c>
      <c r="F65" s="72"/>
    </row>
    <row r="66" spans="2:6" ht="12.75">
      <c r="B66" s="458" t="s">
        <v>154</v>
      </c>
      <c r="C66" s="519" t="s">
        <v>155</v>
      </c>
      <c r="D66" s="638">
        <f>'Development Program'!F20</f>
        <v>3750000</v>
      </c>
      <c r="E66" s="787">
        <f t="shared" si="2"/>
        <v>7693.8859253180144</v>
      </c>
      <c r="F66" s="60"/>
    </row>
    <row r="67" spans="2:6" ht="12.75">
      <c r="B67" s="712" t="s">
        <v>23</v>
      </c>
      <c r="C67" s="642" t="s">
        <v>24</v>
      </c>
      <c r="D67" s="263">
        <v>500000</v>
      </c>
      <c r="E67" s="787">
        <f t="shared" si="2"/>
        <v>1025.8514567090685</v>
      </c>
      <c r="F67" s="60"/>
    </row>
    <row r="68" spans="2:6" ht="12.75">
      <c r="B68" s="712" t="s">
        <v>25</v>
      </c>
      <c r="C68" s="520">
        <v>0.01</v>
      </c>
      <c r="D68" s="263">
        <f>C68*D64</f>
        <v>556000</v>
      </c>
      <c r="E68" s="787">
        <f t="shared" si="2"/>
        <v>1140.7468198604843</v>
      </c>
      <c r="F68" s="60"/>
    </row>
    <row r="69" spans="2:6" ht="12.75">
      <c r="B69" s="712" t="s">
        <v>26</v>
      </c>
      <c r="C69" s="515">
        <v>2.5000000000000001E-2</v>
      </c>
      <c r="D69" s="263">
        <f>C69*(D59+D62+D60)</f>
        <v>2175701.85</v>
      </c>
      <c r="E69" s="787">
        <f t="shared" si="2"/>
        <v>4463.8938243742314</v>
      </c>
      <c r="F69" s="60"/>
    </row>
    <row r="70" spans="2:6" ht="12.75">
      <c r="B70" s="712" t="s">
        <v>27</v>
      </c>
      <c r="C70" s="521">
        <v>0.03</v>
      </c>
      <c r="D70" s="263">
        <f>C70*SUM(D59:D69)</f>
        <v>4820863.9754999997</v>
      </c>
      <c r="E70" s="787">
        <f t="shared" si="2"/>
        <v>9890.9806637258916</v>
      </c>
      <c r="F70" s="60"/>
    </row>
    <row r="71" spans="2:6" ht="12.75">
      <c r="B71" s="712" t="s">
        <v>28</v>
      </c>
      <c r="C71" s="515">
        <v>0.02</v>
      </c>
      <c r="D71" s="263">
        <f>C71*(D59+D62+D63+D60)</f>
        <v>1764561.48</v>
      </c>
      <c r="E71" s="787">
        <f t="shared" si="2"/>
        <v>3620.3559294214201</v>
      </c>
      <c r="F71" s="60"/>
    </row>
    <row r="72" spans="2:6" ht="12.75">
      <c r="B72" s="712" t="s">
        <v>398</v>
      </c>
      <c r="C72" s="1180">
        <v>9.0500000000000008E-3</v>
      </c>
      <c r="D72" s="263">
        <f>C72*D64*2</f>
        <v>1006360.0000000001</v>
      </c>
      <c r="E72" s="787">
        <f t="shared" si="2"/>
        <v>2064.7517439474768</v>
      </c>
      <c r="F72" s="60"/>
    </row>
    <row r="73" spans="2:6" ht="12.75">
      <c r="B73" s="712" t="s">
        <v>30</v>
      </c>
      <c r="C73" s="639">
        <v>1</v>
      </c>
      <c r="D73" s="263">
        <f>C73*C36</f>
        <v>352733</v>
      </c>
      <c r="E73" s="787">
        <f t="shared" si="2"/>
        <v>723.70332375871976</v>
      </c>
      <c r="F73" s="60"/>
    </row>
    <row r="74" spans="2:6" ht="12.75">
      <c r="B74" s="712" t="s">
        <v>31</v>
      </c>
      <c r="C74" s="639">
        <v>1</v>
      </c>
      <c r="D74" s="263">
        <f>C74*C36</f>
        <v>352733</v>
      </c>
      <c r="E74" s="787">
        <f t="shared" si="2"/>
        <v>723.70332375871976</v>
      </c>
      <c r="F74" s="60"/>
    </row>
    <row r="75" spans="2:6" ht="12.75">
      <c r="B75" s="712" t="s">
        <v>227</v>
      </c>
      <c r="C75" s="1189">
        <v>0.15</v>
      </c>
      <c r="D75" s="263">
        <f ca="1">C75*D79</f>
        <v>1286758.3042462871</v>
      </c>
      <c r="E75" s="787">
        <f t="shared" ca="1" si="2"/>
        <v>2640.045761687089</v>
      </c>
      <c r="F75" s="60"/>
    </row>
    <row r="76" spans="2:6" ht="12.75">
      <c r="B76" s="712" t="s">
        <v>157</v>
      </c>
      <c r="C76" s="1072">
        <v>75</v>
      </c>
      <c r="D76" s="263">
        <f>C76*C25</f>
        <v>4608975</v>
      </c>
      <c r="E76" s="787">
        <f t="shared" si="2"/>
        <v>9456.2474353713587</v>
      </c>
    </row>
    <row r="77" spans="2:6" ht="12.75">
      <c r="B77" s="712" t="s">
        <v>158</v>
      </c>
      <c r="C77" s="1031">
        <v>0.06</v>
      </c>
      <c r="D77" s="263">
        <f>C77*10*E44</f>
        <v>1364256.5999999999</v>
      </c>
      <c r="E77" s="787">
        <f t="shared" si="2"/>
        <v>2799.049240869922</v>
      </c>
    </row>
    <row r="78" spans="2:6" ht="12.75">
      <c r="B78" s="712" t="s">
        <v>35</v>
      </c>
      <c r="C78" s="523">
        <v>1.4999999999999999E-2</v>
      </c>
      <c r="D78" s="263">
        <f ca="1">C78*C92</f>
        <v>1838226.1489232669</v>
      </c>
      <c r="E78" s="787">
        <f t="shared" ca="1" si="2"/>
        <v>3771.4939452672693</v>
      </c>
      <c r="F78" s="60" t="s">
        <v>388</v>
      </c>
    </row>
    <row r="79" spans="2:6" ht="12.75">
      <c r="B79" s="713" t="s">
        <v>36</v>
      </c>
      <c r="C79" s="640">
        <v>7.0000000000000007E-2</v>
      </c>
      <c r="D79" s="263">
        <f ca="1">C79*C92</f>
        <v>8578388.6949752476</v>
      </c>
      <c r="E79" s="787">
        <f t="shared" ca="1" si="2"/>
        <v>17600.305077913927</v>
      </c>
      <c r="F79" s="60" t="s">
        <v>388</v>
      </c>
    </row>
    <row r="80" spans="2:6" ht="13.5" thickBot="1">
      <c r="B80" s="714" t="s">
        <v>159</v>
      </c>
      <c r="C80" s="1034">
        <v>0.01</v>
      </c>
      <c r="D80" s="751">
        <f ca="1">C80*SUM(D59:D79)</f>
        <v>1866693.2205364478</v>
      </c>
      <c r="E80" s="475">
        <f t="shared" ca="1" si="2"/>
        <v>3829.8999190325153</v>
      </c>
      <c r="F80" s="60"/>
    </row>
    <row r="81" spans="2:6" ht="14.25" thickTop="1" thickBot="1">
      <c r="B81" s="748" t="s">
        <v>160</v>
      </c>
      <c r="C81" s="749"/>
      <c r="D81" s="44">
        <f ca="1">SUM(D59:D80)</f>
        <v>188536015.27418122</v>
      </c>
      <c r="E81" s="750">
        <f ca="1">D81/$C$21</f>
        <v>386819.89182228403</v>
      </c>
    </row>
    <row r="82" spans="2:6" ht="12.75">
      <c r="B82" s="926" t="s">
        <v>161</v>
      </c>
      <c r="C82" s="927">
        <f ca="1">E55/D81</f>
        <v>6.3812815412236865E-2</v>
      </c>
    </row>
    <row r="83" spans="2:6" ht="12.75">
      <c r="B83" s="272" t="s">
        <v>162</v>
      </c>
      <c r="C83" s="273">
        <f ca="1">(E56/D81)-1</f>
        <v>0.27625630824473735</v>
      </c>
      <c r="D83" s="59"/>
      <c r="E83" s="60"/>
    </row>
    <row r="84" spans="2:6" ht="13.5" thickBot="1">
      <c r="B84" s="588">
        <v>0.3</v>
      </c>
      <c r="C84" s="275">
        <f>(E56/(1+B84))</f>
        <v>185092522.17307687</v>
      </c>
      <c r="F84" s="60"/>
    </row>
    <row r="85" spans="2:6" ht="13.5" thickBot="1">
      <c r="B85" s="881">
        <v>0.3</v>
      </c>
      <c r="C85" s="275">
        <f ca="1">ROUND((E56/(1+B85))-D81,-3)</f>
        <v>-3443000</v>
      </c>
      <c r="D85" s="61" t="s">
        <v>163</v>
      </c>
    </row>
    <row r="86" spans="2:6" ht="13.5" thickBot="1">
      <c r="B86" s="62"/>
      <c r="C86" s="63"/>
    </row>
    <row r="87" spans="2:6" ht="13.5" thickBot="1">
      <c r="B87" s="1648" t="s">
        <v>164</v>
      </c>
      <c r="C87" s="1649"/>
      <c r="D87" s="956" t="str">
        <f>'Development Program'!B26</f>
        <v>Glacier Peak Apts</v>
      </c>
    </row>
    <row r="88" spans="2:6" ht="13.5" thickBot="1">
      <c r="B88" s="277"/>
      <c r="C88" s="278" t="s">
        <v>165</v>
      </c>
      <c r="D88" s="279" t="s">
        <v>130</v>
      </c>
    </row>
    <row r="89" spans="2:6" ht="12.75">
      <c r="B89" s="957" t="s">
        <v>166</v>
      </c>
      <c r="C89" s="958">
        <f ca="1">IF(C85&lt;0,C85,0)</f>
        <v>-3443000</v>
      </c>
      <c r="D89" s="959">
        <f t="shared" ref="D89:D94" ca="1" si="3">C89/$C$21</f>
        <v>-7064.0131308986465</v>
      </c>
    </row>
    <row r="90" spans="2:6" ht="12.75">
      <c r="B90" s="957" t="s">
        <v>167</v>
      </c>
      <c r="C90" s="958">
        <f ca="1">D81+C89</f>
        <v>185093015.27418122</v>
      </c>
      <c r="D90" s="959">
        <f t="shared" ca="1" si="3"/>
        <v>379755.87869138538</v>
      </c>
    </row>
    <row r="91" spans="2:6" ht="12.75">
      <c r="B91" s="957" t="s">
        <v>608</v>
      </c>
      <c r="C91" s="958">
        <v>3418000</v>
      </c>
      <c r="D91" s="959">
        <f t="shared" si="3"/>
        <v>7012.7205580631926</v>
      </c>
    </row>
    <row r="92" spans="2:6" ht="12.75">
      <c r="B92" s="375">
        <f>Assumptions!L16</f>
        <v>0.65</v>
      </c>
      <c r="C92" s="260">
        <f ca="1">B92*D81</f>
        <v>122548409.9282178</v>
      </c>
      <c r="D92" s="530">
        <f t="shared" ca="1" si="3"/>
        <v>251432.92968448461</v>
      </c>
    </row>
    <row r="93" spans="2:6" ht="13.5" thickBot="1">
      <c r="B93" s="281">
        <f>1-B92</f>
        <v>0.35</v>
      </c>
      <c r="C93" s="267">
        <f ca="1">B93*D81</f>
        <v>65987605.345963418</v>
      </c>
      <c r="D93" s="827">
        <f t="shared" ca="1" si="3"/>
        <v>135386.96213779939</v>
      </c>
      <c r="E93" s="60"/>
    </row>
    <row r="94" spans="2:6" ht="14.25" thickTop="1" thickBot="1">
      <c r="B94" s="603" t="s">
        <v>168</v>
      </c>
      <c r="C94" s="604">
        <f ca="1">C92+C93</f>
        <v>188536015.27418122</v>
      </c>
      <c r="D94" s="826">
        <f t="shared" ca="1" si="3"/>
        <v>386819.89182228403</v>
      </c>
    </row>
    <row r="95" spans="2:6" ht="13.5" thickBot="1">
      <c r="B95" s="155"/>
      <c r="C95" s="155"/>
      <c r="D95" s="615"/>
    </row>
    <row r="96" spans="2:6" ht="13.5" thickBot="1">
      <c r="B96" s="938" t="s">
        <v>169</v>
      </c>
      <c r="C96" s="956" t="str">
        <f>'Development Program'!B26</f>
        <v>Glacier Peak Apts</v>
      </c>
    </row>
    <row r="97" spans="2:6" ht="13.5" thickBot="1">
      <c r="B97" s="68"/>
      <c r="C97" s="939" t="s">
        <v>170</v>
      </c>
      <c r="D97" s="597"/>
    </row>
    <row r="98" spans="2:6" ht="12.75">
      <c r="B98" s="940" t="s">
        <v>171</v>
      </c>
      <c r="C98" s="941">
        <f>ROUND(E56,-2)</f>
        <v>240620300</v>
      </c>
      <c r="D98" s="791"/>
    </row>
    <row r="99" spans="2:6" ht="13.5" thickBot="1">
      <c r="B99" s="406">
        <f>Assumptions!L14</f>
        <v>0.03</v>
      </c>
      <c r="C99" s="289">
        <f>(-ROUND(B99*C98,-2))</f>
        <v>-7218600</v>
      </c>
      <c r="D99" s="791"/>
    </row>
    <row r="100" spans="2:6" ht="14.25" thickTop="1" thickBot="1">
      <c r="B100" s="291" t="s">
        <v>172</v>
      </c>
      <c r="C100" s="178">
        <f>C98+C99</f>
        <v>233401700</v>
      </c>
      <c r="D100" s="791"/>
      <c r="F100" s="70"/>
    </row>
    <row r="101" spans="2:6" ht="12.75">
      <c r="B101" s="940" t="s">
        <v>173</v>
      </c>
      <c r="C101" s="941">
        <f ca="1">-C92</f>
        <v>-122548409.9282178</v>
      </c>
      <c r="D101" s="791"/>
    </row>
    <row r="102" spans="2:6" ht="13.5" thickBot="1">
      <c r="B102" s="292" t="s">
        <v>174</v>
      </c>
      <c r="C102" s="293">
        <f ca="1">-C93</f>
        <v>-65987605.345963418</v>
      </c>
      <c r="D102" s="791"/>
    </row>
    <row r="103" spans="2:6" ht="14.25" thickTop="1" thickBot="1">
      <c r="B103" s="87" t="s">
        <v>175</v>
      </c>
      <c r="C103" s="179">
        <f ca="1">ROUND(C100+C101+C102,-2)</f>
        <v>44865700</v>
      </c>
      <c r="D103" s="792"/>
      <c r="E103" s="72"/>
      <c r="F103" s="1179"/>
    </row>
    <row r="104" spans="2:6" ht="13.5" thickBot="1">
      <c r="B104" s="761" t="s">
        <v>176</v>
      </c>
      <c r="C104" s="717"/>
      <c r="D104" s="793"/>
    </row>
    <row r="105" spans="2:6" ht="12.75">
      <c r="B105" s="294" t="s">
        <v>177</v>
      </c>
      <c r="C105" s="295">
        <f>ROUND((C98)/C21,-2)</f>
        <v>493700</v>
      </c>
      <c r="D105" s="794"/>
    </row>
    <row r="106" spans="2:6" ht="13.5" thickBot="1">
      <c r="B106" s="296" t="s">
        <v>178</v>
      </c>
      <c r="C106" s="297">
        <f>C100/C21</f>
        <v>478870.94788674603</v>
      </c>
      <c r="D106" s="795"/>
    </row>
    <row r="107" spans="2:6" ht="13.5" thickBot="1">
      <c r="B107" s="942" t="s">
        <v>179</v>
      </c>
      <c r="C107" s="943"/>
      <c r="D107" s="793"/>
    </row>
    <row r="108" spans="2:6" ht="12.75">
      <c r="B108" s="74"/>
      <c r="C108" s="939" t="s">
        <v>170</v>
      </c>
      <c r="D108" s="597"/>
    </row>
    <row r="109" spans="2:6" ht="12.75">
      <c r="B109" s="298" t="s">
        <v>340</v>
      </c>
      <c r="C109" s="299">
        <f ca="1">(C103+C93)/C93</f>
        <v>1.6799110191190552</v>
      </c>
      <c r="D109" s="790"/>
    </row>
    <row r="110" spans="2:6" ht="12.75">
      <c r="B110" s="300" t="s">
        <v>330</v>
      </c>
      <c r="C110" s="115">
        <f ca="1">'Baker Tower Draw '!B44</f>
        <v>8.5755244602807368E-2</v>
      </c>
      <c r="D110" s="796"/>
      <c r="E110" s="75"/>
    </row>
    <row r="111" spans="2:6" ht="12.75">
      <c r="B111" s="300" t="s">
        <v>181</v>
      </c>
      <c r="C111" s="115">
        <f ca="1">'Baker Tower Draw '!B39</f>
        <v>0.11515443062033337</v>
      </c>
      <c r="D111" s="796"/>
      <c r="E111" s="75"/>
    </row>
    <row r="112" spans="2:6" ht="12.75">
      <c r="B112" s="298" t="s">
        <v>182</v>
      </c>
      <c r="C112" s="301">
        <f ca="1">E55/C92</f>
        <v>9.8173562172672091E-2</v>
      </c>
      <c r="D112" s="797"/>
    </row>
    <row r="113" spans="2:5" ht="13.5" thickBot="1">
      <c r="B113" s="764" t="s">
        <v>183</v>
      </c>
      <c r="C113" s="799">
        <f>D56</f>
        <v>0.05</v>
      </c>
      <c r="D113" s="798"/>
    </row>
    <row r="114" spans="2:5" ht="12.75">
      <c r="C114" s="960"/>
    </row>
    <row r="115" spans="2:5" ht="12.75">
      <c r="C115" s="960"/>
    </row>
    <row r="116" spans="2:5" ht="12.75"/>
    <row r="117" spans="2:5" ht="12.75"/>
    <row r="118" spans="2:5" ht="12.75"/>
    <row r="119" spans="2:5" ht="12.75"/>
    <row r="120" spans="2:5" ht="12.75"/>
    <row r="121" spans="2:5" ht="12.75"/>
    <row r="126" spans="2:5" ht="23.25" customHeight="1">
      <c r="B126" s="116"/>
      <c r="C126" s="116"/>
      <c r="D126" s="116"/>
      <c r="E126" s="32"/>
    </row>
  </sheetData>
  <mergeCells count="9">
    <mergeCell ref="B87:C87"/>
    <mergeCell ref="B57:C57"/>
    <mergeCell ref="D57:E57"/>
    <mergeCell ref="C46:D46"/>
    <mergeCell ref="B2:D2"/>
    <mergeCell ref="E2:F2"/>
    <mergeCell ref="B41:C41"/>
    <mergeCell ref="D41:E41"/>
    <mergeCell ref="D28:F32"/>
  </mergeCells>
  <printOptions horizontalCentered="1" verticalCentered="1"/>
  <pageMargins left="0.7" right="0.7" top="0.75" bottom="0.75" header="0.3" footer="0.3"/>
  <pageSetup scale="97" fitToHeight="0" orientation="landscape" horizontalDpi="4294967292" verticalDpi="4294967292" r:id="rId1"/>
  <headerFooter>
    <oddHeader>&amp;C&amp;"Times New Roman Bold,Bold"&amp;14&amp;K000000INVESTOR SHEET</oddHeader>
    <oddFooter>&amp;CPage &amp;P of &amp;N</oddFooter>
  </headerFooter>
  <rowBreaks count="3" manualBreakCount="3">
    <brk id="44" min="1" max="9" man="1"/>
    <brk id="69" min="1" max="9" man="1"/>
    <brk id="100" min="1" max="9" man="1"/>
  </rowBreaks>
  <ignoredErrors>
    <ignoredError sqref="D26" formula="1"/>
    <ignoredError sqref="B99"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B75B2-C0AD-4858-9F5D-2C5EE0CF3F8E}">
  <sheetPr>
    <tabColor rgb="FF0070C0"/>
  </sheetPr>
  <dimension ref="A1:AA599"/>
  <sheetViews>
    <sheetView zoomScaleNormal="100" zoomScalePageLayoutView="125" workbookViewId="0">
      <pane xSplit="1" ySplit="4" topLeftCell="B5" activePane="bottomRight" state="frozen"/>
      <selection activeCell="D39" sqref="D39"/>
      <selection pane="topRight" activeCell="D39" sqref="D39"/>
      <selection pane="bottomLeft" activeCell="D39" sqref="D39"/>
      <selection pane="bottomRight" activeCell="B33" sqref="B33"/>
    </sheetView>
  </sheetViews>
  <sheetFormatPr defaultColWidth="8.85546875" defaultRowHeight="12.75"/>
  <cols>
    <col min="1" max="1" width="45.5703125" style="7" customWidth="1"/>
    <col min="2" max="2" width="14.85546875" style="7" customWidth="1"/>
    <col min="3" max="3" width="18.140625" style="7" customWidth="1"/>
    <col min="4" max="4" width="15.5703125" style="7" customWidth="1"/>
    <col min="5" max="5" width="17.140625" style="7" bestFit="1" customWidth="1"/>
    <col min="6" max="6" width="17.85546875" style="7" customWidth="1"/>
    <col min="7" max="7" width="14.42578125" style="89" customWidth="1"/>
    <col min="8" max="8" width="19" style="7" customWidth="1"/>
    <col min="9" max="9" width="15.5703125" style="7" customWidth="1"/>
    <col min="10" max="10" width="16.42578125" style="7" customWidth="1"/>
    <col min="11" max="11" width="17.5703125" style="7" customWidth="1"/>
    <col min="12" max="12" width="14.140625" style="7" customWidth="1"/>
    <col min="13" max="13" width="14.42578125" style="7" customWidth="1"/>
    <col min="14" max="14" width="15.42578125" style="7" customWidth="1"/>
    <col min="15" max="15" width="16.140625" style="7" customWidth="1"/>
    <col min="16" max="16" width="15.42578125" style="7" customWidth="1"/>
    <col min="17" max="17" width="13.85546875" style="7" customWidth="1"/>
    <col min="18" max="19" width="14" style="7" customWidth="1"/>
    <col min="20" max="20" width="12.85546875" style="7" customWidth="1"/>
    <col min="21" max="21" width="14.42578125" style="7" customWidth="1"/>
    <col min="22" max="22" width="13" style="7" customWidth="1"/>
    <col min="23" max="45" width="20.42578125" style="7" customWidth="1"/>
    <col min="46" max="16384" width="8.85546875" style="7"/>
  </cols>
  <sheetData>
    <row r="1" spans="1:27" ht="15">
      <c r="A1" s="1588" t="str">
        <f>'Development Program'!B29</f>
        <v>Baker Tower Apts</v>
      </c>
      <c r="B1" s="156" t="s">
        <v>184</v>
      </c>
      <c r="C1" s="144" t="str">
        <f>'Development Program'!D23</f>
        <v>Pre-Development</v>
      </c>
      <c r="D1" s="144" t="str">
        <f>'Development Program'!E23</f>
        <v>Demolition</v>
      </c>
      <c r="E1" s="144" t="str">
        <f>'Development Program'!F23</f>
        <v>Construction</v>
      </c>
      <c r="F1" s="502" t="str">
        <f>'Development Program'!G23</f>
        <v>Close-out</v>
      </c>
      <c r="G1" s="7"/>
      <c r="Z1"/>
      <c r="AA1"/>
    </row>
    <row r="2" spans="1:27" ht="15.75" thickBot="1">
      <c r="A2" s="1575"/>
      <c r="B2" s="303" t="s">
        <v>185</v>
      </c>
      <c r="C2" s="304" t="str">
        <f>'Development Program'!D29</f>
        <v>01/1/30 to 12/31/30</v>
      </c>
      <c r="D2" s="304" t="str">
        <f>'Development Program'!E29</f>
        <v>1/1/31 to 6/30/31</v>
      </c>
      <c r="E2" s="304" t="str">
        <f>'Development Program'!F29</f>
        <v>7/1/31 to 6/30/34</v>
      </c>
      <c r="F2" s="503" t="str">
        <f>'Development Program'!G29</f>
        <v>7/1/34 to 12/31/34</v>
      </c>
      <c r="G2" s="7"/>
      <c r="H2" s="487"/>
      <c r="I2" s="487"/>
      <c r="W2" s="1577"/>
      <c r="X2" s="1577"/>
      <c r="Y2" s="1577"/>
      <c r="Z2"/>
      <c r="AA2"/>
    </row>
    <row r="3" spans="1:27" ht="25.5" thickBot="1">
      <c r="A3" s="1575"/>
      <c r="B3" s="485"/>
      <c r="C3" s="186" t="s">
        <v>215</v>
      </c>
      <c r="D3" s="186" t="s">
        <v>216</v>
      </c>
      <c r="E3" s="186" t="s">
        <v>187</v>
      </c>
      <c r="F3" s="486"/>
      <c r="G3" s="7"/>
      <c r="H3" s="487"/>
      <c r="I3" s="487"/>
      <c r="J3" s="487"/>
      <c r="K3" s="487"/>
      <c r="T3" s="496" t="s">
        <v>217</v>
      </c>
      <c r="U3" s="496" t="s">
        <v>218</v>
      </c>
      <c r="V3" s="496" t="s">
        <v>219</v>
      </c>
      <c r="W3" s="478"/>
      <c r="X3" s="478"/>
      <c r="Y3" s="478"/>
      <c r="Z3"/>
      <c r="AA3"/>
    </row>
    <row r="4" spans="1:27" s="148" customFormat="1" ht="15.75" thickBot="1">
      <c r="A4" s="1613"/>
      <c r="B4" s="149" t="s">
        <v>62</v>
      </c>
      <c r="C4" s="504">
        <v>47484</v>
      </c>
      <c r="D4" s="505">
        <f t="shared" ref="D4:V4" si="0">EOMONTH(C4,3)</f>
        <v>47603</v>
      </c>
      <c r="E4" s="505">
        <f t="shared" si="0"/>
        <v>47695</v>
      </c>
      <c r="F4" s="505">
        <f t="shared" si="0"/>
        <v>47787</v>
      </c>
      <c r="G4" s="505">
        <f t="shared" si="0"/>
        <v>47879</v>
      </c>
      <c r="H4" s="505">
        <f t="shared" si="0"/>
        <v>47968</v>
      </c>
      <c r="I4" s="505">
        <f t="shared" si="0"/>
        <v>48060</v>
      </c>
      <c r="J4" s="505">
        <f t="shared" si="0"/>
        <v>48152</v>
      </c>
      <c r="K4" s="505">
        <f t="shared" si="0"/>
        <v>48244</v>
      </c>
      <c r="L4" s="505">
        <f t="shared" si="0"/>
        <v>48334</v>
      </c>
      <c r="M4" s="505">
        <f t="shared" si="0"/>
        <v>48426</v>
      </c>
      <c r="N4" s="505">
        <f t="shared" si="0"/>
        <v>48518</v>
      </c>
      <c r="O4" s="505">
        <f t="shared" si="0"/>
        <v>48610</v>
      </c>
      <c r="P4" s="505">
        <f t="shared" si="0"/>
        <v>48699</v>
      </c>
      <c r="Q4" s="505">
        <f t="shared" si="0"/>
        <v>48791</v>
      </c>
      <c r="R4" s="505">
        <f t="shared" si="0"/>
        <v>48883</v>
      </c>
      <c r="S4" s="505">
        <f t="shared" si="0"/>
        <v>48975</v>
      </c>
      <c r="T4" s="505">
        <f t="shared" si="0"/>
        <v>49064</v>
      </c>
      <c r="U4" s="505">
        <f t="shared" si="0"/>
        <v>49156</v>
      </c>
      <c r="V4" s="506">
        <f t="shared" si="0"/>
        <v>49248</v>
      </c>
      <c r="W4" s="188" t="s">
        <v>192</v>
      </c>
      <c r="X4" s="379" t="s">
        <v>193</v>
      </c>
      <c r="Y4" s="379"/>
      <c r="Z4"/>
      <c r="AA4"/>
    </row>
    <row r="5" spans="1:27" ht="15.75" thickBot="1">
      <c r="A5" s="150" t="s">
        <v>194</v>
      </c>
      <c r="B5" s="151">
        <v>1</v>
      </c>
      <c r="C5" s="180">
        <v>0</v>
      </c>
      <c r="D5" s="180">
        <v>0</v>
      </c>
      <c r="E5" s="180">
        <v>0</v>
      </c>
      <c r="F5" s="180">
        <f>E5</f>
        <v>0</v>
      </c>
      <c r="G5" s="180">
        <f>F5</f>
        <v>0</v>
      </c>
      <c r="H5" s="180">
        <v>0</v>
      </c>
      <c r="I5" s="180">
        <v>0.05</v>
      </c>
      <c r="J5" s="180">
        <v>0.05</v>
      </c>
      <c r="K5" s="180">
        <v>0.05</v>
      </c>
      <c r="L5" s="180">
        <v>0.05</v>
      </c>
      <c r="M5" s="180">
        <v>0.12</v>
      </c>
      <c r="N5" s="180">
        <v>0.12</v>
      </c>
      <c r="O5" s="180">
        <v>0.12</v>
      </c>
      <c r="P5" s="180">
        <v>0.12</v>
      </c>
      <c r="Q5" s="180">
        <v>0.12</v>
      </c>
      <c r="R5" s="180">
        <v>0.12</v>
      </c>
      <c r="S5" s="180">
        <v>0.05</v>
      </c>
      <c r="T5" s="180">
        <v>0.03</v>
      </c>
      <c r="U5" s="180">
        <v>0</v>
      </c>
      <c r="V5" s="180">
        <v>0</v>
      </c>
      <c r="W5" s="310">
        <f t="shared" ref="W5:W26" si="1">SUM(C5:V5)</f>
        <v>1</v>
      </c>
      <c r="X5" s="311"/>
      <c r="Y5" s="159" t="s">
        <v>195</v>
      </c>
      <c r="Z5"/>
      <c r="AA5"/>
    </row>
    <row r="6" spans="1:27" ht="15">
      <c r="A6" s="123" t="str">
        <f>'Baker Tower Financial'!B59</f>
        <v>Hard Costs for Construction - MF</v>
      </c>
      <c r="B6" s="152">
        <f>'Baker Tower Financial'!D59</f>
        <v>71363600</v>
      </c>
      <c r="C6" s="314">
        <f>$B6*C$5</f>
        <v>0</v>
      </c>
      <c r="D6" s="314">
        <f t="shared" ref="D6:V18" si="2">$B6*D$5</f>
        <v>0</v>
      </c>
      <c r="E6" s="314">
        <f t="shared" si="2"/>
        <v>0</v>
      </c>
      <c r="F6" s="314">
        <f t="shared" si="2"/>
        <v>0</v>
      </c>
      <c r="G6" s="314">
        <f t="shared" si="2"/>
        <v>0</v>
      </c>
      <c r="H6" s="314">
        <f t="shared" si="2"/>
        <v>0</v>
      </c>
      <c r="I6" s="314">
        <f t="shared" si="2"/>
        <v>3568180</v>
      </c>
      <c r="J6" s="314">
        <f t="shared" si="2"/>
        <v>3568180</v>
      </c>
      <c r="K6" s="314">
        <f t="shared" si="2"/>
        <v>3568180</v>
      </c>
      <c r="L6" s="314">
        <f t="shared" si="2"/>
        <v>3568180</v>
      </c>
      <c r="M6" s="314">
        <f t="shared" si="2"/>
        <v>8563632</v>
      </c>
      <c r="N6" s="314">
        <f t="shared" si="2"/>
        <v>8563632</v>
      </c>
      <c r="O6" s="314">
        <f t="shared" si="2"/>
        <v>8563632</v>
      </c>
      <c r="P6" s="314">
        <f t="shared" si="2"/>
        <v>8563632</v>
      </c>
      <c r="Q6" s="314">
        <f t="shared" si="2"/>
        <v>8563632</v>
      </c>
      <c r="R6" s="314">
        <f t="shared" si="2"/>
        <v>8563632</v>
      </c>
      <c r="S6" s="314">
        <f t="shared" si="2"/>
        <v>3568180</v>
      </c>
      <c r="T6" s="314">
        <f t="shared" si="2"/>
        <v>2140908</v>
      </c>
      <c r="U6" s="314">
        <f t="shared" si="2"/>
        <v>0</v>
      </c>
      <c r="V6" s="314">
        <f t="shared" si="2"/>
        <v>0</v>
      </c>
      <c r="W6" s="315">
        <f t="shared" si="1"/>
        <v>71363600</v>
      </c>
      <c r="X6" s="315">
        <f t="shared" ref="X6:X26" si="3">B6</f>
        <v>71363600</v>
      </c>
      <c r="Y6" s="315">
        <f>X6-W6</f>
        <v>0</v>
      </c>
      <c r="Z6"/>
      <c r="AA6"/>
    </row>
    <row r="7" spans="1:27" ht="15">
      <c r="A7" s="123" t="str">
        <f>'Baker Tower Financial'!B61</f>
        <v>Parking Stalls</v>
      </c>
      <c r="B7" s="152">
        <f>'Baker Tower Financial'!D61</f>
        <v>9154590</v>
      </c>
      <c r="C7" s="314">
        <f t="shared" ref="C7:R26" si="4">$B7*C$5</f>
        <v>0</v>
      </c>
      <c r="D7" s="314">
        <f t="shared" si="2"/>
        <v>0</v>
      </c>
      <c r="E7" s="314">
        <f t="shared" si="2"/>
        <v>0</v>
      </c>
      <c r="F7" s="314">
        <f t="shared" si="2"/>
        <v>0</v>
      </c>
      <c r="G7" s="314">
        <f t="shared" si="2"/>
        <v>0</v>
      </c>
      <c r="H7" s="314">
        <f t="shared" si="2"/>
        <v>0</v>
      </c>
      <c r="I7" s="314">
        <f t="shared" si="2"/>
        <v>457729.5</v>
      </c>
      <c r="J7" s="314">
        <f t="shared" si="2"/>
        <v>457729.5</v>
      </c>
      <c r="K7" s="314">
        <f t="shared" si="2"/>
        <v>457729.5</v>
      </c>
      <c r="L7" s="314">
        <f t="shared" si="2"/>
        <v>457729.5</v>
      </c>
      <c r="M7" s="314">
        <f t="shared" si="2"/>
        <v>1098550.8</v>
      </c>
      <c r="N7" s="314">
        <f t="shared" si="2"/>
        <v>1098550.8</v>
      </c>
      <c r="O7" s="314">
        <f t="shared" si="2"/>
        <v>1098550.8</v>
      </c>
      <c r="P7" s="314">
        <f t="shared" si="2"/>
        <v>1098550.8</v>
      </c>
      <c r="Q7" s="314">
        <f t="shared" si="2"/>
        <v>1098550.8</v>
      </c>
      <c r="R7" s="314">
        <f t="shared" si="2"/>
        <v>1098550.8</v>
      </c>
      <c r="S7" s="314">
        <f t="shared" si="2"/>
        <v>457729.5</v>
      </c>
      <c r="T7" s="314">
        <f t="shared" si="2"/>
        <v>274637.7</v>
      </c>
      <c r="U7" s="314">
        <f t="shared" si="2"/>
        <v>0</v>
      </c>
      <c r="V7" s="314">
        <f t="shared" si="2"/>
        <v>0</v>
      </c>
      <c r="W7" s="315">
        <f t="shared" si="1"/>
        <v>9154589.9999999981</v>
      </c>
      <c r="X7" s="315">
        <f t="shared" si="3"/>
        <v>9154590</v>
      </c>
      <c r="Y7" s="315">
        <f t="shared" ref="Y7:Y26" si="5">X7-W7</f>
        <v>0</v>
      </c>
      <c r="Z7"/>
      <c r="AA7"/>
    </row>
    <row r="8" spans="1:27" ht="15">
      <c r="A8" s="123" t="str">
        <f>'Baker Tower Financial'!B62</f>
        <v>Hard Cost Contingency</v>
      </c>
      <c r="B8" s="152">
        <f>'Baker Tower Financial'!D62</f>
        <v>6446524</v>
      </c>
      <c r="C8" s="314">
        <f t="shared" si="4"/>
        <v>0</v>
      </c>
      <c r="D8" s="314">
        <f t="shared" si="2"/>
        <v>0</v>
      </c>
      <c r="E8" s="314">
        <f t="shared" si="2"/>
        <v>0</v>
      </c>
      <c r="F8" s="314">
        <f t="shared" si="2"/>
        <v>0</v>
      </c>
      <c r="G8" s="314">
        <f t="shared" si="2"/>
        <v>0</v>
      </c>
      <c r="H8" s="314">
        <f t="shared" si="2"/>
        <v>0</v>
      </c>
      <c r="I8" s="314">
        <f t="shared" si="2"/>
        <v>322326.2</v>
      </c>
      <c r="J8" s="314">
        <f t="shared" si="2"/>
        <v>322326.2</v>
      </c>
      <c r="K8" s="314">
        <f t="shared" si="2"/>
        <v>322326.2</v>
      </c>
      <c r="L8" s="314">
        <f t="shared" si="2"/>
        <v>322326.2</v>
      </c>
      <c r="M8" s="314">
        <f t="shared" si="2"/>
        <v>773582.88</v>
      </c>
      <c r="N8" s="314">
        <f t="shared" si="2"/>
        <v>773582.88</v>
      </c>
      <c r="O8" s="314">
        <f t="shared" si="2"/>
        <v>773582.88</v>
      </c>
      <c r="P8" s="314">
        <f t="shared" si="2"/>
        <v>773582.88</v>
      </c>
      <c r="Q8" s="314">
        <f t="shared" si="2"/>
        <v>773582.88</v>
      </c>
      <c r="R8" s="314">
        <f t="shared" si="2"/>
        <v>773582.88</v>
      </c>
      <c r="S8" s="314">
        <f t="shared" si="2"/>
        <v>322326.2</v>
      </c>
      <c r="T8" s="314">
        <f t="shared" si="2"/>
        <v>193395.72</v>
      </c>
      <c r="U8" s="314">
        <f t="shared" si="2"/>
        <v>0</v>
      </c>
      <c r="V8" s="314">
        <f t="shared" si="2"/>
        <v>0</v>
      </c>
      <c r="W8" s="315">
        <f t="shared" si="1"/>
        <v>6446524</v>
      </c>
      <c r="X8" s="315">
        <f t="shared" si="3"/>
        <v>6446524</v>
      </c>
      <c r="Y8" s="315">
        <f t="shared" si="5"/>
        <v>0</v>
      </c>
      <c r="Z8"/>
      <c r="AA8"/>
    </row>
    <row r="9" spans="1:27" ht="15">
      <c r="A9" s="123" t="str">
        <f>'Baker Tower Financial'!B63</f>
        <v>Demolition</v>
      </c>
      <c r="B9" s="152">
        <f>'Baker Tower Financial'!D63</f>
        <v>1200000</v>
      </c>
      <c r="C9" s="314">
        <f>B9</f>
        <v>1200000</v>
      </c>
      <c r="D9" s="314">
        <v>0</v>
      </c>
      <c r="E9" s="314">
        <v>0</v>
      </c>
      <c r="F9" s="314">
        <v>0</v>
      </c>
      <c r="G9" s="314">
        <v>0</v>
      </c>
      <c r="H9" s="314">
        <v>0</v>
      </c>
      <c r="I9" s="314">
        <v>0</v>
      </c>
      <c r="J9" s="314">
        <v>0</v>
      </c>
      <c r="K9" s="314">
        <v>0</v>
      </c>
      <c r="L9" s="314">
        <v>0</v>
      </c>
      <c r="M9" s="314">
        <v>0</v>
      </c>
      <c r="N9" s="314">
        <v>0</v>
      </c>
      <c r="O9" s="314">
        <v>0</v>
      </c>
      <c r="P9" s="314">
        <v>0</v>
      </c>
      <c r="Q9" s="314">
        <v>0</v>
      </c>
      <c r="R9" s="314">
        <v>0</v>
      </c>
      <c r="S9" s="314">
        <v>0</v>
      </c>
      <c r="T9" s="314">
        <v>0</v>
      </c>
      <c r="U9" s="314">
        <v>0</v>
      </c>
      <c r="V9" s="314">
        <v>0</v>
      </c>
      <c r="W9" s="315">
        <f t="shared" si="1"/>
        <v>1200000</v>
      </c>
      <c r="X9" s="315">
        <f t="shared" si="3"/>
        <v>1200000</v>
      </c>
      <c r="Y9" s="315">
        <f t="shared" si="5"/>
        <v>0</v>
      </c>
      <c r="Z9"/>
      <c r="AA9"/>
    </row>
    <row r="10" spans="1:27" ht="15">
      <c r="A10" s="123" t="str">
        <f>'Baker Tower Financial'!B64</f>
        <v>LAND</v>
      </c>
      <c r="B10" s="152">
        <f>'Baker Tower Financial'!D64</f>
        <v>55600000</v>
      </c>
      <c r="C10" s="314">
        <f>B10</f>
        <v>55600000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4">
        <v>0</v>
      </c>
      <c r="W10" s="315">
        <f t="shared" si="1"/>
        <v>55600000</v>
      </c>
      <c r="X10" s="315">
        <f t="shared" si="3"/>
        <v>55600000</v>
      </c>
      <c r="Y10" s="315">
        <f t="shared" si="5"/>
        <v>0</v>
      </c>
      <c r="Z10"/>
      <c r="AA10"/>
    </row>
    <row r="11" spans="1:27" ht="15">
      <c r="A11" s="123" t="str">
        <f>'Baker Tower Financial'!B65</f>
        <v>Municipal Fees and Allowances</v>
      </c>
      <c r="B11" s="152">
        <f>'Baker Tower Financial'!D65</f>
        <v>731100</v>
      </c>
      <c r="C11" s="314">
        <f>B11</f>
        <v>731100</v>
      </c>
      <c r="D11" s="314">
        <v>0</v>
      </c>
      <c r="E11" s="314">
        <v>0</v>
      </c>
      <c r="F11" s="314">
        <v>0</v>
      </c>
      <c r="G11" s="314">
        <v>0</v>
      </c>
      <c r="H11" s="314">
        <v>0</v>
      </c>
      <c r="I11" s="314">
        <v>0</v>
      </c>
      <c r="J11" s="314">
        <v>0</v>
      </c>
      <c r="K11" s="314">
        <v>0</v>
      </c>
      <c r="L11" s="314">
        <v>0</v>
      </c>
      <c r="M11" s="314">
        <v>0</v>
      </c>
      <c r="N11" s="314">
        <v>0</v>
      </c>
      <c r="O11" s="314">
        <v>0</v>
      </c>
      <c r="P11" s="314">
        <v>0</v>
      </c>
      <c r="Q11" s="314">
        <v>0</v>
      </c>
      <c r="R11" s="314">
        <v>0</v>
      </c>
      <c r="S11" s="314">
        <v>0</v>
      </c>
      <c r="T11" s="314">
        <v>0</v>
      </c>
      <c r="U11" s="314">
        <v>0</v>
      </c>
      <c r="V11" s="314">
        <v>0</v>
      </c>
      <c r="W11" s="315">
        <f t="shared" si="1"/>
        <v>731100</v>
      </c>
      <c r="X11" s="315">
        <f t="shared" si="3"/>
        <v>731100</v>
      </c>
      <c r="Y11" s="315">
        <f t="shared" si="5"/>
        <v>0</v>
      </c>
      <c r="Z11"/>
      <c r="AA11"/>
    </row>
    <row r="12" spans="1:27" ht="15">
      <c r="A12" s="123" t="str">
        <f>'Baker Tower Financial'!B66</f>
        <v>Infrastructure allocation</v>
      </c>
      <c r="B12" s="152">
        <f>'Baker Tower Financial'!D66</f>
        <v>3750000</v>
      </c>
      <c r="C12" s="314">
        <f t="shared" si="4"/>
        <v>0</v>
      </c>
      <c r="D12" s="314">
        <f t="shared" si="2"/>
        <v>0</v>
      </c>
      <c r="E12" s="314">
        <f t="shared" si="2"/>
        <v>0</v>
      </c>
      <c r="F12" s="314">
        <f t="shared" si="2"/>
        <v>0</v>
      </c>
      <c r="G12" s="314">
        <f t="shared" si="2"/>
        <v>0</v>
      </c>
      <c r="H12" s="314">
        <f t="shared" si="2"/>
        <v>0</v>
      </c>
      <c r="I12" s="314">
        <f t="shared" si="2"/>
        <v>187500</v>
      </c>
      <c r="J12" s="314">
        <f t="shared" si="2"/>
        <v>187500</v>
      </c>
      <c r="K12" s="314">
        <f t="shared" si="2"/>
        <v>187500</v>
      </c>
      <c r="L12" s="314">
        <f t="shared" si="2"/>
        <v>187500</v>
      </c>
      <c r="M12" s="314">
        <f t="shared" si="2"/>
        <v>450000</v>
      </c>
      <c r="N12" s="314">
        <f t="shared" si="2"/>
        <v>450000</v>
      </c>
      <c r="O12" s="314">
        <f t="shared" si="2"/>
        <v>450000</v>
      </c>
      <c r="P12" s="314">
        <f t="shared" si="2"/>
        <v>450000</v>
      </c>
      <c r="Q12" s="314">
        <f t="shared" si="2"/>
        <v>450000</v>
      </c>
      <c r="R12" s="314">
        <f t="shared" si="2"/>
        <v>450000</v>
      </c>
      <c r="S12" s="314">
        <f t="shared" si="2"/>
        <v>187500</v>
      </c>
      <c r="T12" s="314">
        <f t="shared" si="2"/>
        <v>112500</v>
      </c>
      <c r="U12" s="314">
        <f t="shared" si="2"/>
        <v>0</v>
      </c>
      <c r="V12" s="314">
        <f t="shared" si="2"/>
        <v>0</v>
      </c>
      <c r="W12" s="315">
        <f t="shared" si="1"/>
        <v>3750000</v>
      </c>
      <c r="X12" s="315">
        <f t="shared" si="3"/>
        <v>3750000</v>
      </c>
      <c r="Y12" s="315">
        <f t="shared" si="5"/>
        <v>0</v>
      </c>
      <c r="Z12"/>
      <c r="AA12"/>
    </row>
    <row r="13" spans="1:27" ht="15">
      <c r="A13" s="123" t="str">
        <f>'Baker Tower Financial'!B67</f>
        <v>Legal</v>
      </c>
      <c r="B13" s="152">
        <f>'Baker Tower Financial'!D67</f>
        <v>500000</v>
      </c>
      <c r="C13" s="314">
        <f t="shared" si="4"/>
        <v>0</v>
      </c>
      <c r="D13" s="314">
        <f t="shared" si="2"/>
        <v>0</v>
      </c>
      <c r="E13" s="314">
        <f t="shared" si="2"/>
        <v>0</v>
      </c>
      <c r="F13" s="314">
        <f t="shared" si="2"/>
        <v>0</v>
      </c>
      <c r="G13" s="314">
        <f t="shared" si="2"/>
        <v>0</v>
      </c>
      <c r="H13" s="314">
        <f t="shared" si="2"/>
        <v>0</v>
      </c>
      <c r="I13" s="314">
        <f t="shared" si="2"/>
        <v>25000</v>
      </c>
      <c r="J13" s="314">
        <f t="shared" si="2"/>
        <v>25000</v>
      </c>
      <c r="K13" s="314">
        <f t="shared" si="2"/>
        <v>25000</v>
      </c>
      <c r="L13" s="314">
        <f t="shared" si="2"/>
        <v>25000</v>
      </c>
      <c r="M13" s="314">
        <f t="shared" si="2"/>
        <v>60000</v>
      </c>
      <c r="N13" s="314">
        <f t="shared" si="2"/>
        <v>60000</v>
      </c>
      <c r="O13" s="314">
        <f t="shared" si="2"/>
        <v>60000</v>
      </c>
      <c r="P13" s="314">
        <f t="shared" si="2"/>
        <v>60000</v>
      </c>
      <c r="Q13" s="314">
        <f t="shared" si="2"/>
        <v>60000</v>
      </c>
      <c r="R13" s="314">
        <f t="shared" si="2"/>
        <v>60000</v>
      </c>
      <c r="S13" s="314">
        <f t="shared" si="2"/>
        <v>25000</v>
      </c>
      <c r="T13" s="314">
        <f t="shared" si="2"/>
        <v>15000</v>
      </c>
      <c r="U13" s="314">
        <f t="shared" si="2"/>
        <v>0</v>
      </c>
      <c r="V13" s="314">
        <f t="shared" si="2"/>
        <v>0</v>
      </c>
      <c r="W13" s="315">
        <f t="shared" si="1"/>
        <v>500000</v>
      </c>
      <c r="X13" s="315">
        <f t="shared" si="3"/>
        <v>500000</v>
      </c>
      <c r="Y13" s="315">
        <f t="shared" si="5"/>
        <v>0</v>
      </c>
      <c r="Z13"/>
      <c r="AA13"/>
    </row>
    <row r="14" spans="1:27" ht="15">
      <c r="A14" s="123" t="str">
        <f>'Baker Tower Financial'!B68</f>
        <v>Land Closing Costs/commissions</v>
      </c>
      <c r="B14" s="152">
        <f>'Baker Tower Financial'!D68</f>
        <v>556000</v>
      </c>
      <c r="C14" s="314">
        <f>B14</f>
        <v>556000</v>
      </c>
      <c r="D14" s="314">
        <v>0</v>
      </c>
      <c r="E14" s="314">
        <v>0</v>
      </c>
      <c r="F14" s="314">
        <v>0</v>
      </c>
      <c r="G14" s="314">
        <v>0</v>
      </c>
      <c r="H14" s="314">
        <v>0</v>
      </c>
      <c r="I14" s="314">
        <v>0</v>
      </c>
      <c r="J14" s="314">
        <v>0</v>
      </c>
      <c r="K14" s="314">
        <v>0</v>
      </c>
      <c r="L14" s="314">
        <v>0</v>
      </c>
      <c r="M14" s="314">
        <v>0</v>
      </c>
      <c r="N14" s="314">
        <v>0</v>
      </c>
      <c r="O14" s="314">
        <v>0</v>
      </c>
      <c r="P14" s="314">
        <v>0</v>
      </c>
      <c r="Q14" s="314">
        <v>0</v>
      </c>
      <c r="R14" s="314">
        <v>0</v>
      </c>
      <c r="S14" s="314">
        <v>0</v>
      </c>
      <c r="T14" s="314">
        <v>0</v>
      </c>
      <c r="U14" s="314">
        <v>0</v>
      </c>
      <c r="V14" s="314">
        <v>0</v>
      </c>
      <c r="W14" s="315">
        <f t="shared" si="1"/>
        <v>556000</v>
      </c>
      <c r="X14" s="315">
        <f t="shared" si="3"/>
        <v>556000</v>
      </c>
      <c r="Y14" s="315">
        <f t="shared" si="5"/>
        <v>0</v>
      </c>
      <c r="Z14"/>
      <c r="AA14"/>
    </row>
    <row r="15" spans="1:27" ht="15">
      <c r="A15" s="123" t="str">
        <f>'Baker Tower Financial'!B69</f>
        <v xml:space="preserve">Design </v>
      </c>
      <c r="B15" s="152">
        <f>'Baker Tower Financial'!D69</f>
        <v>2175701.85</v>
      </c>
      <c r="C15" s="314">
        <f t="shared" si="4"/>
        <v>0</v>
      </c>
      <c r="D15" s="314">
        <f t="shared" si="2"/>
        <v>0</v>
      </c>
      <c r="E15" s="314">
        <f t="shared" si="2"/>
        <v>0</v>
      </c>
      <c r="F15" s="314">
        <f t="shared" si="2"/>
        <v>0</v>
      </c>
      <c r="G15" s="314">
        <f t="shared" si="2"/>
        <v>0</v>
      </c>
      <c r="H15" s="314">
        <f t="shared" si="2"/>
        <v>0</v>
      </c>
      <c r="I15" s="314">
        <f t="shared" si="2"/>
        <v>108785.09250000001</v>
      </c>
      <c r="J15" s="314">
        <f t="shared" si="2"/>
        <v>108785.09250000001</v>
      </c>
      <c r="K15" s="314">
        <f t="shared" si="2"/>
        <v>108785.09250000001</v>
      </c>
      <c r="L15" s="314">
        <f t="shared" si="2"/>
        <v>108785.09250000001</v>
      </c>
      <c r="M15" s="314">
        <f t="shared" si="2"/>
        <v>261084.22200000001</v>
      </c>
      <c r="N15" s="314">
        <f t="shared" si="2"/>
        <v>261084.22200000001</v>
      </c>
      <c r="O15" s="314">
        <f t="shared" si="2"/>
        <v>261084.22200000001</v>
      </c>
      <c r="P15" s="314">
        <f t="shared" si="2"/>
        <v>261084.22200000001</v>
      </c>
      <c r="Q15" s="314">
        <f t="shared" si="2"/>
        <v>261084.22200000001</v>
      </c>
      <c r="R15" s="314">
        <f t="shared" si="2"/>
        <v>261084.22200000001</v>
      </c>
      <c r="S15" s="314">
        <f t="shared" si="2"/>
        <v>108785.09250000001</v>
      </c>
      <c r="T15" s="314">
        <f t="shared" si="2"/>
        <v>65271.055500000002</v>
      </c>
      <c r="U15" s="314">
        <f t="shared" si="2"/>
        <v>0</v>
      </c>
      <c r="V15" s="314">
        <f t="shared" si="2"/>
        <v>0</v>
      </c>
      <c r="W15" s="315">
        <f t="shared" si="1"/>
        <v>2175701.85</v>
      </c>
      <c r="X15" s="315">
        <f t="shared" si="3"/>
        <v>2175701.85</v>
      </c>
      <c r="Y15" s="315">
        <f t="shared" si="5"/>
        <v>0</v>
      </c>
      <c r="Z15"/>
      <c r="AA15"/>
    </row>
    <row r="16" spans="1:27" ht="15">
      <c r="A16" s="123" t="str">
        <f>'Baker Tower Financial'!B70</f>
        <v>Developer Fee</v>
      </c>
      <c r="B16" s="152">
        <f>'Baker Tower Financial'!D70</f>
        <v>4820863.9754999997</v>
      </c>
      <c r="C16" s="314">
        <f t="shared" si="4"/>
        <v>0</v>
      </c>
      <c r="D16" s="314">
        <f t="shared" si="2"/>
        <v>0</v>
      </c>
      <c r="E16" s="314">
        <f t="shared" si="2"/>
        <v>0</v>
      </c>
      <c r="F16" s="314">
        <f t="shared" si="2"/>
        <v>0</v>
      </c>
      <c r="G16" s="314">
        <f t="shared" si="2"/>
        <v>0</v>
      </c>
      <c r="H16" s="314">
        <f t="shared" si="2"/>
        <v>0</v>
      </c>
      <c r="I16" s="314">
        <f t="shared" si="2"/>
        <v>241043.198775</v>
      </c>
      <c r="J16" s="314">
        <f t="shared" si="2"/>
        <v>241043.198775</v>
      </c>
      <c r="K16" s="314">
        <f t="shared" si="2"/>
        <v>241043.198775</v>
      </c>
      <c r="L16" s="314">
        <f t="shared" si="2"/>
        <v>241043.198775</v>
      </c>
      <c r="M16" s="314">
        <f t="shared" si="2"/>
        <v>578503.6770599999</v>
      </c>
      <c r="N16" s="314">
        <f t="shared" si="2"/>
        <v>578503.6770599999</v>
      </c>
      <c r="O16" s="314">
        <f t="shared" si="2"/>
        <v>578503.6770599999</v>
      </c>
      <c r="P16" s="314">
        <f t="shared" si="2"/>
        <v>578503.6770599999</v>
      </c>
      <c r="Q16" s="314">
        <f t="shared" si="2"/>
        <v>578503.6770599999</v>
      </c>
      <c r="R16" s="314">
        <f t="shared" si="2"/>
        <v>578503.6770599999</v>
      </c>
      <c r="S16" s="314">
        <f t="shared" si="2"/>
        <v>241043.198775</v>
      </c>
      <c r="T16" s="314">
        <f t="shared" si="2"/>
        <v>144625.91926499997</v>
      </c>
      <c r="U16" s="314">
        <f t="shared" si="2"/>
        <v>0</v>
      </c>
      <c r="V16" s="314">
        <f t="shared" si="2"/>
        <v>0</v>
      </c>
      <c r="W16" s="315">
        <f t="shared" si="1"/>
        <v>4820863.9754999988</v>
      </c>
      <c r="X16" s="315">
        <f t="shared" si="3"/>
        <v>4820863.9754999997</v>
      </c>
      <c r="Y16" s="315">
        <f t="shared" si="5"/>
        <v>0</v>
      </c>
      <c r="Z16"/>
      <c r="AA16"/>
    </row>
    <row r="17" spans="1:27" ht="15">
      <c r="A17" s="123" t="str">
        <f>'Baker Tower Financial'!B71</f>
        <v>Construction Management Fee</v>
      </c>
      <c r="B17" s="152">
        <f>'Baker Tower Financial'!D71</f>
        <v>1764561.48</v>
      </c>
      <c r="C17" s="314">
        <f t="shared" si="4"/>
        <v>0</v>
      </c>
      <c r="D17" s="314">
        <f t="shared" si="2"/>
        <v>0</v>
      </c>
      <c r="E17" s="314">
        <f t="shared" si="2"/>
        <v>0</v>
      </c>
      <c r="F17" s="314">
        <f t="shared" si="2"/>
        <v>0</v>
      </c>
      <c r="G17" s="314">
        <f t="shared" si="2"/>
        <v>0</v>
      </c>
      <c r="H17" s="314">
        <f t="shared" si="2"/>
        <v>0</v>
      </c>
      <c r="I17" s="314">
        <f t="shared" si="2"/>
        <v>88228.074000000008</v>
      </c>
      <c r="J17" s="314">
        <f t="shared" si="2"/>
        <v>88228.074000000008</v>
      </c>
      <c r="K17" s="314">
        <f t="shared" si="2"/>
        <v>88228.074000000008</v>
      </c>
      <c r="L17" s="314">
        <f t="shared" si="2"/>
        <v>88228.074000000008</v>
      </c>
      <c r="M17" s="314">
        <f t="shared" si="2"/>
        <v>211747.37759999998</v>
      </c>
      <c r="N17" s="314">
        <f t="shared" si="2"/>
        <v>211747.37759999998</v>
      </c>
      <c r="O17" s="314">
        <f t="shared" si="2"/>
        <v>211747.37759999998</v>
      </c>
      <c r="P17" s="314">
        <f t="shared" si="2"/>
        <v>211747.37759999998</v>
      </c>
      <c r="Q17" s="314">
        <f t="shared" si="2"/>
        <v>211747.37759999998</v>
      </c>
      <c r="R17" s="314">
        <f t="shared" si="2"/>
        <v>211747.37759999998</v>
      </c>
      <c r="S17" s="314">
        <f t="shared" si="2"/>
        <v>88228.074000000008</v>
      </c>
      <c r="T17" s="314">
        <f t="shared" si="2"/>
        <v>52936.844399999994</v>
      </c>
      <c r="U17" s="314">
        <f t="shared" si="2"/>
        <v>0</v>
      </c>
      <c r="V17" s="314">
        <f t="shared" si="2"/>
        <v>0</v>
      </c>
      <c r="W17" s="315">
        <f t="shared" si="1"/>
        <v>1764561.48</v>
      </c>
      <c r="X17" s="315">
        <f t="shared" si="3"/>
        <v>1764561.48</v>
      </c>
      <c r="Y17" s="315">
        <f t="shared" si="5"/>
        <v>0</v>
      </c>
      <c r="Z17"/>
      <c r="AA17"/>
    </row>
    <row r="18" spans="1:27" ht="15">
      <c r="A18" s="123" t="str">
        <f>'Baker Tower Financial'!B72</f>
        <v>Taxes (2 years of assessments)</v>
      </c>
      <c r="B18" s="152">
        <f>'Baker Tower Financial'!D72</f>
        <v>1006360.0000000001</v>
      </c>
      <c r="C18" s="314">
        <f t="shared" si="4"/>
        <v>0</v>
      </c>
      <c r="D18" s="314">
        <f t="shared" si="2"/>
        <v>0</v>
      </c>
      <c r="E18" s="314">
        <f t="shared" si="2"/>
        <v>0</v>
      </c>
      <c r="F18" s="314">
        <f t="shared" si="2"/>
        <v>0</v>
      </c>
      <c r="G18" s="314">
        <f t="shared" ref="G18:V26" si="6">$B18*G$5</f>
        <v>0</v>
      </c>
      <c r="H18" s="314">
        <f t="shared" si="6"/>
        <v>0</v>
      </c>
      <c r="I18" s="314">
        <f t="shared" si="6"/>
        <v>50318.000000000007</v>
      </c>
      <c r="J18" s="314">
        <f t="shared" si="6"/>
        <v>50318.000000000007</v>
      </c>
      <c r="K18" s="314">
        <f t="shared" si="6"/>
        <v>50318.000000000007</v>
      </c>
      <c r="L18" s="314">
        <f t="shared" si="6"/>
        <v>50318.000000000007</v>
      </c>
      <c r="M18" s="314">
        <f t="shared" si="6"/>
        <v>120763.20000000001</v>
      </c>
      <c r="N18" s="314">
        <f t="shared" si="6"/>
        <v>120763.20000000001</v>
      </c>
      <c r="O18" s="314">
        <f t="shared" si="6"/>
        <v>120763.20000000001</v>
      </c>
      <c r="P18" s="314">
        <f t="shared" si="6"/>
        <v>120763.20000000001</v>
      </c>
      <c r="Q18" s="314">
        <f t="shared" si="6"/>
        <v>120763.20000000001</v>
      </c>
      <c r="R18" s="314">
        <f t="shared" si="6"/>
        <v>120763.20000000001</v>
      </c>
      <c r="S18" s="314">
        <f t="shared" si="6"/>
        <v>50318.000000000007</v>
      </c>
      <c r="T18" s="314">
        <f t="shared" si="6"/>
        <v>30190.800000000003</v>
      </c>
      <c r="U18" s="314">
        <f t="shared" si="6"/>
        <v>0</v>
      </c>
      <c r="V18" s="314">
        <f t="shared" si="6"/>
        <v>0</v>
      </c>
      <c r="W18" s="315">
        <f t="shared" si="1"/>
        <v>1006360</v>
      </c>
      <c r="X18" s="315">
        <f t="shared" si="3"/>
        <v>1006360.0000000001</v>
      </c>
      <c r="Y18" s="315">
        <f t="shared" si="5"/>
        <v>0</v>
      </c>
      <c r="Z18"/>
      <c r="AA18"/>
    </row>
    <row r="19" spans="1:27" ht="15">
      <c r="A19" s="123" t="str">
        <f>'Baker Tower Financial'!B73</f>
        <v>Insurance</v>
      </c>
      <c r="B19" s="152">
        <f>'Baker Tower Financial'!D73</f>
        <v>352733</v>
      </c>
      <c r="C19" s="314">
        <f t="shared" si="4"/>
        <v>0</v>
      </c>
      <c r="D19" s="314">
        <f t="shared" si="4"/>
        <v>0</v>
      </c>
      <c r="E19" s="314">
        <f t="shared" si="4"/>
        <v>0</v>
      </c>
      <c r="F19" s="314">
        <f t="shared" si="4"/>
        <v>0</v>
      </c>
      <c r="G19" s="314">
        <f t="shared" si="4"/>
        <v>0</v>
      </c>
      <c r="H19" s="314">
        <f t="shared" si="4"/>
        <v>0</v>
      </c>
      <c r="I19" s="314">
        <f t="shared" si="4"/>
        <v>17636.650000000001</v>
      </c>
      <c r="J19" s="314">
        <f t="shared" si="4"/>
        <v>17636.650000000001</v>
      </c>
      <c r="K19" s="314">
        <f t="shared" si="4"/>
        <v>17636.650000000001</v>
      </c>
      <c r="L19" s="314">
        <f t="shared" si="4"/>
        <v>17636.650000000001</v>
      </c>
      <c r="M19" s="314">
        <f t="shared" si="4"/>
        <v>42327.96</v>
      </c>
      <c r="N19" s="314">
        <f t="shared" si="4"/>
        <v>42327.96</v>
      </c>
      <c r="O19" s="314">
        <f t="shared" si="4"/>
        <v>42327.96</v>
      </c>
      <c r="P19" s="314">
        <f t="shared" si="4"/>
        <v>42327.96</v>
      </c>
      <c r="Q19" s="314">
        <f t="shared" si="4"/>
        <v>42327.96</v>
      </c>
      <c r="R19" s="314">
        <f t="shared" si="4"/>
        <v>42327.96</v>
      </c>
      <c r="S19" s="314">
        <f t="shared" si="6"/>
        <v>17636.650000000001</v>
      </c>
      <c r="T19" s="314">
        <f t="shared" si="6"/>
        <v>10581.99</v>
      </c>
      <c r="U19" s="314">
        <f t="shared" si="6"/>
        <v>0</v>
      </c>
      <c r="V19" s="314">
        <f t="shared" si="6"/>
        <v>0</v>
      </c>
      <c r="W19" s="315">
        <f t="shared" si="1"/>
        <v>352733</v>
      </c>
      <c r="X19" s="315">
        <f t="shared" si="3"/>
        <v>352733</v>
      </c>
      <c r="Y19" s="315">
        <f t="shared" si="5"/>
        <v>0</v>
      </c>
      <c r="Z19"/>
      <c r="AA19"/>
    </row>
    <row r="20" spans="1:27" ht="15">
      <c r="A20" s="123" t="str">
        <f>'Baker Tower Financial'!B74</f>
        <v>Marketing, FFE and Preleasing</v>
      </c>
      <c r="B20" s="152">
        <f>'Baker Tower Financial'!D74</f>
        <v>352733</v>
      </c>
      <c r="C20" s="314">
        <f t="shared" si="4"/>
        <v>0</v>
      </c>
      <c r="D20" s="314">
        <f t="shared" si="4"/>
        <v>0</v>
      </c>
      <c r="E20" s="314">
        <f t="shared" si="4"/>
        <v>0</v>
      </c>
      <c r="F20" s="314">
        <f t="shared" si="4"/>
        <v>0</v>
      </c>
      <c r="G20" s="314">
        <f t="shared" si="4"/>
        <v>0</v>
      </c>
      <c r="H20" s="314">
        <f t="shared" si="4"/>
        <v>0</v>
      </c>
      <c r="I20" s="314">
        <f t="shared" si="4"/>
        <v>17636.650000000001</v>
      </c>
      <c r="J20" s="314">
        <f t="shared" si="4"/>
        <v>17636.650000000001</v>
      </c>
      <c r="K20" s="314">
        <f t="shared" si="4"/>
        <v>17636.650000000001</v>
      </c>
      <c r="L20" s="314">
        <f t="shared" si="4"/>
        <v>17636.650000000001</v>
      </c>
      <c r="M20" s="314">
        <f t="shared" si="4"/>
        <v>42327.96</v>
      </c>
      <c r="N20" s="314">
        <f t="shared" si="4"/>
        <v>42327.96</v>
      </c>
      <c r="O20" s="314">
        <f t="shared" si="4"/>
        <v>42327.96</v>
      </c>
      <c r="P20" s="314">
        <f t="shared" si="4"/>
        <v>42327.96</v>
      </c>
      <c r="Q20" s="314">
        <f t="shared" si="4"/>
        <v>42327.96</v>
      </c>
      <c r="R20" s="314">
        <f t="shared" si="4"/>
        <v>42327.96</v>
      </c>
      <c r="S20" s="314">
        <f t="shared" si="6"/>
        <v>17636.650000000001</v>
      </c>
      <c r="T20" s="314">
        <f t="shared" si="6"/>
        <v>10581.99</v>
      </c>
      <c r="U20" s="314">
        <f t="shared" si="6"/>
        <v>0</v>
      </c>
      <c r="V20" s="314">
        <f t="shared" si="6"/>
        <v>0</v>
      </c>
      <c r="W20" s="315">
        <f t="shared" si="1"/>
        <v>352733</v>
      </c>
      <c r="X20" s="315">
        <f t="shared" si="3"/>
        <v>352733</v>
      </c>
      <c r="Y20" s="315">
        <f t="shared" si="5"/>
        <v>0</v>
      </c>
      <c r="Z20"/>
      <c r="AA20"/>
    </row>
    <row r="21" spans="1:27" ht="15">
      <c r="A21" s="197" t="s">
        <v>227</v>
      </c>
      <c r="B21" s="152">
        <f ca="1">'Baker Tower Financial'!D75</f>
        <v>1286758.3042462871</v>
      </c>
      <c r="C21" s="314">
        <f t="shared" ca="1" si="4"/>
        <v>0</v>
      </c>
      <c r="D21" s="314">
        <f t="shared" ca="1" si="4"/>
        <v>0</v>
      </c>
      <c r="E21" s="314">
        <f t="shared" ca="1" si="4"/>
        <v>0</v>
      </c>
      <c r="F21" s="314">
        <f t="shared" ca="1" si="4"/>
        <v>0</v>
      </c>
      <c r="G21" s="314">
        <f t="shared" ca="1" si="4"/>
        <v>0</v>
      </c>
      <c r="H21" s="314">
        <f t="shared" ca="1" si="4"/>
        <v>0</v>
      </c>
      <c r="I21" s="314">
        <f t="shared" ca="1" si="4"/>
        <v>64337.915212314358</v>
      </c>
      <c r="J21" s="314">
        <f t="shared" ca="1" si="4"/>
        <v>64337.915212314358</v>
      </c>
      <c r="K21" s="314">
        <f t="shared" ca="1" si="4"/>
        <v>64337.915212314358</v>
      </c>
      <c r="L21" s="314">
        <f t="shared" ca="1" si="4"/>
        <v>64337.915212314358</v>
      </c>
      <c r="M21" s="314">
        <f t="shared" ca="1" si="4"/>
        <v>154410.99650955445</v>
      </c>
      <c r="N21" s="314">
        <f t="shared" ca="1" si="4"/>
        <v>154410.99650955445</v>
      </c>
      <c r="O21" s="314">
        <f t="shared" ca="1" si="4"/>
        <v>154410.99650955445</v>
      </c>
      <c r="P21" s="314">
        <f t="shared" ca="1" si="4"/>
        <v>154410.99650955445</v>
      </c>
      <c r="Q21" s="314">
        <f t="shared" ca="1" si="4"/>
        <v>154410.99650955445</v>
      </c>
      <c r="R21" s="314">
        <f t="shared" ca="1" si="4"/>
        <v>154410.99650955445</v>
      </c>
      <c r="S21" s="314">
        <f t="shared" ca="1" si="6"/>
        <v>64337.915212314358</v>
      </c>
      <c r="T21" s="314">
        <f t="shared" ca="1" si="6"/>
        <v>38602.749127388612</v>
      </c>
      <c r="U21" s="314">
        <f t="shared" ca="1" si="6"/>
        <v>0</v>
      </c>
      <c r="V21" s="314">
        <f t="shared" ca="1" si="6"/>
        <v>0</v>
      </c>
      <c r="W21" s="315">
        <f t="shared" ca="1" si="1"/>
        <v>1286758.3042462871</v>
      </c>
      <c r="X21" s="315">
        <f t="shared" ca="1" si="3"/>
        <v>1286758.3042462871</v>
      </c>
      <c r="Y21" s="315"/>
      <c r="Z21"/>
      <c r="AA21"/>
    </row>
    <row r="22" spans="1:27" ht="15">
      <c r="A22" s="123" t="str">
        <f>'Baker Tower Financial'!B76</f>
        <v>Retail Tenant Improvements</v>
      </c>
      <c r="B22" s="152">
        <f>'Baker Tower Financial'!D76</f>
        <v>4608975</v>
      </c>
      <c r="C22" s="314">
        <f t="shared" si="4"/>
        <v>0</v>
      </c>
      <c r="D22" s="314">
        <f t="shared" si="4"/>
        <v>0</v>
      </c>
      <c r="E22" s="314">
        <f t="shared" si="4"/>
        <v>0</v>
      </c>
      <c r="F22" s="314">
        <f t="shared" si="4"/>
        <v>0</v>
      </c>
      <c r="G22" s="314">
        <f t="shared" si="4"/>
        <v>0</v>
      </c>
      <c r="H22" s="314">
        <f t="shared" si="4"/>
        <v>0</v>
      </c>
      <c r="I22" s="314">
        <f t="shared" si="4"/>
        <v>230448.75</v>
      </c>
      <c r="J22" s="314">
        <f t="shared" si="4"/>
        <v>230448.75</v>
      </c>
      <c r="K22" s="314">
        <f t="shared" si="4"/>
        <v>230448.75</v>
      </c>
      <c r="L22" s="314">
        <f t="shared" si="4"/>
        <v>230448.75</v>
      </c>
      <c r="M22" s="314">
        <f t="shared" si="4"/>
        <v>553077</v>
      </c>
      <c r="N22" s="314">
        <f t="shared" si="4"/>
        <v>553077</v>
      </c>
      <c r="O22" s="314">
        <f t="shared" si="4"/>
        <v>553077</v>
      </c>
      <c r="P22" s="314">
        <f t="shared" si="4"/>
        <v>553077</v>
      </c>
      <c r="Q22" s="314">
        <f t="shared" si="4"/>
        <v>553077</v>
      </c>
      <c r="R22" s="314">
        <f t="shared" si="4"/>
        <v>553077</v>
      </c>
      <c r="S22" s="314">
        <f t="shared" si="6"/>
        <v>230448.75</v>
      </c>
      <c r="T22" s="314">
        <f t="shared" si="6"/>
        <v>138269.25</v>
      </c>
      <c r="U22" s="314">
        <f t="shared" si="6"/>
        <v>0</v>
      </c>
      <c r="V22" s="314">
        <f t="shared" si="6"/>
        <v>0</v>
      </c>
      <c r="W22" s="315">
        <f t="shared" si="1"/>
        <v>4608975</v>
      </c>
      <c r="X22" s="315">
        <f t="shared" si="3"/>
        <v>4608975</v>
      </c>
      <c r="Y22" s="315">
        <f t="shared" si="5"/>
        <v>0</v>
      </c>
      <c r="Z22"/>
      <c r="AA22"/>
    </row>
    <row r="23" spans="1:27" ht="15">
      <c r="A23" s="123" t="str">
        <f>'Baker Tower Financial'!B77</f>
        <v>Retail brokerage</v>
      </c>
      <c r="B23" s="152">
        <f>'Baker Tower Financial'!D77</f>
        <v>1364256.5999999999</v>
      </c>
      <c r="C23" s="314">
        <f t="shared" si="4"/>
        <v>0</v>
      </c>
      <c r="D23" s="314">
        <f t="shared" si="4"/>
        <v>0</v>
      </c>
      <c r="E23" s="314">
        <f t="shared" si="4"/>
        <v>0</v>
      </c>
      <c r="F23" s="314">
        <f t="shared" si="4"/>
        <v>0</v>
      </c>
      <c r="G23" s="314">
        <f t="shared" si="4"/>
        <v>0</v>
      </c>
      <c r="H23" s="314">
        <f t="shared" si="4"/>
        <v>0</v>
      </c>
      <c r="I23" s="314">
        <f t="shared" si="4"/>
        <v>68212.83</v>
      </c>
      <c r="J23" s="314">
        <f t="shared" si="4"/>
        <v>68212.83</v>
      </c>
      <c r="K23" s="314">
        <f t="shared" si="4"/>
        <v>68212.83</v>
      </c>
      <c r="L23" s="314">
        <f t="shared" si="4"/>
        <v>68212.83</v>
      </c>
      <c r="M23" s="314">
        <f t="shared" si="4"/>
        <v>163710.79199999999</v>
      </c>
      <c r="N23" s="314">
        <f t="shared" si="4"/>
        <v>163710.79199999999</v>
      </c>
      <c r="O23" s="314">
        <f t="shared" si="4"/>
        <v>163710.79199999999</v>
      </c>
      <c r="P23" s="314">
        <f t="shared" si="4"/>
        <v>163710.79199999999</v>
      </c>
      <c r="Q23" s="314">
        <f t="shared" si="4"/>
        <v>163710.79199999999</v>
      </c>
      <c r="R23" s="314">
        <f t="shared" si="4"/>
        <v>163710.79199999999</v>
      </c>
      <c r="S23" s="314">
        <f t="shared" si="6"/>
        <v>68212.83</v>
      </c>
      <c r="T23" s="314">
        <f t="shared" si="6"/>
        <v>40927.697999999997</v>
      </c>
      <c r="U23" s="314">
        <f t="shared" si="6"/>
        <v>0</v>
      </c>
      <c r="V23" s="314">
        <f t="shared" si="6"/>
        <v>0</v>
      </c>
      <c r="W23" s="315">
        <f t="shared" si="1"/>
        <v>1364256.6</v>
      </c>
      <c r="X23" s="315">
        <f t="shared" si="3"/>
        <v>1364256.5999999999</v>
      </c>
      <c r="Y23" s="315">
        <f t="shared" si="5"/>
        <v>0</v>
      </c>
      <c r="Z23"/>
      <c r="AA23"/>
    </row>
    <row r="24" spans="1:27" ht="15">
      <c r="A24" s="123" t="str">
        <f>'Baker Tower Financial'!B78</f>
        <v>Construction Loan Origination</v>
      </c>
      <c r="B24" s="152">
        <f ca="1">'Baker Tower Financial'!D78</f>
        <v>1838226.1489232669</v>
      </c>
      <c r="C24" s="314">
        <f ca="1">B24</f>
        <v>1838226.1489232669</v>
      </c>
      <c r="D24" s="314">
        <v>0</v>
      </c>
      <c r="E24" s="314">
        <v>0</v>
      </c>
      <c r="F24" s="314">
        <v>0</v>
      </c>
      <c r="G24" s="314">
        <v>0</v>
      </c>
      <c r="H24" s="314">
        <v>0</v>
      </c>
      <c r="I24" s="314">
        <v>0</v>
      </c>
      <c r="J24" s="314">
        <v>0</v>
      </c>
      <c r="K24" s="314">
        <v>0</v>
      </c>
      <c r="L24" s="314">
        <v>0</v>
      </c>
      <c r="M24" s="314">
        <v>0</v>
      </c>
      <c r="N24" s="314">
        <v>0</v>
      </c>
      <c r="O24" s="314">
        <v>0</v>
      </c>
      <c r="P24" s="314">
        <v>0</v>
      </c>
      <c r="Q24" s="314">
        <v>0</v>
      </c>
      <c r="R24" s="314">
        <v>0</v>
      </c>
      <c r="S24" s="314">
        <v>0</v>
      </c>
      <c r="T24" s="314">
        <v>0</v>
      </c>
      <c r="U24" s="314">
        <v>0</v>
      </c>
      <c r="V24" s="314">
        <v>0</v>
      </c>
      <c r="W24" s="315">
        <f t="shared" ca="1" si="1"/>
        <v>1838226.1489232669</v>
      </c>
      <c r="X24" s="315">
        <f t="shared" ca="1" si="3"/>
        <v>1838226.1489232669</v>
      </c>
      <c r="Y24" s="315">
        <f t="shared" ca="1" si="5"/>
        <v>0</v>
      </c>
      <c r="Z24"/>
      <c r="AA24"/>
    </row>
    <row r="25" spans="1:27" ht="15">
      <c r="A25" s="123" t="str">
        <f>'Baker Tower Financial'!B79</f>
        <v>Construction Interest</v>
      </c>
      <c r="B25" s="152">
        <f ca="1">'Baker Tower Financial'!D79</f>
        <v>8578388.6949752476</v>
      </c>
      <c r="C25" s="314">
        <f ca="1">B25</f>
        <v>8578388.6949752476</v>
      </c>
      <c r="D25" s="314">
        <v>0</v>
      </c>
      <c r="E25" s="314">
        <v>0</v>
      </c>
      <c r="F25" s="314">
        <v>0</v>
      </c>
      <c r="G25" s="314">
        <v>0</v>
      </c>
      <c r="H25" s="314">
        <v>0</v>
      </c>
      <c r="I25" s="314">
        <v>0</v>
      </c>
      <c r="J25" s="314">
        <v>0</v>
      </c>
      <c r="K25" s="314">
        <v>0</v>
      </c>
      <c r="L25" s="314">
        <v>0</v>
      </c>
      <c r="M25" s="314">
        <v>0</v>
      </c>
      <c r="N25" s="314">
        <v>0</v>
      </c>
      <c r="O25" s="314">
        <v>0</v>
      </c>
      <c r="P25" s="314">
        <v>0</v>
      </c>
      <c r="Q25" s="314">
        <v>0</v>
      </c>
      <c r="R25" s="314">
        <v>0</v>
      </c>
      <c r="S25" s="314">
        <v>0</v>
      </c>
      <c r="T25" s="314">
        <v>0</v>
      </c>
      <c r="U25" s="314">
        <v>0</v>
      </c>
      <c r="V25" s="314">
        <v>0</v>
      </c>
      <c r="W25" s="315">
        <f t="shared" ca="1" si="1"/>
        <v>8578388.6949752476</v>
      </c>
      <c r="X25" s="315">
        <f t="shared" ca="1" si="3"/>
        <v>8578388.6949752476</v>
      </c>
      <c r="Y25" s="315">
        <f t="shared" ca="1" si="5"/>
        <v>0</v>
      </c>
      <c r="Z25"/>
      <c r="AA25"/>
    </row>
    <row r="26" spans="1:27" ht="15">
      <c r="A26" s="123" t="str">
        <f>'Baker Tower Financial'!B80</f>
        <v>Additional Contingency</v>
      </c>
      <c r="B26" s="152">
        <f ca="1">'Baker Tower Financial'!D80</f>
        <v>1866693.2205364478</v>
      </c>
      <c r="C26" s="314">
        <f t="shared" ca="1" si="4"/>
        <v>0</v>
      </c>
      <c r="D26" s="314">
        <f t="shared" ca="1" si="4"/>
        <v>0</v>
      </c>
      <c r="E26" s="314">
        <f t="shared" ca="1" si="4"/>
        <v>0</v>
      </c>
      <c r="F26" s="314">
        <f t="shared" ca="1" si="4"/>
        <v>0</v>
      </c>
      <c r="G26" s="314">
        <f t="shared" ca="1" si="4"/>
        <v>0</v>
      </c>
      <c r="H26" s="314">
        <f t="shared" ca="1" si="4"/>
        <v>0</v>
      </c>
      <c r="I26" s="314">
        <f t="shared" ca="1" si="4"/>
        <v>93334.661026822403</v>
      </c>
      <c r="J26" s="314">
        <f t="shared" ca="1" si="4"/>
        <v>93334.661026822403</v>
      </c>
      <c r="K26" s="314">
        <f t="shared" ca="1" si="4"/>
        <v>93334.661026822403</v>
      </c>
      <c r="L26" s="314">
        <f t="shared" ca="1" si="4"/>
        <v>93334.661026822403</v>
      </c>
      <c r="M26" s="314">
        <f t="shared" ca="1" si="4"/>
        <v>224003.18646437372</v>
      </c>
      <c r="N26" s="314">
        <f t="shared" ca="1" si="4"/>
        <v>224003.18646437372</v>
      </c>
      <c r="O26" s="314">
        <f t="shared" ca="1" si="4"/>
        <v>224003.18646437372</v>
      </c>
      <c r="P26" s="314">
        <f t="shared" ca="1" si="4"/>
        <v>224003.18646437372</v>
      </c>
      <c r="Q26" s="314">
        <f t="shared" ca="1" si="4"/>
        <v>224003.18646437372</v>
      </c>
      <c r="R26" s="314">
        <f t="shared" ca="1" si="4"/>
        <v>224003.18646437372</v>
      </c>
      <c r="S26" s="314">
        <f t="shared" ca="1" si="6"/>
        <v>93334.661026822403</v>
      </c>
      <c r="T26" s="314">
        <f t="shared" ca="1" si="6"/>
        <v>56000.79661609343</v>
      </c>
      <c r="U26" s="314">
        <f t="shared" ca="1" si="6"/>
        <v>0</v>
      </c>
      <c r="V26" s="314">
        <f t="shared" ca="1" si="6"/>
        <v>0</v>
      </c>
      <c r="W26" s="315">
        <f t="shared" ca="1" si="1"/>
        <v>1866693.2205364478</v>
      </c>
      <c r="X26" s="315">
        <f t="shared" ca="1" si="3"/>
        <v>1866693.2205364478</v>
      </c>
      <c r="Y26" s="315">
        <f t="shared" ca="1" si="5"/>
        <v>0</v>
      </c>
      <c r="Z26"/>
      <c r="AA26"/>
    </row>
    <row r="27" spans="1:27" ht="15.75" thickBot="1">
      <c r="A27" s="123" t="str">
        <f>'Baker Tower Financial'!B81</f>
        <v>Total Project Cost</v>
      </c>
      <c r="B27" s="118">
        <f t="shared" ref="B27:X27" ca="1" si="7">SUM(B6:B26)</f>
        <v>179318065.27418122</v>
      </c>
      <c r="C27" s="114">
        <f t="shared" ca="1" si="7"/>
        <v>68503714.84389852</v>
      </c>
      <c r="D27" s="114">
        <f t="shared" ca="1" si="7"/>
        <v>0</v>
      </c>
      <c r="E27" s="114">
        <f t="shared" ca="1" si="7"/>
        <v>0</v>
      </c>
      <c r="F27" s="114">
        <f t="shared" ca="1" si="7"/>
        <v>0</v>
      </c>
      <c r="G27" s="114">
        <f t="shared" ca="1" si="7"/>
        <v>0</v>
      </c>
      <c r="H27" s="114">
        <f t="shared" ca="1" si="7"/>
        <v>0</v>
      </c>
      <c r="I27" s="114">
        <f t="shared" ca="1" si="7"/>
        <v>5540717.5215141382</v>
      </c>
      <c r="J27" s="114">
        <f t="shared" ca="1" si="7"/>
        <v>5540717.5215141382</v>
      </c>
      <c r="K27" s="114">
        <f t="shared" ca="1" si="7"/>
        <v>5540717.5215141382</v>
      </c>
      <c r="L27" s="114">
        <f t="shared" ca="1" si="7"/>
        <v>5540717.5215141382</v>
      </c>
      <c r="M27" s="114">
        <f t="shared" ca="1" si="7"/>
        <v>13297722.051633928</v>
      </c>
      <c r="N27" s="114">
        <f t="shared" ca="1" si="7"/>
        <v>13297722.051633928</v>
      </c>
      <c r="O27" s="114">
        <f t="shared" ca="1" si="7"/>
        <v>13297722.051633928</v>
      </c>
      <c r="P27" s="114">
        <f t="shared" ca="1" si="7"/>
        <v>13297722.051633928</v>
      </c>
      <c r="Q27" s="114">
        <f t="shared" ca="1" si="7"/>
        <v>13297722.051633928</v>
      </c>
      <c r="R27" s="114">
        <f t="shared" ca="1" si="7"/>
        <v>13297722.051633928</v>
      </c>
      <c r="S27" s="114">
        <f t="shared" ca="1" si="7"/>
        <v>5540717.5215141382</v>
      </c>
      <c r="T27" s="114">
        <f t="shared" ca="1" si="7"/>
        <v>3324430.512908482</v>
      </c>
      <c r="U27" s="114">
        <f t="shared" ca="1" si="7"/>
        <v>0</v>
      </c>
      <c r="V27" s="114">
        <f t="shared" ca="1" si="7"/>
        <v>0</v>
      </c>
      <c r="W27" s="122">
        <f t="shared" ca="1" si="7"/>
        <v>179318065.27418122</v>
      </c>
      <c r="X27" s="100">
        <f t="shared" ca="1" si="7"/>
        <v>179318065.27418122</v>
      </c>
      <c r="Y27" s="95"/>
      <c r="Z27"/>
      <c r="AA27"/>
    </row>
    <row r="28" spans="1:27" ht="15">
      <c r="A28" s="97" t="s">
        <v>196</v>
      </c>
      <c r="B28" s="153">
        <f ca="1">IF('Baker Tower Financial'!C85&lt;0,'Baker Tower Financial'!C85,0)</f>
        <v>-3443000</v>
      </c>
      <c r="C28" s="348"/>
      <c r="D28" s="348"/>
      <c r="E28" s="348"/>
      <c r="F28" s="348"/>
      <c r="G28" s="348"/>
      <c r="H28" s="348"/>
      <c r="I28" s="348"/>
      <c r="J28" s="348"/>
      <c r="K28" s="348"/>
      <c r="L28" s="348"/>
      <c r="M28" s="348"/>
      <c r="N28" s="348"/>
      <c r="O28" s="348"/>
      <c r="P28" s="348"/>
      <c r="Q28" s="348"/>
      <c r="R28" s="348"/>
      <c r="S28" s="348"/>
      <c r="T28" s="348"/>
      <c r="U28" s="348"/>
      <c r="V28" s="348"/>
      <c r="W28" s="396"/>
      <c r="X28" s="348"/>
      <c r="Y28" s="95"/>
      <c r="Z28"/>
      <c r="AA28"/>
    </row>
    <row r="29" spans="1:27" ht="15.75" thickBot="1">
      <c r="A29" s="329" t="s">
        <v>197</v>
      </c>
      <c r="B29" s="397">
        <f ca="1">B27+B28</f>
        <v>175875065.27418122</v>
      </c>
      <c r="C29" s="342"/>
      <c r="D29" s="342"/>
      <c r="E29" s="342"/>
      <c r="F29" s="342"/>
      <c r="G29" s="342"/>
      <c r="H29" s="342"/>
      <c r="I29" s="342"/>
      <c r="J29" s="342"/>
      <c r="K29" s="342"/>
      <c r="L29" s="342"/>
      <c r="M29" s="342"/>
      <c r="N29" s="342"/>
      <c r="O29" s="342"/>
      <c r="P29" s="342"/>
      <c r="Q29" s="342"/>
      <c r="R29" s="342"/>
      <c r="S29" s="342"/>
      <c r="T29" s="342"/>
      <c r="U29" s="342"/>
      <c r="V29" s="342"/>
      <c r="W29" s="342"/>
      <c r="X29" s="342"/>
      <c r="Y29" s="331"/>
      <c r="Z29"/>
      <c r="AA29"/>
    </row>
    <row r="30" spans="1:27" ht="15">
      <c r="A30" s="332" t="s">
        <v>198</v>
      </c>
      <c r="B30" s="333">
        <f ca="1">SUM(C30:V30)</f>
        <v>65987605.345963418</v>
      </c>
      <c r="C30" s="315">
        <f ca="1">C27</f>
        <v>68503714.84389852</v>
      </c>
      <c r="D30" s="315">
        <f t="shared" ref="D30:V30" ca="1" si="8">IF(C31+D27&lt;=$B$31,D27,($B$31-C31))</f>
        <v>-2516109.4979351014</v>
      </c>
      <c r="E30" s="315">
        <f t="shared" ca="1" si="8"/>
        <v>0</v>
      </c>
      <c r="F30" s="315">
        <f t="shared" ca="1" si="8"/>
        <v>0</v>
      </c>
      <c r="G30" s="315">
        <f t="shared" ca="1" si="8"/>
        <v>0</v>
      </c>
      <c r="H30" s="315">
        <f t="shared" ca="1" si="8"/>
        <v>0</v>
      </c>
      <c r="I30" s="315">
        <f t="shared" ca="1" si="8"/>
        <v>0</v>
      </c>
      <c r="J30" s="315">
        <f t="shared" ca="1" si="8"/>
        <v>0</v>
      </c>
      <c r="K30" s="315">
        <f t="shared" ca="1" si="8"/>
        <v>0</v>
      </c>
      <c r="L30" s="315">
        <f t="shared" ca="1" si="8"/>
        <v>0</v>
      </c>
      <c r="M30" s="315">
        <f t="shared" ca="1" si="8"/>
        <v>0</v>
      </c>
      <c r="N30" s="315">
        <f t="shared" ca="1" si="8"/>
        <v>0</v>
      </c>
      <c r="O30" s="315">
        <f t="shared" ca="1" si="8"/>
        <v>0</v>
      </c>
      <c r="P30" s="315">
        <f t="shared" ca="1" si="8"/>
        <v>0</v>
      </c>
      <c r="Q30" s="315">
        <f t="shared" ca="1" si="8"/>
        <v>0</v>
      </c>
      <c r="R30" s="315">
        <f t="shared" ca="1" si="8"/>
        <v>0</v>
      </c>
      <c r="S30" s="315">
        <f t="shared" ca="1" si="8"/>
        <v>0</v>
      </c>
      <c r="T30" s="315">
        <f t="shared" ca="1" si="8"/>
        <v>0</v>
      </c>
      <c r="U30" s="315">
        <f t="shared" ca="1" si="8"/>
        <v>0</v>
      </c>
      <c r="V30" s="315">
        <f t="shared" ca="1" si="8"/>
        <v>0</v>
      </c>
      <c r="W30" s="334"/>
      <c r="X30" s="334"/>
      <c r="Y30" s="334"/>
      <c r="Z30"/>
      <c r="AA30"/>
    </row>
    <row r="31" spans="1:27" ht="15.75" thickBot="1">
      <c r="A31" s="312" t="s">
        <v>199</v>
      </c>
      <c r="B31" s="101">
        <f ca="1">'Baker Tower Financial'!C93</f>
        <v>65987605.345963418</v>
      </c>
      <c r="C31" s="315">
        <f ca="1">C30</f>
        <v>68503714.84389852</v>
      </c>
      <c r="D31" s="315">
        <f ca="1">IF(SUM($C$30:D30)&lt;=$B31,SUM($C$30:D30),0)</f>
        <v>65987605.345963418</v>
      </c>
      <c r="E31" s="315">
        <f ca="1">IF(SUM($C$30:E30)&lt;=$B31,SUM($C$30:E30),0)</f>
        <v>65987605.345963418</v>
      </c>
      <c r="F31" s="315">
        <f ca="1">IF(SUM($C$30:F30)&lt;=$B31,SUM($C$30:F30),0)</f>
        <v>65987605.345963418</v>
      </c>
      <c r="G31" s="315">
        <f ca="1">IF(SUM($C$30:G30)&lt;=$B31,SUM($C$30:G30),0)</f>
        <v>65987605.345963418</v>
      </c>
      <c r="H31" s="315">
        <f ca="1">IF(SUM($C$30:H30)&lt;=$B31,SUM($C$30:H30),0)</f>
        <v>65987605.345963418</v>
      </c>
      <c r="I31" s="315">
        <f ca="1">IF(SUM($C$30:I30)&lt;=$B31,SUM($C$30:I30),0)</f>
        <v>65987605.345963418</v>
      </c>
      <c r="J31" s="315">
        <f ca="1">IF(SUM($C$30:J30)&lt;=$B31,SUM($C$30:J30),0)</f>
        <v>65987605.345963418</v>
      </c>
      <c r="K31" s="315">
        <f ca="1">IF(SUM($C$30:K30)&lt;=$B31,SUM($C$30:K30),0)</f>
        <v>65987605.345963418</v>
      </c>
      <c r="L31" s="315">
        <f ca="1">IF(SUM($C$30:L30)&lt;=$B31,SUM($C$30:L30),0)</f>
        <v>65987605.345963418</v>
      </c>
      <c r="M31" s="315">
        <f ca="1">IF(SUM($C$30:M30)&lt;=$B31,SUM($C$30:M30),0)</f>
        <v>65987605.345963418</v>
      </c>
      <c r="N31" s="315">
        <f ca="1">IF(SUM($C$30:N30)&lt;=$B31,SUM($C$30:N30),0)</f>
        <v>65987605.345963418</v>
      </c>
      <c r="O31" s="315">
        <f ca="1">IF(SUM($C$30:O30)&lt;=$B31,SUM($C$30:O30),0)</f>
        <v>65987605.345963418</v>
      </c>
      <c r="P31" s="315">
        <f ca="1">IF(SUM($C$30:P30)&lt;=$B31,SUM($C$30:P30),0)</f>
        <v>65987605.345963418</v>
      </c>
      <c r="Q31" s="315">
        <f ca="1">IF(SUM($C$30:Q30)&lt;=$B31,SUM($C$30:Q30),0)</f>
        <v>65987605.345963418</v>
      </c>
      <c r="R31" s="315">
        <f ca="1">IF(SUM($C$30:R30)&lt;=$B31,SUM($C$30:R30),0)</f>
        <v>65987605.345963418</v>
      </c>
      <c r="S31" s="315">
        <f ca="1">IF(SUM($C$30:S30)&lt;=$B31,SUM($C$30:S30),0)</f>
        <v>65987605.345963418</v>
      </c>
      <c r="T31" s="315">
        <f ca="1">IF(SUM($C$30:T30)&lt;=$B31,SUM($C$30:T30),0)</f>
        <v>65987605.345963418</v>
      </c>
      <c r="U31" s="315">
        <f ca="1">IF(SUM($C$30:U30)&lt;=$B31,SUM($C$30:U30),0)</f>
        <v>65987605.345963418</v>
      </c>
      <c r="V31" s="315">
        <f ca="1">IF(SUM($C$30:V30)&lt;=$B31,SUM($C$30:V30),0)</f>
        <v>65987605.345963418</v>
      </c>
      <c r="W31" s="334"/>
      <c r="X31" s="334"/>
      <c r="Y31" s="334"/>
      <c r="Z31"/>
      <c r="AA31"/>
    </row>
    <row r="32" spans="1:27" ht="15">
      <c r="A32" s="102" t="s">
        <v>200</v>
      </c>
      <c r="B32" s="103">
        <f ca="1">'Baker Tower Financial'!C92</f>
        <v>122548409.9282178</v>
      </c>
      <c r="C32" s="335"/>
      <c r="D32" s="336"/>
      <c r="E32" s="336"/>
      <c r="F32" s="336"/>
      <c r="G32" s="336"/>
      <c r="H32" s="336"/>
      <c r="I32" s="336"/>
      <c r="J32" s="336"/>
      <c r="K32" s="336"/>
      <c r="L32" s="336"/>
      <c r="M32" s="336"/>
      <c r="N32" s="336"/>
      <c r="O32" s="336"/>
      <c r="P32" s="336"/>
      <c r="Q32" s="336"/>
      <c r="R32" s="336"/>
      <c r="S32" s="336"/>
      <c r="T32" s="336"/>
      <c r="U32" s="336"/>
      <c r="V32" s="336"/>
      <c r="W32" s="335"/>
      <c r="X32" s="335"/>
      <c r="Y32" s="334"/>
      <c r="Z32"/>
      <c r="AA32"/>
    </row>
    <row r="33" spans="1:27" ht="15.75" thickBot="1">
      <c r="A33" s="337" t="s">
        <v>201</v>
      </c>
      <c r="B33" s="338">
        <f ca="1">PMT(0.045,30,(B32))</f>
        <v>-7523435.9664880456</v>
      </c>
      <c r="C33" s="335"/>
      <c r="D33" s="336"/>
      <c r="E33" s="336"/>
      <c r="F33" s="336"/>
      <c r="G33" s="336"/>
      <c r="H33" s="336"/>
      <c r="I33" s="336"/>
      <c r="J33" s="336"/>
      <c r="K33" s="336"/>
      <c r="L33" s="336"/>
      <c r="M33" s="336"/>
      <c r="N33" s="336"/>
      <c r="O33" s="336"/>
      <c r="P33" s="336"/>
      <c r="Q33" s="336"/>
      <c r="R33" s="336"/>
      <c r="S33" s="336"/>
      <c r="T33" s="336"/>
      <c r="U33" s="336"/>
      <c r="V33" s="336"/>
      <c r="W33" s="335"/>
      <c r="X33" s="335"/>
      <c r="Y33" s="334"/>
      <c r="Z33"/>
      <c r="AA33"/>
    </row>
    <row r="34" spans="1:27" ht="15">
      <c r="A34" s="104" t="s">
        <v>202</v>
      </c>
      <c r="B34" s="105">
        <f>SUM(C34:W34)</f>
        <v>0</v>
      </c>
      <c r="C34" s="315"/>
      <c r="D34" s="315"/>
      <c r="E34" s="315"/>
      <c r="F34" s="315"/>
      <c r="G34" s="315"/>
      <c r="H34" s="315"/>
      <c r="I34" s="315"/>
      <c r="J34" s="315"/>
      <c r="K34" s="315"/>
      <c r="L34" s="315"/>
      <c r="M34" s="315"/>
      <c r="N34" s="315"/>
      <c r="O34" s="315"/>
      <c r="P34" s="315"/>
      <c r="Q34" s="315"/>
      <c r="R34" s="315"/>
      <c r="S34" s="315"/>
      <c r="T34" s="315"/>
      <c r="U34" s="315"/>
      <c r="V34" s="315"/>
      <c r="W34" s="340"/>
      <c r="X34" s="335"/>
      <c r="Y34" s="334"/>
      <c r="Z34"/>
      <c r="AA34"/>
    </row>
    <row r="35" spans="1:27" ht="15">
      <c r="A35" s="1614" t="s">
        <v>203</v>
      </c>
      <c r="B35" s="1615"/>
      <c r="C35" s="315"/>
      <c r="D35" s="315"/>
      <c r="E35" s="315"/>
      <c r="F35" s="315"/>
      <c r="G35" s="315"/>
      <c r="H35" s="315"/>
      <c r="I35" s="315"/>
      <c r="J35" s="315"/>
      <c r="K35" s="315"/>
      <c r="L35" s="315"/>
      <c r="M35" s="315"/>
      <c r="N35" s="315"/>
      <c r="O35" s="315"/>
      <c r="P35" s="315"/>
      <c r="Q35" s="315"/>
      <c r="R35" s="315"/>
      <c r="S35" s="315"/>
      <c r="T35" s="315"/>
      <c r="U35" s="315"/>
      <c r="V35" s="315"/>
      <c r="W35" s="340"/>
      <c r="X35" s="336"/>
      <c r="Y35" s="334"/>
      <c r="Z35"/>
      <c r="AA35"/>
    </row>
    <row r="36" spans="1:27" ht="15">
      <c r="A36" s="332" t="s">
        <v>204</v>
      </c>
      <c r="B36" s="333">
        <f ca="1">'Baker Tower Financial'!C100+'Baker Tower Financial'!C101</f>
        <v>110853290.0717822</v>
      </c>
      <c r="C36" s="340"/>
      <c r="D36" s="341"/>
      <c r="E36" s="341"/>
      <c r="F36" s="341"/>
      <c r="G36" s="341"/>
      <c r="H36" s="341"/>
      <c r="I36" s="341"/>
      <c r="J36" s="341"/>
      <c r="K36" s="341"/>
      <c r="L36" s="341"/>
      <c r="M36" s="341"/>
      <c r="N36" s="341"/>
      <c r="O36" s="341"/>
      <c r="P36" s="341"/>
      <c r="Q36" s="341"/>
      <c r="R36" s="341"/>
      <c r="S36" s="341"/>
      <c r="T36" s="341"/>
      <c r="U36" s="341"/>
      <c r="V36" s="341"/>
      <c r="W36" s="342"/>
      <c r="X36" s="343"/>
      <c r="Y36" s="344"/>
      <c r="Z36"/>
      <c r="AA36"/>
    </row>
    <row r="37" spans="1:27" ht="15">
      <c r="A37" s="332" t="s">
        <v>220</v>
      </c>
      <c r="B37" s="176">
        <f ca="1">SUM(C37:V37)</f>
        <v>44865684.725818783</v>
      </c>
      <c r="C37" s="345">
        <f t="shared" ref="C37:U37" ca="1" si="9">-C30</f>
        <v>-68503714.84389852</v>
      </c>
      <c r="D37" s="345">
        <f t="shared" ca="1" si="9"/>
        <v>2516109.4979351014</v>
      </c>
      <c r="E37" s="345">
        <f t="shared" ca="1" si="9"/>
        <v>0</v>
      </c>
      <c r="F37" s="345">
        <f t="shared" ca="1" si="9"/>
        <v>0</v>
      </c>
      <c r="G37" s="345">
        <f t="shared" ca="1" si="9"/>
        <v>0</v>
      </c>
      <c r="H37" s="345">
        <f t="shared" ca="1" si="9"/>
        <v>0</v>
      </c>
      <c r="I37" s="345">
        <f t="shared" ca="1" si="9"/>
        <v>0</v>
      </c>
      <c r="J37" s="345">
        <f t="shared" ca="1" si="9"/>
        <v>0</v>
      </c>
      <c r="K37" s="345">
        <f t="shared" ca="1" si="9"/>
        <v>0</v>
      </c>
      <c r="L37" s="345">
        <f t="shared" ca="1" si="9"/>
        <v>0</v>
      </c>
      <c r="M37" s="345">
        <f t="shared" ca="1" si="9"/>
        <v>0</v>
      </c>
      <c r="N37" s="345">
        <f t="shared" ca="1" si="9"/>
        <v>0</v>
      </c>
      <c r="O37" s="345">
        <f t="shared" ca="1" si="9"/>
        <v>0</v>
      </c>
      <c r="P37" s="345">
        <f t="shared" ca="1" si="9"/>
        <v>0</v>
      </c>
      <c r="Q37" s="345">
        <f t="shared" ca="1" si="9"/>
        <v>0</v>
      </c>
      <c r="R37" s="345">
        <f t="shared" ca="1" si="9"/>
        <v>0</v>
      </c>
      <c r="S37" s="345">
        <f t="shared" ca="1" si="9"/>
        <v>0</v>
      </c>
      <c r="T37" s="345">
        <f t="shared" ca="1" si="9"/>
        <v>0</v>
      </c>
      <c r="U37" s="345">
        <f t="shared" ca="1" si="9"/>
        <v>0</v>
      </c>
      <c r="V37" s="346">
        <f ca="1">B36</f>
        <v>110853290.0717822</v>
      </c>
      <c r="W37" s="110"/>
      <c r="X37" s="345"/>
      <c r="Y37" s="315"/>
      <c r="Z37"/>
      <c r="AA37"/>
    </row>
    <row r="38" spans="1:27" ht="15">
      <c r="A38" s="332" t="s">
        <v>206</v>
      </c>
      <c r="B38" s="174">
        <f ca="1">IF(B37&lt;0,0,IRR(C37:V37))</f>
        <v>2.7622852306924184E-2</v>
      </c>
      <c r="C38" s="348"/>
      <c r="D38" s="348"/>
      <c r="E38" s="348"/>
      <c r="F38" s="348"/>
      <c r="G38" s="348"/>
      <c r="H38" s="348"/>
      <c r="I38" s="348"/>
      <c r="J38" s="348"/>
      <c r="K38" s="348"/>
      <c r="L38" s="348"/>
      <c r="M38" s="348"/>
      <c r="N38" s="348"/>
      <c r="O38" s="348"/>
      <c r="P38" s="348"/>
      <c r="Q38" s="348"/>
      <c r="R38" s="348"/>
      <c r="S38" s="348"/>
      <c r="T38" s="348"/>
      <c r="U38" s="348"/>
      <c r="V38" s="348"/>
      <c r="W38" s="342"/>
      <c r="X38" s="348"/>
      <c r="Y38" s="349"/>
      <c r="Z38"/>
      <c r="AA38"/>
    </row>
    <row r="39" spans="1:27" ht="15">
      <c r="A39" s="322" t="s">
        <v>207</v>
      </c>
      <c r="B39" s="175">
        <f ca="1">POWER((1+B38),4)-1</f>
        <v>0.11515443062033337</v>
      </c>
      <c r="C39" s="342"/>
      <c r="D39" s="342"/>
      <c r="E39" s="351"/>
      <c r="F39" s="351"/>
      <c r="G39" s="351"/>
      <c r="H39" s="351"/>
      <c r="I39" s="351"/>
      <c r="J39" s="351"/>
      <c r="K39" s="351"/>
      <c r="L39" s="351"/>
      <c r="M39" s="351"/>
      <c r="N39" s="351"/>
      <c r="O39" s="351"/>
      <c r="P39" s="352"/>
      <c r="Q39" s="351"/>
      <c r="R39" s="351"/>
      <c r="S39" s="351"/>
      <c r="T39" s="351"/>
      <c r="U39" s="351"/>
      <c r="V39" s="352"/>
      <c r="W39" s="351"/>
      <c r="X39" s="351"/>
      <c r="Y39" s="353"/>
      <c r="Z39"/>
      <c r="AA39"/>
    </row>
    <row r="40" spans="1:27">
      <c r="A40" s="1591" t="s">
        <v>208</v>
      </c>
      <c r="B40" s="1614"/>
      <c r="C40" s="342"/>
      <c r="D40" s="342"/>
      <c r="E40" s="342"/>
      <c r="F40" s="342"/>
      <c r="G40" s="342"/>
      <c r="H40" s="342"/>
      <c r="I40" s="342"/>
      <c r="J40" s="342"/>
      <c r="K40" s="342"/>
      <c r="L40" s="342"/>
      <c r="M40" s="342"/>
      <c r="N40" s="342"/>
      <c r="O40" s="342"/>
      <c r="P40" s="342"/>
      <c r="Q40" s="342"/>
      <c r="R40" s="342"/>
      <c r="S40" s="342"/>
      <c r="T40" s="342"/>
      <c r="U40" s="342"/>
      <c r="V40" s="342"/>
      <c r="W40" s="342"/>
      <c r="X40" s="342"/>
      <c r="Y40" s="322"/>
    </row>
    <row r="41" spans="1:27">
      <c r="A41" s="332" t="s">
        <v>209</v>
      </c>
      <c r="B41" s="401">
        <f ca="1">'Baker Tower Financial'!C100+'Baker Tower Financial'!C89</f>
        <v>229958700</v>
      </c>
      <c r="C41" s="342"/>
      <c r="D41" s="342"/>
      <c r="E41" s="342"/>
      <c r="F41" s="342"/>
      <c r="G41" s="342"/>
      <c r="H41" s="342"/>
      <c r="I41" s="342"/>
      <c r="J41" s="342"/>
      <c r="K41" s="342"/>
      <c r="L41" s="342"/>
      <c r="M41" s="336"/>
      <c r="N41" s="342"/>
      <c r="O41" s="342"/>
      <c r="P41" s="342"/>
      <c r="Q41" s="342"/>
      <c r="R41" s="342"/>
      <c r="S41" s="336"/>
      <c r="T41" s="342"/>
      <c r="U41" s="342"/>
      <c r="V41" s="342"/>
      <c r="W41" s="342"/>
      <c r="X41" s="342"/>
      <c r="Y41" s="322"/>
    </row>
    <row r="42" spans="1:27">
      <c r="A42" s="332" t="s">
        <v>210</v>
      </c>
      <c r="B42" s="176">
        <f ca="1">SUM(C42:V42)</f>
        <v>50640634.725818753</v>
      </c>
      <c r="C42" s="315">
        <f t="shared" ref="C42:U42" ca="1" si="10">-C27</f>
        <v>-68503714.84389852</v>
      </c>
      <c r="D42" s="315">
        <f t="shared" ca="1" si="10"/>
        <v>0</v>
      </c>
      <c r="E42" s="315">
        <f t="shared" ca="1" si="10"/>
        <v>0</v>
      </c>
      <c r="F42" s="315">
        <f t="shared" ca="1" si="10"/>
        <v>0</v>
      </c>
      <c r="G42" s="315">
        <f t="shared" ca="1" si="10"/>
        <v>0</v>
      </c>
      <c r="H42" s="315">
        <f t="shared" ca="1" si="10"/>
        <v>0</v>
      </c>
      <c r="I42" s="315">
        <f t="shared" ca="1" si="10"/>
        <v>-5540717.5215141382</v>
      </c>
      <c r="J42" s="315">
        <f t="shared" ca="1" si="10"/>
        <v>-5540717.5215141382</v>
      </c>
      <c r="K42" s="315">
        <f t="shared" ca="1" si="10"/>
        <v>-5540717.5215141382</v>
      </c>
      <c r="L42" s="315">
        <f t="shared" ca="1" si="10"/>
        <v>-5540717.5215141382</v>
      </c>
      <c r="M42" s="315">
        <f t="shared" ca="1" si="10"/>
        <v>-13297722.051633928</v>
      </c>
      <c r="N42" s="315">
        <f t="shared" ca="1" si="10"/>
        <v>-13297722.051633928</v>
      </c>
      <c r="O42" s="315">
        <f t="shared" ca="1" si="10"/>
        <v>-13297722.051633928</v>
      </c>
      <c r="P42" s="315">
        <f t="shared" ca="1" si="10"/>
        <v>-13297722.051633928</v>
      </c>
      <c r="Q42" s="315">
        <f t="shared" ca="1" si="10"/>
        <v>-13297722.051633928</v>
      </c>
      <c r="R42" s="315">
        <f t="shared" ca="1" si="10"/>
        <v>-13297722.051633928</v>
      </c>
      <c r="S42" s="315">
        <f t="shared" ca="1" si="10"/>
        <v>-5540717.5215141382</v>
      </c>
      <c r="T42" s="315">
        <f t="shared" ca="1" si="10"/>
        <v>-3324430.512908482</v>
      </c>
      <c r="U42" s="315">
        <f t="shared" ca="1" si="10"/>
        <v>0</v>
      </c>
      <c r="V42" s="349">
        <f ca="1">-V27+B41</f>
        <v>229958700</v>
      </c>
      <c r="W42" s="402"/>
      <c r="X42" s="322"/>
      <c r="Y42" s="322"/>
    </row>
    <row r="43" spans="1:27">
      <c r="A43" s="332" t="s">
        <v>211</v>
      </c>
      <c r="B43" s="174">
        <f ca="1">IF(B42&lt;0,0,IRR(C42:V42))</f>
        <v>2.0781954555073812E-2</v>
      </c>
      <c r="C43" s="342"/>
      <c r="D43" s="342"/>
      <c r="E43" s="342"/>
      <c r="F43" s="342"/>
      <c r="G43" s="342"/>
      <c r="H43" s="342"/>
      <c r="I43" s="342"/>
      <c r="J43" s="342"/>
      <c r="K43" s="342"/>
      <c r="L43" s="342"/>
      <c r="M43" s="342"/>
      <c r="N43" s="342"/>
      <c r="O43" s="342"/>
      <c r="P43" s="342"/>
      <c r="Q43" s="342"/>
      <c r="R43" s="342"/>
      <c r="S43" s="342"/>
      <c r="T43" s="342"/>
      <c r="U43" s="342"/>
      <c r="V43" s="342"/>
      <c r="W43" s="342"/>
      <c r="X43" s="342"/>
      <c r="Y43" s="322"/>
    </row>
    <row r="44" spans="1:27">
      <c r="A44" s="322" t="s">
        <v>212</v>
      </c>
      <c r="B44" s="350">
        <f ca="1">POWER((1+B43),4)-1</f>
        <v>8.5755244602807368E-2</v>
      </c>
      <c r="C44" s="342"/>
      <c r="D44" s="342"/>
      <c r="E44" s="342"/>
      <c r="F44" s="342"/>
      <c r="G44" s="342"/>
      <c r="H44" s="342"/>
      <c r="I44" s="342"/>
      <c r="J44" s="342"/>
      <c r="K44" s="342"/>
      <c r="L44" s="342"/>
      <c r="M44" s="342"/>
      <c r="N44" s="342"/>
      <c r="O44" s="342"/>
      <c r="P44" s="342"/>
      <c r="Q44" s="342"/>
      <c r="R44" s="342"/>
      <c r="S44" s="342"/>
      <c r="T44" s="342"/>
      <c r="U44" s="342"/>
      <c r="V44" s="342"/>
      <c r="W44" s="342"/>
      <c r="X44" s="342"/>
      <c r="Y44" s="322"/>
    </row>
    <row r="45" spans="1:27">
      <c r="G45" s="7"/>
    </row>
    <row r="46" spans="1:27">
      <c r="G46" s="7"/>
    </row>
    <row r="47" spans="1:27">
      <c r="G47" s="7"/>
    </row>
    <row r="48" spans="1:27">
      <c r="G48" s="7"/>
    </row>
    <row r="49" spans="7:7">
      <c r="G49" s="7"/>
    </row>
    <row r="50" spans="7:7">
      <c r="G50" s="7"/>
    </row>
    <row r="51" spans="7:7">
      <c r="G51" s="7"/>
    </row>
    <row r="52" spans="7:7">
      <c r="G52" s="7"/>
    </row>
    <row r="53" spans="7:7">
      <c r="G53" s="7"/>
    </row>
    <row r="54" spans="7:7">
      <c r="G54" s="7"/>
    </row>
    <row r="55" spans="7:7">
      <c r="G55" s="7"/>
    </row>
    <row r="56" spans="7:7">
      <c r="G56" s="7"/>
    </row>
    <row r="57" spans="7:7">
      <c r="G57" s="7"/>
    </row>
    <row r="58" spans="7:7">
      <c r="G58" s="7"/>
    </row>
    <row r="59" spans="7:7">
      <c r="G59" s="7"/>
    </row>
    <row r="60" spans="7:7">
      <c r="G60" s="7"/>
    </row>
    <row r="61" spans="7:7">
      <c r="G61" s="7"/>
    </row>
    <row r="62" spans="7:7">
      <c r="G62" s="7"/>
    </row>
    <row r="63" spans="7:7">
      <c r="G63" s="7"/>
    </row>
    <row r="64" spans="7:7">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sheetData>
  <mergeCells count="4">
    <mergeCell ref="A1:A4"/>
    <mergeCell ref="W2:Y2"/>
    <mergeCell ref="A35:B35"/>
    <mergeCell ref="A40:B40"/>
  </mergeCells>
  <conditionalFormatting sqref="D4:V4">
    <cfRule type="cellIs" dxfId="51" priority="1" operator="equal">
      <formula>#REF!</formula>
    </cfRule>
    <cfRule type="cellIs" dxfId="50" priority="2" operator="equal">
      <formula>#REF!</formula>
    </cfRule>
    <cfRule type="cellIs" dxfId="49" priority="3" operator="equal">
      <formula>#REF!</formula>
    </cfRule>
    <cfRule type="cellIs" dxfId="48" priority="4" operator="equal">
      <formula>#REF!</formula>
    </cfRule>
  </conditionalFormatting>
  <conditionalFormatting sqref="W4:Y4">
    <cfRule type="cellIs" dxfId="47" priority="13" operator="equal">
      <formula>#REF!</formula>
    </cfRule>
    <cfRule type="cellIs" dxfId="46" priority="14" operator="equal">
      <formula>#REF!</formula>
    </cfRule>
    <cfRule type="cellIs" dxfId="45" priority="15" operator="equal">
      <formula>#REF!</formula>
    </cfRule>
    <cfRule type="cellIs" dxfId="44" priority="16"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CE2B2-F63D-4E20-9F69-425BD4EB3890}">
  <sheetPr>
    <tabColor theme="6" tint="-0.249977111117893"/>
    <pageSetUpPr fitToPage="1"/>
  </sheetPr>
  <dimension ref="B1:T127"/>
  <sheetViews>
    <sheetView showGridLines="0" topLeftCell="A74" zoomScaleNormal="100" zoomScaleSheetLayoutView="90" workbookViewId="0">
      <selection activeCell="L91" sqref="L91"/>
    </sheetView>
  </sheetViews>
  <sheetFormatPr defaultColWidth="8.85546875" defaultRowHeight="23.25" customHeight="1"/>
  <cols>
    <col min="1" max="1" width="3.5703125" style="7" customWidth="1"/>
    <col min="2" max="2" width="40.140625" style="7" bestFit="1" customWidth="1"/>
    <col min="3" max="3" width="26.5703125" style="7" customWidth="1"/>
    <col min="4" max="4" width="22.42578125" style="7" bestFit="1" customWidth="1"/>
    <col min="5" max="5" width="14.28515625" style="7" customWidth="1"/>
    <col min="6" max="6" width="20" style="7" customWidth="1"/>
    <col min="7" max="7" width="17.7109375" style="7" customWidth="1"/>
    <col min="8" max="8" width="24.7109375" style="7" customWidth="1"/>
    <col min="9" max="9" width="10.28515625" style="7" customWidth="1"/>
    <col min="10" max="10" width="8.42578125" style="7" customWidth="1"/>
    <col min="11" max="11" width="11" style="7" customWidth="1"/>
    <col min="12" max="12" width="18.7109375" style="7" customWidth="1"/>
    <col min="13" max="13" width="20.28515625" style="7" customWidth="1"/>
    <col min="14" max="16384" width="8.85546875" style="7"/>
  </cols>
  <sheetData>
    <row r="1" spans="2:20" ht="23.25" customHeight="1" thickBot="1"/>
    <row r="2" spans="2:20" ht="16.5" thickBot="1">
      <c r="B2" s="1586" t="s">
        <v>108</v>
      </c>
      <c r="C2" s="1587"/>
      <c r="D2" s="1587"/>
      <c r="E2" s="1578" t="str">
        <f>'Development Program'!B10</f>
        <v>Rainier Tower Apts</v>
      </c>
      <c r="F2" s="1579"/>
    </row>
    <row r="3" spans="2:20" ht="12.75">
      <c r="B3" s="961"/>
      <c r="C3" s="962"/>
      <c r="D3" s="962"/>
      <c r="E3" s="963">
        <v>0</v>
      </c>
      <c r="F3" s="964" t="s">
        <v>109</v>
      </c>
    </row>
    <row r="4" spans="2:20" ht="12.75">
      <c r="B4" s="10" t="s">
        <v>110</v>
      </c>
      <c r="C4" s="11" t="s">
        <v>111</v>
      </c>
      <c r="D4" s="11" t="s">
        <v>221</v>
      </c>
      <c r="E4" s="11" t="s">
        <v>222</v>
      </c>
      <c r="F4" s="12" t="s">
        <v>223</v>
      </c>
    </row>
    <row r="5" spans="2:20" ht="12.75">
      <c r="B5" s="480" t="s">
        <v>341</v>
      </c>
      <c r="C5" s="623"/>
      <c r="D5" s="624"/>
      <c r="E5" s="623"/>
      <c r="F5" s="625"/>
      <c r="G5" s="498"/>
      <c r="H5" s="461"/>
      <c r="I5" s="461"/>
      <c r="J5" s="461"/>
      <c r="K5" s="461"/>
      <c r="L5" s="460"/>
      <c r="M5" s="536"/>
      <c r="N5" s="536"/>
      <c r="O5" s="536"/>
      <c r="P5" s="536"/>
      <c r="Q5" s="546"/>
      <c r="R5" s="461"/>
      <c r="S5" s="536"/>
      <c r="T5" s="536"/>
    </row>
    <row r="6" spans="2:20" ht="12.75">
      <c r="B6" s="684">
        <f>C6/C10</f>
        <v>0.3160270880361174</v>
      </c>
      <c r="C6" s="1168">
        <v>140</v>
      </c>
      <c r="D6" s="1168">
        <v>500</v>
      </c>
      <c r="E6" s="221">
        <v>5</v>
      </c>
      <c r="F6" s="529">
        <f>12*C6*D6*E6</f>
        <v>4200000</v>
      </c>
      <c r="G6" s="547"/>
      <c r="H6" s="548"/>
      <c r="I6" s="525"/>
      <c r="J6" s="525"/>
      <c r="K6" s="549"/>
      <c r="N6" s="533"/>
      <c r="O6" s="534"/>
      <c r="P6" s="535"/>
      <c r="Q6" s="535"/>
      <c r="R6" s="535"/>
      <c r="S6" s="550"/>
      <c r="T6" s="536"/>
    </row>
    <row r="7" spans="2:20" ht="12.75">
      <c r="B7" s="685">
        <f>C7/C10</f>
        <v>0.48532731376975169</v>
      </c>
      <c r="C7" s="1168">
        <v>215</v>
      </c>
      <c r="D7" s="1168">
        <v>700</v>
      </c>
      <c r="E7" s="221">
        <v>4.6500000000000004</v>
      </c>
      <c r="F7" s="529">
        <f>12*C7*D7*E7</f>
        <v>8397900</v>
      </c>
      <c r="G7" s="547"/>
      <c r="H7" s="548"/>
      <c r="I7" s="525"/>
      <c r="J7" s="525"/>
      <c r="K7" s="549"/>
      <c r="N7" s="533"/>
      <c r="O7" s="534"/>
      <c r="P7" s="535"/>
      <c r="Q7" s="535"/>
      <c r="R7" s="535"/>
      <c r="S7" s="535"/>
      <c r="T7" s="526"/>
    </row>
    <row r="8" spans="2:20" ht="12.75">
      <c r="B8" s="686">
        <f>C8/C10</f>
        <v>0.12866817155756208</v>
      </c>
      <c r="C8" s="1168">
        <v>57</v>
      </c>
      <c r="D8" s="1168">
        <v>1000</v>
      </c>
      <c r="E8" s="221">
        <v>4.3499999999999996</v>
      </c>
      <c r="F8" s="529">
        <f>12*C8*D8*E8</f>
        <v>2975399.9999999995</v>
      </c>
      <c r="G8" s="547"/>
      <c r="H8" s="548"/>
      <c r="I8" s="525"/>
      <c r="J8" s="525"/>
      <c r="K8" s="549"/>
      <c r="N8" s="533"/>
      <c r="O8" s="534"/>
      <c r="P8" s="535"/>
      <c r="Q8" s="535"/>
      <c r="R8" s="535"/>
      <c r="S8" s="535"/>
      <c r="T8" s="526"/>
    </row>
    <row r="9" spans="2:20" ht="12.75">
      <c r="B9" s="687">
        <f>C9/C10</f>
        <v>6.9977426636568849E-2</v>
      </c>
      <c r="C9" s="1168">
        <v>31</v>
      </c>
      <c r="D9" s="1168">
        <v>1200</v>
      </c>
      <c r="E9" s="221">
        <v>4</v>
      </c>
      <c r="F9" s="529">
        <f>12*C9*D9*E9</f>
        <v>1785600</v>
      </c>
      <c r="G9" s="547"/>
      <c r="H9" s="548"/>
      <c r="I9" s="525"/>
      <c r="J9" s="525"/>
      <c r="K9" s="549"/>
      <c r="N9" s="533"/>
      <c r="O9" s="534"/>
      <c r="P9" s="535"/>
      <c r="Q9" s="535"/>
      <c r="R9" s="535"/>
      <c r="S9" s="535"/>
      <c r="T9" s="526"/>
    </row>
    <row r="10" spans="2:20" ht="12.75">
      <c r="B10" s="1173">
        <f>C10/C21</f>
        <v>0.7967625899280576</v>
      </c>
      <c r="C10" s="1169">
        <f>SUM(C6:C9)</f>
        <v>443</v>
      </c>
      <c r="D10" s="1169">
        <f>+SUMPRODUCT(D6:D9,C6:C9)/C10</f>
        <v>710.3837471783296</v>
      </c>
      <c r="E10" s="1170">
        <f>+SUM(F6:F9)/(D10*C10)/12</f>
        <v>4.5966793771846204</v>
      </c>
      <c r="F10" s="946">
        <f>SUM(F6:F9)</f>
        <v>17358900</v>
      </c>
      <c r="L10" s="501"/>
      <c r="M10" s="148"/>
      <c r="N10" s="533"/>
      <c r="O10" s="537"/>
      <c r="P10" s="538"/>
      <c r="Q10" s="551"/>
      <c r="R10" s="551"/>
      <c r="S10" s="538"/>
      <c r="T10" s="552"/>
    </row>
    <row r="11" spans="2:20" ht="12.75">
      <c r="B11" s="688" t="s">
        <v>316</v>
      </c>
      <c r="C11" s="1171"/>
      <c r="D11" s="1172"/>
      <c r="E11" s="1171"/>
      <c r="F11" s="625"/>
    </row>
    <row r="12" spans="2:20" ht="12.75">
      <c r="B12" s="1157">
        <f>C12/C21</f>
        <v>3.41726618705036E-2</v>
      </c>
      <c r="C12" s="1168">
        <v>19</v>
      </c>
      <c r="D12" s="1168">
        <f>D6</f>
        <v>500</v>
      </c>
      <c r="E12" s="221">
        <f>720/D12</f>
        <v>1.44</v>
      </c>
      <c r="F12" s="529">
        <f>12*C12*D12*E12</f>
        <v>164160</v>
      </c>
    </row>
    <row r="13" spans="2:20" ht="12.75">
      <c r="B13" s="1158">
        <f>C13/C21</f>
        <v>3.41726618705036E-2</v>
      </c>
      <c r="C13" s="1168">
        <v>19</v>
      </c>
      <c r="D13" s="1168">
        <f>D6</f>
        <v>500</v>
      </c>
      <c r="E13" s="221">
        <f>1198/D13</f>
        <v>2.3959999999999999</v>
      </c>
      <c r="F13" s="529">
        <f t="shared" ref="F13:F19" si="0">12*C13*D13*E13</f>
        <v>273144</v>
      </c>
    </row>
    <row r="14" spans="2:20" ht="12.75">
      <c r="B14" s="1159">
        <f>C14/C21</f>
        <v>4.8561151079136694E-2</v>
      </c>
      <c r="C14" s="1168">
        <v>27</v>
      </c>
      <c r="D14" s="1168">
        <f>D7</f>
        <v>700</v>
      </c>
      <c r="E14" s="221">
        <f>771/D14</f>
        <v>1.1014285714285714</v>
      </c>
      <c r="F14" s="529">
        <f t="shared" si="0"/>
        <v>249804</v>
      </c>
    </row>
    <row r="15" spans="2:20" ht="12.75">
      <c r="B15" s="1160">
        <f>C15/C21</f>
        <v>4.8561151079136694E-2</v>
      </c>
      <c r="C15" s="1168">
        <v>27</v>
      </c>
      <c r="D15" s="1168">
        <f>D7</f>
        <v>700</v>
      </c>
      <c r="E15" s="221">
        <f>1284/D15</f>
        <v>1.8342857142857143</v>
      </c>
      <c r="F15" s="529">
        <f t="shared" si="0"/>
        <v>416016</v>
      </c>
    </row>
    <row r="16" spans="2:20" ht="12.75">
      <c r="B16" s="1161">
        <f>C16/C21</f>
        <v>1.2589928057553957E-2</v>
      </c>
      <c r="C16" s="1168">
        <v>7</v>
      </c>
      <c r="D16" s="1168">
        <f>D8</f>
        <v>1000</v>
      </c>
      <c r="E16" s="221">
        <v>2.85</v>
      </c>
      <c r="F16" s="529">
        <f t="shared" si="0"/>
        <v>239400</v>
      </c>
    </row>
    <row r="17" spans="2:12" ht="12.75">
      <c r="B17" s="1162">
        <f>C17/C21</f>
        <v>1.2589928057553957E-2</v>
      </c>
      <c r="C17" s="1168">
        <v>7</v>
      </c>
      <c r="D17" s="1168">
        <f>D8</f>
        <v>1000</v>
      </c>
      <c r="E17" s="221">
        <f>1541/D17</f>
        <v>1.5409999999999999</v>
      </c>
      <c r="F17" s="529">
        <f t="shared" si="0"/>
        <v>129444</v>
      </c>
    </row>
    <row r="18" spans="2:12" ht="12.75">
      <c r="B18" s="1163">
        <f>C18/C21</f>
        <v>5.3956834532374104E-3</v>
      </c>
      <c r="C18" s="1168">
        <v>3</v>
      </c>
      <c r="D18" s="1168">
        <f>D9</f>
        <v>1200</v>
      </c>
      <c r="E18" s="221">
        <f>1069/D18</f>
        <v>0.89083333333333337</v>
      </c>
      <c r="F18" s="529">
        <f t="shared" si="0"/>
        <v>38484</v>
      </c>
    </row>
    <row r="19" spans="2:12" ht="12.75">
      <c r="B19" s="1164">
        <f>C19/C21</f>
        <v>7.1942446043165471E-3</v>
      </c>
      <c r="C19" s="1168">
        <v>4</v>
      </c>
      <c r="D19" s="1168">
        <f>D9</f>
        <v>1200</v>
      </c>
      <c r="E19" s="221">
        <f>1781/D19</f>
        <v>1.4841666666666666</v>
      </c>
      <c r="F19" s="529">
        <f t="shared" si="0"/>
        <v>85488</v>
      </c>
      <c r="I19" s="525"/>
      <c r="J19" s="526"/>
      <c r="K19" s="525"/>
      <c r="L19" s="526"/>
    </row>
    <row r="20" spans="2:12" ht="13.5" thickBot="1">
      <c r="B20" s="1165">
        <f>C20/C21</f>
        <v>0.20323741007194246</v>
      </c>
      <c r="C20" s="689">
        <f>SUM(C12:C19)</f>
        <v>113</v>
      </c>
      <c r="D20" s="689">
        <f>SUMPRODUCT(D12:D19,C12:C19)/C20</f>
        <v>700.88495575221236</v>
      </c>
      <c r="E20" s="482">
        <f>+SUM(F12:F19)/(D20*C20)/12</f>
        <v>1.6792297979797981</v>
      </c>
      <c r="F20" s="948">
        <f>SUM(F12:F19)</f>
        <v>1595940</v>
      </c>
      <c r="G20" s="484"/>
      <c r="I20" s="525"/>
      <c r="J20" s="526"/>
      <c r="K20" s="525"/>
      <c r="L20" s="526"/>
    </row>
    <row r="21" spans="2:12" ht="14.25" thickTop="1" thickBot="1">
      <c r="B21" s="13" t="s">
        <v>317</v>
      </c>
      <c r="C21" s="14">
        <f>+C10+C20</f>
        <v>556</v>
      </c>
      <c r="D21" s="15">
        <f>C6*D6+C7*D7+C8*D8+C9*D9+C19*D19+C12*D12+C14*D14+C17*D17</f>
        <v>354900</v>
      </c>
      <c r="E21" s="594"/>
      <c r="F21" s="728">
        <f>F20+F10</f>
        <v>18954840</v>
      </c>
      <c r="I21" s="525"/>
      <c r="J21" s="526"/>
      <c r="K21" s="525"/>
      <c r="L21" s="526"/>
    </row>
    <row r="22" spans="2:12" ht="14.25" thickTop="1" thickBot="1">
      <c r="B22" s="17" t="s">
        <v>116</v>
      </c>
      <c r="C22" s="585"/>
      <c r="D22" s="19">
        <f>D20</f>
        <v>700.88495575221236</v>
      </c>
      <c r="E22" s="20">
        <f>F21/D21/12</f>
        <v>4.4507466892082279</v>
      </c>
      <c r="F22" s="584"/>
      <c r="I22" s="525"/>
      <c r="J22" s="526"/>
      <c r="K22" s="525"/>
      <c r="L22" s="526"/>
    </row>
    <row r="23" spans="2:12" ht="13.5" thickBot="1">
      <c r="J23" s="484"/>
      <c r="L23" s="484"/>
    </row>
    <row r="24" spans="2:12" ht="12.75">
      <c r="B24" s="903" t="s">
        <v>117</v>
      </c>
      <c r="C24" s="904" t="s">
        <v>118</v>
      </c>
      <c r="D24" s="904" t="s">
        <v>119</v>
      </c>
      <c r="E24" s="905" t="s">
        <v>113</v>
      </c>
    </row>
    <row r="25" spans="2:12" ht="13.5" thickBot="1">
      <c r="B25" s="227" t="s">
        <v>327</v>
      </c>
      <c r="C25" s="950">
        <f>61453+50000</f>
        <v>111453</v>
      </c>
      <c r="D25" s="476">
        <f>Assumptions!I12</f>
        <v>37</v>
      </c>
      <c r="E25" s="742">
        <f>C25*D25</f>
        <v>4123761</v>
      </c>
    </row>
    <row r="26" spans="2:12" ht="14.25" thickTop="1" thickBot="1">
      <c r="B26" s="33" t="s">
        <v>120</v>
      </c>
      <c r="C26" s="553">
        <f>SUM(C25:C25)</f>
        <v>111453</v>
      </c>
      <c r="D26" s="743">
        <f>IF(C26=0,0,E26/C26)</f>
        <v>37</v>
      </c>
      <c r="E26" s="729">
        <f>SUM(E25:E25)</f>
        <v>4123761</v>
      </c>
    </row>
    <row r="27" spans="2:12" ht="13.5" thickBot="1">
      <c r="B27" s="35"/>
      <c r="C27" s="723"/>
      <c r="D27" s="949"/>
      <c r="E27" s="37"/>
      <c r="G27" s="1026"/>
      <c r="H27" s="484"/>
    </row>
    <row r="28" spans="2:12" ht="12.75">
      <c r="B28" s="951" t="s">
        <v>121</v>
      </c>
      <c r="C28" s="1055"/>
      <c r="D28" s="1547" t="s">
        <v>439</v>
      </c>
      <c r="E28" s="1548"/>
      <c r="H28" s="484"/>
    </row>
    <row r="29" spans="2:12" ht="12.75">
      <c r="B29" s="197" t="s">
        <v>122</v>
      </c>
      <c r="C29" s="1073">
        <f>C21/2</f>
        <v>278</v>
      </c>
      <c r="D29" s="1550"/>
      <c r="E29" s="1551"/>
      <c r="H29" s="484"/>
    </row>
    <row r="30" spans="2:12" ht="13.5" thickBot="1">
      <c r="B30" s="200" t="s">
        <v>123</v>
      </c>
      <c r="C30" s="1074">
        <f>C26/1000</f>
        <v>111.453</v>
      </c>
      <c r="D30" s="1550"/>
      <c r="E30" s="1551"/>
      <c r="H30" s="484"/>
    </row>
    <row r="31" spans="2:12" ht="14.25" thickTop="1" thickBot="1">
      <c r="B31" s="833" t="s">
        <v>124</v>
      </c>
      <c r="C31" s="1075">
        <f>C29+C30</f>
        <v>389.45299999999997</v>
      </c>
      <c r="D31" s="1553"/>
      <c r="E31" s="1554"/>
      <c r="H31" s="484"/>
    </row>
    <row r="32" spans="2:12" ht="13.5" thickBot="1">
      <c r="B32" s="200" t="s">
        <v>440</v>
      </c>
      <c r="C32" s="1076">
        <v>100</v>
      </c>
      <c r="D32" s="1016"/>
      <c r="E32" s="1016"/>
      <c r="H32" s="484"/>
    </row>
    <row r="33" spans="2:8" ht="14.25" thickTop="1" thickBot="1">
      <c r="B33" s="33" t="s">
        <v>124</v>
      </c>
      <c r="C33" s="835">
        <f>C31+C32</f>
        <v>489.45299999999997</v>
      </c>
      <c r="D33" s="1016"/>
      <c r="E33" s="1016"/>
      <c r="H33" s="484"/>
    </row>
    <row r="34" spans="2:8" ht="13.5" thickBot="1">
      <c r="B34" s="35"/>
      <c r="C34" s="771"/>
      <c r="D34" s="31"/>
      <c r="E34" s="32"/>
    </row>
    <row r="35" spans="2:8" ht="12.75">
      <c r="B35" s="951" t="s">
        <v>125</v>
      </c>
      <c r="C35" s="952" t="str">
        <f>E2</f>
        <v>Rainier Tower Apts</v>
      </c>
      <c r="D35" s="35"/>
      <c r="E35" s="771"/>
      <c r="F35" s="35"/>
    </row>
    <row r="36" spans="2:8" ht="12.75">
      <c r="B36" s="838" t="s">
        <v>126</v>
      </c>
      <c r="C36" s="810">
        <v>59242</v>
      </c>
      <c r="D36" s="36"/>
      <c r="E36" s="37"/>
      <c r="F36" s="35"/>
    </row>
    <row r="37" spans="2:8" ht="12.75">
      <c r="B37" s="234" t="s">
        <v>127</v>
      </c>
      <c r="C37" s="810">
        <f>D21+C26</f>
        <v>466353</v>
      </c>
      <c r="D37" s="36"/>
      <c r="E37" s="37"/>
      <c r="F37" s="35"/>
      <c r="H37" s="737"/>
    </row>
    <row r="38" spans="2:8" ht="12.75">
      <c r="B38" s="236">
        <v>400</v>
      </c>
      <c r="C38" s="810">
        <f>C31*B38</f>
        <v>155781.19999999998</v>
      </c>
      <c r="D38" s="36"/>
      <c r="E38" s="37"/>
      <c r="F38" s="35"/>
    </row>
    <row r="39" spans="2:8" ht="12.75">
      <c r="B39" s="359">
        <v>0.2</v>
      </c>
      <c r="C39" s="810">
        <f>(1+B39)*(C37+C38)</f>
        <v>746561.03999999992</v>
      </c>
      <c r="D39" s="36"/>
      <c r="E39" s="37"/>
      <c r="F39" s="35"/>
    </row>
    <row r="40" spans="2:8" ht="13.5" thickBot="1">
      <c r="B40" s="360">
        <v>10</v>
      </c>
      <c r="C40" s="811">
        <f>C39/B40</f>
        <v>74656.103999999992</v>
      </c>
      <c r="D40" s="36"/>
      <c r="E40" s="37"/>
      <c r="F40" s="35"/>
    </row>
    <row r="41" spans="2:8" ht="13.5" thickBot="1">
      <c r="B41" s="722"/>
      <c r="C41" s="721"/>
      <c r="D41" s="36"/>
      <c r="E41" s="37"/>
      <c r="F41" s="35"/>
    </row>
    <row r="42" spans="2:8" ht="13.5" thickBot="1">
      <c r="B42" s="1607" t="s">
        <v>128</v>
      </c>
      <c r="C42" s="1608"/>
      <c r="D42" s="1606" t="str">
        <f>D59</f>
        <v>Rainier Tower Apts</v>
      </c>
      <c r="E42" s="1565"/>
      <c r="F42" s="35"/>
    </row>
    <row r="43" spans="2:8" ht="13.5" thickBot="1">
      <c r="B43" s="918" t="s">
        <v>129</v>
      </c>
      <c r="C43" s="919" t="s">
        <v>130</v>
      </c>
      <c r="D43" s="919" t="s">
        <v>131</v>
      </c>
      <c r="E43" s="920" t="s">
        <v>170</v>
      </c>
      <c r="F43" s="35"/>
    </row>
    <row r="44" spans="2:8" ht="12.75">
      <c r="B44" s="241" t="s">
        <v>133</v>
      </c>
      <c r="C44" s="242">
        <f>E44/C21</f>
        <v>34091.438848920865</v>
      </c>
      <c r="D44" s="243">
        <f>E44/C37</f>
        <v>40.64483342017742</v>
      </c>
      <c r="E44" s="695">
        <f>F21</f>
        <v>18954840</v>
      </c>
      <c r="F44" s="35"/>
    </row>
    <row r="45" spans="2:8" ht="13.5" thickBot="1">
      <c r="B45" s="775">
        <f>C26</f>
        <v>111453</v>
      </c>
      <c r="C45" s="1200"/>
      <c r="D45" s="1200"/>
      <c r="E45" s="1201">
        <f>E26</f>
        <v>4123761</v>
      </c>
      <c r="F45" s="35"/>
    </row>
    <row r="46" spans="2:8" ht="14.25" thickTop="1" thickBot="1">
      <c r="B46" s="915">
        <f>Assumptions!I14</f>
        <v>0.05</v>
      </c>
      <c r="C46" s="1604"/>
      <c r="D46" s="1605"/>
      <c r="E46" s="718">
        <f>-B46*(E44+E45)</f>
        <v>-1153930.05</v>
      </c>
    </row>
    <row r="47" spans="2:8" ht="13.5" thickTop="1">
      <c r="B47" s="645"/>
      <c r="C47" s="1654" t="s">
        <v>135</v>
      </c>
      <c r="D47" s="1654"/>
      <c r="E47" s="646">
        <f>SUM(E44:E46)</f>
        <v>21924670.949999999</v>
      </c>
      <c r="F47" s="35"/>
    </row>
    <row r="48" spans="2:8" ht="12.75">
      <c r="B48" s="634" t="s">
        <v>136</v>
      </c>
      <c r="C48" s="246" t="s">
        <v>344</v>
      </c>
      <c r="D48" s="246" t="s">
        <v>137</v>
      </c>
      <c r="E48" s="646"/>
    </row>
    <row r="49" spans="2:6" ht="12.75">
      <c r="B49" s="645" t="s">
        <v>349</v>
      </c>
      <c r="C49" s="248">
        <f>Assumptions!L32</f>
        <v>325</v>
      </c>
      <c r="D49" s="249">
        <f>E49/D21</f>
        <v>3.0549450549450547</v>
      </c>
      <c r="E49" s="602">
        <f>C49*C29*12</f>
        <v>1084200</v>
      </c>
    </row>
    <row r="50" spans="2:6" ht="12.75">
      <c r="B50" s="645" t="s">
        <v>403</v>
      </c>
      <c r="C50" s="248">
        <f>Assumptions!L33</f>
        <v>350</v>
      </c>
      <c r="D50" s="249">
        <f>E50/C25</f>
        <v>4.2</v>
      </c>
      <c r="E50" s="602">
        <f>C50*C30*12</f>
        <v>468102.60000000003</v>
      </c>
    </row>
    <row r="51" spans="2:6" ht="12.75">
      <c r="B51" s="645" t="s">
        <v>441</v>
      </c>
      <c r="C51" s="248">
        <f>Assumptions!L35</f>
        <v>25</v>
      </c>
      <c r="D51" s="249">
        <f>E51/C37</f>
        <v>1.9566723061715052</v>
      </c>
      <c r="E51" s="602">
        <f>C51*365*C32</f>
        <v>912500</v>
      </c>
      <c r="F51" s="60"/>
    </row>
    <row r="52" spans="2:6" ht="12.75">
      <c r="B52" s="633" t="s">
        <v>503</v>
      </c>
      <c r="C52" s="248"/>
      <c r="D52" s="249">
        <f>E52/C37</f>
        <v>2.3506518613582417</v>
      </c>
      <c r="E52" s="632">
        <f>Assumptions!I15*'Rainier Tower Financial '!E47</f>
        <v>1096233.5475000001</v>
      </c>
    </row>
    <row r="53" spans="2:6" ht="13.5" thickBot="1">
      <c r="B53" s="40" t="s">
        <v>139</v>
      </c>
      <c r="C53" s="719"/>
      <c r="D53" s="840"/>
      <c r="E53" s="720">
        <f>SUM(E49:E52)</f>
        <v>3561036.1475</v>
      </c>
    </row>
    <row r="54" spans="2:6" ht="14.25" thickTop="1" thickBot="1">
      <c r="B54" s="250" t="s">
        <v>140</v>
      </c>
      <c r="C54" s="44">
        <f>E54/C21</f>
        <v>45837.602693345325</v>
      </c>
      <c r="D54" s="816">
        <f>E54/C37</f>
        <v>54.648961403700632</v>
      </c>
      <c r="E54" s="815">
        <f>E47+E53</f>
        <v>25485707.0975</v>
      </c>
    </row>
    <row r="55" spans="2:6" ht="12.75">
      <c r="B55" s="10" t="s">
        <v>141</v>
      </c>
      <c r="C55" s="11" t="s">
        <v>130</v>
      </c>
      <c r="D55" s="11" t="s">
        <v>142</v>
      </c>
      <c r="E55" s="46" t="s">
        <v>170</v>
      </c>
      <c r="F55" s="960"/>
    </row>
    <row r="56" spans="2:6" ht="13.5" thickBot="1">
      <c r="B56" s="1323">
        <f>IF(Assumptions!I20=1,Assumptions!I19,Assumptions!I18)</f>
        <v>0.45</v>
      </c>
      <c r="C56" s="48">
        <f>E56/C21</f>
        <v>-17336.041672661875</v>
      </c>
      <c r="D56" s="48">
        <f>E56/C37</f>
        <v>-20.668547580909745</v>
      </c>
      <c r="E56" s="637">
        <f>-B56*(E44+E49+E50+E51)</f>
        <v>-9638839.1700000018</v>
      </c>
      <c r="F56" s="965"/>
    </row>
    <row r="57" spans="2:6" ht="13.5" thickBot="1">
      <c r="B57" s="921" t="s">
        <v>144</v>
      </c>
      <c r="C57" s="922">
        <f>E57/C21</f>
        <v>28501.56102068345</v>
      </c>
      <c r="D57" s="923"/>
      <c r="E57" s="924">
        <f>E54+E56</f>
        <v>15846867.927499998</v>
      </c>
      <c r="F57" s="960"/>
    </row>
    <row r="58" spans="2:6" ht="13.5" thickBot="1">
      <c r="B58" s="667" t="s">
        <v>145</v>
      </c>
      <c r="C58" s="818" t="s">
        <v>338</v>
      </c>
      <c r="D58" s="50">
        <f>Assumptions!L7</f>
        <v>0.05</v>
      </c>
      <c r="E58" s="587">
        <f>E57/D58</f>
        <v>316937358.54999995</v>
      </c>
    </row>
    <row r="59" spans="2:6" ht="13.5" thickBot="1">
      <c r="B59" s="1650" t="s">
        <v>147</v>
      </c>
      <c r="C59" s="1651"/>
      <c r="D59" s="1652" t="str">
        <f>'Development Program'!B30</f>
        <v>Rainier Tower Apts</v>
      </c>
      <c r="E59" s="1653"/>
      <c r="F59" s="960"/>
    </row>
    <row r="60" spans="2:6" ht="13.5" thickBot="1">
      <c r="B60" s="967"/>
      <c r="C60" s="968" t="s">
        <v>148</v>
      </c>
      <c r="D60" s="968" t="s">
        <v>149</v>
      </c>
      <c r="E60" s="969" t="s">
        <v>130</v>
      </c>
    </row>
    <row r="61" spans="2:6" ht="12.75">
      <c r="B61" s="458" t="s">
        <v>538</v>
      </c>
      <c r="C61" s="966">
        <f>Assumptions!I27</f>
        <v>245</v>
      </c>
      <c r="D61" s="638">
        <f>C61*D21</f>
        <v>86950500</v>
      </c>
      <c r="E61" s="970">
        <f>D61/$C$21</f>
        <v>156385.79136690649</v>
      </c>
      <c r="F61" s="72"/>
    </row>
    <row r="62" spans="2:6" ht="12.75">
      <c r="B62" s="458" t="s">
        <v>539</v>
      </c>
      <c r="C62" s="966">
        <v>150</v>
      </c>
      <c r="D62" s="638">
        <f>C62*C25</f>
        <v>16717950</v>
      </c>
      <c r="E62" s="971">
        <f t="shared" ref="E62:E82" si="1">D62/$C$21</f>
        <v>30068.255395683453</v>
      </c>
      <c r="F62" s="72"/>
    </row>
    <row r="63" spans="2:6" ht="12.75">
      <c r="B63" s="458" t="s">
        <v>475</v>
      </c>
      <c r="C63" s="513">
        <f>Assumptions!L29</f>
        <v>30000</v>
      </c>
      <c r="D63" s="263">
        <f>C33*C63</f>
        <v>14683590</v>
      </c>
      <c r="E63" s="971">
        <f t="shared" si="1"/>
        <v>26409.334532374101</v>
      </c>
    </row>
    <row r="64" spans="2:6" ht="12.75">
      <c r="B64" s="458" t="s">
        <v>19</v>
      </c>
      <c r="C64" s="514">
        <v>0.08</v>
      </c>
      <c r="D64" s="638">
        <f>C64*D61</f>
        <v>6956040</v>
      </c>
      <c r="E64" s="971">
        <f t="shared" si="1"/>
        <v>12510.863309352519</v>
      </c>
      <c r="F64" s="60"/>
    </row>
    <row r="65" spans="2:8" ht="12.75">
      <c r="B65" s="458" t="s">
        <v>5</v>
      </c>
      <c r="C65" s="639">
        <v>14</v>
      </c>
      <c r="D65" s="263">
        <f>C65*240000</f>
        <v>3360000</v>
      </c>
      <c r="E65" s="971">
        <f t="shared" si="1"/>
        <v>6043.1654676258995</v>
      </c>
      <c r="F65" s="60"/>
    </row>
    <row r="66" spans="2:8" ht="12.75">
      <c r="B66" s="458" t="s">
        <v>152</v>
      </c>
      <c r="C66" s="641" t="s">
        <v>213</v>
      </c>
      <c r="D66" s="638">
        <v>55000000</v>
      </c>
      <c r="E66" s="971">
        <f t="shared" si="1"/>
        <v>98920.863309352513</v>
      </c>
      <c r="F66" s="60"/>
    </row>
    <row r="67" spans="2:8" ht="12.75">
      <c r="B67" s="458" t="s">
        <v>20</v>
      </c>
      <c r="C67" s="1362">
        <v>1500</v>
      </c>
      <c r="D67" s="638">
        <f>C67*C21</f>
        <v>834000</v>
      </c>
      <c r="E67" s="971">
        <f t="shared" si="1"/>
        <v>1500</v>
      </c>
      <c r="F67" s="72"/>
    </row>
    <row r="68" spans="2:8" ht="12.75">
      <c r="B68" s="458" t="s">
        <v>154</v>
      </c>
      <c r="C68" s="519" t="s">
        <v>155</v>
      </c>
      <c r="D68" s="638">
        <f>'Development Program'!G20</f>
        <v>4000000</v>
      </c>
      <c r="E68" s="971">
        <f t="shared" si="1"/>
        <v>7194.2446043165464</v>
      </c>
      <c r="F68" s="60"/>
    </row>
    <row r="69" spans="2:8" ht="12.75">
      <c r="B69" s="712" t="s">
        <v>23</v>
      </c>
      <c r="C69" s="642" t="s">
        <v>24</v>
      </c>
      <c r="D69" s="263">
        <v>600000</v>
      </c>
      <c r="E69" s="971">
        <f t="shared" si="1"/>
        <v>1079.1366906474821</v>
      </c>
      <c r="F69" s="60"/>
    </row>
    <row r="70" spans="2:8" ht="12.75">
      <c r="B70" s="712" t="s">
        <v>25</v>
      </c>
      <c r="C70" s="520">
        <v>0.01</v>
      </c>
      <c r="D70" s="263">
        <f>C70*D66</f>
        <v>550000</v>
      </c>
      <c r="E70" s="971">
        <f t="shared" si="1"/>
        <v>989.20863309352524</v>
      </c>
      <c r="F70" s="60"/>
    </row>
    <row r="71" spans="2:8" ht="12.75">
      <c r="B71" s="712" t="s">
        <v>26</v>
      </c>
      <c r="C71" s="515">
        <v>0.03</v>
      </c>
      <c r="D71" s="263">
        <f>C71*(D61+D64)</f>
        <v>2817196.1999999997</v>
      </c>
      <c r="E71" s="971">
        <f t="shared" si="1"/>
        <v>5066.8996402877692</v>
      </c>
      <c r="F71" s="60"/>
    </row>
    <row r="72" spans="2:8" ht="12.75">
      <c r="B72" s="712" t="s">
        <v>27</v>
      </c>
      <c r="C72" s="521">
        <v>0.03</v>
      </c>
      <c r="D72" s="263">
        <f>C72*SUM(D61:D71)</f>
        <v>5774078.2859999994</v>
      </c>
      <c r="E72" s="971">
        <f t="shared" si="1"/>
        <v>10385.032888489208</v>
      </c>
      <c r="F72" s="60"/>
    </row>
    <row r="73" spans="2:8" ht="12.75">
      <c r="B73" s="712" t="s">
        <v>28</v>
      </c>
      <c r="C73" s="515">
        <v>0.02</v>
      </c>
      <c r="D73" s="263">
        <f>C73*(D61+D64+D65)</f>
        <v>1945330.8</v>
      </c>
      <c r="E73" s="971">
        <f t="shared" si="1"/>
        <v>3498.7964028776978</v>
      </c>
      <c r="F73" s="60"/>
    </row>
    <row r="74" spans="2:8" ht="12.75">
      <c r="B74" s="712" t="s">
        <v>398</v>
      </c>
      <c r="C74" s="1180">
        <v>9.0500000000000008E-3</v>
      </c>
      <c r="D74" s="263">
        <f>C74*D66*2</f>
        <v>995500.00000000012</v>
      </c>
      <c r="E74" s="971">
        <f t="shared" si="1"/>
        <v>1790.4676258992808</v>
      </c>
      <c r="F74" s="60"/>
    </row>
    <row r="75" spans="2:8" ht="12.75">
      <c r="B75" s="712" t="s">
        <v>30</v>
      </c>
      <c r="C75" s="639">
        <v>1</v>
      </c>
      <c r="D75" s="263">
        <f>C75*C37</f>
        <v>466353</v>
      </c>
      <c r="E75" s="971">
        <f t="shared" si="1"/>
        <v>838.76438848920861</v>
      </c>
      <c r="F75" s="60"/>
    </row>
    <row r="76" spans="2:8" ht="12.75">
      <c r="B76" s="712" t="s">
        <v>31</v>
      </c>
      <c r="C76" s="639">
        <v>1</v>
      </c>
      <c r="D76" s="263">
        <f>C76*C37</f>
        <v>466353</v>
      </c>
      <c r="E76" s="971">
        <f t="shared" si="1"/>
        <v>838.76438848920861</v>
      </c>
      <c r="F76" s="60"/>
    </row>
    <row r="77" spans="2:8" ht="12.75">
      <c r="B77" s="712" t="s">
        <v>227</v>
      </c>
      <c r="C77" s="1189">
        <v>0.15</v>
      </c>
      <c r="D77" s="263">
        <f ca="1">C77*D81</f>
        <v>1560388.2102122554</v>
      </c>
      <c r="E77" s="971">
        <f t="shared" ca="1" si="1"/>
        <v>2806.4536154896678</v>
      </c>
      <c r="F77" s="60"/>
    </row>
    <row r="78" spans="2:8" ht="12.75">
      <c r="B78" s="712" t="s">
        <v>157</v>
      </c>
      <c r="C78" s="1072">
        <v>75</v>
      </c>
      <c r="D78" s="263">
        <f>C78*C26</f>
        <v>8358975</v>
      </c>
      <c r="E78" s="971">
        <f t="shared" si="1"/>
        <v>15034.127697841726</v>
      </c>
    </row>
    <row r="79" spans="2:8" ht="12.75">
      <c r="B79" s="712" t="s">
        <v>158</v>
      </c>
      <c r="C79" s="1031">
        <v>0.06</v>
      </c>
      <c r="D79" s="263">
        <f>C79*10*E45</f>
        <v>2474256.6</v>
      </c>
      <c r="E79" s="971">
        <f t="shared" si="1"/>
        <v>4450.1017985611516</v>
      </c>
    </row>
    <row r="80" spans="2:8" ht="12.75">
      <c r="B80" s="712" t="s">
        <v>35</v>
      </c>
      <c r="C80" s="523">
        <v>1.4999999999999999E-2</v>
      </c>
      <c r="D80" s="263">
        <f ca="1">C80*C93</f>
        <v>2229126.0145889362</v>
      </c>
      <c r="E80" s="971">
        <f t="shared" ca="1" si="1"/>
        <v>4009.2194506995256</v>
      </c>
      <c r="F80" s="60" t="s">
        <v>388</v>
      </c>
      <c r="H80" s="60"/>
    </row>
    <row r="81" spans="2:8" ht="12.75">
      <c r="B81" s="713" t="s">
        <v>36</v>
      </c>
      <c r="C81" s="640">
        <v>7.0000000000000007E-2</v>
      </c>
      <c r="D81" s="263">
        <f ca="1">C81*C93</f>
        <v>10402588.068081703</v>
      </c>
      <c r="E81" s="971">
        <f t="shared" ca="1" si="1"/>
        <v>18709.69076993112</v>
      </c>
      <c r="F81" s="60" t="s">
        <v>388</v>
      </c>
      <c r="H81" s="72"/>
    </row>
    <row r="82" spans="2:8" ht="13.5" thickBot="1">
      <c r="B82" s="714" t="s">
        <v>159</v>
      </c>
      <c r="C82" s="1034">
        <v>0.01</v>
      </c>
      <c r="D82" s="751">
        <f ca="1">C82*C93</f>
        <v>1486084.0097259576</v>
      </c>
      <c r="E82" s="475">
        <f t="shared" ca="1" si="1"/>
        <v>2672.8129671330175</v>
      </c>
      <c r="F82" s="60"/>
    </row>
    <row r="83" spans="2:8" ht="15" customHeight="1" thickTop="1" thickBot="1">
      <c r="B83" s="748" t="s">
        <v>160</v>
      </c>
      <c r="C83" s="749"/>
      <c r="D83" s="44">
        <f ca="1">SUM(D61:D82)</f>
        <v>228628309.18860886</v>
      </c>
      <c r="E83" s="750">
        <f ca="1">ROUND(D83/C10,-3)</f>
        <v>516000</v>
      </c>
    </row>
    <row r="84" spans="2:8" ht="12.75">
      <c r="B84" s="926" t="s">
        <v>161</v>
      </c>
      <c r="C84" s="927">
        <f ca="1">E57/D83</f>
        <v>6.9312798505748438E-2</v>
      </c>
    </row>
    <row r="85" spans="2:8" ht="12.75">
      <c r="B85" s="272" t="s">
        <v>162</v>
      </c>
      <c r="C85" s="273">
        <f ca="1">(E58/D83)-1</f>
        <v>0.38625597011496859</v>
      </c>
      <c r="D85" s="59"/>
      <c r="E85" s="60"/>
    </row>
    <row r="86" spans="2:8" ht="13.5" thickBot="1">
      <c r="B86" s="788">
        <v>0.3</v>
      </c>
      <c r="C86" s="275">
        <f>(E58/(1+B86))</f>
        <v>243797968.11538458</v>
      </c>
    </row>
    <row r="87" spans="2:8" ht="13.5" thickBot="1">
      <c r="B87" s="881">
        <v>0.3</v>
      </c>
      <c r="C87" s="275">
        <f ca="1">ROUND((E58/(1+B87))-D83,-3)</f>
        <v>15170000</v>
      </c>
      <c r="D87" s="61" t="s">
        <v>163</v>
      </c>
      <c r="F87" s="70"/>
    </row>
    <row r="88" spans="2:8" ht="13.5" thickBot="1">
      <c r="B88" s="62"/>
      <c r="C88" s="63"/>
    </row>
    <row r="89" spans="2:8" ht="12.75">
      <c r="B89" s="1655" t="s">
        <v>164</v>
      </c>
      <c r="C89" s="1656"/>
      <c r="D89" s="972" t="str">
        <f>E2</f>
        <v>Rainier Tower Apts</v>
      </c>
    </row>
    <row r="90" spans="2:8" ht="12.75">
      <c r="B90" s="753"/>
      <c r="C90" s="198" t="s">
        <v>165</v>
      </c>
      <c r="D90" s="754" t="s">
        <v>130</v>
      </c>
    </row>
    <row r="91" spans="2:8" ht="12.75">
      <c r="B91" s="600" t="s">
        <v>166</v>
      </c>
      <c r="C91" s="223">
        <f ca="1">IF(C87&lt;0,C87,0)</f>
        <v>0</v>
      </c>
      <c r="D91" s="530">
        <f ca="1">C91/C10</f>
        <v>0</v>
      </c>
    </row>
    <row r="92" spans="2:8" ht="12.75">
      <c r="B92" s="600" t="s">
        <v>167</v>
      </c>
      <c r="C92" s="223">
        <f ca="1">D83+C91</f>
        <v>228628309.18860886</v>
      </c>
      <c r="D92" s="530">
        <f ca="1">C92/C10</f>
        <v>516090.99139640824</v>
      </c>
    </row>
    <row r="93" spans="2:8" ht="12.75">
      <c r="B93" s="755">
        <f>Assumptions!L16</f>
        <v>0.65</v>
      </c>
      <c r="C93" s="248">
        <f ca="1">B93*D83</f>
        <v>148608400.97259575</v>
      </c>
      <c r="D93" s="602">
        <f ca="1">C93/C10</f>
        <v>335459.14440766536</v>
      </c>
    </row>
    <row r="94" spans="2:8" ht="12.75">
      <c r="B94" s="756">
        <f>1-B93</f>
        <v>0.35</v>
      </c>
      <c r="C94" s="248">
        <f ca="1">B94*D83</f>
        <v>80019908.216013089</v>
      </c>
      <c r="D94" s="602">
        <f ca="1">C94/C10</f>
        <v>180631.84698874285</v>
      </c>
      <c r="E94" s="60"/>
    </row>
    <row r="95" spans="2:8" ht="13.5" thickBot="1">
      <c r="B95" s="757" t="s">
        <v>168</v>
      </c>
      <c r="C95" s="758">
        <f ca="1">C93+C94</f>
        <v>228628309.18860883</v>
      </c>
      <c r="D95" s="759">
        <f ca="1">ROUND((D94+D93),-3)</f>
        <v>516000</v>
      </c>
    </row>
    <row r="96" spans="2:8" ht="13.5" thickBot="1">
      <c r="B96" s="155"/>
      <c r="C96" s="155"/>
      <c r="D96" s="615"/>
    </row>
    <row r="97" spans="2:5" ht="12.75">
      <c r="B97" s="942" t="s">
        <v>169</v>
      </c>
      <c r="C97" s="932" t="str">
        <f>E2</f>
        <v>Rainier Tower Apts</v>
      </c>
    </row>
    <row r="98" spans="2:5" ht="12.75">
      <c r="B98" s="892"/>
      <c r="C98" s="754" t="s">
        <v>170</v>
      </c>
      <c r="D98" s="597"/>
    </row>
    <row r="99" spans="2:5" ht="12.75">
      <c r="B99" s="197" t="s">
        <v>171</v>
      </c>
      <c r="C99" s="893">
        <f>ROUND(E58,-2)</f>
        <v>316937400</v>
      </c>
      <c r="D99" s="791"/>
    </row>
    <row r="100" spans="2:5" ht="13.5" thickBot="1">
      <c r="B100" s="977">
        <f>Assumptions!L14</f>
        <v>0.03</v>
      </c>
      <c r="C100" s="475">
        <f>(-ROUND(B100*C99,-2))</f>
        <v>-9508100</v>
      </c>
      <c r="D100" s="791"/>
    </row>
    <row r="101" spans="2:5" ht="13.5" thickTop="1">
      <c r="B101" s="888" t="s">
        <v>172</v>
      </c>
      <c r="C101" s="895">
        <f>C99+C100</f>
        <v>307429300</v>
      </c>
      <c r="D101" s="791"/>
    </row>
    <row r="102" spans="2:5" ht="12.75">
      <c r="B102" s="197" t="s">
        <v>173</v>
      </c>
      <c r="C102" s="893">
        <f ca="1">-C93</f>
        <v>-148608400.97259575</v>
      </c>
      <c r="D102" s="791"/>
    </row>
    <row r="103" spans="2:5" ht="13.5" thickBot="1">
      <c r="B103" s="200" t="s">
        <v>174</v>
      </c>
      <c r="C103" s="894">
        <f ca="1">-C94</f>
        <v>-80019908.216013089</v>
      </c>
      <c r="D103" s="791"/>
    </row>
    <row r="104" spans="2:5" ht="13.5" thickTop="1">
      <c r="B104" s="978" t="s">
        <v>175</v>
      </c>
      <c r="C104" s="979">
        <f ca="1">ROUND(C101+C102+C103,-2)</f>
        <v>78801000</v>
      </c>
      <c r="D104" s="792"/>
      <c r="E104" s="72"/>
    </row>
    <row r="105" spans="2:5" ht="15.75" customHeight="1" thickBot="1">
      <c r="B105" s="1657" t="s">
        <v>176</v>
      </c>
      <c r="C105" s="1658"/>
      <c r="D105" s="793"/>
    </row>
    <row r="106" spans="2:5" ht="12.75">
      <c r="B106" s="975" t="s">
        <v>177</v>
      </c>
      <c r="C106" s="973">
        <f>ROUND((C99)/C21,-2)</f>
        <v>570000</v>
      </c>
      <c r="D106" s="794"/>
    </row>
    <row r="107" spans="2:5" ht="13.5" thickBot="1">
      <c r="B107" s="976" t="s">
        <v>178</v>
      </c>
      <c r="C107" s="974">
        <f>C101/C21</f>
        <v>552930.39568345319</v>
      </c>
      <c r="D107" s="795"/>
    </row>
    <row r="108" spans="2:5" ht="15.75" customHeight="1" thickBot="1">
      <c r="B108" s="1659" t="s">
        <v>179</v>
      </c>
      <c r="C108" s="1660"/>
      <c r="D108" s="793"/>
    </row>
    <row r="109" spans="2:5" ht="12.75">
      <c r="B109" s="74"/>
      <c r="C109" s="939" t="s">
        <v>170</v>
      </c>
      <c r="D109" s="597"/>
    </row>
    <row r="110" spans="2:5" ht="12.75">
      <c r="B110" s="298" t="s">
        <v>340</v>
      </c>
      <c r="C110" s="299">
        <f ca="1">(C104+C94)/C94</f>
        <v>1.9847674379640292</v>
      </c>
      <c r="D110" s="790"/>
    </row>
    <row r="111" spans="2:5" ht="12.75">
      <c r="B111" s="298" t="s">
        <v>330</v>
      </c>
      <c r="C111" s="591">
        <f ca="1">'Rainier Tower Draw'!B44</f>
        <v>0.19591482353364742</v>
      </c>
      <c r="D111" s="790"/>
    </row>
    <row r="112" spans="2:5" ht="12.75">
      <c r="B112" s="298" t="s">
        <v>181</v>
      </c>
      <c r="C112" s="591">
        <f ca="1">'Rainier Tower Draw'!B39</f>
        <v>0.21491045310162793</v>
      </c>
      <c r="D112" s="796"/>
      <c r="E112" s="75"/>
    </row>
    <row r="113" spans="2:5" ht="12.75">
      <c r="B113" s="298" t="s">
        <v>182</v>
      </c>
      <c r="C113" s="301">
        <f ca="1">E57/C92</f>
        <v>6.9312798505748438E-2</v>
      </c>
      <c r="D113" s="797"/>
    </row>
    <row r="114" spans="2:5" ht="13.5" thickBot="1">
      <c r="B114" s="764" t="s">
        <v>183</v>
      </c>
      <c r="C114" s="799">
        <f>D58</f>
        <v>0.05</v>
      </c>
      <c r="D114" s="798"/>
    </row>
    <row r="115" spans="2:5" ht="23.25" customHeight="1">
      <c r="C115" s="960"/>
    </row>
    <row r="127" spans="2:5" ht="23.25" customHeight="1">
      <c r="B127" s="116"/>
      <c r="C127" s="116"/>
      <c r="D127" s="116"/>
      <c r="E127" s="32"/>
    </row>
  </sheetData>
  <mergeCells count="12">
    <mergeCell ref="B89:C89"/>
    <mergeCell ref="B105:C105"/>
    <mergeCell ref="B108:C108"/>
    <mergeCell ref="C47:D47"/>
    <mergeCell ref="C46:D46"/>
    <mergeCell ref="B59:C59"/>
    <mergeCell ref="D59:E59"/>
    <mergeCell ref="B2:D2"/>
    <mergeCell ref="E2:F2"/>
    <mergeCell ref="B42:C42"/>
    <mergeCell ref="D42:E42"/>
    <mergeCell ref="D28:E31"/>
  </mergeCells>
  <printOptions horizontalCentered="1" verticalCentered="1"/>
  <pageMargins left="0.7" right="0.7" top="0.75" bottom="0.75" header="0.3" footer="0.3"/>
  <pageSetup scale="99" fitToHeight="0" orientation="landscape" horizontalDpi="4294967292" verticalDpi="4294967292" r:id="rId1"/>
  <headerFooter>
    <oddHeader>&amp;C&amp;"Times New Roman Bold,Bold"&amp;14&amp;K000000INVESTOR SHEET</oddHeader>
    <oddFooter>&amp;CPage &amp;P of &amp;N</oddFooter>
  </headerFooter>
  <rowBreaks count="1" manualBreakCount="1">
    <brk id="87" min="1" max="9" man="1"/>
  </rowBreaks>
  <ignoredErrors>
    <ignoredError sqref="D26" formula="1"/>
    <ignoredError sqref="B100"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47EA8-8AB1-48C9-A292-F6E053ABBA9C}">
  <sheetPr>
    <tabColor rgb="FF00B0F0"/>
    <pageSetUpPr fitToPage="1"/>
  </sheetPr>
  <dimension ref="A1:BF150"/>
  <sheetViews>
    <sheetView zoomScale="25" zoomScaleNormal="25" workbookViewId="0">
      <selection sqref="A1:T1048576"/>
    </sheetView>
  </sheetViews>
  <sheetFormatPr defaultColWidth="12.140625" defaultRowHeight="15.75"/>
  <cols>
    <col min="1" max="1" width="6.28515625" style="1" customWidth="1"/>
    <col min="2" max="2" width="25.140625" style="1" customWidth="1"/>
    <col min="3" max="3" width="12.140625" style="1"/>
    <col min="4" max="4" width="13.7109375" style="1" customWidth="1"/>
    <col min="5" max="5" width="15.5703125" style="1" customWidth="1"/>
    <col min="6" max="6" width="15.85546875" style="1" customWidth="1"/>
    <col min="7" max="9" width="12.140625" style="1"/>
    <col min="10" max="10" width="12.140625" style="1" customWidth="1"/>
    <col min="11" max="14" width="12.140625" style="1"/>
    <col min="15" max="15" width="18.140625" style="1" bestFit="1" customWidth="1"/>
    <col min="16" max="17" width="18.140625" style="1" customWidth="1"/>
    <col min="18" max="18" width="12.140625" style="1"/>
    <col min="19" max="19" width="14.5703125" style="1" customWidth="1"/>
    <col min="20" max="20" width="15.7109375" style="1" customWidth="1"/>
    <col min="21" max="21" width="11.5703125" style="1" customWidth="1"/>
    <col min="22" max="22" width="13.5703125" style="1" bestFit="1" customWidth="1"/>
    <col min="23" max="23" width="11.5703125" style="1" customWidth="1"/>
    <col min="24" max="24" width="12.5703125" style="1" bestFit="1" customWidth="1"/>
    <col min="25" max="25" width="7.42578125" style="1" bestFit="1" customWidth="1"/>
    <col min="26" max="26" width="6.140625" style="1" bestFit="1" customWidth="1"/>
    <col min="27" max="27" width="8.140625" style="1" customWidth="1"/>
    <col min="28" max="28" width="31.140625" style="1" bestFit="1" customWidth="1"/>
    <col min="29" max="29" width="20.140625" style="1" customWidth="1"/>
    <col min="30" max="30" width="14.7109375" style="1" customWidth="1"/>
    <col min="31" max="31" width="17.28515625" style="1" customWidth="1"/>
    <col min="32" max="32" width="26.85546875" style="1" customWidth="1"/>
    <col min="33" max="33" width="19.140625" style="1" customWidth="1"/>
    <col min="34" max="34" width="20.42578125" style="1" customWidth="1"/>
    <col min="35" max="35" width="25" style="1" customWidth="1"/>
    <col min="36" max="36" width="21.28515625" style="1" customWidth="1"/>
    <col min="37" max="37" width="20.85546875" style="1" customWidth="1"/>
    <col min="38" max="38" width="20.7109375" style="1" customWidth="1"/>
    <col min="39" max="39" width="19.28515625" style="1" customWidth="1"/>
    <col min="40" max="40" width="21.140625" style="1" customWidth="1"/>
    <col min="41" max="41" width="21.28515625" style="1" customWidth="1"/>
    <col min="42" max="42" width="23.42578125" style="1" customWidth="1"/>
    <col min="43" max="16384" width="12.140625" style="1"/>
  </cols>
  <sheetData>
    <row r="1" spans="1:58" s="1386" customFormat="1">
      <c r="K1" s="1387"/>
    </row>
    <row r="2" spans="1:58" s="1386" customFormat="1">
      <c r="B2" s="1413" t="s">
        <v>564</v>
      </c>
      <c r="C2" s="1413"/>
      <c r="D2" s="1413"/>
      <c r="E2" s="1413"/>
      <c r="F2" s="1413"/>
      <c r="G2" s="1413"/>
      <c r="H2" s="1413"/>
      <c r="I2" s="1413"/>
      <c r="J2" s="1413"/>
      <c r="K2" s="1413"/>
      <c r="L2" s="1413"/>
      <c r="M2" s="1413"/>
      <c r="N2" s="1413"/>
      <c r="O2" s="1413"/>
      <c r="P2" s="1413"/>
      <c r="Q2" s="1413"/>
      <c r="R2" s="1413"/>
      <c r="S2" s="1413"/>
      <c r="T2" s="1413"/>
    </row>
    <row r="3" spans="1:58">
      <c r="A3" s="1386"/>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386"/>
      <c r="AR3" s="1386"/>
      <c r="AS3" s="1386"/>
      <c r="AT3" s="1386"/>
      <c r="AU3" s="1386"/>
      <c r="AV3" s="1386"/>
      <c r="AW3" s="1386"/>
      <c r="AX3" s="1386"/>
      <c r="AY3" s="1386"/>
      <c r="AZ3" s="1386"/>
      <c r="BA3" s="1386"/>
      <c r="BB3" s="1386"/>
      <c r="BC3" s="1386"/>
      <c r="BD3" s="1386"/>
      <c r="BE3" s="1386"/>
      <c r="BF3" s="1386"/>
    </row>
    <row r="4" spans="1:58">
      <c r="A4" s="1386"/>
      <c r="B4" s="1414" t="s">
        <v>592</v>
      </c>
      <c r="C4" s="1359"/>
      <c r="D4" s="1359"/>
      <c r="E4" s="1359"/>
      <c r="F4" s="1359"/>
      <c r="G4" s="1386"/>
      <c r="H4" s="1414" t="s">
        <v>591</v>
      </c>
      <c r="I4" s="1359"/>
      <c r="J4" s="1359"/>
      <c r="K4" s="1359"/>
      <c r="L4" s="1359"/>
      <c r="M4" s="1359"/>
      <c r="N4" s="1359"/>
      <c r="O4" s="1359"/>
      <c r="P4" s="1359"/>
      <c r="Q4" s="1359"/>
      <c r="R4" s="1359"/>
      <c r="S4" s="1359"/>
      <c r="T4" s="1359"/>
      <c r="U4" s="1386"/>
      <c r="V4" s="1386"/>
      <c r="W4" s="1386"/>
      <c r="X4" s="1501"/>
      <c r="Y4" s="1501"/>
      <c r="Z4" s="1386"/>
      <c r="AA4" s="1386"/>
      <c r="AB4" s="1386"/>
      <c r="AC4" s="1386"/>
      <c r="AD4" s="1386"/>
      <c r="AE4" s="1386"/>
      <c r="AF4" s="1386"/>
      <c r="AG4" s="1386"/>
      <c r="AH4" s="1386"/>
      <c r="AI4" s="1386"/>
      <c r="AJ4" s="1386"/>
      <c r="AK4" s="1386"/>
      <c r="AL4" s="1386"/>
      <c r="AM4" s="1386"/>
      <c r="AN4" s="1386"/>
      <c r="AO4" s="1386"/>
      <c r="AP4" s="1386"/>
      <c r="AQ4" s="1386"/>
      <c r="AR4" s="1386"/>
      <c r="AS4" s="1386"/>
      <c r="AT4" s="1386"/>
      <c r="AU4" s="1386"/>
      <c r="AV4" s="1386"/>
      <c r="AW4" s="1386"/>
      <c r="AX4" s="1386"/>
      <c r="AY4" s="1386"/>
      <c r="AZ4" s="1386"/>
      <c r="BA4" s="1386"/>
      <c r="BB4" s="1386"/>
      <c r="BC4" s="1386"/>
      <c r="BD4" s="1386"/>
      <c r="BE4" s="1386"/>
      <c r="BF4" s="1386"/>
    </row>
    <row r="5" spans="1:58" ht="16.5" thickBot="1">
      <c r="A5" s="1386"/>
      <c r="B5"/>
      <c r="C5"/>
      <c r="D5"/>
      <c r="E5"/>
      <c r="F5"/>
      <c r="G5" s="1386"/>
      <c r="H5" s="1386"/>
      <c r="I5" s="1386"/>
      <c r="J5" s="1386"/>
      <c r="K5" s="1421"/>
      <c r="L5" s="1421"/>
      <c r="M5" s="1421"/>
      <c r="N5" s="1421"/>
      <c r="O5" s="1421"/>
      <c r="P5" s="1421"/>
      <c r="Q5" s="1421"/>
      <c r="R5" s="1423"/>
      <c r="S5" s="1386"/>
      <c r="T5" s="1386"/>
      <c r="U5" s="1386"/>
      <c r="V5" s="1386"/>
      <c r="W5" s="1386"/>
      <c r="X5" s="1422"/>
      <c r="Y5" s="1422"/>
      <c r="Z5" s="1386"/>
      <c r="AA5" s="1386"/>
      <c r="AB5" s="1386"/>
      <c r="AC5" s="1386"/>
      <c r="AD5" s="1386"/>
      <c r="AE5" s="1386"/>
      <c r="AF5" s="1386"/>
      <c r="AG5" s="1386"/>
      <c r="AH5" s="1386"/>
      <c r="AI5" s="1386"/>
      <c r="AJ5" s="1386"/>
      <c r="AK5" s="1386"/>
      <c r="AL5" s="1386"/>
      <c r="AM5" s="1386"/>
      <c r="AN5" s="1386"/>
      <c r="AO5" s="1386"/>
      <c r="AP5" s="1386"/>
      <c r="AQ5" s="1386"/>
      <c r="AR5" s="1386"/>
      <c r="AS5" s="1386"/>
      <c r="AT5" s="1386"/>
      <c r="AU5" s="1386"/>
      <c r="AV5" s="1386"/>
      <c r="AW5" s="1386"/>
      <c r="AX5" s="1386"/>
      <c r="AY5" s="1386"/>
      <c r="AZ5" s="1386"/>
      <c r="BA5" s="1386"/>
      <c r="BB5" s="1386"/>
      <c r="BC5" s="1386"/>
      <c r="BD5" s="1386"/>
      <c r="BE5" s="1386"/>
      <c r="BF5" s="1386"/>
    </row>
    <row r="6" spans="1:58">
      <c r="A6" s="1386"/>
      <c r="B6" s="984" t="s">
        <v>358</v>
      </c>
      <c r="C6" s="985" t="s">
        <v>563</v>
      </c>
      <c r="D6" s="985" t="s">
        <v>264</v>
      </c>
      <c r="E6" s="985" t="s">
        <v>359</v>
      </c>
      <c r="F6" s="985" t="s">
        <v>360</v>
      </c>
      <c r="G6" s="1386"/>
      <c r="H6" s="1387"/>
      <c r="I6" s="1387"/>
      <c r="J6" s="1387"/>
      <c r="K6" s="1387"/>
      <c r="L6" s="1387"/>
      <c r="M6" s="1387"/>
      <c r="N6" s="1387"/>
      <c r="O6" s="1387"/>
      <c r="P6" s="1387"/>
      <c r="Q6" s="1387"/>
      <c r="R6" s="1423"/>
      <c r="S6" s="1387"/>
      <c r="T6" s="1387"/>
      <c r="U6" s="1387"/>
      <c r="V6" s="1387"/>
      <c r="W6" s="1387"/>
      <c r="X6" s="1387"/>
      <c r="Y6" s="1387"/>
      <c r="Z6" s="1387"/>
      <c r="AA6" s="1387"/>
      <c r="AB6" s="1387"/>
      <c r="AC6" s="1387"/>
      <c r="AD6" s="1387"/>
      <c r="AE6" s="1387"/>
      <c r="AF6" s="1387"/>
      <c r="AG6" s="1387"/>
      <c r="AH6" s="1387"/>
      <c r="AI6" s="1502" t="s">
        <v>255</v>
      </c>
      <c r="AJ6" s="1503"/>
      <c r="AK6" s="1503"/>
      <c r="AL6" s="1504"/>
      <c r="AM6" s="1502" t="s">
        <v>263</v>
      </c>
      <c r="AN6" s="1503"/>
      <c r="AO6" s="1503"/>
      <c r="AP6" s="1504"/>
      <c r="AQ6" s="1386"/>
      <c r="AR6" s="1386"/>
      <c r="AS6" s="1386"/>
      <c r="AT6" s="1386"/>
      <c r="AU6" s="1386"/>
      <c r="AV6" s="1386"/>
    </row>
    <row r="7" spans="1:58">
      <c r="A7" s="1386"/>
      <c r="B7" s="1403" t="s">
        <v>361</v>
      </c>
      <c r="C7" s="1404" t="s">
        <v>6</v>
      </c>
      <c r="D7" s="1405">
        <v>457</v>
      </c>
      <c r="E7" s="1406">
        <v>2089</v>
      </c>
      <c r="F7" s="1407">
        <f t="shared" ref="F7:F32" si="0">E7/D7</f>
        <v>4.5711159737417946</v>
      </c>
      <c r="G7" s="1386"/>
      <c r="H7" s="1386"/>
      <c r="I7" s="1387"/>
      <c r="J7" s="1387"/>
      <c r="K7" s="1387"/>
      <c r="L7" s="1387"/>
      <c r="M7" s="1387"/>
      <c r="N7" s="1387"/>
      <c r="O7" s="1387"/>
      <c r="P7" s="1387"/>
      <c r="Q7" s="1387"/>
      <c r="R7" s="1423"/>
      <c r="S7" s="1387"/>
      <c r="T7" s="1387"/>
      <c r="U7" s="1387"/>
      <c r="V7" s="1387"/>
      <c r="W7" s="1387"/>
      <c r="X7" s="1387"/>
      <c r="Y7" s="1387"/>
      <c r="Z7" s="1387"/>
      <c r="AA7" s="1387"/>
      <c r="AB7" s="1387"/>
      <c r="AC7" s="1387"/>
      <c r="AD7" s="1387"/>
      <c r="AE7" s="1387"/>
      <c r="AF7" s="1387"/>
      <c r="AG7" s="1387"/>
      <c r="AH7" s="1387"/>
      <c r="AI7" s="1401" t="s">
        <v>256</v>
      </c>
      <c r="AJ7" s="1392" t="s">
        <v>4</v>
      </c>
      <c r="AK7" s="1392" t="s">
        <v>3</v>
      </c>
      <c r="AL7" s="1402" t="s">
        <v>2</v>
      </c>
      <c r="AM7" s="1401" t="s">
        <v>256</v>
      </c>
      <c r="AN7" s="1392" t="s">
        <v>4</v>
      </c>
      <c r="AO7" s="1392" t="s">
        <v>3</v>
      </c>
      <c r="AP7" s="1402" t="s">
        <v>2</v>
      </c>
      <c r="AQ7" s="1386"/>
      <c r="AR7" s="1386"/>
      <c r="AS7" s="1386"/>
      <c r="AT7" s="1386"/>
      <c r="AU7" s="1386"/>
      <c r="AV7" s="1386"/>
    </row>
    <row r="8" spans="1:58">
      <c r="A8" s="1386"/>
      <c r="B8" s="1403"/>
      <c r="C8" s="1404"/>
      <c r="D8" s="1405">
        <v>468</v>
      </c>
      <c r="E8" s="1406">
        <v>2279</v>
      </c>
      <c r="F8" s="1407">
        <f t="shared" si="0"/>
        <v>4.8696581196581192</v>
      </c>
      <c r="G8" s="1386"/>
      <c r="H8" s="1387"/>
      <c r="I8" s="1387"/>
      <c r="J8" s="1387"/>
      <c r="K8" s="1387"/>
      <c r="L8" s="1387"/>
      <c r="M8" s="1387"/>
      <c r="N8" s="1387"/>
      <c r="O8" s="1387"/>
      <c r="P8" s="1387"/>
      <c r="Q8" s="1387"/>
      <c r="R8" s="1423"/>
      <c r="S8" s="1387"/>
      <c r="T8" s="1387"/>
      <c r="U8" s="1387"/>
      <c r="V8" s="1387"/>
      <c r="W8" s="1387"/>
      <c r="X8" s="1387"/>
      <c r="Y8" s="1387"/>
      <c r="Z8" s="1387"/>
      <c r="AA8" s="1387"/>
      <c r="AB8" s="1387"/>
      <c r="AC8" s="1387"/>
      <c r="AD8" s="1387"/>
      <c r="AE8" s="1387"/>
      <c r="AF8" s="1387"/>
      <c r="AG8" s="1387"/>
      <c r="AH8" s="1387"/>
      <c r="AI8" s="1388" t="s">
        <v>257</v>
      </c>
      <c r="AJ8" s="1389">
        <v>55000000</v>
      </c>
      <c r="AK8" s="1389">
        <v>211400000</v>
      </c>
      <c r="AL8" s="1390">
        <f>(AJ8+AK8)/2</f>
        <v>133200000</v>
      </c>
      <c r="AM8" s="1388" t="s">
        <v>257</v>
      </c>
      <c r="AN8" s="1389">
        <v>109000000</v>
      </c>
      <c r="AO8" s="1389">
        <v>322000000</v>
      </c>
      <c r="AP8" s="1390">
        <f>(AN8+AO8)/2</f>
        <v>215500000</v>
      </c>
      <c r="AQ8" s="1386"/>
      <c r="AR8" s="1386"/>
      <c r="AS8" s="1386"/>
      <c r="AT8" s="1386"/>
      <c r="AU8" s="1386"/>
      <c r="AV8" s="1386"/>
    </row>
    <row r="9" spans="1:58">
      <c r="A9" s="1386"/>
      <c r="B9" s="1403"/>
      <c r="C9" s="1404" t="s">
        <v>362</v>
      </c>
      <c r="D9" s="1405">
        <v>690</v>
      </c>
      <c r="E9" s="1406">
        <v>3133</v>
      </c>
      <c r="F9" s="1407">
        <f t="shared" si="0"/>
        <v>4.5405797101449279</v>
      </c>
      <c r="G9" s="1386"/>
      <c r="H9" s="1387"/>
      <c r="I9" s="1387"/>
      <c r="J9" s="1387"/>
      <c r="K9" s="1387"/>
      <c r="L9" s="1387"/>
      <c r="M9" s="1387"/>
      <c r="N9" s="1387"/>
      <c r="O9" s="1387"/>
      <c r="P9" s="1387"/>
      <c r="Q9" s="1387"/>
      <c r="R9" s="1423"/>
      <c r="S9" s="1387"/>
      <c r="T9" s="1387"/>
      <c r="U9" s="1387"/>
      <c r="V9" s="1387"/>
      <c r="W9" s="1387"/>
      <c r="X9" s="1387"/>
      <c r="Y9" s="1387"/>
      <c r="Z9" s="1387"/>
      <c r="AA9" s="1387"/>
      <c r="AB9" s="1387"/>
      <c r="AC9" s="1387"/>
      <c r="AD9" s="1387"/>
      <c r="AE9" s="1387"/>
      <c r="AF9" s="1387"/>
      <c r="AG9" s="1387"/>
      <c r="AH9" s="1387"/>
      <c r="AI9" s="1388" t="s">
        <v>258</v>
      </c>
      <c r="AJ9" s="1389">
        <v>48900000</v>
      </c>
      <c r="AK9" s="1389">
        <v>95300000</v>
      </c>
      <c r="AL9" s="1390">
        <f t="shared" ref="AL9:AL10" si="1">(AJ9+AK9)/2</f>
        <v>72100000</v>
      </c>
      <c r="AM9" s="1388" t="s">
        <v>258</v>
      </c>
      <c r="AN9" s="1389">
        <v>101900000</v>
      </c>
      <c r="AO9" s="1389">
        <v>193600000</v>
      </c>
      <c r="AP9" s="1390">
        <f t="shared" ref="AP9:AP10" si="2">(AN9+AO9)/2</f>
        <v>147750000</v>
      </c>
      <c r="AQ9" s="1386"/>
      <c r="AR9" s="1386"/>
      <c r="AS9" s="1386"/>
      <c r="AT9" s="1386"/>
      <c r="AU9" s="1386"/>
      <c r="AV9" s="1386"/>
    </row>
    <row r="10" spans="1:58">
      <c r="A10" s="1386"/>
      <c r="B10" s="1403"/>
      <c r="C10" s="1404"/>
      <c r="D10" s="1405">
        <v>651</v>
      </c>
      <c r="E10" s="1406">
        <v>3168</v>
      </c>
      <c r="F10" s="1407">
        <f t="shared" si="0"/>
        <v>4.8663594470046085</v>
      </c>
      <c r="G10" s="1386"/>
      <c r="H10" s="1387"/>
      <c r="I10" s="1387"/>
      <c r="J10" s="1387"/>
      <c r="K10" s="1387"/>
      <c r="L10" s="1387"/>
      <c r="M10" s="1387"/>
      <c r="N10" s="1387"/>
      <c r="O10" s="1387"/>
      <c r="P10" s="1387"/>
      <c r="Q10" s="1387"/>
      <c r="R10" s="1423"/>
      <c r="S10" s="1387"/>
      <c r="T10" s="1387"/>
      <c r="U10" s="1387"/>
      <c r="V10" s="1387"/>
      <c r="W10" s="1387"/>
      <c r="X10" s="1387"/>
      <c r="Y10" s="1387"/>
      <c r="Z10" s="1387"/>
      <c r="AA10" s="1387"/>
      <c r="AB10" s="1387"/>
      <c r="AC10" s="1387"/>
      <c r="AD10" s="1387"/>
      <c r="AE10" s="1387"/>
      <c r="AF10" s="1387"/>
      <c r="AG10" s="1387"/>
      <c r="AH10" s="1387"/>
      <c r="AI10" s="1388" t="s">
        <v>259</v>
      </c>
      <c r="AJ10" s="1389">
        <v>101900000</v>
      </c>
      <c r="AK10" s="1389">
        <v>193600000</v>
      </c>
      <c r="AL10" s="1390">
        <f t="shared" si="1"/>
        <v>147750000</v>
      </c>
      <c r="AM10" s="1388" t="s">
        <v>259</v>
      </c>
      <c r="AN10" s="1389">
        <v>101900000</v>
      </c>
      <c r="AO10" s="1389">
        <v>193600000</v>
      </c>
      <c r="AP10" s="1390">
        <f t="shared" si="2"/>
        <v>147750000</v>
      </c>
      <c r="AQ10" s="1386"/>
      <c r="AR10" s="1386"/>
      <c r="AS10" s="1386"/>
      <c r="AT10" s="1386"/>
      <c r="AU10" s="1386"/>
      <c r="AV10" s="1386"/>
    </row>
    <row r="11" spans="1:58">
      <c r="A11" s="1386"/>
      <c r="B11" s="1403"/>
      <c r="C11" s="1404"/>
      <c r="D11" s="1405">
        <v>730</v>
      </c>
      <c r="E11" s="1406">
        <v>3223</v>
      </c>
      <c r="F11" s="1407">
        <f t="shared" si="0"/>
        <v>4.4150684931506845</v>
      </c>
      <c r="G11" s="1386"/>
      <c r="H11" s="1387"/>
      <c r="I11" s="1387"/>
      <c r="J11" s="1387"/>
      <c r="K11" s="1387"/>
      <c r="L11" s="1387"/>
      <c r="M11" s="1387"/>
      <c r="N11" s="1387"/>
      <c r="O11" s="1387"/>
      <c r="P11" s="1387"/>
      <c r="Q11" s="1387"/>
      <c r="R11" s="1423"/>
      <c r="S11" s="1387"/>
      <c r="T11" s="1387"/>
      <c r="U11" s="1387"/>
      <c r="V11" s="1387"/>
      <c r="W11" s="1387"/>
      <c r="X11" s="1387"/>
      <c r="Y11" s="1387"/>
      <c r="Z11" s="1387"/>
      <c r="AA11" s="1387"/>
      <c r="AB11" s="1387"/>
      <c r="AC11" s="1387"/>
      <c r="AD11" s="1387"/>
      <c r="AE11" s="1387"/>
      <c r="AF11" s="1387"/>
      <c r="AG11" s="1387"/>
      <c r="AH11" s="1387"/>
      <c r="AI11" s="1388" t="s">
        <v>260</v>
      </c>
      <c r="AJ11" s="1389" t="s">
        <v>228</v>
      </c>
      <c r="AK11" s="1389" t="s">
        <v>228</v>
      </c>
      <c r="AL11" s="1390" t="s">
        <v>228</v>
      </c>
      <c r="AM11" s="1388" t="s">
        <v>260</v>
      </c>
      <c r="AN11" s="1389" t="s">
        <v>228</v>
      </c>
      <c r="AO11" s="1389" t="s">
        <v>228</v>
      </c>
      <c r="AP11" s="1390" t="s">
        <v>228</v>
      </c>
      <c r="AQ11" s="1386"/>
      <c r="AR11" s="1386"/>
      <c r="AS11" s="1386"/>
      <c r="AT11" s="1386"/>
      <c r="AU11" s="1386"/>
      <c r="AV11" s="1386"/>
    </row>
    <row r="12" spans="1:58">
      <c r="A12" s="1386"/>
      <c r="B12" s="1403"/>
      <c r="C12" s="1404" t="s">
        <v>7</v>
      </c>
      <c r="D12" s="1405">
        <v>897</v>
      </c>
      <c r="E12" s="1406">
        <v>4288</v>
      </c>
      <c r="F12" s="1407">
        <f t="shared" si="0"/>
        <v>4.7803790412486062</v>
      </c>
      <c r="G12" s="1386"/>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8" t="s">
        <v>261</v>
      </c>
      <c r="AJ12" s="1389">
        <v>55600000</v>
      </c>
      <c r="AK12" s="1389">
        <v>104600000</v>
      </c>
      <c r="AL12" s="1390">
        <f t="shared" ref="AL12:AL14" si="3">(AJ12+AK12)/2</f>
        <v>80100000</v>
      </c>
      <c r="AM12" s="1388" t="s">
        <v>261</v>
      </c>
      <c r="AN12" s="1389">
        <v>114600000</v>
      </c>
      <c r="AO12" s="1389">
        <v>211400000</v>
      </c>
      <c r="AP12" s="1390">
        <f t="shared" ref="AP12:AP14" si="4">(AN12+AO12)/2</f>
        <v>163000000</v>
      </c>
      <c r="AQ12" s="1386"/>
      <c r="AR12" s="1386"/>
      <c r="AS12" s="1386"/>
      <c r="AT12" s="1386"/>
      <c r="AU12" s="1386"/>
      <c r="AV12" s="1386"/>
    </row>
    <row r="13" spans="1:58">
      <c r="A13" s="1386"/>
      <c r="B13" s="1403"/>
      <c r="C13" s="1404"/>
      <c r="D13" s="1405">
        <v>1016</v>
      </c>
      <c r="E13" s="1406">
        <v>4353</v>
      </c>
      <c r="F13" s="1407">
        <f t="shared" si="0"/>
        <v>4.284448818897638</v>
      </c>
      <c r="G13" s="1386"/>
      <c r="H13" s="1387"/>
      <c r="I13" s="1387"/>
      <c r="J13" s="1387"/>
      <c r="K13" s="1387"/>
      <c r="L13" s="1387"/>
      <c r="M13" s="1387"/>
      <c r="N13" s="1387"/>
      <c r="O13" s="1387"/>
      <c r="P13" s="1387"/>
      <c r="Q13" s="1387"/>
      <c r="R13" s="1387"/>
      <c r="S13" s="1387"/>
      <c r="T13" s="1387"/>
      <c r="U13" s="1387"/>
      <c r="V13" s="1387"/>
      <c r="W13" s="1387"/>
      <c r="X13" s="1387"/>
      <c r="Y13" s="1387"/>
      <c r="Z13" s="1387"/>
      <c r="AA13" s="1387"/>
      <c r="AB13" s="1387"/>
      <c r="AC13" s="1387"/>
      <c r="AD13" s="1387"/>
      <c r="AE13" s="1387"/>
      <c r="AF13" s="1387"/>
      <c r="AG13" s="1387"/>
      <c r="AH13" s="1387"/>
      <c r="AI13" s="1388" t="s">
        <v>262</v>
      </c>
      <c r="AJ13" s="1389">
        <v>152000000</v>
      </c>
      <c r="AK13" s="1389">
        <v>273000000</v>
      </c>
      <c r="AL13" s="1390">
        <f t="shared" si="3"/>
        <v>212500000</v>
      </c>
      <c r="AM13" s="1388" t="s">
        <v>262</v>
      </c>
      <c r="AN13" s="1389">
        <v>152000000</v>
      </c>
      <c r="AO13" s="1389">
        <v>273000000</v>
      </c>
      <c r="AP13" s="1390">
        <f t="shared" si="4"/>
        <v>212500000</v>
      </c>
      <c r="AQ13" s="1386"/>
      <c r="AR13" s="1386"/>
      <c r="AS13" s="1386"/>
      <c r="AT13" s="1386"/>
      <c r="AU13" s="1386"/>
      <c r="AV13" s="1386"/>
    </row>
    <row r="14" spans="1:58">
      <c r="A14" s="1386"/>
      <c r="B14" s="1408"/>
      <c r="C14" s="1409"/>
      <c r="D14" s="1410">
        <v>1130</v>
      </c>
      <c r="E14" s="1411">
        <v>4928</v>
      </c>
      <c r="F14" s="1412">
        <f t="shared" si="0"/>
        <v>4.3610619469026553</v>
      </c>
      <c r="G14" s="1386"/>
      <c r="H14" s="1387"/>
      <c r="I14" s="1387"/>
      <c r="J14" s="1387"/>
      <c r="K14" s="1387"/>
      <c r="L14" s="1387"/>
      <c r="M14" s="1387"/>
      <c r="N14" s="1387"/>
      <c r="O14" s="1387"/>
      <c r="P14" s="1387"/>
      <c r="Q14" s="1387"/>
      <c r="R14" s="1387"/>
      <c r="S14" s="1387"/>
      <c r="T14" s="1387"/>
      <c r="U14" s="1387"/>
      <c r="V14" s="1387"/>
      <c r="W14" s="1387"/>
      <c r="X14" s="1387"/>
      <c r="Y14" s="1387"/>
      <c r="Z14" s="1387"/>
      <c r="AA14" s="1387"/>
      <c r="AB14" s="1387"/>
      <c r="AC14" s="1387"/>
      <c r="AD14" s="1387"/>
      <c r="AE14" s="1387"/>
      <c r="AF14" s="1387"/>
      <c r="AG14" s="1387"/>
      <c r="AH14" s="1387"/>
      <c r="AI14" s="1388" t="s">
        <v>270</v>
      </c>
      <c r="AJ14" s="1389">
        <v>14200000</v>
      </c>
      <c r="AK14" s="1389">
        <v>36800000</v>
      </c>
      <c r="AL14" s="1390">
        <f t="shared" si="3"/>
        <v>25500000</v>
      </c>
      <c r="AM14" s="1388" t="s">
        <v>270</v>
      </c>
      <c r="AN14" s="1389">
        <v>14200000</v>
      </c>
      <c r="AO14" s="1389">
        <v>36800000</v>
      </c>
      <c r="AP14" s="1390">
        <f t="shared" si="4"/>
        <v>25500000</v>
      </c>
      <c r="AQ14" s="1386"/>
      <c r="AR14" s="1386"/>
      <c r="AS14" s="1386"/>
      <c r="AT14" s="1386"/>
      <c r="AU14" s="1386"/>
      <c r="AV14" s="1386"/>
    </row>
    <row r="15" spans="1:58" ht="16.5" thickBot="1">
      <c r="A15" s="1386"/>
      <c r="B15" t="s">
        <v>363</v>
      </c>
      <c r="C15" s="980" t="s">
        <v>6</v>
      </c>
      <c r="D15" s="981">
        <v>571</v>
      </c>
      <c r="E15" s="982">
        <v>2452</v>
      </c>
      <c r="F15" s="983">
        <f t="shared" si="0"/>
        <v>4.2942206654991244</v>
      </c>
      <c r="G15" s="1386"/>
      <c r="H15" s="1387"/>
      <c r="I15" s="1387"/>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97" t="s">
        <v>165</v>
      </c>
      <c r="AJ15" s="1396">
        <f>SUM(AJ8:AJ14)</f>
        <v>427600000</v>
      </c>
      <c r="AK15" s="1396">
        <f>SUM(AK8:AK14)</f>
        <v>914700000</v>
      </c>
      <c r="AL15" s="1398">
        <f>SUM(AL8:AL14)</f>
        <v>671150000</v>
      </c>
      <c r="AM15" s="1397" t="s">
        <v>165</v>
      </c>
      <c r="AN15" s="1396">
        <f>SUM(AN8:AN14)</f>
        <v>593600000</v>
      </c>
      <c r="AO15" s="1396">
        <f>SUM(AO8:AO14)</f>
        <v>1230400000</v>
      </c>
      <c r="AP15" s="1398">
        <f>SUM(AP8:AP14)</f>
        <v>912000000</v>
      </c>
      <c r="AQ15" s="1386"/>
      <c r="AR15" s="1386"/>
      <c r="AS15" s="1386"/>
      <c r="AT15" s="1386"/>
      <c r="AU15" s="1386"/>
      <c r="AV15" s="1386"/>
    </row>
    <row r="16" spans="1:58">
      <c r="A16" s="1386"/>
      <c r="B16"/>
      <c r="C16" s="980" t="s">
        <v>362</v>
      </c>
      <c r="D16" s="981">
        <v>836</v>
      </c>
      <c r="E16" s="982">
        <v>3289</v>
      </c>
      <c r="F16" s="983">
        <f t="shared" si="0"/>
        <v>3.9342105263157894</v>
      </c>
      <c r="G16" s="1386"/>
      <c r="H16" s="1387"/>
      <c r="I16" s="1387"/>
      <c r="J16" s="1387"/>
      <c r="K16" s="1387"/>
      <c r="L16" s="1387"/>
      <c r="M16" s="1387"/>
      <c r="N16" s="1387"/>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6"/>
      <c r="AV16" s="1386"/>
    </row>
    <row r="17" spans="1:48" ht="16.5" thickBot="1">
      <c r="A17" s="1386"/>
      <c r="B17"/>
      <c r="C17" s="980"/>
      <c r="D17" s="981">
        <v>714</v>
      </c>
      <c r="E17" s="982">
        <v>2987</v>
      </c>
      <c r="F17" s="983">
        <f t="shared" si="0"/>
        <v>4.1834733893557425</v>
      </c>
      <c r="G17" s="1386"/>
      <c r="H17" s="1387"/>
      <c r="I17" s="1387"/>
      <c r="J17" s="1387"/>
      <c r="K17" s="1387"/>
      <c r="L17" s="1387"/>
      <c r="M17" s="1387"/>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6"/>
      <c r="AV17" s="1386"/>
    </row>
    <row r="18" spans="1:48">
      <c r="A18" s="1386"/>
      <c r="B18"/>
      <c r="C18" s="980" t="s">
        <v>7</v>
      </c>
      <c r="D18" s="981">
        <v>1187</v>
      </c>
      <c r="E18" s="982">
        <v>3941</v>
      </c>
      <c r="F18" s="983">
        <f t="shared" si="0"/>
        <v>3.3201347935973042</v>
      </c>
      <c r="G18" s="1386"/>
      <c r="H18" s="1387"/>
      <c r="I18" s="1387"/>
      <c r="J18" s="1387"/>
      <c r="K18" s="1387"/>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505" t="s">
        <v>562</v>
      </c>
      <c r="AJ18" s="1506"/>
      <c r="AK18" s="1506"/>
      <c r="AL18" s="1506"/>
      <c r="AM18" s="1506"/>
      <c r="AN18" s="1506"/>
      <c r="AO18" s="1506"/>
      <c r="AP18" s="1507"/>
      <c r="AQ18" s="1386"/>
      <c r="AR18" s="1386"/>
      <c r="AS18" s="1386"/>
      <c r="AT18" s="1386"/>
      <c r="AU18" s="1386"/>
      <c r="AV18" s="1386"/>
    </row>
    <row r="19" spans="1:48">
      <c r="A19" s="1386"/>
      <c r="B19" s="1087"/>
      <c r="C19" s="1088"/>
      <c r="D19" s="1089">
        <v>1141</v>
      </c>
      <c r="E19" s="1090">
        <v>4711</v>
      </c>
      <c r="F19" s="1091">
        <f t="shared" si="0"/>
        <v>4.1288343558282206</v>
      </c>
      <c r="G19" s="1386"/>
      <c r="H19" s="1387"/>
      <c r="I19" s="1387"/>
      <c r="J19" s="1387"/>
      <c r="K19" s="1387"/>
      <c r="L19" s="1387"/>
      <c r="M19" s="1387"/>
      <c r="N19" s="1387"/>
      <c r="O19" s="1387"/>
      <c r="P19" s="1387"/>
      <c r="Q19" s="1387"/>
      <c r="R19" s="1387"/>
      <c r="S19" s="1387"/>
      <c r="T19" s="1387"/>
      <c r="U19" s="1387"/>
      <c r="V19" s="1387"/>
      <c r="W19" s="1387"/>
      <c r="X19" s="1387"/>
      <c r="Y19" s="1387"/>
      <c r="Z19" s="1387"/>
      <c r="AA19" s="1387"/>
      <c r="AB19" s="1387"/>
      <c r="AC19" s="1387"/>
      <c r="AD19" s="1387"/>
      <c r="AE19" s="1387"/>
      <c r="AF19" s="1387"/>
      <c r="AG19" s="1387"/>
      <c r="AH19" s="1387"/>
      <c r="AI19" s="1399" t="s">
        <v>292</v>
      </c>
      <c r="AJ19" s="1400" t="s">
        <v>297</v>
      </c>
      <c r="AK19" s="1400" t="s">
        <v>293</v>
      </c>
      <c r="AL19" s="1400" t="s">
        <v>294</v>
      </c>
      <c r="AM19" s="1400" t="s">
        <v>295</v>
      </c>
      <c r="AN19" s="1400" t="s">
        <v>296</v>
      </c>
      <c r="AO19" s="1499" t="s">
        <v>305</v>
      </c>
      <c r="AP19" s="1500"/>
      <c r="AQ19" s="1386"/>
      <c r="AR19" s="1386"/>
      <c r="AS19" s="1386"/>
      <c r="AT19" s="1386"/>
      <c r="AU19" s="1386"/>
      <c r="AV19" s="1386"/>
    </row>
    <row r="20" spans="1:48">
      <c r="A20" s="1386"/>
      <c r="B20" s="1403" t="s">
        <v>364</v>
      </c>
      <c r="C20" s="1404" t="s">
        <v>6</v>
      </c>
      <c r="D20" s="1405">
        <v>427</v>
      </c>
      <c r="E20" s="1406">
        <v>2093</v>
      </c>
      <c r="F20" s="1407">
        <f t="shared" si="0"/>
        <v>4.9016393442622954</v>
      </c>
      <c r="G20" s="1386"/>
      <c r="H20" s="1387"/>
      <c r="I20" s="1387"/>
      <c r="J20" s="1387"/>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93">
        <v>942001090</v>
      </c>
      <c r="AJ20" s="1391" t="s">
        <v>300</v>
      </c>
      <c r="AK20" s="1391" t="s">
        <v>301</v>
      </c>
      <c r="AL20" s="1389">
        <v>2614</v>
      </c>
      <c r="AM20" s="1389">
        <v>8324</v>
      </c>
      <c r="AN20" s="1389">
        <v>3852000</v>
      </c>
      <c r="AO20" s="1510" t="s">
        <v>302</v>
      </c>
      <c r="AP20" s="1511"/>
      <c r="AQ20" s="1386"/>
      <c r="AR20" s="1386"/>
      <c r="AS20" s="1386"/>
      <c r="AT20" s="1386"/>
      <c r="AU20" s="1386"/>
      <c r="AV20" s="1386"/>
    </row>
    <row r="21" spans="1:48">
      <c r="A21" s="1386"/>
      <c r="B21" s="1403"/>
      <c r="C21" s="1404" t="s">
        <v>362</v>
      </c>
      <c r="D21" s="1405">
        <v>629</v>
      </c>
      <c r="E21" s="1406">
        <v>2413</v>
      </c>
      <c r="F21" s="1407">
        <f t="shared" si="0"/>
        <v>3.8362480127186012</v>
      </c>
      <c r="G21" s="1386"/>
      <c r="H21" s="1387"/>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93">
        <v>942001095</v>
      </c>
      <c r="AJ21" s="1391" t="s">
        <v>0</v>
      </c>
      <c r="AK21" s="1391" t="s">
        <v>304</v>
      </c>
      <c r="AL21" s="1389">
        <v>4260</v>
      </c>
      <c r="AM21" s="1389">
        <v>10000</v>
      </c>
      <c r="AN21" s="1389">
        <v>2750000</v>
      </c>
      <c r="AO21" s="1510" t="s">
        <v>318</v>
      </c>
      <c r="AP21" s="1511"/>
      <c r="AQ21" s="1386"/>
      <c r="AR21" s="1386"/>
      <c r="AS21" s="1386"/>
      <c r="AT21" s="1386"/>
      <c r="AU21" s="1386"/>
      <c r="AV21" s="1386"/>
    </row>
    <row r="22" spans="1:48">
      <c r="A22" s="1386"/>
      <c r="B22" s="1403"/>
      <c r="C22" s="1404"/>
      <c r="D22" s="1405">
        <v>661</v>
      </c>
      <c r="E22" s="1406">
        <v>2708</v>
      </c>
      <c r="F22" s="1407">
        <f t="shared" si="0"/>
        <v>4.0968229954614221</v>
      </c>
      <c r="G22" s="1386"/>
      <c r="H22" s="1387"/>
      <c r="I22" s="1387"/>
      <c r="J22" s="1387"/>
      <c r="K22" s="1387"/>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93">
        <v>942001115</v>
      </c>
      <c r="AJ22" s="1391" t="s">
        <v>298</v>
      </c>
      <c r="AK22" s="1391" t="s">
        <v>299</v>
      </c>
      <c r="AL22" s="1389">
        <v>6600</v>
      </c>
      <c r="AM22" s="1389">
        <v>0</v>
      </c>
      <c r="AN22" s="1389">
        <f>AL22*295</f>
        <v>1947000</v>
      </c>
      <c r="AO22" s="1510" t="s">
        <v>303</v>
      </c>
      <c r="AP22" s="1511"/>
      <c r="AQ22" s="1386"/>
      <c r="AR22" s="1386"/>
      <c r="AS22" s="1386"/>
      <c r="AT22" s="1386"/>
      <c r="AU22" s="1386"/>
      <c r="AV22" s="1386"/>
    </row>
    <row r="23" spans="1:48">
      <c r="A23" s="1386"/>
      <c r="B23" s="1408"/>
      <c r="C23" s="1409" t="s">
        <v>7</v>
      </c>
      <c r="D23" s="1410">
        <v>852</v>
      </c>
      <c r="E23" s="1411">
        <v>3527</v>
      </c>
      <c r="F23" s="1412">
        <f t="shared" si="0"/>
        <v>4.139671361502347</v>
      </c>
      <c r="G23" s="1386"/>
      <c r="H23" s="1387"/>
      <c r="I23" s="1387"/>
      <c r="J23" s="1387"/>
      <c r="K23" s="1387"/>
      <c r="L23" s="1387"/>
      <c r="M23" s="1387"/>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93">
        <v>942001120</v>
      </c>
      <c r="AJ23" s="1391" t="s">
        <v>306</v>
      </c>
      <c r="AK23" s="1391" t="s">
        <v>307</v>
      </c>
      <c r="AL23" s="1389">
        <v>6600</v>
      </c>
      <c r="AM23" s="1389">
        <v>35820</v>
      </c>
      <c r="AN23" s="1389">
        <v>800000</v>
      </c>
      <c r="AO23" s="1510" t="s">
        <v>319</v>
      </c>
      <c r="AP23" s="1511"/>
      <c r="AQ23" s="1386"/>
      <c r="AR23" s="1386"/>
      <c r="AS23" s="1386"/>
      <c r="AT23" s="1386"/>
      <c r="AU23" s="1386"/>
      <c r="AV23" s="1386"/>
    </row>
    <row r="24" spans="1:48">
      <c r="A24" s="1386"/>
      <c r="B24" t="s">
        <v>368</v>
      </c>
      <c r="C24" s="980" t="s">
        <v>6</v>
      </c>
      <c r="D24" s="981">
        <v>527</v>
      </c>
      <c r="E24" s="982">
        <v>2692</v>
      </c>
      <c r="F24" s="983">
        <f t="shared" si="0"/>
        <v>5.108159392789374</v>
      </c>
      <c r="G24" s="1386"/>
      <c r="H24" s="1387"/>
      <c r="I24" s="1387"/>
      <c r="J24" s="1387"/>
      <c r="K24" s="1387"/>
      <c r="L24" s="1387"/>
      <c r="M24" s="1387"/>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93">
        <v>942001140</v>
      </c>
      <c r="AJ24" s="1391" t="s">
        <v>309</v>
      </c>
      <c r="AK24" s="1391" t="s">
        <v>308</v>
      </c>
      <c r="AL24" s="1389">
        <v>6600</v>
      </c>
      <c r="AM24" s="1389">
        <v>19980</v>
      </c>
      <c r="AN24" s="1389">
        <v>4000000</v>
      </c>
      <c r="AO24" s="1510" t="s">
        <v>310</v>
      </c>
      <c r="AP24" s="1511"/>
      <c r="AQ24" s="1386"/>
      <c r="AR24" s="1386"/>
      <c r="AS24" s="1386"/>
      <c r="AT24" s="1386"/>
      <c r="AU24" s="1386"/>
      <c r="AV24" s="1386"/>
    </row>
    <row r="25" spans="1:48" ht="16.5" thickBot="1">
      <c r="A25" s="1386"/>
      <c r="B25"/>
      <c r="C25"/>
      <c r="D25" s="981">
        <v>647</v>
      </c>
      <c r="E25" s="982">
        <v>3421</v>
      </c>
      <c r="F25" s="983">
        <f t="shared" si="0"/>
        <v>5.2874806800618241</v>
      </c>
      <c r="G25" s="1386"/>
      <c r="H25" s="1387"/>
      <c r="I25" s="1387"/>
      <c r="J25" s="1387"/>
      <c r="K25" s="1387"/>
      <c r="L25" s="1387"/>
      <c r="M25" s="1387"/>
      <c r="N25" s="1387"/>
      <c r="O25" s="1387"/>
      <c r="P25" s="1387"/>
      <c r="Q25" s="1387"/>
      <c r="R25" s="1387"/>
      <c r="S25" s="1387"/>
      <c r="T25" s="1387"/>
      <c r="U25" s="1387"/>
      <c r="V25" s="1387"/>
      <c r="W25" s="1387"/>
      <c r="X25" s="1387"/>
      <c r="Y25" s="1387"/>
      <c r="Z25" s="1387"/>
      <c r="AA25" s="1387"/>
      <c r="AB25" s="1387"/>
      <c r="AC25" s="1387"/>
      <c r="AD25" s="1387"/>
      <c r="AE25" s="1387"/>
      <c r="AF25" s="1387"/>
      <c r="AG25" s="1387"/>
      <c r="AH25" s="1387"/>
      <c r="AI25" s="1394" t="s">
        <v>165</v>
      </c>
      <c r="AJ25" s="1395"/>
      <c r="AK25" s="1395"/>
      <c r="AL25" s="1396">
        <f>SUM(AL20:AL24)</f>
        <v>26674</v>
      </c>
      <c r="AM25" s="1396">
        <f t="shared" ref="AM25:AN25" si="5">SUM(AM20:AM24)</f>
        <v>74124</v>
      </c>
      <c r="AN25" s="1396">
        <f t="shared" si="5"/>
        <v>13349000</v>
      </c>
      <c r="AO25" s="1508"/>
      <c r="AP25" s="1509"/>
      <c r="AQ25" s="1386"/>
      <c r="AR25" s="1386"/>
      <c r="AS25" s="1386"/>
      <c r="AT25" s="1386"/>
      <c r="AU25" s="1386"/>
      <c r="AV25" s="1386"/>
    </row>
    <row r="26" spans="1:48">
      <c r="A26" s="1386"/>
      <c r="B26"/>
      <c r="C26" s="980" t="s">
        <v>362</v>
      </c>
      <c r="D26" s="981">
        <v>700</v>
      </c>
      <c r="E26" s="982">
        <v>3523</v>
      </c>
      <c r="F26" s="983">
        <f t="shared" si="0"/>
        <v>5.0328571428571429</v>
      </c>
      <c r="G26" s="1386"/>
      <c r="H26" s="1387"/>
      <c r="I26" s="1387"/>
      <c r="J26" s="1387"/>
      <c r="K26" s="1387"/>
      <c r="L26" s="1387"/>
      <c r="M26" s="1387"/>
      <c r="N26" s="1387"/>
      <c r="O26" s="1387"/>
      <c r="P26" s="1387"/>
      <c r="Q26" s="1387"/>
      <c r="R26" s="1387"/>
      <c r="S26" s="1387"/>
      <c r="T26" s="1387"/>
      <c r="U26" s="1387"/>
      <c r="V26" s="1387"/>
      <c r="W26" s="1387"/>
      <c r="X26" s="1387"/>
      <c r="Y26" s="1387"/>
      <c r="Z26" s="1387"/>
      <c r="AA26" s="1387"/>
      <c r="AB26" s="1387"/>
      <c r="AC26" s="1387"/>
      <c r="AD26" s="1387"/>
      <c r="AE26" s="1387"/>
      <c r="AF26" s="1387"/>
      <c r="AG26" s="1387"/>
      <c r="AH26" s="1387"/>
      <c r="AI26" s="1387"/>
      <c r="AJ26" s="1387"/>
      <c r="AK26" s="1387"/>
      <c r="AL26" s="1387"/>
      <c r="AM26" s="1387"/>
      <c r="AN26" s="1387"/>
      <c r="AO26" s="1387"/>
      <c r="AP26" s="1387"/>
      <c r="AQ26" s="1386"/>
      <c r="AR26" s="1386"/>
      <c r="AS26" s="1386"/>
      <c r="AT26" s="1386"/>
      <c r="AU26" s="1386"/>
      <c r="AV26" s="1386"/>
    </row>
    <row r="27" spans="1:48">
      <c r="A27" s="1386"/>
      <c r="B27"/>
      <c r="C27" s="980"/>
      <c r="D27" s="981">
        <v>795</v>
      </c>
      <c r="E27" s="982">
        <v>3518</v>
      </c>
      <c r="F27" s="983">
        <f t="shared" si="0"/>
        <v>4.4251572327044029</v>
      </c>
      <c r="G27" s="1386"/>
      <c r="H27" s="1386"/>
      <c r="I27" s="1387"/>
      <c r="J27" s="1387"/>
      <c r="K27" s="1387"/>
      <c r="L27" s="1387"/>
      <c r="M27" s="1387"/>
      <c r="N27" s="1387"/>
      <c r="O27" s="1387"/>
      <c r="P27" s="1387"/>
      <c r="Q27" s="1387"/>
      <c r="R27" s="1387"/>
      <c r="S27" s="1387"/>
      <c r="T27" s="1387"/>
      <c r="U27" s="1387"/>
      <c r="V27" s="1387"/>
      <c r="W27" s="1387"/>
      <c r="X27" s="1387"/>
      <c r="Y27" s="1387"/>
      <c r="Z27" s="1387"/>
      <c r="AA27" s="1387"/>
      <c r="AB27" s="1387"/>
      <c r="AC27" s="1387"/>
      <c r="AD27" s="1387"/>
      <c r="AE27" s="1387"/>
      <c r="AF27" s="1387"/>
      <c r="AG27" s="1387"/>
      <c r="AH27" s="1387"/>
      <c r="AI27" s="1387"/>
      <c r="AJ27" s="1387"/>
      <c r="AK27" s="1387"/>
      <c r="AL27" s="1387"/>
      <c r="AM27" s="1387"/>
      <c r="AN27" s="1387"/>
      <c r="AO27" s="1387"/>
      <c r="AP27" s="1387"/>
      <c r="AQ27" s="1386"/>
      <c r="AR27" s="1386"/>
      <c r="AS27" s="1386"/>
      <c r="AT27" s="1386"/>
      <c r="AU27" s="1386"/>
      <c r="AV27" s="1386"/>
    </row>
    <row r="28" spans="1:48">
      <c r="A28" s="1386"/>
      <c r="B28"/>
      <c r="C28" s="980" t="s">
        <v>7</v>
      </c>
      <c r="D28" s="981">
        <v>924</v>
      </c>
      <c r="E28" s="982">
        <v>4120</v>
      </c>
      <c r="F28" s="983">
        <f t="shared" si="0"/>
        <v>4.4588744588744591</v>
      </c>
      <c r="G28" s="1386"/>
      <c r="H28" s="1387"/>
      <c r="I28" s="1387"/>
      <c r="J28" s="1387"/>
      <c r="K28" s="1387"/>
      <c r="L28" s="1387"/>
      <c r="M28" s="1387"/>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c r="AL28" s="1387"/>
      <c r="AM28" s="1387"/>
      <c r="AN28" s="1387"/>
      <c r="AO28" s="1387"/>
      <c r="AP28" s="1387"/>
      <c r="AQ28" s="1386"/>
      <c r="AR28" s="1386"/>
      <c r="AS28" s="1386"/>
      <c r="AT28" s="1386"/>
      <c r="AU28" s="1386"/>
      <c r="AV28" s="1386"/>
    </row>
    <row r="29" spans="1:48">
      <c r="A29" s="1386"/>
      <c r="B29" s="1087"/>
      <c r="C29" s="1087"/>
      <c r="D29" s="1089">
        <v>1038</v>
      </c>
      <c r="E29" s="1090">
        <v>4625</v>
      </c>
      <c r="F29" s="1091">
        <f t="shared" si="0"/>
        <v>4.4556840077071289</v>
      </c>
      <c r="G29" s="1386"/>
      <c r="H29" s="1387"/>
      <c r="I29" s="1387"/>
      <c r="J29" s="1387"/>
      <c r="K29" s="1387"/>
      <c r="L29" s="1387"/>
      <c r="M29" s="1387"/>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c r="AL29" s="1387"/>
      <c r="AM29" s="1387"/>
      <c r="AN29" s="1387"/>
      <c r="AO29" s="1387"/>
      <c r="AP29" s="1387"/>
      <c r="AQ29" s="1386"/>
      <c r="AR29" s="1386"/>
      <c r="AS29" s="1386"/>
      <c r="AT29" s="1386"/>
      <c r="AU29" s="1386"/>
      <c r="AV29" s="1386"/>
    </row>
    <row r="30" spans="1:48">
      <c r="A30" s="1386"/>
      <c r="B30" s="986" t="s">
        <v>365</v>
      </c>
      <c r="C30" s="1415"/>
      <c r="D30" s="1416">
        <f>(D7+D8+D15+D20+D24+D25)/6</f>
        <v>516.16666666666663</v>
      </c>
      <c r="E30" s="1417">
        <f>(E7+E8+E15+E20+E24+E25)/6</f>
        <v>2504.3333333333335</v>
      </c>
      <c r="F30" s="1418">
        <f t="shared" si="0"/>
        <v>4.8517920568291899</v>
      </c>
      <c r="G30" s="1386"/>
      <c r="H30" s="1387"/>
      <c r="I30" s="1387"/>
      <c r="J30" s="1387"/>
      <c r="K30" s="1387"/>
      <c r="L30" s="1387"/>
      <c r="M30" s="1387"/>
      <c r="N30" s="1387"/>
      <c r="O30" s="1387"/>
      <c r="P30" s="1387"/>
      <c r="Q30" s="1387"/>
      <c r="R30" s="1387"/>
      <c r="S30" s="1387"/>
      <c r="T30" s="1387"/>
      <c r="U30" s="1387"/>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6"/>
      <c r="AR30" s="1386"/>
      <c r="AS30" s="1386"/>
      <c r="AT30" s="1386"/>
      <c r="AU30" s="1386"/>
      <c r="AV30" s="1386"/>
    </row>
    <row r="31" spans="1:48">
      <c r="A31" s="1386"/>
      <c r="B31" s="986" t="s">
        <v>366</v>
      </c>
      <c r="C31" s="986"/>
      <c r="D31" s="1416">
        <f>(D9+D10+D11+D16+D17+D21+D22+D26+D27)/9</f>
        <v>711.77777777777783</v>
      </c>
      <c r="E31" s="1417">
        <f>(E9+E10+E11+E16+E17+E21+E22+E27+E26)/9</f>
        <v>3106.8888888888887</v>
      </c>
      <c r="F31" s="1418">
        <f t="shared" si="0"/>
        <v>4.3649703403059625</v>
      </c>
      <c r="G31" s="1386"/>
      <c r="H31" s="1387"/>
      <c r="I31" s="1387"/>
      <c r="J31" s="1387"/>
      <c r="K31" s="1387"/>
      <c r="L31" s="1387"/>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7"/>
      <c r="AL31" s="1387"/>
      <c r="AM31" s="1387"/>
      <c r="AN31" s="1387"/>
      <c r="AO31" s="1387"/>
      <c r="AP31" s="1387"/>
      <c r="AQ31" s="1386"/>
      <c r="AR31" s="1386"/>
      <c r="AS31" s="1386"/>
      <c r="AT31" s="1386"/>
      <c r="AU31" s="1386"/>
      <c r="AV31" s="1386"/>
    </row>
    <row r="32" spans="1:48">
      <c r="A32" s="1386"/>
      <c r="B32" s="986" t="s">
        <v>367</v>
      </c>
      <c r="C32" s="986"/>
      <c r="D32" s="1416">
        <f>(D12+D13+D14+D18+D19+D23+D28+D29)/8</f>
        <v>1023.125</v>
      </c>
      <c r="E32" s="1417">
        <f>(E12+E13+E14+E18+E19+E23+E28+E29)/8</f>
        <v>4311.625</v>
      </c>
      <c r="F32" s="1418">
        <f t="shared" si="0"/>
        <v>4.2141722663408672</v>
      </c>
      <c r="G32" s="1386"/>
      <c r="H32" s="1387"/>
      <c r="I32" s="1387"/>
      <c r="J32" s="1387"/>
      <c r="K32" s="1387"/>
      <c r="L32" s="1387"/>
      <c r="M32" s="1387"/>
      <c r="N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c r="AJ32" s="1387"/>
      <c r="AK32" s="1387"/>
      <c r="AL32" s="1387"/>
      <c r="AM32" s="1387"/>
      <c r="AN32" s="1387"/>
      <c r="AO32" s="1387"/>
      <c r="AP32" s="1387"/>
      <c r="AQ32" s="1386"/>
      <c r="AR32" s="1386"/>
      <c r="AS32" s="1386"/>
      <c r="AT32" s="1386"/>
      <c r="AU32" s="1386"/>
      <c r="AV32" s="1386"/>
    </row>
    <row r="33" spans="1:48">
      <c r="A33" s="1386"/>
      <c r="B33"/>
      <c r="C33"/>
      <c r="D33"/>
      <c r="E33"/>
      <c r="F33"/>
      <c r="G33" s="1386"/>
      <c r="H33" s="1387"/>
      <c r="I33" s="1387"/>
      <c r="J33" s="1387"/>
      <c r="K33" s="1387"/>
      <c r="L33" s="1387"/>
      <c r="M33" s="1387"/>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387"/>
      <c r="AL33" s="1387"/>
      <c r="AM33" s="1387"/>
      <c r="AN33" s="1387"/>
      <c r="AO33" s="1387"/>
      <c r="AP33" s="1387"/>
      <c r="AQ33" s="1386"/>
      <c r="AR33" s="1386"/>
      <c r="AS33" s="1386"/>
      <c r="AT33" s="1386"/>
      <c r="AU33" s="1386"/>
      <c r="AV33" s="1386"/>
    </row>
    <row r="34" spans="1:48">
      <c r="A34" s="1386"/>
      <c r="B34"/>
      <c r="C34"/>
      <c r="D34"/>
      <c r="E34"/>
      <c r="F34"/>
      <c r="G34" s="1386"/>
      <c r="H34" s="1387"/>
      <c r="I34" s="1387"/>
      <c r="J34" s="1387"/>
      <c r="K34" s="1387"/>
      <c r="L34" s="1387"/>
      <c r="M34" s="1387"/>
      <c r="N34" s="1387"/>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c r="AJ34" s="1387"/>
      <c r="AK34" s="1387"/>
      <c r="AL34" s="1387"/>
      <c r="AM34" s="1387"/>
      <c r="AN34" s="1387"/>
      <c r="AO34" s="1387"/>
      <c r="AP34" s="1387"/>
      <c r="AQ34" s="1386"/>
      <c r="AR34" s="1386"/>
      <c r="AS34" s="1386"/>
      <c r="AT34" s="1386"/>
      <c r="AU34" s="1386"/>
      <c r="AV34" s="1386"/>
    </row>
    <row r="35" spans="1:48">
      <c r="A35" s="1386"/>
      <c r="B35" s="1414" t="s">
        <v>369</v>
      </c>
      <c r="C35" s="1359"/>
      <c r="D35" s="1359"/>
      <c r="E35" s="1359"/>
      <c r="F35" s="1359"/>
      <c r="G35" s="1386"/>
      <c r="H35" s="1387"/>
      <c r="I35" s="1387"/>
      <c r="J35" s="1387"/>
      <c r="K35" s="1387"/>
      <c r="L35" s="1387"/>
      <c r="M35" s="1387"/>
      <c r="N35" s="1387"/>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c r="AJ35" s="1387"/>
      <c r="AK35" s="1387"/>
      <c r="AL35" s="1387"/>
      <c r="AM35" s="1387"/>
      <c r="AN35" s="1387"/>
      <c r="AO35" s="1387"/>
      <c r="AP35" s="1387"/>
      <c r="AQ35" s="1386"/>
      <c r="AR35" s="1386"/>
      <c r="AS35" s="1386"/>
      <c r="AT35" s="1386"/>
      <c r="AU35" s="1386"/>
      <c r="AV35" s="1386"/>
    </row>
    <row r="36" spans="1:48">
      <c r="A36" s="1386"/>
      <c r="B36"/>
      <c r="C36"/>
      <c r="D36"/>
      <c r="E36"/>
      <c r="F36"/>
      <c r="G36" s="1386"/>
      <c r="H36" s="1387"/>
      <c r="I36" s="1387"/>
      <c r="J36" s="1387"/>
      <c r="K36" s="1387"/>
      <c r="L36" s="1387"/>
      <c r="M36" s="1387"/>
      <c r="N36" s="1387"/>
      <c r="O36" s="1387"/>
      <c r="P36" s="1387"/>
      <c r="Q36" s="1387"/>
      <c r="R36" s="1387"/>
      <c r="S36" s="1387"/>
      <c r="T36" s="1387"/>
      <c r="U36" s="1387"/>
      <c r="V36" s="1387"/>
      <c r="W36" s="1387"/>
      <c r="X36" s="1387"/>
      <c r="Y36" s="1387"/>
      <c r="Z36" s="1387"/>
      <c r="AA36" s="1387"/>
      <c r="AB36" s="1387"/>
      <c r="AC36" s="1387"/>
      <c r="AD36" s="1387"/>
      <c r="AE36" s="1387"/>
      <c r="AF36" s="1387"/>
      <c r="AG36" s="1387"/>
      <c r="AH36" s="1387"/>
      <c r="AI36" s="1387"/>
      <c r="AJ36" s="1387"/>
      <c r="AK36" s="1387"/>
      <c r="AL36" s="1387"/>
      <c r="AM36" s="1387"/>
      <c r="AN36" s="1387"/>
      <c r="AO36" s="1387"/>
      <c r="AP36" s="1387"/>
      <c r="AQ36" s="1386"/>
      <c r="AR36" s="1386"/>
      <c r="AS36" s="1386"/>
      <c r="AT36" s="1386"/>
      <c r="AU36" s="1386"/>
      <c r="AV36" s="1386"/>
    </row>
    <row r="37" spans="1:48">
      <c r="A37" s="1386"/>
      <c r="B37" s="1419" t="s">
        <v>358</v>
      </c>
      <c r="C37" s="1092" t="s">
        <v>370</v>
      </c>
      <c r="D37" s="1092" t="s">
        <v>371</v>
      </c>
      <c r="E37" s="1092" t="s">
        <v>222</v>
      </c>
      <c r="F37" s="1092" t="s">
        <v>575</v>
      </c>
      <c r="G37" s="1386"/>
      <c r="H37" s="1387"/>
      <c r="I37" s="1387"/>
      <c r="J37" s="1387"/>
      <c r="K37" s="1387"/>
      <c r="L37" s="1387"/>
      <c r="M37" s="1387"/>
      <c r="N37" s="1387"/>
      <c r="O37" s="1387"/>
      <c r="P37" s="1387"/>
      <c r="Q37" s="1387"/>
      <c r="R37" s="1387"/>
      <c r="S37" s="1387"/>
      <c r="T37" s="1387"/>
      <c r="U37" s="1387"/>
      <c r="V37" s="1387"/>
      <c r="W37" s="1387"/>
      <c r="X37" s="1387"/>
      <c r="Y37" s="1387"/>
      <c r="Z37" s="1387"/>
      <c r="AA37" s="1387"/>
      <c r="AB37" s="1387"/>
      <c r="AC37" s="1387"/>
      <c r="AD37" s="1387"/>
      <c r="AE37" s="1387"/>
      <c r="AF37" s="1387"/>
      <c r="AG37" s="1387"/>
      <c r="AH37" s="1387"/>
      <c r="AI37" s="1387"/>
      <c r="AJ37" s="1387"/>
      <c r="AK37" s="1387"/>
      <c r="AL37" s="1387"/>
      <c r="AM37" s="1387"/>
      <c r="AN37" s="1387"/>
      <c r="AO37" s="1387"/>
      <c r="AP37" s="1387"/>
      <c r="AQ37" s="1386"/>
      <c r="AR37" s="1386"/>
      <c r="AS37" s="1386"/>
      <c r="AT37" s="1386"/>
      <c r="AU37" s="1386"/>
      <c r="AV37" s="1386"/>
    </row>
    <row r="38" spans="1:48">
      <c r="A38" s="1386"/>
      <c r="B38" s="1386" t="s">
        <v>565</v>
      </c>
      <c r="C38" s="980">
        <v>531</v>
      </c>
      <c r="D38" s="982">
        <v>565500</v>
      </c>
      <c r="E38" s="982">
        <f t="shared" ref="E38:E46" si="6">D38/C38</f>
        <v>1064.9717514124293</v>
      </c>
      <c r="F38" t="s">
        <v>572</v>
      </c>
      <c r="G38" s="1386"/>
      <c r="H38" s="1387"/>
      <c r="I38" s="1387"/>
      <c r="J38" s="1387"/>
      <c r="K38" s="1387"/>
      <c r="L38" s="1387"/>
      <c r="M38" s="1387"/>
      <c r="N38" s="1387"/>
      <c r="O38" s="1387"/>
      <c r="P38" s="1387"/>
      <c r="Q38" s="1387"/>
      <c r="R38" s="1387"/>
      <c r="S38" s="1387"/>
      <c r="T38" s="1387"/>
      <c r="U38" s="1387"/>
      <c r="V38" s="1387"/>
      <c r="W38" s="1387"/>
      <c r="X38" s="1387"/>
      <c r="Y38" s="1387"/>
      <c r="Z38" s="1387"/>
      <c r="AA38" s="1387"/>
      <c r="AB38" s="1387"/>
      <c r="AC38" s="1387"/>
      <c r="AD38" s="1387"/>
      <c r="AE38" s="1387"/>
      <c r="AF38" s="1387"/>
      <c r="AG38" s="1387"/>
      <c r="AH38" s="1387"/>
      <c r="AI38" s="1387"/>
      <c r="AJ38" s="1387"/>
      <c r="AK38" s="1387"/>
      <c r="AL38" s="1387"/>
      <c r="AM38" s="1387"/>
      <c r="AN38" s="1387"/>
      <c r="AO38" s="1387"/>
      <c r="AP38" s="1387"/>
      <c r="AQ38" s="1386"/>
      <c r="AR38" s="1386"/>
      <c r="AS38" s="1386"/>
      <c r="AT38" s="1386"/>
      <c r="AU38" s="1386"/>
      <c r="AV38" s="1386"/>
    </row>
    <row r="39" spans="1:48">
      <c r="A39" s="1386"/>
      <c r="B39" s="1386" t="s">
        <v>565</v>
      </c>
      <c r="C39" s="980">
        <v>564</v>
      </c>
      <c r="D39" s="982">
        <v>496000</v>
      </c>
      <c r="E39" s="982">
        <f t="shared" si="6"/>
        <v>879.43262411347519</v>
      </c>
      <c r="F39" t="s">
        <v>572</v>
      </c>
      <c r="G39" s="1386"/>
      <c r="H39" s="1387"/>
      <c r="I39" s="1387"/>
      <c r="J39" s="1387"/>
      <c r="K39" s="1387"/>
      <c r="L39" s="1387"/>
      <c r="M39" s="1387"/>
      <c r="N39" s="1387"/>
      <c r="O39" s="1387"/>
      <c r="P39" s="1387"/>
      <c r="Q39" s="1387"/>
      <c r="R39" s="1387"/>
      <c r="S39" s="1387"/>
      <c r="T39" s="1387"/>
      <c r="U39" s="1387"/>
      <c r="V39" s="1387"/>
      <c r="W39" s="1387"/>
      <c r="X39" s="1387"/>
      <c r="Y39" s="1387"/>
      <c r="Z39" s="1387"/>
      <c r="AA39" s="1387"/>
      <c r="AB39" s="1387"/>
      <c r="AC39" s="1387"/>
      <c r="AD39" s="1387"/>
      <c r="AE39" s="1387"/>
      <c r="AF39" s="1387"/>
      <c r="AG39" s="1387"/>
      <c r="AH39" s="1387"/>
      <c r="AI39" s="1387"/>
      <c r="AJ39" s="1387"/>
      <c r="AK39" s="1387"/>
      <c r="AL39" s="1387"/>
      <c r="AM39" s="1387"/>
      <c r="AN39" s="1387"/>
      <c r="AO39" s="1387"/>
      <c r="AP39" s="1387"/>
      <c r="AQ39" s="1386"/>
      <c r="AR39" s="1386"/>
      <c r="AS39" s="1386"/>
      <c r="AT39" s="1386"/>
      <c r="AU39" s="1386"/>
      <c r="AV39" s="1386"/>
    </row>
    <row r="40" spans="1:48">
      <c r="A40" s="1386"/>
      <c r="B40" s="1386" t="s">
        <v>565</v>
      </c>
      <c r="C40" s="980">
        <v>542</v>
      </c>
      <c r="D40" s="982">
        <v>564900</v>
      </c>
      <c r="E40" s="982">
        <f t="shared" si="6"/>
        <v>1042.2509225092251</v>
      </c>
      <c r="F40" t="s">
        <v>572</v>
      </c>
      <c r="G40" s="1386"/>
      <c r="H40" s="1387"/>
      <c r="I40" s="1387"/>
      <c r="J40" s="1387"/>
      <c r="K40" s="1387"/>
      <c r="L40" s="1387"/>
      <c r="M40" s="1387"/>
      <c r="N40" s="1387"/>
      <c r="O40" s="1387"/>
      <c r="P40" s="1387"/>
      <c r="Q40" s="1387"/>
      <c r="R40" s="1387"/>
      <c r="S40" s="1387"/>
      <c r="T40" s="1387"/>
      <c r="U40" s="1387"/>
      <c r="V40" s="1387"/>
      <c r="W40" s="1387"/>
      <c r="X40" s="1387"/>
      <c r="Y40" s="1387"/>
      <c r="Z40" s="1387"/>
      <c r="AA40" s="1387"/>
      <c r="AB40" s="1387"/>
      <c r="AC40" s="1387"/>
      <c r="AD40" s="1387"/>
      <c r="AE40" s="1387"/>
      <c r="AF40" s="1387"/>
      <c r="AG40" s="1387"/>
      <c r="AH40" s="1387"/>
      <c r="AI40" s="1387"/>
      <c r="AJ40" s="1387"/>
      <c r="AK40" s="1387"/>
      <c r="AL40" s="1387"/>
      <c r="AM40" s="1387"/>
      <c r="AN40" s="1387"/>
      <c r="AO40" s="1387"/>
      <c r="AP40" s="1387"/>
      <c r="AQ40" s="1386"/>
      <c r="AR40" s="1386"/>
      <c r="AS40" s="1386"/>
      <c r="AT40" s="1386"/>
      <c r="AU40" s="1386"/>
      <c r="AV40" s="1386"/>
    </row>
    <row r="41" spans="1:48">
      <c r="A41" s="1386"/>
      <c r="B41" s="1386" t="s">
        <v>566</v>
      </c>
      <c r="C41" s="980">
        <v>773</v>
      </c>
      <c r="D41" s="982">
        <v>719000</v>
      </c>
      <c r="E41" s="982">
        <f t="shared" si="6"/>
        <v>930.14230271668828</v>
      </c>
      <c r="F41" t="s">
        <v>571</v>
      </c>
      <c r="G41" s="1386"/>
      <c r="H41" s="1387"/>
      <c r="I41" s="1387"/>
      <c r="J41" s="1387"/>
      <c r="K41" s="1387"/>
      <c r="L41" s="1387"/>
      <c r="M41" s="1387"/>
      <c r="N41" s="1387"/>
      <c r="O41" s="1387"/>
      <c r="P41" s="1387"/>
      <c r="Q41" s="1387"/>
      <c r="R41" s="1387"/>
      <c r="S41" s="1387"/>
      <c r="T41" s="1387"/>
      <c r="U41" s="1387"/>
      <c r="V41" s="1387"/>
      <c r="W41" s="1387"/>
      <c r="X41" s="1387"/>
      <c r="Y41" s="1387"/>
      <c r="Z41" s="1387"/>
      <c r="AA41" s="1387"/>
      <c r="AB41" s="1387"/>
      <c r="AC41" s="1387"/>
      <c r="AD41" s="1387"/>
      <c r="AE41" s="1387"/>
      <c r="AF41" s="1387"/>
      <c r="AG41" s="1387"/>
      <c r="AH41" s="1387"/>
      <c r="AI41" s="1387"/>
      <c r="AJ41" s="1387"/>
      <c r="AK41" s="1387"/>
      <c r="AL41" s="1387"/>
      <c r="AM41" s="1387"/>
      <c r="AN41" s="1387"/>
      <c r="AO41" s="1387"/>
      <c r="AP41" s="1387"/>
      <c r="AQ41" s="1387"/>
      <c r="AR41" s="1387"/>
      <c r="AS41" s="1387"/>
      <c r="AT41" s="1387"/>
      <c r="AU41" s="1387"/>
    </row>
    <row r="42" spans="1:48">
      <c r="A42" s="1386"/>
      <c r="B42" s="1386" t="s">
        <v>567</v>
      </c>
      <c r="C42" s="980">
        <v>794</v>
      </c>
      <c r="D42" s="982">
        <v>725000</v>
      </c>
      <c r="E42" s="982">
        <f t="shared" si="6"/>
        <v>913.09823677581869</v>
      </c>
      <c r="F42" t="s">
        <v>573</v>
      </c>
      <c r="G42" s="1386"/>
      <c r="H42" s="1414" t="s">
        <v>593</v>
      </c>
      <c r="I42" s="1359"/>
      <c r="J42" s="1359"/>
      <c r="K42" s="1359"/>
      <c r="L42" s="1359"/>
      <c r="M42" s="1359"/>
      <c r="N42" s="1359"/>
      <c r="O42" s="1359"/>
      <c r="P42" s="1359"/>
      <c r="Q42" s="1359"/>
      <c r="R42" s="1359"/>
      <c r="S42" s="1359"/>
      <c r="T42" s="1359"/>
      <c r="U42" s="1387"/>
      <c r="V42" s="1387"/>
      <c r="W42" s="1387"/>
      <c r="X42" s="1387"/>
      <c r="Y42" s="1387"/>
      <c r="Z42" s="1387"/>
      <c r="AA42" s="1387"/>
      <c r="AB42" s="1387"/>
      <c r="AC42" s="1387"/>
      <c r="AD42" s="1387"/>
      <c r="AE42" s="1387"/>
      <c r="AF42" s="1387"/>
      <c r="AG42" s="1387"/>
      <c r="AH42" s="1387"/>
      <c r="AI42" s="1387"/>
      <c r="AJ42" s="1387"/>
      <c r="AK42" s="1387"/>
      <c r="AL42" s="1387"/>
      <c r="AM42" s="1387"/>
      <c r="AN42" s="1387"/>
      <c r="AO42" s="1387"/>
      <c r="AP42" s="1387"/>
      <c r="AQ42" s="1387"/>
      <c r="AR42" s="1387"/>
      <c r="AS42" s="1387"/>
      <c r="AT42" s="1387"/>
      <c r="AU42" s="1387"/>
    </row>
    <row r="43" spans="1:48">
      <c r="A43" s="1386"/>
      <c r="B43" s="1386" t="s">
        <v>568</v>
      </c>
      <c r="C43" s="980">
        <v>835</v>
      </c>
      <c r="D43" s="982">
        <v>803900</v>
      </c>
      <c r="E43" s="982">
        <f t="shared" si="6"/>
        <v>962.75449101796403</v>
      </c>
      <c r="F43" t="s">
        <v>574</v>
      </c>
      <c r="G43" s="1386"/>
      <c r="H43" s="1387"/>
      <c r="I43" s="1387"/>
      <c r="J43" s="1387"/>
      <c r="K43" s="1387"/>
      <c r="L43" s="1387"/>
      <c r="M43" s="1387"/>
      <c r="N43" s="1387"/>
      <c r="O43" s="1387"/>
      <c r="P43" s="1387"/>
      <c r="Q43" s="1387"/>
      <c r="R43" s="1387"/>
      <c r="S43" s="1387"/>
      <c r="T43" s="1387"/>
      <c r="U43" s="1387"/>
      <c r="V43" s="1387"/>
      <c r="W43" s="1387"/>
      <c r="X43" s="1387"/>
      <c r="Y43" s="1387"/>
      <c r="Z43" s="1387"/>
      <c r="AA43" s="1387"/>
      <c r="AB43" s="1387"/>
      <c r="AC43" s="1387"/>
      <c r="AD43" s="1387"/>
      <c r="AE43" s="1387"/>
      <c r="AF43" s="1387"/>
      <c r="AG43" s="1387"/>
      <c r="AH43" s="1387"/>
      <c r="AI43" s="1387"/>
      <c r="AJ43" s="1387"/>
      <c r="AK43" s="1387"/>
      <c r="AL43" s="1387"/>
      <c r="AM43" s="1387"/>
      <c r="AN43" s="1387"/>
      <c r="AO43" s="1387"/>
      <c r="AP43" s="1387"/>
      <c r="AQ43" s="1387"/>
      <c r="AR43" s="1387"/>
      <c r="AS43" s="1387"/>
      <c r="AT43" s="1387"/>
      <c r="AU43" s="1387"/>
    </row>
    <row r="44" spans="1:48">
      <c r="A44" s="1386"/>
      <c r="B44" s="1386" t="s">
        <v>568</v>
      </c>
      <c r="C44" s="980">
        <v>953</v>
      </c>
      <c r="D44" s="982">
        <v>1010000</v>
      </c>
      <c r="E44" s="982">
        <f t="shared" si="6"/>
        <v>1059.8111227701993</v>
      </c>
      <c r="F44" t="s">
        <v>574</v>
      </c>
      <c r="G44" s="1386"/>
      <c r="H44" s="1387"/>
      <c r="I44" s="1387"/>
      <c r="J44" s="1387"/>
      <c r="K44" s="1387"/>
      <c r="L44" s="1387"/>
      <c r="M44" s="1387"/>
      <c r="N44" s="1387"/>
      <c r="O44" s="1387"/>
      <c r="P44" s="1387"/>
      <c r="Q44" s="1387"/>
      <c r="R44" s="1387"/>
      <c r="S44" s="1387"/>
      <c r="T44" s="1387"/>
      <c r="U44" s="1387"/>
      <c r="V44" s="1387"/>
      <c r="W44" s="1387"/>
      <c r="X44" s="1387"/>
      <c r="Y44" s="1387"/>
      <c r="Z44" s="1387"/>
      <c r="AA44" s="1387"/>
      <c r="AB44" s="1387"/>
      <c r="AC44" s="1387"/>
      <c r="AD44" s="1387"/>
      <c r="AE44" s="1387"/>
      <c r="AF44" s="1387"/>
      <c r="AG44" s="1387"/>
      <c r="AH44" s="1387"/>
      <c r="AI44" s="1387"/>
      <c r="AJ44" s="1387"/>
      <c r="AK44" s="1387"/>
      <c r="AL44" s="1387"/>
      <c r="AM44" s="1387"/>
      <c r="AN44" s="1387"/>
      <c r="AO44" s="1387"/>
      <c r="AP44" s="1387"/>
      <c r="AQ44" s="1387"/>
      <c r="AR44" s="1387"/>
      <c r="AS44" s="1387"/>
      <c r="AT44" s="1387"/>
      <c r="AU44" s="1387"/>
    </row>
    <row r="45" spans="1:48">
      <c r="A45" s="1386"/>
      <c r="B45" s="1386" t="s">
        <v>565</v>
      </c>
      <c r="C45" s="980">
        <v>985</v>
      </c>
      <c r="D45" s="982">
        <v>998000</v>
      </c>
      <c r="E45" s="982">
        <f t="shared" si="6"/>
        <v>1013.1979695431472</v>
      </c>
      <c r="F45" t="s">
        <v>572</v>
      </c>
      <c r="G45" s="1386"/>
      <c r="H45" s="1387"/>
      <c r="I45" s="1387"/>
      <c r="J45" s="1387"/>
      <c r="K45" s="1387"/>
      <c r="L45" s="1387"/>
      <c r="M45" s="1387"/>
      <c r="N45" s="1387"/>
      <c r="O45" s="1387"/>
      <c r="P45" s="1387"/>
      <c r="Q45" s="1387"/>
      <c r="R45" s="1387"/>
      <c r="S45" s="1387"/>
      <c r="T45" s="1387"/>
      <c r="U45" s="1387"/>
      <c r="V45" s="1387"/>
      <c r="W45" s="1387"/>
      <c r="X45" s="1387"/>
      <c r="Y45" s="1387"/>
      <c r="Z45" s="1387"/>
      <c r="AA45" s="1387"/>
      <c r="AB45" s="1387"/>
      <c r="AC45" s="1387"/>
      <c r="AD45" s="1387"/>
      <c r="AE45" s="1387"/>
      <c r="AF45" s="1387"/>
      <c r="AG45" s="1387"/>
      <c r="AH45" s="1387"/>
      <c r="AI45" s="1387"/>
      <c r="AJ45" s="1387"/>
      <c r="AK45" s="1387"/>
      <c r="AL45" s="1387"/>
      <c r="AM45" s="1387"/>
      <c r="AN45" s="1387"/>
      <c r="AO45" s="1387"/>
      <c r="AP45" s="1387"/>
      <c r="AQ45" s="1387"/>
      <c r="AR45" s="1387"/>
      <c r="AS45" s="1387"/>
      <c r="AT45" s="1387"/>
      <c r="AU45" s="1387"/>
    </row>
    <row r="46" spans="1:48">
      <c r="A46" s="1386"/>
      <c r="B46" s="1386" t="s">
        <v>565</v>
      </c>
      <c r="C46" s="980">
        <v>985</v>
      </c>
      <c r="D46" s="982">
        <v>983000</v>
      </c>
      <c r="E46" s="982">
        <f t="shared" si="6"/>
        <v>997.96954314720813</v>
      </c>
      <c r="F46" t="s">
        <v>572</v>
      </c>
      <c r="G46" s="1386"/>
      <c r="H46" s="1387"/>
      <c r="I46" s="1387"/>
      <c r="J46" s="1387"/>
      <c r="K46" s="1387"/>
      <c r="L46" s="1387"/>
      <c r="M46" s="1387"/>
      <c r="N46" s="1387"/>
      <c r="O46" s="1387"/>
      <c r="P46" s="1387"/>
      <c r="Q46" s="1387"/>
      <c r="R46" s="1387"/>
      <c r="S46" s="1387"/>
      <c r="T46" s="1387"/>
      <c r="U46" s="1387"/>
      <c r="V46" s="1387"/>
      <c r="W46" s="1387"/>
      <c r="X46" s="1387"/>
      <c r="Y46" s="1387"/>
      <c r="Z46" s="1387"/>
      <c r="AA46" s="1387"/>
      <c r="AB46" s="1387"/>
      <c r="AC46" s="1387"/>
      <c r="AD46" s="1387"/>
      <c r="AE46" s="1387"/>
      <c r="AF46" s="1387"/>
      <c r="AG46" s="1387"/>
      <c r="AH46" s="1387"/>
      <c r="AI46" s="1387"/>
      <c r="AJ46" s="1387"/>
      <c r="AK46" s="1387"/>
      <c r="AL46" s="1387"/>
      <c r="AM46" s="1387"/>
      <c r="AN46" s="1387"/>
      <c r="AO46" s="1387"/>
      <c r="AP46" s="1387"/>
      <c r="AQ46" s="1387"/>
      <c r="AR46" s="1387"/>
      <c r="AS46" s="1387"/>
      <c r="AT46" s="1387"/>
      <c r="AU46" s="1387"/>
    </row>
    <row r="47" spans="1:48">
      <c r="A47" s="1386"/>
      <c r="B47" s="1386" t="s">
        <v>570</v>
      </c>
      <c r="C47" s="980">
        <v>1006</v>
      </c>
      <c r="D47" s="982">
        <v>970000</v>
      </c>
      <c r="E47" s="982">
        <f>D47/C47</f>
        <v>964.21471172962231</v>
      </c>
      <c r="F47" t="s">
        <v>572</v>
      </c>
      <c r="G47" s="1386"/>
      <c r="H47" s="1387"/>
      <c r="I47" s="1387"/>
      <c r="J47" s="1387"/>
      <c r="K47" s="1387"/>
      <c r="L47" s="1387"/>
      <c r="M47" s="1387"/>
      <c r="N47" s="1387"/>
      <c r="O47" s="1387"/>
      <c r="P47" s="1387"/>
      <c r="Q47" s="1387"/>
      <c r="R47" s="1387"/>
      <c r="S47" s="1387"/>
      <c r="T47" s="1387"/>
      <c r="U47" s="1387"/>
      <c r="V47" s="1387"/>
      <c r="W47" s="1387"/>
      <c r="X47" s="1387"/>
      <c r="Y47" s="1387"/>
      <c r="Z47" s="1387"/>
      <c r="AA47" s="1387"/>
      <c r="AB47" s="1387"/>
      <c r="AC47" s="1387"/>
      <c r="AD47" s="1387"/>
      <c r="AE47" s="1387"/>
      <c r="AF47" s="1387"/>
      <c r="AG47" s="1387"/>
      <c r="AH47" s="1387"/>
      <c r="AI47" s="1387"/>
      <c r="AJ47" s="1387"/>
      <c r="AK47" s="1387"/>
      <c r="AL47" s="1387"/>
      <c r="AM47" s="1387"/>
      <c r="AN47" s="1387"/>
      <c r="AO47" s="1387"/>
      <c r="AP47" s="1387"/>
      <c r="AQ47" s="1387"/>
      <c r="AR47" s="1387"/>
      <c r="AS47" s="1387"/>
      <c r="AT47" s="1387"/>
      <c r="AU47" s="1387"/>
    </row>
    <row r="48" spans="1:48">
      <c r="A48" s="1386"/>
      <c r="B48" s="1386" t="s">
        <v>569</v>
      </c>
      <c r="C48" s="980">
        <v>1045</v>
      </c>
      <c r="D48" s="982">
        <v>989000</v>
      </c>
      <c r="E48" s="982">
        <f>D48/C48</f>
        <v>946.41148325358847</v>
      </c>
      <c r="F48" t="s">
        <v>572</v>
      </c>
      <c r="G48" s="1386"/>
      <c r="H48" s="1387"/>
      <c r="I48" s="1387"/>
      <c r="J48" s="1387"/>
      <c r="K48" s="1387"/>
      <c r="L48" s="1387"/>
      <c r="M48" s="1387"/>
      <c r="N48" s="1387"/>
      <c r="O48" s="1387"/>
      <c r="P48" s="1387"/>
      <c r="Q48" s="1387"/>
      <c r="R48" s="1387"/>
      <c r="S48" s="1387"/>
      <c r="T48" s="1387"/>
      <c r="U48" s="1387"/>
      <c r="V48" s="1387"/>
      <c r="W48" s="1387"/>
      <c r="X48" s="1387"/>
      <c r="Y48" s="1387"/>
      <c r="Z48" s="1387"/>
      <c r="AA48" s="1387"/>
      <c r="AB48" s="1387"/>
      <c r="AC48" s="1387"/>
      <c r="AD48" s="1387"/>
      <c r="AE48" s="1387"/>
      <c r="AF48" s="1387"/>
      <c r="AG48" s="1387"/>
      <c r="AH48" s="1387"/>
      <c r="AI48" s="1387"/>
      <c r="AJ48" s="1387"/>
      <c r="AK48" s="1387"/>
      <c r="AL48" s="1387"/>
      <c r="AM48" s="1387"/>
      <c r="AN48" s="1387"/>
      <c r="AO48" s="1387"/>
      <c r="AP48" s="1387"/>
      <c r="AQ48" s="1387"/>
      <c r="AR48" s="1387"/>
      <c r="AS48" s="1387"/>
      <c r="AT48" s="1387"/>
      <c r="AU48" s="1387"/>
    </row>
    <row r="49" spans="1:47">
      <c r="A49" s="1386"/>
      <c r="B49" s="1386" t="s">
        <v>570</v>
      </c>
      <c r="C49" s="980">
        <v>1156</v>
      </c>
      <c r="D49" s="982">
        <v>1160000</v>
      </c>
      <c r="E49" s="982">
        <f>D49/C49</f>
        <v>1003.4602076124568</v>
      </c>
      <c r="F49" t="s">
        <v>572</v>
      </c>
      <c r="G49" s="1386"/>
      <c r="H49" s="1387"/>
      <c r="I49" s="1387"/>
      <c r="J49" s="1387"/>
      <c r="K49" s="1387"/>
      <c r="L49" s="1387"/>
      <c r="M49" s="1387"/>
      <c r="N49" s="1387"/>
      <c r="O49" s="1387"/>
      <c r="P49" s="1387"/>
      <c r="Q49" s="1387"/>
      <c r="R49" s="1387"/>
      <c r="S49" s="1387"/>
      <c r="T49" s="1387"/>
      <c r="U49" s="1387"/>
      <c r="V49" s="1387"/>
      <c r="W49" s="1387"/>
      <c r="X49" s="1387"/>
      <c r="Y49" s="1387"/>
      <c r="Z49" s="1387"/>
      <c r="AA49" s="1387"/>
      <c r="AB49" s="1387"/>
      <c r="AC49" s="1387"/>
      <c r="AD49" s="1387"/>
      <c r="AE49" s="1387"/>
      <c r="AF49" s="1387"/>
      <c r="AG49" s="1387"/>
      <c r="AH49" s="1387"/>
      <c r="AI49" s="1387"/>
      <c r="AJ49" s="1387"/>
      <c r="AK49" s="1387"/>
      <c r="AL49" s="1387"/>
      <c r="AM49" s="1387"/>
      <c r="AN49" s="1387"/>
      <c r="AO49" s="1387"/>
      <c r="AP49" s="1387"/>
      <c r="AQ49" s="1387"/>
      <c r="AR49" s="1387"/>
      <c r="AS49" s="1387"/>
      <c r="AT49" s="1387"/>
      <c r="AU49" s="1387"/>
    </row>
    <row r="50" spans="1:47">
      <c r="A50" s="1386"/>
      <c r="B50" s="1386" t="s">
        <v>569</v>
      </c>
      <c r="C50" s="980">
        <v>1436</v>
      </c>
      <c r="D50" s="982">
        <v>1400000</v>
      </c>
      <c r="E50" s="982">
        <f>D50/C50</f>
        <v>974.93036211699166</v>
      </c>
      <c r="F50" t="s">
        <v>572</v>
      </c>
      <c r="G50" s="1386"/>
      <c r="H50" s="1387"/>
      <c r="I50" s="1387"/>
      <c r="J50" s="1387"/>
      <c r="K50" s="1387"/>
      <c r="L50" s="1387"/>
      <c r="M50" s="1387"/>
      <c r="N50" s="1387"/>
      <c r="O50" s="1387"/>
      <c r="P50" s="1387"/>
      <c r="Q50" s="1387"/>
      <c r="R50" s="1387"/>
      <c r="S50" s="1387"/>
      <c r="T50" s="1387"/>
      <c r="U50" s="1387"/>
      <c r="V50" s="1387"/>
      <c r="W50" s="1387"/>
      <c r="X50" s="1387"/>
      <c r="Y50" s="1387"/>
      <c r="Z50" s="1387"/>
      <c r="AA50" s="1387"/>
      <c r="AB50" s="1387"/>
      <c r="AC50" s="1387"/>
      <c r="AD50" s="1387"/>
      <c r="AE50" s="1387"/>
      <c r="AF50" s="1387"/>
      <c r="AG50" s="1387"/>
      <c r="AH50" s="1387"/>
      <c r="AI50" s="1387"/>
      <c r="AJ50" s="1387"/>
      <c r="AK50" s="1387"/>
      <c r="AL50" s="1387"/>
      <c r="AM50" s="1387"/>
      <c r="AN50" s="1387"/>
      <c r="AO50" s="1387"/>
      <c r="AP50" s="1387"/>
      <c r="AQ50" s="1387"/>
      <c r="AR50" s="1387"/>
      <c r="AS50" s="1387"/>
      <c r="AT50" s="1387"/>
      <c r="AU50" s="1387"/>
    </row>
    <row r="51" spans="1:47">
      <c r="A51" s="1386"/>
      <c r="B51" s="1386" t="s">
        <v>569</v>
      </c>
      <c r="C51" s="980">
        <v>1531</v>
      </c>
      <c r="D51" s="982">
        <v>1330000</v>
      </c>
      <c r="E51" s="982">
        <f>D51/C51</f>
        <v>868.71325930764203</v>
      </c>
      <c r="F51" t="s">
        <v>572</v>
      </c>
      <c r="G51" s="1386"/>
      <c r="H51" s="1387"/>
      <c r="I51" s="1387"/>
      <c r="J51" s="1387"/>
      <c r="K51" s="1387"/>
      <c r="L51" s="1387"/>
      <c r="M51" s="1387"/>
      <c r="N51" s="1387"/>
      <c r="O51" s="1387"/>
      <c r="P51" s="1387"/>
      <c r="Q51" s="1387"/>
      <c r="R51" s="1387"/>
      <c r="S51" s="1387"/>
      <c r="T51" s="1387"/>
      <c r="U51" s="1387"/>
      <c r="V51" s="1387"/>
      <c r="W51" s="1387"/>
      <c r="X51" s="1387"/>
      <c r="Y51" s="1387"/>
      <c r="Z51" s="1387"/>
      <c r="AA51" s="1387"/>
      <c r="AB51" s="1387"/>
      <c r="AC51" s="1387"/>
      <c r="AD51" s="1387"/>
      <c r="AE51" s="1387"/>
      <c r="AF51" s="1387"/>
      <c r="AG51" s="1387"/>
      <c r="AH51" s="1387"/>
      <c r="AI51" s="1387"/>
      <c r="AJ51" s="1387"/>
      <c r="AK51" s="1387"/>
      <c r="AL51" s="1387"/>
      <c r="AM51" s="1387"/>
      <c r="AN51" s="1387"/>
      <c r="AO51" s="1387"/>
      <c r="AP51" s="1387"/>
      <c r="AQ51" s="1387"/>
      <c r="AR51" s="1387"/>
      <c r="AS51" s="1387"/>
      <c r="AT51" s="1387"/>
      <c r="AU51" s="1387"/>
    </row>
    <row r="52" spans="1:47">
      <c r="A52" s="1386"/>
      <c r="B52" s="1386"/>
      <c r="C52" s="1386"/>
      <c r="D52" s="1386"/>
      <c r="E52" s="1386"/>
      <c r="F52"/>
      <c r="G52" s="1386"/>
      <c r="H52" s="1387"/>
      <c r="I52" s="1387"/>
      <c r="J52" s="1387"/>
      <c r="K52" s="1387"/>
      <c r="L52" s="1387"/>
      <c r="M52" s="1387"/>
      <c r="N52" s="1387"/>
      <c r="O52" s="1387"/>
      <c r="P52" s="1387"/>
      <c r="Q52" s="1387"/>
      <c r="R52" s="1387"/>
      <c r="S52" s="1387"/>
      <c r="T52" s="1387"/>
      <c r="U52" s="1387"/>
      <c r="V52" s="1387"/>
      <c r="W52" s="1387"/>
      <c r="X52" s="1387"/>
      <c r="Y52" s="1387"/>
      <c r="Z52" s="1387"/>
      <c r="AA52" s="1387"/>
      <c r="AB52" s="1387"/>
      <c r="AC52" s="1387"/>
      <c r="AD52" s="1387"/>
      <c r="AE52" s="1387"/>
      <c r="AF52" s="1387"/>
      <c r="AG52" s="1387"/>
      <c r="AH52" s="1387"/>
      <c r="AI52" s="1387"/>
      <c r="AJ52" s="1387"/>
      <c r="AK52" s="1387"/>
      <c r="AL52" s="1387"/>
      <c r="AM52" s="1387"/>
      <c r="AN52" s="1387"/>
      <c r="AO52" s="1387"/>
      <c r="AP52" s="1387"/>
      <c r="AQ52" s="1387"/>
      <c r="AR52" s="1387"/>
      <c r="AS52" s="1387"/>
      <c r="AT52" s="1387"/>
      <c r="AU52" s="1387"/>
    </row>
    <row r="53" spans="1:47">
      <c r="A53" s="1386"/>
      <c r="B53" s="1386"/>
      <c r="C53" s="1386"/>
      <c r="D53" s="1386"/>
      <c r="E53" s="1386"/>
      <c r="F53"/>
      <c r="G53" s="1386"/>
      <c r="H53" s="1387"/>
      <c r="I53" s="1387"/>
      <c r="J53" s="1387"/>
      <c r="K53" s="1387"/>
      <c r="L53" s="1387"/>
      <c r="M53" s="1387"/>
      <c r="N53" s="1387"/>
      <c r="O53" s="1387"/>
      <c r="P53" s="1387"/>
      <c r="Q53" s="1387"/>
      <c r="R53" s="1387"/>
      <c r="S53" s="1387"/>
      <c r="T53" s="1387"/>
      <c r="U53" s="1387"/>
      <c r="V53" s="1387"/>
      <c r="W53" s="1387"/>
      <c r="X53" s="1387"/>
      <c r="Y53" s="1387"/>
      <c r="Z53" s="1387"/>
      <c r="AA53" s="1387"/>
      <c r="AB53" s="1387"/>
      <c r="AC53" s="1387"/>
      <c r="AD53" s="1387"/>
      <c r="AE53" s="1387"/>
      <c r="AF53" s="1387"/>
      <c r="AG53" s="1387"/>
      <c r="AH53" s="1387"/>
      <c r="AI53" s="1387"/>
      <c r="AJ53" s="1387"/>
      <c r="AK53" s="1387"/>
      <c r="AL53" s="1387"/>
      <c r="AM53" s="1387"/>
      <c r="AN53" s="1387"/>
      <c r="AO53" s="1387"/>
      <c r="AP53" s="1387"/>
      <c r="AQ53" s="1387"/>
      <c r="AR53" s="1387"/>
      <c r="AS53" s="1387"/>
      <c r="AT53" s="1387"/>
      <c r="AU53" s="1387"/>
    </row>
    <row r="54" spans="1:47">
      <c r="A54" s="1386"/>
      <c r="B54" s="1414" t="s">
        <v>444</v>
      </c>
      <c r="C54" s="1414"/>
      <c r="D54" s="1414"/>
      <c r="E54" s="1414"/>
      <c r="F54" s="1414"/>
      <c r="G54" s="1386"/>
      <c r="H54" s="1387"/>
      <c r="I54" s="1387"/>
      <c r="J54" s="1387"/>
      <c r="K54" s="1387"/>
      <c r="L54" s="1387"/>
      <c r="M54" s="1387"/>
      <c r="N54" s="1387"/>
      <c r="O54" s="1387"/>
      <c r="P54" s="1387"/>
      <c r="Q54" s="1387"/>
      <c r="R54" s="1387"/>
      <c r="S54" s="1387"/>
      <c r="T54" s="1387"/>
      <c r="U54" s="1387"/>
      <c r="V54" s="1387"/>
      <c r="W54" s="1387"/>
      <c r="X54" s="1387"/>
      <c r="Y54" s="1387"/>
      <c r="Z54" s="1387"/>
      <c r="AA54" s="1387"/>
      <c r="AB54" s="1387"/>
      <c r="AC54" s="1387"/>
      <c r="AD54" s="1387"/>
      <c r="AE54" s="1387"/>
      <c r="AF54" s="1387"/>
      <c r="AG54" s="1387"/>
      <c r="AH54" s="1387"/>
      <c r="AI54" s="1387"/>
      <c r="AJ54" s="1387"/>
      <c r="AK54" s="1387"/>
      <c r="AL54" s="1387"/>
      <c r="AM54" s="1387"/>
      <c r="AN54" s="1387"/>
      <c r="AO54" s="1387"/>
      <c r="AP54" s="1387"/>
      <c r="AQ54" s="1387"/>
      <c r="AR54" s="1387"/>
      <c r="AS54" s="1387"/>
      <c r="AT54" s="1387"/>
      <c r="AU54" s="1387"/>
    </row>
    <row r="55" spans="1:47">
      <c r="A55" s="1386"/>
      <c r="B55"/>
      <c r="C55"/>
      <c r="D55"/>
      <c r="E55"/>
      <c r="F55"/>
      <c r="G55" s="1386"/>
      <c r="H55" s="1387"/>
      <c r="I55" s="1387"/>
      <c r="J55" s="1387"/>
      <c r="K55" s="1387"/>
      <c r="L55" s="1387"/>
      <c r="M55" s="1387"/>
      <c r="N55" s="1387"/>
      <c r="O55" s="1387"/>
      <c r="P55" s="1387"/>
      <c r="Q55" s="1387"/>
      <c r="R55" s="1387"/>
      <c r="S55" s="1387"/>
      <c r="T55" s="1387"/>
      <c r="U55" s="1387"/>
      <c r="V55" s="1387"/>
      <c r="W55" s="1387"/>
      <c r="X55" s="1387"/>
      <c r="Y55" s="1387"/>
      <c r="Z55" s="1387"/>
      <c r="AA55" s="1387"/>
      <c r="AB55" s="1387"/>
      <c r="AC55" s="1387"/>
      <c r="AD55" s="1387"/>
      <c r="AE55" s="1387"/>
      <c r="AF55" s="1387"/>
      <c r="AG55" s="1387"/>
      <c r="AH55" s="1387"/>
      <c r="AI55" s="1387"/>
      <c r="AJ55" s="1387"/>
      <c r="AK55" s="1387"/>
      <c r="AL55" s="1387"/>
      <c r="AM55" s="1387"/>
      <c r="AN55" s="1387"/>
      <c r="AO55" s="1387"/>
      <c r="AP55" s="1387"/>
      <c r="AQ55" s="1387"/>
      <c r="AR55" s="1387"/>
      <c r="AS55" s="1387"/>
      <c r="AT55" s="1387"/>
      <c r="AU55" s="1387"/>
    </row>
    <row r="56" spans="1:47">
      <c r="A56" s="1386"/>
      <c r="B56" s="1093" t="s">
        <v>372</v>
      </c>
      <c r="C56" s="1092" t="s">
        <v>373</v>
      </c>
      <c r="D56" s="1092" t="s">
        <v>374</v>
      </c>
      <c r="E56" s="1092" t="s">
        <v>130</v>
      </c>
      <c r="F56" s="1092" t="s">
        <v>445</v>
      </c>
      <c r="G56" s="1386"/>
      <c r="H56" s="1387"/>
      <c r="I56" s="1387"/>
      <c r="J56" s="1387"/>
      <c r="K56" s="1387"/>
      <c r="L56" s="1387"/>
      <c r="M56" s="1387"/>
      <c r="N56" s="1387"/>
      <c r="O56" s="1387"/>
      <c r="P56" s="1387"/>
      <c r="Q56" s="1387"/>
      <c r="R56" s="1387"/>
      <c r="S56" s="1387"/>
      <c r="T56" s="1387"/>
      <c r="U56" s="1387"/>
      <c r="V56" s="1387"/>
      <c r="W56" s="1387"/>
      <c r="X56" s="1387"/>
      <c r="Y56" s="1387"/>
      <c r="Z56" s="1387"/>
      <c r="AA56" s="1387"/>
      <c r="AB56" s="1387"/>
      <c r="AC56" s="1387"/>
      <c r="AD56" s="1387"/>
      <c r="AE56" s="1387"/>
      <c r="AF56" s="1387"/>
      <c r="AG56" s="1387"/>
      <c r="AH56" s="1387"/>
      <c r="AI56" s="1387"/>
      <c r="AJ56" s="1387"/>
      <c r="AK56" s="1387"/>
      <c r="AL56" s="1387"/>
      <c r="AM56" s="1387"/>
      <c r="AN56" s="1387"/>
      <c r="AO56" s="1387"/>
      <c r="AP56" s="1387"/>
      <c r="AQ56" s="1387"/>
      <c r="AR56" s="1387"/>
      <c r="AS56" s="1387"/>
      <c r="AT56" s="1387"/>
      <c r="AU56" s="1387"/>
    </row>
    <row r="57" spans="1:47">
      <c r="A57" s="1386"/>
      <c r="B57" t="s">
        <v>375</v>
      </c>
      <c r="C57" s="980">
        <v>166</v>
      </c>
      <c r="D57" s="982">
        <v>55500000</v>
      </c>
      <c r="E57" s="982">
        <f t="shared" ref="E57:E60" si="7">D57/C57</f>
        <v>334337.34939759038</v>
      </c>
      <c r="F57" s="1420" t="s">
        <v>576</v>
      </c>
      <c r="G57" s="1386"/>
      <c r="H57" s="1387"/>
      <c r="I57" s="1387"/>
      <c r="J57" s="1387"/>
      <c r="K57" s="1387"/>
      <c r="L57" s="1387"/>
      <c r="M57" s="1387"/>
      <c r="N57" s="1387"/>
      <c r="O57" s="1387"/>
      <c r="P57" s="1387"/>
      <c r="Q57" s="1387"/>
      <c r="R57" s="1387"/>
      <c r="S57" s="1387"/>
      <c r="T57" s="1387"/>
      <c r="U57" s="1387"/>
      <c r="V57" s="1387"/>
      <c r="W57" s="1387"/>
      <c r="X57" s="1387"/>
      <c r="Y57" s="1387"/>
      <c r="Z57" s="1387"/>
      <c r="AA57" s="1387"/>
      <c r="AB57" s="1387"/>
      <c r="AC57" s="1387"/>
      <c r="AD57" s="1387"/>
      <c r="AE57" s="1387"/>
      <c r="AF57" s="1387"/>
      <c r="AG57" s="1387"/>
      <c r="AH57" s="1387"/>
      <c r="AI57" s="1387"/>
      <c r="AJ57" s="1387"/>
      <c r="AK57" s="1387"/>
      <c r="AL57" s="1387"/>
      <c r="AM57" s="1387"/>
      <c r="AN57" s="1387"/>
      <c r="AO57" s="1387"/>
      <c r="AP57" s="1387"/>
      <c r="AQ57" s="1387"/>
      <c r="AR57" s="1387"/>
      <c r="AS57" s="1387"/>
      <c r="AT57" s="1387"/>
      <c r="AU57" s="1387"/>
    </row>
    <row r="58" spans="1:47">
      <c r="A58" s="1386"/>
      <c r="B58" t="s">
        <v>376</v>
      </c>
      <c r="C58" s="980">
        <v>132</v>
      </c>
      <c r="D58" s="982">
        <v>45150000</v>
      </c>
      <c r="E58" s="982">
        <f t="shared" si="7"/>
        <v>342045.45454545453</v>
      </c>
      <c r="F58" s="1420" t="s">
        <v>577</v>
      </c>
      <c r="G58" s="1386"/>
      <c r="H58" s="1387"/>
      <c r="I58" s="1387"/>
      <c r="J58" s="1387"/>
      <c r="K58" s="1387"/>
      <c r="L58" s="1387"/>
      <c r="M58" s="1387"/>
      <c r="N58" s="1387"/>
      <c r="O58" s="1387"/>
      <c r="P58" s="1387"/>
      <c r="Q58" s="1387"/>
      <c r="R58" s="1387"/>
      <c r="S58" s="1387"/>
      <c r="T58" s="1387"/>
      <c r="U58" s="1387"/>
      <c r="V58" s="1387"/>
      <c r="W58" s="1387"/>
      <c r="X58" s="1387"/>
      <c r="Y58" s="1387"/>
      <c r="Z58" s="1387"/>
      <c r="AA58" s="1387"/>
      <c r="AB58" s="1387"/>
      <c r="AC58" s="1387"/>
      <c r="AD58" s="1387"/>
      <c r="AE58" s="1387"/>
      <c r="AF58" s="1387"/>
      <c r="AG58" s="1387"/>
      <c r="AH58" s="1387"/>
      <c r="AI58" s="1387"/>
      <c r="AJ58" s="1387"/>
      <c r="AK58" s="1387"/>
      <c r="AL58" s="1387"/>
      <c r="AM58" s="1387"/>
      <c r="AN58" s="1387"/>
      <c r="AO58" s="1387"/>
      <c r="AP58" s="1387"/>
      <c r="AQ58" s="1387"/>
      <c r="AR58" s="1387"/>
      <c r="AS58" s="1387"/>
      <c r="AT58" s="1387"/>
      <c r="AU58" s="1387"/>
    </row>
    <row r="59" spans="1:47">
      <c r="A59" s="1386"/>
      <c r="B59" t="s">
        <v>377</v>
      </c>
      <c r="C59" s="980">
        <v>243</v>
      </c>
      <c r="D59" s="982">
        <v>97000000</v>
      </c>
      <c r="E59" s="982">
        <f t="shared" si="7"/>
        <v>399176.95473251026</v>
      </c>
      <c r="F59" s="1420" t="s">
        <v>577</v>
      </c>
      <c r="G59" s="1386"/>
      <c r="H59" s="1387"/>
      <c r="I59" s="1387"/>
      <c r="J59" s="1387"/>
      <c r="K59" s="1387"/>
      <c r="L59" s="1387"/>
      <c r="M59" s="1387"/>
      <c r="N59" s="1387"/>
      <c r="O59" s="1387"/>
      <c r="P59" s="1387"/>
      <c r="Q59" s="1387"/>
      <c r="R59" s="1387"/>
      <c r="S59" s="1387"/>
      <c r="T59" s="1387"/>
      <c r="U59" s="1387"/>
      <c r="V59" s="1387"/>
      <c r="W59" s="1387"/>
      <c r="X59" s="1387"/>
      <c r="Y59" s="1387"/>
      <c r="Z59" s="1387"/>
      <c r="AA59" s="1387"/>
      <c r="AB59" s="1387"/>
      <c r="AC59" s="1387"/>
      <c r="AD59" s="1387"/>
      <c r="AE59" s="1387"/>
      <c r="AF59" s="1387"/>
      <c r="AG59" s="1387"/>
      <c r="AH59" s="1387"/>
      <c r="AI59" s="1387"/>
      <c r="AJ59" s="1387"/>
      <c r="AK59" s="1387"/>
      <c r="AL59" s="1387"/>
      <c r="AM59" s="1387"/>
      <c r="AN59" s="1387"/>
      <c r="AO59" s="1387"/>
      <c r="AP59" s="1387"/>
      <c r="AQ59" s="1387"/>
      <c r="AR59" s="1387"/>
      <c r="AS59" s="1387"/>
      <c r="AT59" s="1387"/>
      <c r="AU59" s="1387"/>
    </row>
    <row r="60" spans="1:47">
      <c r="A60" s="1386"/>
      <c r="B60" t="s">
        <v>378</v>
      </c>
      <c r="C60" s="980">
        <v>45</v>
      </c>
      <c r="D60" s="982">
        <v>28500000</v>
      </c>
      <c r="E60" s="982">
        <f t="shared" si="7"/>
        <v>633333.33333333337</v>
      </c>
      <c r="F60" s="1420" t="s">
        <v>578</v>
      </c>
      <c r="G60" s="1386"/>
      <c r="H60" s="1387"/>
      <c r="I60" s="1387"/>
      <c r="J60" s="1387"/>
      <c r="K60" s="1387"/>
      <c r="L60" s="1387"/>
      <c r="M60" s="1387"/>
      <c r="N60" s="1387"/>
      <c r="O60" s="1387"/>
      <c r="P60" s="1387"/>
      <c r="Q60" s="1387"/>
      <c r="R60" s="1387"/>
      <c r="S60" s="1387"/>
      <c r="T60" s="1387"/>
      <c r="U60" s="1387"/>
      <c r="V60" s="1387"/>
      <c r="W60" s="1387"/>
      <c r="X60" s="1387"/>
      <c r="Y60" s="1387"/>
      <c r="Z60" s="1387"/>
      <c r="AA60" s="1387"/>
      <c r="AB60" s="1387"/>
      <c r="AC60" s="1387"/>
      <c r="AD60" s="1387"/>
      <c r="AE60" s="1387"/>
      <c r="AF60" s="1387"/>
      <c r="AG60" s="1387"/>
      <c r="AH60" s="1387"/>
      <c r="AI60" s="1387"/>
      <c r="AJ60" s="1387"/>
      <c r="AK60" s="1387"/>
      <c r="AL60" s="1387"/>
      <c r="AM60" s="1387"/>
      <c r="AN60" s="1387"/>
      <c r="AO60" s="1387"/>
      <c r="AP60" s="1387"/>
      <c r="AQ60" s="1387"/>
      <c r="AR60" s="1387"/>
      <c r="AS60" s="1387"/>
      <c r="AT60" s="1387"/>
      <c r="AU60" s="1387"/>
    </row>
    <row r="61" spans="1:47">
      <c r="A61" s="1386"/>
      <c r="B61" t="s">
        <v>379</v>
      </c>
      <c r="C61" s="980">
        <v>125</v>
      </c>
      <c r="D61" s="982">
        <v>63500000</v>
      </c>
      <c r="E61" s="982">
        <f t="shared" ref="E61:E66" si="8">D61/C61</f>
        <v>508000</v>
      </c>
      <c r="F61" s="1420" t="s">
        <v>579</v>
      </c>
      <c r="G61" s="1386"/>
      <c r="H61" s="1387"/>
      <c r="I61" s="1387"/>
      <c r="J61" s="1387"/>
      <c r="K61" s="1387"/>
      <c r="L61" s="1387"/>
      <c r="M61" s="1387"/>
      <c r="N61" s="1387"/>
      <c r="O61" s="1387"/>
      <c r="P61" s="1387"/>
      <c r="Q61" s="1387"/>
      <c r="R61" s="1387"/>
      <c r="S61" s="1387"/>
      <c r="T61" s="1387"/>
      <c r="U61" s="1387"/>
      <c r="V61" s="1387"/>
      <c r="W61" s="1387"/>
      <c r="X61" s="1387"/>
      <c r="Y61" s="1387"/>
      <c r="Z61" s="1387"/>
      <c r="AA61" s="1387"/>
      <c r="AB61" s="1387"/>
      <c r="AC61" s="1387"/>
      <c r="AD61" s="1387"/>
      <c r="AE61" s="1387"/>
      <c r="AF61" s="1387"/>
      <c r="AG61" s="1387"/>
      <c r="AH61" s="1387"/>
      <c r="AI61" s="1387"/>
      <c r="AJ61" s="1387"/>
      <c r="AK61" s="1387"/>
      <c r="AL61" s="1387"/>
      <c r="AM61" s="1387"/>
      <c r="AN61" s="1387"/>
      <c r="AO61" s="1387"/>
      <c r="AP61" s="1387"/>
      <c r="AQ61" s="1387"/>
      <c r="AR61" s="1387"/>
      <c r="AS61" s="1387"/>
      <c r="AT61" s="1387"/>
      <c r="AU61" s="1387"/>
    </row>
    <row r="62" spans="1:47">
      <c r="A62" s="1386"/>
      <c r="B62" t="s">
        <v>380</v>
      </c>
      <c r="C62" s="980">
        <v>461</v>
      </c>
      <c r="D62" s="982">
        <v>322700000</v>
      </c>
      <c r="E62" s="982">
        <f t="shared" si="8"/>
        <v>700000</v>
      </c>
      <c r="F62" s="1420" t="s">
        <v>580</v>
      </c>
      <c r="G62" s="1386"/>
      <c r="H62" s="1387"/>
      <c r="I62" s="1387"/>
      <c r="J62" s="1387"/>
      <c r="K62" s="1387"/>
      <c r="L62" s="1387"/>
      <c r="M62" s="1387"/>
      <c r="N62" s="1387"/>
      <c r="O62" s="1387"/>
      <c r="P62" s="1387"/>
      <c r="Q62" s="1387"/>
      <c r="R62" s="1387"/>
      <c r="S62" s="1387"/>
      <c r="T62" s="1387"/>
      <c r="U62" s="1387"/>
      <c r="V62" s="1387"/>
      <c r="W62" s="1387"/>
      <c r="X62" s="1387"/>
      <c r="Y62" s="1387"/>
      <c r="Z62" s="1387"/>
      <c r="AA62" s="1387"/>
      <c r="AB62" s="1387"/>
      <c r="AC62" s="1387"/>
      <c r="AD62" s="1387"/>
      <c r="AE62" s="1387"/>
      <c r="AF62" s="1387"/>
      <c r="AG62" s="1387"/>
      <c r="AH62" s="1387"/>
      <c r="AI62" s="1387"/>
      <c r="AJ62" s="1387"/>
      <c r="AK62" s="1387"/>
      <c r="AL62" s="1387"/>
      <c r="AM62" s="1387"/>
      <c r="AN62" s="1387"/>
      <c r="AO62" s="1387"/>
      <c r="AP62" s="1387"/>
      <c r="AQ62" s="1387"/>
      <c r="AR62" s="1387"/>
      <c r="AS62" s="1387"/>
      <c r="AT62" s="1387"/>
      <c r="AU62" s="1387"/>
    </row>
    <row r="63" spans="1:47">
      <c r="A63" s="1386"/>
      <c r="B63" t="s">
        <v>381</v>
      </c>
      <c r="C63" s="980">
        <v>206</v>
      </c>
      <c r="D63" s="982">
        <v>104000000</v>
      </c>
      <c r="E63" s="982">
        <f t="shared" si="8"/>
        <v>504854.36893203884</v>
      </c>
      <c r="F63" s="1420" t="s">
        <v>581</v>
      </c>
      <c r="G63" s="1386"/>
      <c r="H63" s="1387"/>
      <c r="I63" s="1387"/>
      <c r="J63" s="1387"/>
      <c r="K63" s="1387"/>
      <c r="L63" s="1387"/>
      <c r="M63" s="1387"/>
      <c r="N63" s="1387"/>
      <c r="O63" s="1387"/>
      <c r="P63" s="1387"/>
      <c r="Q63" s="1387"/>
      <c r="R63" s="1387"/>
      <c r="S63" s="1387"/>
      <c r="T63" s="1387"/>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row>
    <row r="64" spans="1:47">
      <c r="A64" s="1386"/>
      <c r="B64" t="s">
        <v>382</v>
      </c>
      <c r="C64" s="980">
        <v>114</v>
      </c>
      <c r="D64" s="982">
        <v>65500000</v>
      </c>
      <c r="E64" s="982">
        <f t="shared" si="8"/>
        <v>574561.40350877191</v>
      </c>
      <c r="F64" s="1420" t="s">
        <v>582</v>
      </c>
      <c r="G64" s="1386"/>
      <c r="H64" s="1387"/>
      <c r="I64" s="1387"/>
      <c r="J64" s="1387"/>
      <c r="K64" s="1387"/>
      <c r="L64" s="1387"/>
      <c r="M64" s="1387"/>
      <c r="N64" s="1387"/>
      <c r="O64" s="1387"/>
      <c r="P64" s="1387"/>
      <c r="Q64" s="1387"/>
      <c r="R64" s="1387"/>
      <c r="S64" s="1387"/>
      <c r="T64" s="1387"/>
      <c r="U64" s="1387"/>
      <c r="V64" s="1387"/>
      <c r="W64" s="1387"/>
      <c r="X64" s="1387"/>
      <c r="Y64" s="1387"/>
      <c r="Z64" s="1387"/>
      <c r="AA64" s="1387"/>
      <c r="AB64" s="1387"/>
      <c r="AC64" s="1387"/>
      <c r="AD64" s="1387"/>
      <c r="AE64" s="1387"/>
      <c r="AF64" s="1387"/>
      <c r="AG64" s="1387"/>
      <c r="AH64" s="1387"/>
      <c r="AI64" s="1387"/>
      <c r="AJ64" s="1387"/>
      <c r="AK64" s="1387"/>
      <c r="AL64" s="1387"/>
      <c r="AM64" s="1387"/>
      <c r="AN64" s="1387"/>
      <c r="AO64" s="1387"/>
      <c r="AP64" s="1387"/>
      <c r="AQ64" s="1387"/>
      <c r="AR64" s="1387"/>
      <c r="AS64" s="1387"/>
      <c r="AT64" s="1387"/>
      <c r="AU64" s="1387"/>
    </row>
    <row r="65" spans="1:47">
      <c r="A65" s="1386"/>
      <c r="B65" t="s">
        <v>383</v>
      </c>
      <c r="C65" s="980">
        <v>135</v>
      </c>
      <c r="D65" s="982">
        <v>69000000</v>
      </c>
      <c r="E65" s="982">
        <f t="shared" si="8"/>
        <v>511111.11111111112</v>
      </c>
      <c r="F65" s="1420" t="s">
        <v>582</v>
      </c>
      <c r="G65" s="1386"/>
      <c r="H65" s="1387"/>
      <c r="I65" s="1387"/>
      <c r="J65" s="1387"/>
      <c r="K65" s="1387"/>
      <c r="L65" s="1387"/>
      <c r="M65" s="1387"/>
      <c r="N65" s="1387"/>
      <c r="O65" s="1387"/>
      <c r="P65" s="1387"/>
      <c r="Q65" s="1387"/>
      <c r="R65" s="1387"/>
      <c r="S65" s="1387"/>
      <c r="T65" s="1387"/>
      <c r="U65" s="1387"/>
      <c r="V65" s="1387"/>
      <c r="W65" s="1387"/>
      <c r="X65" s="1387"/>
      <c r="Y65" s="1387"/>
      <c r="Z65" s="1387"/>
      <c r="AA65" s="1387"/>
      <c r="AB65" s="1387"/>
      <c r="AC65" s="1387"/>
      <c r="AD65" s="1387"/>
      <c r="AE65" s="1387"/>
      <c r="AF65" s="1387"/>
      <c r="AG65" s="1387"/>
      <c r="AH65" s="1387"/>
      <c r="AI65" s="1387"/>
      <c r="AJ65" s="1387"/>
      <c r="AK65" s="1387"/>
      <c r="AL65" s="1387"/>
      <c r="AM65" s="1387"/>
      <c r="AN65" s="1387"/>
      <c r="AO65" s="1387"/>
      <c r="AP65" s="1387"/>
      <c r="AQ65" s="1387"/>
      <c r="AR65" s="1387"/>
      <c r="AS65" s="1387"/>
      <c r="AT65" s="1387"/>
      <c r="AU65" s="1387"/>
    </row>
    <row r="66" spans="1:47">
      <c r="A66" s="1386"/>
      <c r="B66" t="s">
        <v>384</v>
      </c>
      <c r="C66" s="980">
        <v>49</v>
      </c>
      <c r="D66" s="982">
        <v>29035000</v>
      </c>
      <c r="E66" s="982">
        <f t="shared" si="8"/>
        <v>592551.02040816331</v>
      </c>
      <c r="F66" s="1420" t="s">
        <v>583</v>
      </c>
      <c r="G66" s="1386"/>
      <c r="H66" s="1387"/>
      <c r="I66" s="1387"/>
      <c r="J66" s="1387"/>
      <c r="K66" s="1387"/>
      <c r="L66" s="1387"/>
      <c r="M66" s="1387"/>
      <c r="N66" s="1387"/>
      <c r="O66" s="1387"/>
      <c r="P66" s="1387"/>
      <c r="Q66" s="1387"/>
      <c r="R66" s="1387"/>
      <c r="S66" s="1387"/>
      <c r="T66" s="1387"/>
      <c r="U66" s="1387"/>
      <c r="V66" s="1387"/>
      <c r="W66" s="1387"/>
      <c r="X66" s="1387"/>
      <c r="Y66" s="1387"/>
      <c r="Z66" s="1387"/>
      <c r="AA66" s="1387"/>
      <c r="AB66" s="1387"/>
      <c r="AC66" s="1387"/>
      <c r="AD66" s="1387"/>
      <c r="AE66" s="1387"/>
      <c r="AF66" s="1387"/>
      <c r="AG66" s="1387"/>
      <c r="AH66" s="1387"/>
      <c r="AI66" s="1387"/>
      <c r="AJ66" s="1387"/>
      <c r="AK66" s="1387"/>
      <c r="AL66" s="1387"/>
      <c r="AM66" s="1387"/>
      <c r="AN66" s="1387"/>
      <c r="AO66" s="1387"/>
      <c r="AP66" s="1387"/>
      <c r="AQ66" s="1387"/>
      <c r="AR66" s="1387"/>
      <c r="AS66" s="1387"/>
      <c r="AT66" s="1387"/>
      <c r="AU66" s="1387"/>
    </row>
    <row r="67" spans="1:47">
      <c r="A67" s="1386"/>
      <c r="B67" s="1386"/>
      <c r="C67" s="1386"/>
      <c r="D67" s="1386"/>
      <c r="E67" s="1386"/>
      <c r="F67" s="1386"/>
      <c r="G67" s="1386"/>
      <c r="H67" s="1387"/>
      <c r="I67" s="1387"/>
      <c r="J67" s="1387"/>
      <c r="K67" s="1387"/>
      <c r="L67" s="1387"/>
      <c r="M67" s="1387"/>
      <c r="N67" s="1387"/>
      <c r="O67" s="1387"/>
      <c r="P67" s="1387"/>
      <c r="Q67" s="1387"/>
      <c r="R67" s="1387"/>
      <c r="S67" s="1387"/>
      <c r="T67" s="1387"/>
      <c r="U67" s="1387"/>
      <c r="V67" s="1387"/>
      <c r="W67" s="1387"/>
      <c r="X67" s="1387"/>
      <c r="Y67" s="1387"/>
      <c r="Z67" s="1387"/>
      <c r="AA67" s="1387"/>
      <c r="AB67" s="1387"/>
      <c r="AC67" s="1387"/>
      <c r="AD67" s="1387"/>
      <c r="AE67" s="1387"/>
      <c r="AF67" s="1387"/>
      <c r="AG67" s="1387"/>
      <c r="AH67" s="1387"/>
      <c r="AI67" s="1387"/>
      <c r="AJ67" s="1387"/>
      <c r="AK67" s="1387"/>
      <c r="AL67" s="1387"/>
      <c r="AM67" s="1387"/>
      <c r="AN67" s="1387"/>
      <c r="AO67" s="1387"/>
      <c r="AP67" s="1387"/>
      <c r="AQ67" s="1387"/>
      <c r="AR67" s="1387"/>
      <c r="AS67" s="1387"/>
      <c r="AT67" s="1387"/>
      <c r="AU67" s="1387"/>
    </row>
    <row r="68" spans="1:47">
      <c r="A68" s="1386"/>
      <c r="B68" s="1386" t="s">
        <v>584</v>
      </c>
      <c r="C68" s="1386"/>
      <c r="D68" s="1386"/>
      <c r="E68" s="1386"/>
      <c r="F68" s="1386"/>
      <c r="G68" s="1386"/>
      <c r="H68" s="1387"/>
      <c r="I68" s="1387"/>
      <c r="J68" s="1387"/>
      <c r="K68" s="1387"/>
      <c r="L68" s="1387"/>
      <c r="M68" s="1387"/>
      <c r="N68" s="1387"/>
      <c r="O68" s="1387"/>
      <c r="P68" s="1387"/>
      <c r="Q68" s="1387"/>
      <c r="R68" s="1387"/>
      <c r="S68" s="1387"/>
      <c r="T68" s="1387"/>
      <c r="U68" s="1387"/>
      <c r="V68" s="1387"/>
      <c r="W68" s="1387"/>
      <c r="X68" s="1387"/>
      <c r="Y68" s="1387"/>
      <c r="Z68" s="1387"/>
      <c r="AA68" s="1387"/>
      <c r="AB68" s="1387"/>
      <c r="AC68" s="1387"/>
      <c r="AD68" s="1387"/>
      <c r="AE68" s="1387"/>
      <c r="AF68" s="1387"/>
      <c r="AG68" s="1387"/>
      <c r="AH68" s="1387"/>
      <c r="AI68" s="1387"/>
      <c r="AJ68" s="1387"/>
      <c r="AK68" s="1387"/>
      <c r="AL68" s="1387"/>
      <c r="AM68" s="1387"/>
      <c r="AN68" s="1387"/>
      <c r="AO68" s="1387"/>
      <c r="AP68" s="1387"/>
      <c r="AQ68" s="1387"/>
      <c r="AR68" s="1387"/>
      <c r="AS68" s="1387"/>
      <c r="AT68" s="1387"/>
      <c r="AU68" s="1387"/>
    </row>
    <row r="69" spans="1:47">
      <c r="A69" s="1386"/>
      <c r="B69" s="1386" t="s">
        <v>585</v>
      </c>
      <c r="C69" s="1386"/>
      <c r="D69" s="1386"/>
      <c r="E69" s="1386"/>
      <c r="F69" s="1386"/>
      <c r="G69" s="1386"/>
      <c r="H69" s="1387"/>
      <c r="I69" s="1387"/>
      <c r="J69" s="1387"/>
      <c r="K69" s="1387"/>
      <c r="L69" s="1387"/>
      <c r="M69" s="1387"/>
      <c r="N69" s="1387"/>
      <c r="O69" s="1387"/>
      <c r="P69" s="1387"/>
      <c r="Q69" s="1387"/>
      <c r="R69" s="1387"/>
      <c r="S69" s="1387"/>
      <c r="T69" s="1387"/>
      <c r="U69" s="1387"/>
      <c r="V69" s="1387"/>
      <c r="W69" s="1387"/>
      <c r="X69" s="1387"/>
      <c r="Y69" s="1387"/>
      <c r="Z69" s="1387"/>
      <c r="AA69" s="1387"/>
      <c r="AB69" s="1387"/>
      <c r="AC69" s="1387"/>
      <c r="AD69" s="1387"/>
      <c r="AE69" s="1387"/>
      <c r="AF69" s="1387"/>
      <c r="AG69" s="1387"/>
      <c r="AH69" s="1387"/>
      <c r="AI69" s="1387"/>
      <c r="AJ69" s="1387"/>
      <c r="AK69" s="1387"/>
      <c r="AL69" s="1387"/>
      <c r="AM69" s="1387"/>
      <c r="AN69" s="1387"/>
      <c r="AO69" s="1387"/>
      <c r="AP69" s="1387"/>
      <c r="AQ69" s="1387"/>
      <c r="AR69" s="1387"/>
      <c r="AS69" s="1387"/>
      <c r="AT69" s="1387"/>
      <c r="AU69" s="1387"/>
    </row>
    <row r="70" spans="1:47">
      <c r="A70" s="1386"/>
      <c r="B70" s="1386" t="s">
        <v>586</v>
      </c>
      <c r="C70" s="1386"/>
      <c r="D70" s="1386"/>
      <c r="E70" s="1386"/>
      <c r="F70" s="1386"/>
      <c r="G70" s="1386"/>
      <c r="H70" s="1387"/>
      <c r="I70" s="1387"/>
      <c r="J70" s="1387"/>
      <c r="K70" s="1387"/>
      <c r="L70" s="1387"/>
      <c r="M70" s="1387"/>
      <c r="N70" s="1387"/>
      <c r="O70" s="1387"/>
      <c r="P70" s="1387"/>
      <c r="Q70" s="1387"/>
      <c r="R70" s="1387"/>
      <c r="S70" s="1387"/>
      <c r="T70" s="1387"/>
      <c r="U70" s="1387"/>
      <c r="V70" s="1387"/>
      <c r="W70" s="1387"/>
      <c r="X70" s="1387"/>
      <c r="Y70" s="1387"/>
      <c r="Z70" s="1387"/>
      <c r="AA70" s="1387"/>
      <c r="AB70" s="1387"/>
      <c r="AC70" s="1387"/>
      <c r="AD70" s="1387"/>
      <c r="AE70" s="1387"/>
      <c r="AF70" s="1387"/>
      <c r="AG70" s="1387"/>
      <c r="AH70" s="1387"/>
      <c r="AI70" s="1387"/>
      <c r="AJ70" s="1387"/>
      <c r="AK70" s="1387"/>
      <c r="AL70" s="1387"/>
      <c r="AM70" s="1387"/>
      <c r="AN70" s="1387"/>
      <c r="AO70" s="1387"/>
      <c r="AP70" s="1387"/>
      <c r="AQ70" s="1387"/>
      <c r="AR70" s="1387"/>
      <c r="AS70" s="1387"/>
      <c r="AT70" s="1387"/>
      <c r="AU70" s="1387"/>
    </row>
    <row r="71" spans="1:47">
      <c r="A71" s="1386"/>
      <c r="B71" s="1386"/>
      <c r="C71" s="1386"/>
      <c r="D71" s="1386"/>
      <c r="E71" s="1386"/>
      <c r="F71" s="1386"/>
      <c r="G71" s="1386"/>
      <c r="H71" s="1387"/>
      <c r="I71" s="1387"/>
      <c r="J71" s="1387"/>
      <c r="K71" s="1387"/>
      <c r="L71" s="1387"/>
      <c r="M71" s="1387"/>
      <c r="N71" s="1387"/>
      <c r="O71" s="1387"/>
      <c r="P71" s="1387"/>
      <c r="Q71" s="1387"/>
      <c r="R71" s="1387"/>
      <c r="S71" s="1387"/>
      <c r="T71" s="1387"/>
      <c r="U71" s="1387"/>
      <c r="V71" s="1387"/>
      <c r="W71" s="1387"/>
      <c r="X71" s="1387"/>
      <c r="Y71" s="1387"/>
      <c r="Z71" s="1387"/>
      <c r="AA71" s="1387"/>
      <c r="AB71" s="1387"/>
      <c r="AC71" s="1387"/>
      <c r="AD71" s="1387"/>
      <c r="AE71" s="1387"/>
      <c r="AF71" s="1387"/>
      <c r="AG71" s="1387"/>
      <c r="AH71" s="1387"/>
      <c r="AI71" s="1387"/>
      <c r="AJ71" s="1387"/>
      <c r="AK71" s="1387"/>
      <c r="AL71" s="1387"/>
      <c r="AM71" s="1387"/>
      <c r="AN71" s="1387"/>
      <c r="AO71" s="1387"/>
      <c r="AP71" s="1387"/>
      <c r="AQ71" s="1387"/>
      <c r="AR71" s="1387"/>
      <c r="AS71" s="1387"/>
      <c r="AT71" s="1387"/>
      <c r="AU71" s="1387"/>
    </row>
    <row r="72" spans="1:47">
      <c r="A72" s="1386"/>
      <c r="B72" s="1414" t="s">
        <v>446</v>
      </c>
      <c r="C72" s="1414"/>
      <c r="D72" s="1414"/>
      <c r="E72" s="1414"/>
      <c r="F72" s="1414"/>
      <c r="G72" s="1386"/>
      <c r="H72" s="1387"/>
      <c r="I72" s="1387"/>
      <c r="J72" s="1387"/>
      <c r="K72" s="1387"/>
      <c r="L72" s="1387"/>
      <c r="M72" s="1387"/>
      <c r="N72" s="1387"/>
      <c r="O72" s="1387"/>
      <c r="P72" s="1387"/>
      <c r="Q72" s="1387"/>
      <c r="R72" s="1387"/>
      <c r="S72" s="1387"/>
      <c r="T72" s="1387"/>
      <c r="U72" s="1387"/>
      <c r="V72" s="1387"/>
      <c r="W72" s="1387"/>
      <c r="X72" s="1387"/>
      <c r="Y72" s="1387"/>
      <c r="Z72" s="1387"/>
      <c r="AA72" s="1387"/>
      <c r="AB72" s="1387"/>
      <c r="AC72" s="1387"/>
      <c r="AD72" s="1387"/>
      <c r="AE72" s="1387"/>
      <c r="AF72" s="1387"/>
      <c r="AG72" s="1387"/>
      <c r="AH72" s="1387"/>
      <c r="AI72" s="1387"/>
      <c r="AJ72" s="1387"/>
      <c r="AK72" s="1387"/>
      <c r="AL72" s="1387"/>
      <c r="AM72" s="1387"/>
      <c r="AN72" s="1387"/>
      <c r="AO72" s="1387"/>
      <c r="AP72" s="1387"/>
      <c r="AQ72" s="1387"/>
      <c r="AR72" s="1387"/>
      <c r="AS72" s="1387"/>
      <c r="AT72" s="1387"/>
      <c r="AU72" s="1387"/>
    </row>
    <row r="73" spans="1:47">
      <c r="A73" s="1386"/>
      <c r="B73" s="1093" t="s">
        <v>372</v>
      </c>
      <c r="C73" s="1092" t="s">
        <v>587</v>
      </c>
      <c r="D73" s="1092" t="s">
        <v>588</v>
      </c>
      <c r="E73" s="1092" t="s">
        <v>589</v>
      </c>
      <c r="F73" s="1092" t="s">
        <v>445</v>
      </c>
      <c r="G73" s="1386"/>
      <c r="H73" s="1387"/>
      <c r="I73" s="1387"/>
      <c r="J73" s="1387"/>
      <c r="K73" s="1387"/>
      <c r="L73" s="1387"/>
      <c r="M73" s="1387"/>
      <c r="N73" s="1387"/>
      <c r="O73" s="1387"/>
      <c r="P73" s="1387"/>
      <c r="Q73" s="1387"/>
      <c r="R73" s="1387"/>
      <c r="S73" s="1387"/>
      <c r="T73" s="1387"/>
      <c r="U73" s="1387"/>
      <c r="V73" s="1387"/>
      <c r="W73" s="1387"/>
      <c r="X73" s="1387"/>
      <c r="Y73" s="1387"/>
      <c r="Z73" s="1387"/>
      <c r="AA73" s="1387"/>
      <c r="AB73" s="1387"/>
      <c r="AC73" s="1387"/>
      <c r="AD73" s="1387"/>
      <c r="AE73" s="1387"/>
      <c r="AF73" s="1387"/>
      <c r="AG73" s="1387"/>
      <c r="AH73" s="1387"/>
      <c r="AI73" s="1387"/>
      <c r="AJ73" s="1387"/>
      <c r="AK73" s="1387"/>
      <c r="AL73" s="1387"/>
      <c r="AM73" s="1387"/>
      <c r="AN73" s="1387"/>
      <c r="AO73" s="1387"/>
      <c r="AP73" s="1387"/>
      <c r="AQ73" s="1387"/>
      <c r="AR73" s="1387"/>
      <c r="AS73" s="1387"/>
      <c r="AT73" s="1387"/>
      <c r="AU73" s="1387"/>
    </row>
    <row r="74" spans="1:47">
      <c r="A74" s="1386"/>
      <c r="B74" t="s">
        <v>391</v>
      </c>
      <c r="C74" s="1422">
        <v>189</v>
      </c>
      <c r="D74" s="982">
        <v>63300000</v>
      </c>
      <c r="E74" s="982">
        <f>ROUND(D74/C74,-3)</f>
        <v>335000</v>
      </c>
      <c r="F74" s="1420" t="s">
        <v>590</v>
      </c>
      <c r="G74" s="1386"/>
      <c r="H74" s="1387"/>
      <c r="I74" s="1387"/>
      <c r="J74" s="1387"/>
      <c r="K74" s="1387"/>
      <c r="L74" s="1387"/>
      <c r="M74" s="1387"/>
      <c r="N74" s="1387"/>
      <c r="O74" s="1387"/>
      <c r="P74" s="1387"/>
      <c r="Q74" s="1387"/>
      <c r="R74" s="1387"/>
      <c r="S74" s="1387"/>
      <c r="T74" s="1387"/>
      <c r="U74" s="1387"/>
      <c r="V74" s="1387"/>
      <c r="W74" s="1387"/>
      <c r="X74" s="1387"/>
      <c r="Y74" s="1387"/>
      <c r="Z74" s="1387"/>
      <c r="AA74" s="1387"/>
      <c r="AB74" s="1387"/>
      <c r="AC74" s="1387"/>
      <c r="AD74" s="1387"/>
      <c r="AE74" s="1387"/>
      <c r="AF74" s="1387"/>
      <c r="AG74" s="1387"/>
      <c r="AH74" s="1387"/>
      <c r="AI74" s="1387"/>
      <c r="AJ74" s="1387"/>
      <c r="AK74" s="1387"/>
      <c r="AL74" s="1387"/>
      <c r="AM74" s="1387"/>
      <c r="AN74" s="1387"/>
      <c r="AO74" s="1387"/>
      <c r="AP74" s="1387"/>
      <c r="AQ74" s="1387"/>
      <c r="AR74" s="1387"/>
      <c r="AS74" s="1387"/>
      <c r="AT74" s="1387"/>
      <c r="AU74" s="1387"/>
    </row>
    <row r="75" spans="1:47">
      <c r="A75" s="1386"/>
      <c r="B75" t="s">
        <v>392</v>
      </c>
      <c r="C75" s="1422">
        <v>229</v>
      </c>
      <c r="D75" s="982">
        <v>107800000</v>
      </c>
      <c r="E75" s="982">
        <f>ROUND(D75/C75,-3)</f>
        <v>471000</v>
      </c>
      <c r="F75" s="1420" t="s">
        <v>581</v>
      </c>
      <c r="G75" s="1386"/>
      <c r="H75" s="1387"/>
      <c r="I75" s="1387"/>
      <c r="J75" s="1387"/>
      <c r="K75" s="1387"/>
      <c r="L75" s="1387"/>
      <c r="M75" s="1387"/>
      <c r="N75" s="1387"/>
      <c r="O75" s="1387"/>
      <c r="P75" s="1387"/>
      <c r="Q75" s="1387"/>
      <c r="R75" s="1387"/>
      <c r="S75" s="1387"/>
      <c r="T75" s="1387"/>
      <c r="U75" s="1387"/>
      <c r="V75" s="1387"/>
      <c r="W75" s="1387"/>
      <c r="X75" s="1387"/>
      <c r="Y75" s="1387"/>
      <c r="Z75" s="1387"/>
      <c r="AA75" s="1387"/>
      <c r="AB75" s="1387"/>
      <c r="AC75" s="1387"/>
      <c r="AD75" s="1387"/>
      <c r="AE75" s="1387"/>
      <c r="AF75" s="1387"/>
      <c r="AG75" s="1387"/>
      <c r="AH75" s="1387"/>
      <c r="AI75" s="1387"/>
      <c r="AJ75" s="1387"/>
      <c r="AK75" s="1387"/>
      <c r="AL75" s="1387"/>
      <c r="AM75" s="1387"/>
      <c r="AN75" s="1387"/>
      <c r="AO75" s="1387"/>
      <c r="AP75" s="1387"/>
      <c r="AQ75" s="1387"/>
      <c r="AR75" s="1387"/>
      <c r="AS75" s="1387"/>
      <c r="AT75" s="1387"/>
      <c r="AU75" s="1387"/>
    </row>
    <row r="76" spans="1:47">
      <c r="A76" s="1386"/>
      <c r="B76" t="s">
        <v>393</v>
      </c>
      <c r="C76" s="1422">
        <v>153</v>
      </c>
      <c r="D76" s="982">
        <v>69600000</v>
      </c>
      <c r="E76" s="982">
        <f>ROUND(D76/C76,-3)</f>
        <v>455000</v>
      </c>
      <c r="F76" s="1420" t="s">
        <v>581</v>
      </c>
      <c r="G76" s="1386"/>
      <c r="H76" s="1387"/>
      <c r="I76" s="1387"/>
      <c r="J76" s="1387"/>
      <c r="K76" s="1387"/>
      <c r="L76" s="1387"/>
      <c r="M76" s="1387"/>
      <c r="N76" s="1387"/>
      <c r="O76" s="1387"/>
      <c r="P76" s="1387"/>
      <c r="Q76" s="1387"/>
      <c r="R76" s="1387"/>
      <c r="S76" s="1387"/>
      <c r="T76" s="1387"/>
      <c r="U76" s="1387"/>
      <c r="V76" s="1387"/>
      <c r="W76" s="1387"/>
      <c r="X76" s="1387"/>
      <c r="Y76" s="1387"/>
      <c r="Z76" s="1387"/>
      <c r="AA76" s="1387"/>
      <c r="AB76" s="1387"/>
      <c r="AC76" s="1387"/>
      <c r="AD76" s="1387"/>
      <c r="AE76" s="1387"/>
      <c r="AF76" s="1387"/>
      <c r="AG76" s="1387"/>
      <c r="AH76" s="1387"/>
      <c r="AI76" s="1387"/>
      <c r="AJ76" s="1387"/>
      <c r="AK76" s="1387"/>
      <c r="AL76" s="1387"/>
      <c r="AM76" s="1387"/>
      <c r="AN76" s="1387"/>
      <c r="AO76" s="1387"/>
      <c r="AP76" s="1387"/>
      <c r="AQ76" s="1387"/>
      <c r="AR76" s="1387"/>
      <c r="AS76" s="1387"/>
      <c r="AT76" s="1387"/>
      <c r="AU76" s="1387"/>
    </row>
    <row r="77" spans="1:47">
      <c r="A77" s="1386"/>
      <c r="B77"/>
      <c r="C77" s="1422"/>
      <c r="D77" s="982"/>
      <c r="E77" s="982"/>
      <c r="F77" s="1420"/>
      <c r="G77" s="1386"/>
      <c r="H77" s="1387"/>
      <c r="I77" s="1387"/>
      <c r="J77" s="1387"/>
      <c r="K77" s="1387"/>
      <c r="L77" s="1387"/>
      <c r="M77" s="1387"/>
      <c r="N77" s="1387"/>
      <c r="O77" s="1387"/>
      <c r="P77" s="1387"/>
      <c r="Q77" s="1387"/>
      <c r="R77" s="1387"/>
      <c r="S77" s="1387"/>
      <c r="T77" s="1387"/>
      <c r="U77" s="1387"/>
      <c r="V77" s="1387"/>
      <c r="W77" s="1387"/>
      <c r="X77" s="1387"/>
      <c r="Y77" s="1387"/>
      <c r="Z77" s="1387"/>
      <c r="AA77" s="1387"/>
      <c r="AB77" s="1387"/>
      <c r="AC77" s="1387"/>
      <c r="AD77" s="1387"/>
      <c r="AE77" s="1387"/>
      <c r="AF77" s="1387"/>
      <c r="AG77" s="1387"/>
      <c r="AH77" s="1387"/>
      <c r="AI77" s="1387"/>
      <c r="AJ77" s="1387"/>
      <c r="AK77" s="1387"/>
      <c r="AL77" s="1387"/>
      <c r="AM77" s="1387"/>
      <c r="AN77" s="1387"/>
      <c r="AO77" s="1387"/>
      <c r="AP77" s="1387"/>
      <c r="AQ77" s="1387"/>
      <c r="AR77" s="1387"/>
      <c r="AS77" s="1387"/>
      <c r="AT77" s="1387"/>
      <c r="AU77" s="1387"/>
    </row>
    <row r="78" spans="1:47">
      <c r="A78" s="1386"/>
      <c r="B78"/>
      <c r="C78" s="1422"/>
      <c r="D78" s="982"/>
      <c r="E78" s="982"/>
      <c r="F78" s="1420"/>
      <c r="G78" s="1386"/>
      <c r="H78" s="1414" t="s">
        <v>594</v>
      </c>
      <c r="I78" s="1414"/>
      <c r="J78" s="1414"/>
      <c r="K78" s="1414"/>
      <c r="L78" s="1414"/>
      <c r="M78" s="1414"/>
      <c r="N78" s="1414"/>
      <c r="O78" s="1414"/>
      <c r="P78" s="1414"/>
      <c r="Q78" s="1414"/>
      <c r="R78" s="1414"/>
      <c r="S78" s="1414"/>
      <c r="T78" s="1414"/>
      <c r="U78" s="1387"/>
      <c r="V78" s="1387"/>
      <c r="W78" s="1387"/>
      <c r="X78" s="1387"/>
      <c r="Y78" s="1387"/>
      <c r="Z78" s="1387"/>
      <c r="AA78" s="1387"/>
      <c r="AB78" s="1387"/>
      <c r="AC78" s="1387"/>
      <c r="AD78" s="1387"/>
      <c r="AE78" s="1387"/>
      <c r="AF78" s="1387"/>
      <c r="AG78" s="1387"/>
      <c r="AH78" s="1387"/>
      <c r="AI78" s="1387"/>
      <c r="AJ78" s="1387"/>
      <c r="AK78" s="1387"/>
      <c r="AL78" s="1387"/>
      <c r="AM78" s="1387"/>
      <c r="AN78" s="1387"/>
      <c r="AO78" s="1387"/>
      <c r="AP78" s="1387"/>
      <c r="AQ78" s="1387"/>
      <c r="AR78" s="1387"/>
      <c r="AS78" s="1387"/>
      <c r="AT78" s="1387"/>
      <c r="AU78" s="1387"/>
    </row>
    <row r="79" spans="1:47">
      <c r="A79" s="1386"/>
      <c r="B79"/>
      <c r="C79" s="1422"/>
      <c r="D79" s="982"/>
      <c r="E79" s="982"/>
      <c r="F79" s="1420"/>
      <c r="G79" s="1386"/>
      <c r="H79" s="1424"/>
      <c r="I79" s="1424"/>
      <c r="J79" s="1424"/>
      <c r="K79" s="1424"/>
      <c r="L79" s="1424"/>
      <c r="M79" s="1424"/>
      <c r="N79" s="1424"/>
      <c r="O79" s="1424"/>
      <c r="P79" s="1424"/>
      <c r="Q79" s="1424"/>
      <c r="R79" s="1424"/>
      <c r="S79" s="1424"/>
      <c r="T79" s="1424"/>
      <c r="U79" s="1387"/>
      <c r="V79" s="1387"/>
      <c r="W79" s="1387"/>
      <c r="X79" s="1387"/>
      <c r="Y79" s="1387"/>
      <c r="Z79" s="1387"/>
      <c r="AA79" s="1387"/>
      <c r="AB79" s="1387"/>
      <c r="AC79" s="1387"/>
      <c r="AD79" s="1387"/>
      <c r="AE79" s="1387"/>
      <c r="AF79" s="1387"/>
      <c r="AG79" s="1387"/>
      <c r="AH79" s="1387"/>
      <c r="AI79" s="1387"/>
      <c r="AJ79" s="1387"/>
      <c r="AK79" s="1387"/>
      <c r="AL79" s="1387"/>
      <c r="AM79" s="1387"/>
      <c r="AN79" s="1387"/>
      <c r="AO79" s="1387"/>
      <c r="AP79" s="1387"/>
      <c r="AQ79" s="1387"/>
      <c r="AR79" s="1387"/>
      <c r="AS79" s="1387"/>
      <c r="AT79" s="1387"/>
      <c r="AU79" s="1387"/>
    </row>
    <row r="80" spans="1:47">
      <c r="A80" s="1386"/>
      <c r="B80"/>
      <c r="C80" s="1422"/>
      <c r="D80" s="982"/>
      <c r="E80" s="982"/>
      <c r="F80" s="1420"/>
      <c r="G80" s="1386"/>
      <c r="H80" s="1424"/>
      <c r="I80" s="1424"/>
      <c r="J80" s="1424"/>
      <c r="K80" s="1424"/>
      <c r="L80" s="1424"/>
      <c r="M80" s="1424"/>
      <c r="N80" s="1424"/>
      <c r="O80" s="1424"/>
      <c r="P80" s="1424"/>
      <c r="Q80" s="1424"/>
      <c r="R80" s="1424"/>
      <c r="S80" s="1424"/>
      <c r="T80" s="1424"/>
      <c r="U80" s="1387"/>
      <c r="V80" s="1387"/>
      <c r="W80" s="1387"/>
      <c r="X80" s="1387"/>
      <c r="Y80" s="1387"/>
      <c r="Z80" s="1387"/>
      <c r="AA80" s="1387"/>
      <c r="AB80" s="1387"/>
      <c r="AC80" s="1387"/>
      <c r="AD80" s="1387"/>
      <c r="AE80" s="1387"/>
      <c r="AF80" s="1387"/>
      <c r="AG80" s="1387"/>
      <c r="AH80" s="1387"/>
      <c r="AI80" s="1387"/>
      <c r="AJ80" s="1387"/>
      <c r="AK80" s="1387"/>
      <c r="AL80" s="1387"/>
      <c r="AM80" s="1387"/>
      <c r="AN80" s="1387"/>
      <c r="AO80" s="1387"/>
      <c r="AP80" s="1387"/>
      <c r="AQ80" s="1387"/>
      <c r="AR80" s="1387"/>
      <c r="AS80" s="1387"/>
      <c r="AT80" s="1387"/>
      <c r="AU80" s="1387"/>
    </row>
    <row r="81" spans="1:47">
      <c r="A81" s="1386"/>
      <c r="B81"/>
      <c r="C81" s="1422"/>
      <c r="D81" s="982"/>
      <c r="E81" s="982"/>
      <c r="F81" s="1420"/>
      <c r="G81" s="1386"/>
      <c r="H81" s="1424"/>
      <c r="I81" s="1424"/>
      <c r="J81" s="1424"/>
      <c r="K81" s="1424"/>
      <c r="L81" s="1424"/>
      <c r="M81" s="1424"/>
      <c r="N81" s="1424"/>
      <c r="O81" s="1424"/>
      <c r="P81" s="1424"/>
      <c r="Q81" s="1424"/>
      <c r="R81" s="1424"/>
      <c r="S81" s="1424"/>
      <c r="T81" s="1424"/>
      <c r="U81" s="1387"/>
      <c r="V81" s="1387"/>
      <c r="W81" s="1387"/>
      <c r="X81" s="1387"/>
      <c r="Y81" s="1387"/>
      <c r="Z81" s="1387"/>
      <c r="AA81" s="1387"/>
      <c r="AB81" s="1387"/>
      <c r="AC81" s="1387"/>
      <c r="AD81" s="1387"/>
      <c r="AE81" s="1387"/>
      <c r="AF81" s="1387"/>
      <c r="AG81" s="1387"/>
      <c r="AH81" s="1387"/>
      <c r="AI81" s="1387"/>
      <c r="AJ81" s="1387"/>
      <c r="AK81" s="1387"/>
      <c r="AL81" s="1387"/>
      <c r="AM81" s="1387"/>
      <c r="AN81" s="1387"/>
      <c r="AO81" s="1387"/>
      <c r="AP81" s="1387"/>
      <c r="AQ81" s="1387"/>
      <c r="AR81" s="1387"/>
      <c r="AS81" s="1387"/>
      <c r="AT81" s="1387"/>
      <c r="AU81" s="1387"/>
    </row>
    <row r="82" spans="1:47">
      <c r="A82" s="1386"/>
      <c r="B82"/>
      <c r="C82" s="1422"/>
      <c r="D82" s="982"/>
      <c r="E82" s="982"/>
      <c r="F82" s="1420"/>
      <c r="G82" s="1386"/>
      <c r="H82" s="1424"/>
      <c r="I82" s="1424"/>
      <c r="J82" s="1424"/>
      <c r="K82" s="1424"/>
      <c r="L82" s="1424"/>
      <c r="M82" s="1424"/>
      <c r="N82" s="1424"/>
      <c r="O82" s="1424"/>
      <c r="P82" s="1424"/>
      <c r="Q82" s="1424"/>
      <c r="R82" s="1424"/>
      <c r="S82" s="1424"/>
      <c r="T82" s="1424"/>
      <c r="U82" s="1387"/>
      <c r="V82" s="1387"/>
      <c r="W82" s="1387"/>
      <c r="X82" s="1387"/>
      <c r="Y82" s="1387"/>
      <c r="Z82" s="1387"/>
      <c r="AA82" s="1387"/>
      <c r="AB82" s="1387"/>
      <c r="AC82" s="1387"/>
      <c r="AD82" s="1387"/>
      <c r="AE82" s="1387"/>
      <c r="AF82" s="1387"/>
      <c r="AG82" s="1387"/>
      <c r="AH82" s="1387"/>
      <c r="AI82" s="1387"/>
      <c r="AJ82" s="1387"/>
      <c r="AK82" s="1387"/>
      <c r="AL82" s="1387"/>
      <c r="AM82" s="1387"/>
      <c r="AN82" s="1387"/>
      <c r="AO82" s="1387"/>
      <c r="AP82" s="1387"/>
      <c r="AQ82" s="1387"/>
      <c r="AR82" s="1387"/>
      <c r="AS82" s="1387"/>
      <c r="AT82" s="1387"/>
      <c r="AU82" s="1387"/>
    </row>
    <row r="83" spans="1:47">
      <c r="A83" s="1386"/>
      <c r="B83"/>
      <c r="C83" s="1422"/>
      <c r="D83" s="982"/>
      <c r="E83" s="982"/>
      <c r="F83" s="1420"/>
      <c r="G83" s="1386"/>
      <c r="H83" s="1424"/>
      <c r="I83" s="1424"/>
      <c r="J83" s="1424"/>
      <c r="K83" s="1424"/>
      <c r="L83" s="1424"/>
      <c r="M83" s="1424"/>
      <c r="N83" s="1424"/>
      <c r="O83" s="1424"/>
      <c r="P83" s="1424"/>
      <c r="Q83" s="1424"/>
      <c r="R83" s="1424"/>
      <c r="S83" s="1424"/>
      <c r="T83" s="1424"/>
      <c r="U83" s="1387"/>
      <c r="V83" s="1387"/>
      <c r="W83" s="1387"/>
      <c r="X83" s="1387"/>
      <c r="Y83" s="1387"/>
      <c r="Z83" s="1387"/>
      <c r="AA83" s="1387"/>
      <c r="AB83" s="1387"/>
      <c r="AC83" s="1387"/>
      <c r="AD83" s="1387"/>
      <c r="AE83" s="1387"/>
      <c r="AF83" s="1387"/>
      <c r="AG83" s="1387"/>
      <c r="AH83" s="1387"/>
      <c r="AI83" s="1387"/>
      <c r="AJ83" s="1387"/>
      <c r="AK83" s="1387"/>
      <c r="AL83" s="1387"/>
      <c r="AM83" s="1387"/>
      <c r="AN83" s="1387"/>
      <c r="AO83" s="1387"/>
      <c r="AP83" s="1387"/>
      <c r="AQ83" s="1387"/>
      <c r="AR83" s="1387"/>
      <c r="AS83" s="1387"/>
      <c r="AT83" s="1387"/>
      <c r="AU83" s="1387"/>
    </row>
    <row r="84" spans="1:47">
      <c r="A84" s="1386"/>
      <c r="B84"/>
      <c r="C84" s="1422"/>
      <c r="D84" s="982"/>
      <c r="E84" s="982"/>
      <c r="F84" s="1420"/>
      <c r="G84" s="1386"/>
      <c r="H84" s="1424"/>
      <c r="I84" s="1424"/>
      <c r="J84" s="1424"/>
      <c r="K84" s="1424"/>
      <c r="L84" s="1424"/>
      <c r="M84" s="1424"/>
      <c r="N84" s="1424"/>
      <c r="O84" s="1424"/>
      <c r="P84" s="1424"/>
      <c r="Q84" s="1424"/>
      <c r="R84" s="1424"/>
      <c r="S84" s="1424"/>
      <c r="T84" s="1424"/>
      <c r="U84" s="1387"/>
      <c r="V84" s="1387"/>
      <c r="W84" s="1387"/>
      <c r="X84" s="1387"/>
      <c r="Y84" s="1387"/>
      <c r="Z84" s="1387"/>
      <c r="AA84" s="1387"/>
      <c r="AB84" s="1387"/>
      <c r="AC84" s="1387"/>
      <c r="AD84" s="1387"/>
      <c r="AE84" s="1387"/>
      <c r="AF84" s="1387"/>
      <c r="AG84" s="1387"/>
      <c r="AH84" s="1387"/>
      <c r="AI84" s="1387"/>
      <c r="AJ84" s="1387"/>
      <c r="AK84" s="1387"/>
      <c r="AL84" s="1387"/>
      <c r="AM84" s="1387"/>
      <c r="AN84" s="1387"/>
      <c r="AO84" s="1387"/>
      <c r="AP84" s="1387"/>
      <c r="AQ84" s="1387"/>
      <c r="AR84" s="1387"/>
      <c r="AS84" s="1387"/>
      <c r="AT84" s="1387"/>
      <c r="AU84" s="1387"/>
    </row>
    <row r="85" spans="1:47">
      <c r="A85" s="1386"/>
      <c r="B85"/>
      <c r="C85" s="1422"/>
      <c r="D85" s="982"/>
      <c r="E85" s="982"/>
      <c r="F85" s="1420"/>
      <c r="G85" s="1386"/>
      <c r="H85" s="1424"/>
      <c r="I85" s="1424"/>
      <c r="J85" s="1424"/>
      <c r="K85" s="1424"/>
      <c r="L85" s="1424"/>
      <c r="M85" s="1424"/>
      <c r="N85" s="1424"/>
      <c r="O85" s="1424"/>
      <c r="P85" s="1424"/>
      <c r="Q85" s="1424"/>
      <c r="R85" s="1424"/>
      <c r="S85" s="1424"/>
      <c r="T85" s="1424"/>
      <c r="U85" s="1387"/>
      <c r="V85" s="1387"/>
      <c r="W85" s="1387"/>
      <c r="X85" s="1387"/>
      <c r="Y85" s="1387"/>
      <c r="Z85" s="1387"/>
      <c r="AA85" s="1387"/>
      <c r="AB85" s="1387"/>
      <c r="AC85" s="1387"/>
      <c r="AD85" s="1387"/>
      <c r="AE85" s="1387"/>
      <c r="AF85" s="1387"/>
      <c r="AG85" s="1387"/>
      <c r="AH85" s="1387"/>
      <c r="AI85" s="1387"/>
      <c r="AJ85" s="1387"/>
      <c r="AK85" s="1387"/>
      <c r="AL85" s="1387"/>
      <c r="AM85" s="1387"/>
      <c r="AN85" s="1387"/>
      <c r="AO85" s="1387"/>
      <c r="AP85" s="1387"/>
      <c r="AQ85" s="1387"/>
      <c r="AR85" s="1387"/>
      <c r="AS85" s="1387"/>
      <c r="AT85" s="1387"/>
      <c r="AU85" s="1387"/>
    </row>
    <row r="86" spans="1:47">
      <c r="A86" s="1386"/>
      <c r="B86"/>
      <c r="C86" s="1422"/>
      <c r="D86" s="982"/>
      <c r="E86" s="982"/>
      <c r="F86" s="1420"/>
      <c r="G86" s="1386"/>
      <c r="H86" s="1424"/>
      <c r="I86" s="1424"/>
      <c r="J86" s="1424"/>
      <c r="K86" s="1424"/>
      <c r="L86" s="1424"/>
      <c r="M86" s="1424"/>
      <c r="N86" s="1424"/>
      <c r="O86" s="1424"/>
      <c r="P86" s="1424"/>
      <c r="Q86" s="1424"/>
      <c r="R86" s="1424"/>
      <c r="S86" s="1424"/>
      <c r="T86" s="1424"/>
      <c r="U86" s="1387"/>
      <c r="V86" s="1387"/>
      <c r="W86" s="1387"/>
      <c r="X86" s="1387"/>
      <c r="Y86" s="1387"/>
      <c r="Z86" s="1387"/>
      <c r="AA86" s="1387"/>
      <c r="AB86" s="1387"/>
      <c r="AC86" s="1387"/>
      <c r="AD86" s="1387"/>
      <c r="AE86" s="1387"/>
      <c r="AF86" s="1387"/>
      <c r="AG86" s="1387"/>
      <c r="AH86" s="1387"/>
      <c r="AI86" s="1387"/>
      <c r="AJ86" s="1387"/>
      <c r="AK86" s="1387"/>
      <c r="AL86" s="1387"/>
      <c r="AM86" s="1387"/>
      <c r="AN86" s="1387"/>
      <c r="AO86" s="1387"/>
      <c r="AP86" s="1387"/>
      <c r="AQ86" s="1387"/>
      <c r="AR86" s="1387"/>
      <c r="AS86" s="1387"/>
      <c r="AT86" s="1387"/>
      <c r="AU86" s="1387"/>
    </row>
    <row r="87" spans="1:47">
      <c r="A87" s="1386"/>
      <c r="B87"/>
      <c r="C87" s="1422"/>
      <c r="D87" s="982"/>
      <c r="E87" s="982"/>
      <c r="F87" s="1420"/>
      <c r="G87" s="1386"/>
      <c r="H87" s="1424"/>
      <c r="I87" s="1424"/>
      <c r="J87" s="1424"/>
      <c r="K87" s="1424"/>
      <c r="L87" s="1424"/>
      <c r="M87" s="1424"/>
      <c r="N87" s="1424"/>
      <c r="O87" s="1424"/>
      <c r="P87" s="1424"/>
      <c r="Q87" s="1424"/>
      <c r="R87" s="1424"/>
      <c r="S87" s="1424"/>
      <c r="T87" s="1424"/>
      <c r="U87" s="1387"/>
      <c r="V87" s="1387"/>
      <c r="W87" s="1387"/>
      <c r="X87" s="1387"/>
      <c r="Y87" s="1387"/>
      <c r="Z87" s="1387"/>
      <c r="AA87" s="1387"/>
      <c r="AB87" s="1387"/>
      <c r="AC87" s="1387"/>
      <c r="AD87" s="1387"/>
      <c r="AE87" s="1387"/>
      <c r="AF87" s="1387"/>
      <c r="AG87" s="1387"/>
      <c r="AH87" s="1387"/>
    </row>
    <row r="88" spans="1:47">
      <c r="A88" s="1386"/>
      <c r="B88"/>
      <c r="C88" s="1422"/>
      <c r="D88" s="982"/>
      <c r="E88" s="982"/>
      <c r="F88" s="1420"/>
      <c r="G88" s="1386"/>
      <c r="H88" s="1424"/>
      <c r="I88" s="1424"/>
      <c r="J88" s="1424"/>
      <c r="K88" s="1424"/>
      <c r="L88" s="1424"/>
      <c r="M88" s="1424"/>
      <c r="N88" s="1424"/>
      <c r="O88" s="1424"/>
      <c r="P88" s="1424"/>
      <c r="Q88" s="1424"/>
      <c r="R88" s="1424"/>
      <c r="S88" s="1424"/>
      <c r="T88" s="1424"/>
      <c r="U88" s="1387"/>
      <c r="V88" s="1387"/>
      <c r="W88" s="1387"/>
      <c r="X88" s="1387"/>
      <c r="Y88" s="1387"/>
      <c r="Z88" s="1387"/>
      <c r="AA88" s="1387"/>
      <c r="AB88" s="1387"/>
      <c r="AC88" s="1387"/>
      <c r="AD88" s="1387"/>
      <c r="AE88" s="1387"/>
      <c r="AF88" s="1387"/>
      <c r="AG88" s="1387"/>
      <c r="AH88" s="1387"/>
    </row>
    <row r="89" spans="1:47">
      <c r="A89" s="1386"/>
      <c r="B89"/>
      <c r="C89" s="1422"/>
      <c r="D89" s="982"/>
      <c r="E89" s="982"/>
      <c r="F89" s="1420"/>
      <c r="G89" s="1386"/>
      <c r="H89" s="1424"/>
      <c r="I89" s="1424"/>
      <c r="J89" s="1424"/>
      <c r="K89" s="1424"/>
      <c r="L89" s="1424"/>
      <c r="M89" s="1424"/>
      <c r="N89" s="1424"/>
      <c r="O89" s="1424"/>
      <c r="P89" s="1424"/>
      <c r="Q89" s="1424"/>
      <c r="R89" s="1424"/>
      <c r="S89" s="1424"/>
      <c r="T89" s="1424"/>
      <c r="U89" s="1387"/>
      <c r="V89" s="1387"/>
      <c r="W89" s="1387"/>
      <c r="X89" s="1387"/>
      <c r="Y89" s="1387"/>
      <c r="Z89" s="1387"/>
      <c r="AA89" s="1387"/>
      <c r="AB89" s="1387"/>
      <c r="AC89" s="1387"/>
      <c r="AD89" s="1387"/>
      <c r="AE89" s="1387"/>
      <c r="AF89" s="1387"/>
      <c r="AG89" s="1387"/>
      <c r="AH89" s="1387"/>
    </row>
    <row r="90" spans="1:47">
      <c r="A90" s="1386"/>
      <c r="B90"/>
      <c r="C90" s="1422"/>
      <c r="D90" s="982"/>
      <c r="E90" s="982"/>
      <c r="F90" s="1420"/>
      <c r="G90" s="1386"/>
      <c r="H90" s="1424"/>
      <c r="I90" s="1424"/>
      <c r="J90" s="1424"/>
      <c r="K90" s="1424"/>
      <c r="L90" s="1424"/>
      <c r="M90" s="1424"/>
      <c r="N90" s="1424"/>
      <c r="O90" s="1424"/>
      <c r="P90" s="1424"/>
      <c r="Q90" s="1424"/>
      <c r="R90" s="1424"/>
      <c r="S90" s="1424"/>
      <c r="T90" s="1424"/>
      <c r="U90" s="1387"/>
      <c r="V90" s="1387"/>
      <c r="W90" s="1387"/>
      <c r="X90" s="1387"/>
      <c r="Y90" s="1387"/>
      <c r="Z90" s="1387"/>
      <c r="AA90" s="1387"/>
      <c r="AB90" s="1387"/>
      <c r="AC90" s="1387"/>
      <c r="AD90" s="1387"/>
      <c r="AE90" s="1387"/>
      <c r="AF90" s="1387"/>
      <c r="AG90" s="1387"/>
      <c r="AH90" s="1387"/>
    </row>
    <row r="91" spans="1:47">
      <c r="A91" s="1386"/>
      <c r="B91"/>
      <c r="C91" s="1422"/>
      <c r="D91" s="982"/>
      <c r="E91" s="982"/>
      <c r="F91" s="1420"/>
      <c r="G91" s="1386"/>
      <c r="H91" s="1424"/>
      <c r="I91" s="1424"/>
      <c r="J91" s="1424"/>
      <c r="K91" s="1424"/>
      <c r="L91" s="1424"/>
      <c r="M91" s="1424"/>
      <c r="N91" s="1424"/>
      <c r="O91" s="1424"/>
      <c r="P91" s="1424"/>
      <c r="Q91" s="1424"/>
      <c r="R91" s="1424"/>
      <c r="S91" s="1424"/>
      <c r="T91" s="1424"/>
      <c r="U91" s="1387"/>
      <c r="V91" s="1387"/>
      <c r="W91" s="1387"/>
      <c r="X91" s="1387"/>
      <c r="Y91" s="1387"/>
      <c r="Z91" s="1387"/>
      <c r="AA91" s="1387"/>
      <c r="AB91" s="1387"/>
      <c r="AC91" s="1387"/>
      <c r="AD91" s="1387"/>
      <c r="AE91" s="1387"/>
      <c r="AF91" s="1387"/>
      <c r="AG91" s="1387"/>
      <c r="AH91" s="1387"/>
    </row>
    <row r="92" spans="1:47">
      <c r="A92" s="1386"/>
      <c r="B92"/>
      <c r="C92" s="1422"/>
      <c r="D92" s="982"/>
      <c r="E92" s="982"/>
      <c r="F92" s="1420"/>
      <c r="G92" s="1386"/>
      <c r="H92" s="1424"/>
      <c r="I92" s="1424"/>
      <c r="J92" s="1424"/>
      <c r="K92" s="1424"/>
      <c r="L92" s="1424"/>
      <c r="M92" s="1424"/>
      <c r="N92" s="1424"/>
      <c r="O92" s="1424"/>
      <c r="P92" s="1424"/>
      <c r="Q92" s="1424"/>
      <c r="R92" s="1424"/>
      <c r="S92" s="1424"/>
      <c r="T92" s="1424"/>
      <c r="U92" s="1387"/>
      <c r="V92" s="1387"/>
      <c r="W92" s="1387"/>
      <c r="X92" s="1387"/>
      <c r="Y92" s="1387"/>
      <c r="Z92" s="1387"/>
      <c r="AA92" s="1387"/>
      <c r="AB92" s="1387"/>
      <c r="AC92" s="1387"/>
      <c r="AD92" s="1387"/>
      <c r="AE92" s="1387"/>
      <c r="AF92" s="1387"/>
      <c r="AG92" s="1387"/>
      <c r="AH92" s="1387"/>
    </row>
    <row r="93" spans="1:47">
      <c r="A93" s="1386"/>
      <c r="B93"/>
      <c r="C93" s="1422"/>
      <c r="D93" s="982"/>
      <c r="E93" s="982"/>
      <c r="F93" s="1420"/>
      <c r="G93" s="1386"/>
      <c r="H93" s="1424"/>
      <c r="I93" s="1424"/>
      <c r="J93" s="1424"/>
      <c r="K93" s="1424"/>
      <c r="L93" s="1424"/>
      <c r="M93" s="1424"/>
      <c r="N93" s="1424"/>
      <c r="O93" s="1424"/>
      <c r="P93" s="1424"/>
      <c r="Q93" s="1424"/>
      <c r="R93" s="1424"/>
      <c r="S93" s="1424"/>
      <c r="T93" s="1424"/>
      <c r="U93" s="1387"/>
      <c r="V93" s="1387"/>
      <c r="W93" s="1387"/>
      <c r="X93" s="1387"/>
      <c r="Y93" s="1387"/>
      <c r="Z93" s="1387"/>
      <c r="AA93" s="1387"/>
      <c r="AB93" s="1387"/>
      <c r="AC93" s="1387"/>
      <c r="AD93" s="1387"/>
      <c r="AE93" s="1387"/>
      <c r="AF93" s="1387"/>
      <c r="AG93" s="1387"/>
      <c r="AH93" s="1387"/>
    </row>
    <row r="94" spans="1:47">
      <c r="A94" s="1386"/>
      <c r="B94"/>
      <c r="C94" s="1422"/>
      <c r="D94" s="982"/>
      <c r="E94" s="982"/>
      <c r="F94" s="1420"/>
      <c r="G94" s="1386"/>
      <c r="H94" s="1424"/>
      <c r="I94" s="1424"/>
      <c r="J94" s="1424"/>
      <c r="K94" s="1424"/>
      <c r="L94" s="1424"/>
      <c r="M94" s="1424"/>
      <c r="N94" s="1424"/>
      <c r="O94" s="1424"/>
      <c r="P94" s="1424"/>
      <c r="Q94" s="1424"/>
      <c r="R94" s="1424"/>
      <c r="S94" s="1424"/>
      <c r="T94" s="1424"/>
      <c r="U94" s="1387"/>
      <c r="V94" s="1387"/>
      <c r="W94" s="1387"/>
      <c r="X94" s="1387"/>
      <c r="Y94" s="1387"/>
      <c r="Z94" s="1387"/>
      <c r="AA94" s="1387"/>
      <c r="AB94" s="1387"/>
      <c r="AC94" s="1387"/>
      <c r="AD94" s="1387"/>
      <c r="AE94" s="1387"/>
      <c r="AF94" s="1387"/>
      <c r="AG94" s="1387"/>
      <c r="AH94" s="1387"/>
    </row>
    <row r="95" spans="1:47">
      <c r="A95" s="1386"/>
      <c r="B95"/>
      <c r="C95" s="1422"/>
      <c r="D95" s="982"/>
      <c r="E95" s="982"/>
      <c r="F95" s="1420"/>
      <c r="G95" s="1386"/>
      <c r="H95" s="1424"/>
      <c r="I95" s="1424"/>
      <c r="J95" s="1424"/>
      <c r="K95" s="1424"/>
      <c r="L95" s="1424"/>
      <c r="M95" s="1424"/>
      <c r="N95" s="1424"/>
      <c r="O95" s="1424"/>
      <c r="P95" s="1424"/>
      <c r="Q95" s="1424"/>
      <c r="R95" s="1424"/>
      <c r="S95" s="1424"/>
      <c r="T95" s="1424"/>
      <c r="U95" s="1387"/>
      <c r="V95" s="1387"/>
      <c r="W95" s="1387"/>
      <c r="X95" s="1387"/>
      <c r="Y95" s="1387"/>
      <c r="Z95" s="1387"/>
      <c r="AA95" s="1387"/>
      <c r="AB95" s="1387"/>
      <c r="AC95" s="1387"/>
      <c r="AD95" s="1387"/>
      <c r="AE95" s="1387"/>
      <c r="AF95" s="1387"/>
      <c r="AG95" s="1387"/>
      <c r="AH95" s="1387"/>
    </row>
    <row r="96" spans="1:47">
      <c r="A96" s="1386"/>
      <c r="B96"/>
      <c r="C96" s="1422"/>
      <c r="D96" s="982"/>
      <c r="E96" s="982"/>
      <c r="F96" s="1420"/>
      <c r="G96" s="1386"/>
      <c r="H96" s="1424"/>
      <c r="I96" s="1424"/>
      <c r="J96" s="1424"/>
      <c r="K96" s="1424"/>
      <c r="L96" s="1424"/>
      <c r="M96" s="1424"/>
      <c r="N96" s="1424"/>
      <c r="O96" s="1424"/>
      <c r="P96" s="1424"/>
      <c r="Q96" s="1424"/>
      <c r="R96" s="1424"/>
      <c r="S96" s="1424"/>
      <c r="T96" s="1424"/>
      <c r="U96" s="1387"/>
      <c r="V96" s="1387"/>
      <c r="W96" s="1387"/>
      <c r="X96" s="1387"/>
      <c r="Y96" s="1387"/>
      <c r="Z96" s="1387"/>
      <c r="AA96" s="1387"/>
      <c r="AB96" s="1387"/>
      <c r="AC96" s="1387"/>
      <c r="AD96" s="1387"/>
      <c r="AE96" s="1387"/>
      <c r="AF96" s="1387"/>
      <c r="AG96" s="1387"/>
      <c r="AH96" s="1387"/>
    </row>
    <row r="97" spans="1:34">
      <c r="A97" s="1386"/>
      <c r="B97"/>
      <c r="C97" s="1422"/>
      <c r="D97" s="982"/>
      <c r="E97" s="982"/>
      <c r="F97" s="1420"/>
      <c r="G97" s="1386"/>
      <c r="H97" s="1424"/>
      <c r="I97" s="1424"/>
      <c r="J97" s="1424"/>
      <c r="K97" s="1424"/>
      <c r="L97" s="1424"/>
      <c r="M97" s="1424"/>
      <c r="N97" s="1424"/>
      <c r="O97" s="1424"/>
      <c r="P97" s="1424"/>
      <c r="Q97" s="1424"/>
      <c r="R97" s="1424"/>
      <c r="S97" s="1424"/>
      <c r="T97" s="1424"/>
      <c r="U97" s="1387"/>
      <c r="V97" s="1387"/>
      <c r="W97" s="1387"/>
      <c r="X97" s="1387"/>
      <c r="Y97" s="1387"/>
      <c r="Z97" s="1387"/>
      <c r="AA97" s="1387"/>
      <c r="AB97" s="1387"/>
      <c r="AC97" s="1387"/>
      <c r="AD97" s="1387"/>
      <c r="AE97" s="1387"/>
      <c r="AF97" s="1387"/>
      <c r="AG97" s="1387"/>
      <c r="AH97" s="1387"/>
    </row>
    <row r="98" spans="1:34">
      <c r="A98" s="1386"/>
      <c r="B98"/>
      <c r="C98" s="1422"/>
      <c r="D98" s="982"/>
      <c r="E98" s="982"/>
      <c r="F98" s="1420"/>
      <c r="G98" s="1386"/>
      <c r="H98" s="1414" t="s">
        <v>595</v>
      </c>
      <c r="I98" s="1414"/>
      <c r="J98" s="1414"/>
      <c r="K98" s="1414"/>
      <c r="L98" s="1414"/>
      <c r="M98" s="1414"/>
      <c r="N98" s="1414"/>
      <c r="O98" s="1414"/>
      <c r="P98" s="1414"/>
      <c r="Q98" s="1414"/>
      <c r="R98" s="1414"/>
      <c r="S98" s="1414"/>
      <c r="T98" s="1414"/>
      <c r="U98" s="1387"/>
      <c r="V98" s="1387"/>
      <c r="W98" s="1387"/>
      <c r="X98" s="1387"/>
      <c r="Y98" s="1387"/>
      <c r="Z98" s="1387"/>
      <c r="AA98" s="1387"/>
      <c r="AB98" s="1387"/>
      <c r="AC98" s="1387"/>
      <c r="AD98" s="1387"/>
      <c r="AE98" s="1387"/>
      <c r="AF98" s="1387"/>
      <c r="AG98" s="1387"/>
      <c r="AH98" s="1387"/>
    </row>
    <row r="99" spans="1:34">
      <c r="A99" s="1386"/>
      <c r="B99"/>
      <c r="C99" s="1422"/>
      <c r="D99" s="982"/>
      <c r="E99" s="982"/>
      <c r="F99" s="1420"/>
      <c r="G99" s="1386"/>
      <c r="H99" s="1424"/>
      <c r="I99" s="1424"/>
      <c r="J99" s="1424"/>
      <c r="K99" s="1424"/>
      <c r="L99" s="1424"/>
      <c r="M99" s="1424"/>
      <c r="N99" s="1424"/>
      <c r="O99" s="1424"/>
      <c r="P99" s="1424"/>
      <c r="Q99" s="1424"/>
      <c r="R99" s="1424"/>
      <c r="S99" s="1424"/>
      <c r="T99" s="1424"/>
      <c r="U99" s="1387"/>
      <c r="V99" s="1387"/>
      <c r="W99" s="1387"/>
      <c r="X99" s="1387"/>
      <c r="Y99" s="1387"/>
      <c r="Z99" s="1387"/>
      <c r="AA99" s="1387"/>
      <c r="AB99" s="1387"/>
      <c r="AC99" s="1387"/>
      <c r="AD99" s="1387"/>
      <c r="AE99" s="1387"/>
      <c r="AF99" s="1387"/>
      <c r="AG99" s="1387"/>
      <c r="AH99" s="1387"/>
    </row>
    <row r="100" spans="1:34">
      <c r="A100" s="1386"/>
      <c r="B100"/>
      <c r="C100" s="1422"/>
      <c r="D100" s="982"/>
      <c r="E100" s="982"/>
      <c r="F100" s="1420"/>
      <c r="G100" s="1386"/>
      <c r="H100" s="1424"/>
      <c r="I100" s="1424"/>
      <c r="J100" s="1424"/>
      <c r="K100" s="1424"/>
      <c r="L100" s="1424"/>
      <c r="M100" s="1424"/>
      <c r="N100" s="1424"/>
      <c r="O100" s="1424"/>
      <c r="P100" s="1424"/>
      <c r="Q100" s="1424"/>
      <c r="R100" s="1424"/>
      <c r="S100" s="1424"/>
      <c r="T100" s="1424"/>
      <c r="U100" s="1387"/>
      <c r="V100" s="1387"/>
      <c r="W100" s="1387"/>
      <c r="X100" s="1387"/>
      <c r="Y100" s="1387"/>
      <c r="Z100" s="1387"/>
      <c r="AA100" s="1387"/>
      <c r="AB100" s="1387"/>
      <c r="AC100" s="1387"/>
      <c r="AD100" s="1387"/>
      <c r="AE100" s="1387"/>
      <c r="AF100" s="1387"/>
      <c r="AG100" s="1387"/>
      <c r="AH100" s="1387"/>
    </row>
    <row r="101" spans="1:34">
      <c r="A101" s="1386"/>
      <c r="B101"/>
      <c r="C101" s="1422"/>
      <c r="D101" s="982"/>
      <c r="E101" s="982"/>
      <c r="F101" s="1420"/>
      <c r="G101" s="1386"/>
      <c r="H101" s="1424"/>
      <c r="I101" s="1424"/>
      <c r="J101" s="1424"/>
      <c r="K101" s="1424"/>
      <c r="L101" s="1424"/>
      <c r="M101" s="1424"/>
      <c r="N101" s="1424"/>
      <c r="O101" s="1424"/>
      <c r="P101" s="1424"/>
      <c r="Q101" s="1424"/>
      <c r="R101" s="1424"/>
      <c r="S101" s="1424"/>
      <c r="T101" s="1424"/>
      <c r="U101" s="1387"/>
      <c r="V101" s="1387"/>
      <c r="W101" s="1387"/>
      <c r="X101" s="1387"/>
      <c r="Y101" s="1387"/>
      <c r="Z101" s="1387"/>
      <c r="AA101" s="1387"/>
      <c r="AB101" s="1387"/>
    </row>
    <row r="102" spans="1:34">
      <c r="A102" s="1386"/>
      <c r="B102"/>
      <c r="C102" s="1422"/>
      <c r="D102" s="982"/>
      <c r="E102" s="982"/>
      <c r="F102" s="1420"/>
      <c r="G102" s="1386"/>
      <c r="H102" s="1424"/>
      <c r="I102" s="1424"/>
      <c r="J102" s="1424"/>
      <c r="K102" s="1424"/>
      <c r="L102" s="1424"/>
      <c r="M102" s="1424"/>
      <c r="N102" s="1424"/>
      <c r="O102" s="1424"/>
      <c r="P102" s="1424"/>
      <c r="Q102" s="1424"/>
      <c r="R102" s="1424"/>
      <c r="S102" s="1424"/>
      <c r="T102" s="1424"/>
      <c r="U102" s="1387"/>
      <c r="V102" s="1387"/>
      <c r="W102" s="1387"/>
      <c r="X102" s="1387"/>
      <c r="Y102" s="1387"/>
      <c r="Z102" s="1387"/>
      <c r="AA102" s="1387"/>
      <c r="AB102" s="1387"/>
    </row>
    <row r="103" spans="1:34">
      <c r="A103" s="1386"/>
      <c r="B103"/>
      <c r="C103" s="1422"/>
      <c r="D103" s="982"/>
      <c r="E103" s="982"/>
      <c r="F103" s="1420"/>
      <c r="G103" s="1386"/>
      <c r="H103" s="1387"/>
      <c r="I103" s="1387"/>
      <c r="J103" s="1387"/>
      <c r="K103" s="1387"/>
      <c r="L103" s="1387"/>
      <c r="M103" s="1387"/>
      <c r="N103" s="1387"/>
      <c r="O103" s="1387"/>
      <c r="P103" s="1387"/>
      <c r="Q103" s="1387"/>
      <c r="R103" s="1387"/>
      <c r="S103" s="1387"/>
      <c r="T103" s="1387"/>
      <c r="U103" s="1387"/>
      <c r="V103" s="1387"/>
      <c r="W103" s="1387"/>
      <c r="X103" s="1387"/>
      <c r="Y103" s="1387"/>
      <c r="Z103" s="1387"/>
      <c r="AA103" s="1387"/>
      <c r="AB103" s="1387"/>
    </row>
    <row r="104" spans="1:34">
      <c r="A104" s="1386"/>
      <c r="B104"/>
      <c r="C104" s="1422"/>
      <c r="D104" s="982"/>
      <c r="E104" s="982"/>
      <c r="F104" s="1420"/>
      <c r="G104" s="1386"/>
      <c r="H104" s="1387"/>
      <c r="I104" s="1387"/>
      <c r="J104" s="1387"/>
      <c r="K104" s="1387"/>
      <c r="L104" s="1387"/>
      <c r="M104" s="1387"/>
      <c r="N104" s="1387"/>
      <c r="O104" s="1387"/>
      <c r="P104" s="1387"/>
      <c r="Q104" s="1387"/>
      <c r="R104" s="1387"/>
      <c r="S104" s="1387"/>
      <c r="T104" s="1387"/>
      <c r="U104" s="1387"/>
      <c r="V104" s="1387"/>
      <c r="W104" s="1387"/>
      <c r="X104" s="1387"/>
      <c r="Y104" s="1387"/>
      <c r="Z104" s="1387"/>
      <c r="AA104" s="1387"/>
      <c r="AB104" s="1387"/>
    </row>
    <row r="105" spans="1:34">
      <c r="A105" s="1386"/>
      <c r="B105"/>
      <c r="C105" s="1422"/>
      <c r="D105" s="982"/>
      <c r="E105" s="982"/>
      <c r="F105" s="1420"/>
      <c r="G105" s="1386"/>
      <c r="H105" s="1424"/>
      <c r="I105" s="1424"/>
      <c r="J105" s="1424"/>
      <c r="K105" s="1424"/>
      <c r="L105" s="1424"/>
      <c r="M105" s="1424"/>
      <c r="N105" s="1424"/>
      <c r="O105" s="1424"/>
      <c r="P105" s="1424"/>
      <c r="Q105" s="1424"/>
      <c r="R105" s="1424"/>
      <c r="S105" s="1424"/>
      <c r="T105" s="1424"/>
      <c r="U105" s="1387"/>
      <c r="V105" s="1387"/>
      <c r="W105" s="1387"/>
      <c r="X105" s="1387"/>
      <c r="Y105" s="1387"/>
      <c r="Z105" s="1387"/>
      <c r="AA105" s="1387"/>
      <c r="AB105" s="1387"/>
    </row>
    <row r="106" spans="1:34">
      <c r="A106" s="1386"/>
      <c r="B106"/>
      <c r="C106" s="1422"/>
      <c r="D106" s="982"/>
      <c r="E106" s="982"/>
      <c r="F106" s="1420"/>
      <c r="G106" s="1386"/>
      <c r="H106" s="1387"/>
      <c r="I106" s="1387"/>
      <c r="J106" s="1387"/>
      <c r="K106" s="1387"/>
      <c r="L106" s="1387"/>
      <c r="M106" s="1387"/>
      <c r="N106" s="1387"/>
      <c r="O106" s="1387"/>
      <c r="P106" s="1387"/>
      <c r="Q106" s="1387"/>
      <c r="R106" s="1387"/>
      <c r="S106" s="1387"/>
      <c r="T106" s="1387"/>
      <c r="U106" s="1387"/>
      <c r="V106" s="1387"/>
      <c r="W106" s="1387"/>
      <c r="X106" s="1387"/>
      <c r="Y106" s="1387"/>
      <c r="Z106" s="1387"/>
      <c r="AA106" s="1387"/>
      <c r="AB106" s="1387"/>
    </row>
    <row r="107" spans="1:34">
      <c r="A107" s="1386"/>
      <c r="B107"/>
      <c r="C107" s="1422"/>
      <c r="D107" s="982"/>
      <c r="E107" s="982"/>
      <c r="F107" s="1420"/>
      <c r="G107" s="1386"/>
      <c r="H107" s="1387"/>
      <c r="I107" s="1387"/>
      <c r="J107" s="1387"/>
      <c r="K107" s="1387"/>
      <c r="L107" s="1387"/>
      <c r="M107" s="1387"/>
      <c r="N107" s="1387"/>
      <c r="O107" s="1387"/>
      <c r="P107" s="1387"/>
      <c r="Q107" s="1387"/>
      <c r="R107" s="1387"/>
      <c r="S107" s="1387"/>
      <c r="T107" s="1387"/>
      <c r="U107" s="1387"/>
      <c r="V107" s="1387"/>
      <c r="W107" s="1387"/>
      <c r="X107" s="1387"/>
      <c r="Y107" s="1387"/>
      <c r="Z107" s="1387"/>
      <c r="AA107" s="1387"/>
      <c r="AB107" s="1387"/>
    </row>
    <row r="108" spans="1:34">
      <c r="A108" s="1386"/>
      <c r="B108"/>
      <c r="C108" s="1422"/>
      <c r="D108" s="982"/>
      <c r="E108" s="982"/>
      <c r="F108" s="1420"/>
      <c r="G108" s="1386"/>
      <c r="H108" s="1424"/>
      <c r="I108" s="1424"/>
      <c r="J108" s="1424"/>
      <c r="K108" s="1424"/>
      <c r="L108" s="1424"/>
      <c r="M108" s="1424"/>
      <c r="N108" s="1424"/>
      <c r="O108" s="1424"/>
      <c r="P108" s="1424"/>
      <c r="Q108" s="1424"/>
      <c r="R108" s="1424"/>
      <c r="S108" s="1424"/>
      <c r="T108" s="1424"/>
      <c r="U108" s="1387"/>
      <c r="V108" s="1387"/>
      <c r="W108" s="1387"/>
      <c r="X108" s="1387"/>
      <c r="Y108" s="1387"/>
      <c r="Z108" s="1387"/>
      <c r="AA108" s="1387"/>
      <c r="AB108" s="1387"/>
    </row>
    <row r="109" spans="1:34">
      <c r="A109" s="1386"/>
      <c r="B109"/>
      <c r="C109" s="1422"/>
      <c r="D109" s="982"/>
      <c r="E109" s="982"/>
      <c r="F109" s="1420"/>
      <c r="G109" s="1386"/>
      <c r="H109" s="1387"/>
      <c r="I109" s="1387"/>
      <c r="J109" s="1387"/>
      <c r="K109" s="1387"/>
      <c r="L109" s="1387"/>
      <c r="M109" s="1387"/>
      <c r="N109" s="1387"/>
      <c r="O109" s="1387"/>
      <c r="P109" s="1387"/>
      <c r="Q109" s="1387"/>
      <c r="R109" s="1387"/>
      <c r="S109" s="1387"/>
      <c r="T109" s="1387"/>
      <c r="U109" s="1387"/>
      <c r="V109" s="1387"/>
      <c r="W109" s="1387"/>
      <c r="X109" s="1387"/>
      <c r="Y109" s="1387"/>
      <c r="Z109" s="1387"/>
      <c r="AA109" s="1387"/>
      <c r="AB109" s="1387"/>
    </row>
    <row r="110" spans="1:34">
      <c r="A110" s="1386"/>
      <c r="B110"/>
      <c r="C110" s="1422"/>
      <c r="D110" s="982"/>
      <c r="E110" s="982"/>
      <c r="F110" s="1420"/>
      <c r="G110" s="1386"/>
      <c r="H110" s="1387"/>
      <c r="I110" s="1387"/>
      <c r="J110" s="1387"/>
      <c r="K110" s="1387"/>
      <c r="L110" s="1387"/>
      <c r="M110" s="1387"/>
      <c r="N110" s="1387"/>
      <c r="O110" s="1387"/>
      <c r="P110" s="1387"/>
      <c r="Q110" s="1387"/>
      <c r="R110" s="1387"/>
      <c r="S110" s="1387"/>
      <c r="T110" s="1387"/>
      <c r="U110" s="1387"/>
      <c r="V110" s="1387"/>
      <c r="W110" s="1387"/>
      <c r="X110" s="1387"/>
      <c r="Y110" s="1387"/>
      <c r="Z110" s="1387"/>
      <c r="AA110" s="1387"/>
      <c r="AB110" s="1387"/>
    </row>
    <row r="111" spans="1:34">
      <c r="A111" s="1386"/>
      <c r="B111"/>
      <c r="C111" s="1422"/>
      <c r="D111" s="982"/>
      <c r="E111" s="982"/>
      <c r="F111" s="1420"/>
      <c r="G111" s="1386"/>
      <c r="H111" s="1424"/>
      <c r="I111" s="1424"/>
      <c r="J111" s="1424"/>
      <c r="K111" s="1424"/>
      <c r="L111" s="1424"/>
      <c r="M111" s="1424"/>
      <c r="N111" s="1424"/>
      <c r="O111" s="1424"/>
      <c r="P111" s="1424"/>
      <c r="Q111" s="1424"/>
      <c r="R111" s="1424"/>
      <c r="S111" s="1424"/>
      <c r="T111" s="1424"/>
      <c r="U111" s="1387"/>
      <c r="V111" s="1387"/>
      <c r="W111" s="1387"/>
      <c r="X111" s="1387"/>
      <c r="Y111" s="1387"/>
      <c r="Z111" s="1387"/>
      <c r="AA111" s="1387"/>
      <c r="AB111" s="1387"/>
    </row>
    <row r="112" spans="1:34">
      <c r="A112" s="1386"/>
      <c r="B112"/>
      <c r="C112" s="1422"/>
      <c r="D112" s="982"/>
      <c r="E112" s="982"/>
      <c r="F112" s="1420"/>
      <c r="G112" s="1386"/>
      <c r="H112" s="1387"/>
      <c r="I112" s="1387"/>
      <c r="J112" s="1387"/>
      <c r="K112" s="1387"/>
      <c r="L112" s="1387"/>
      <c r="M112" s="1387"/>
      <c r="N112" s="1387"/>
      <c r="O112" s="1387"/>
      <c r="P112" s="1387"/>
      <c r="Q112" s="1387"/>
      <c r="R112" s="1387"/>
      <c r="S112" s="1387"/>
      <c r="T112" s="1387"/>
      <c r="U112" s="1387"/>
      <c r="V112" s="1387"/>
      <c r="W112" s="1387"/>
      <c r="X112" s="1387"/>
      <c r="Y112" s="1387"/>
      <c r="Z112" s="1387"/>
      <c r="AA112" s="1387"/>
      <c r="AB112" s="1387"/>
    </row>
    <row r="113" spans="1:28">
      <c r="A113" s="1386"/>
      <c r="B113"/>
      <c r="C113" s="1422"/>
      <c r="D113" s="982"/>
      <c r="E113" s="982"/>
      <c r="F113" s="1420"/>
      <c r="G113" s="1386"/>
      <c r="H113" s="1387"/>
      <c r="I113" s="1387"/>
      <c r="J113" s="1387"/>
      <c r="K113" s="1387"/>
      <c r="L113" s="1387"/>
      <c r="M113" s="1387"/>
      <c r="N113" s="1387"/>
      <c r="O113" s="1387"/>
      <c r="P113" s="1387"/>
      <c r="Q113" s="1387"/>
      <c r="R113" s="1387"/>
      <c r="S113" s="1387"/>
      <c r="T113" s="1387"/>
      <c r="U113" s="1387"/>
      <c r="V113" s="1387"/>
      <c r="W113" s="1387"/>
      <c r="X113" s="1387"/>
      <c r="Y113" s="1387"/>
      <c r="Z113" s="1387"/>
      <c r="AA113" s="1387"/>
      <c r="AB113" s="1387"/>
    </row>
    <row r="114" spans="1:28">
      <c r="A114" s="1386"/>
      <c r="B114"/>
      <c r="C114" s="1422"/>
      <c r="D114" s="982"/>
      <c r="E114" s="982"/>
      <c r="F114" s="1420"/>
      <c r="G114" s="1386"/>
      <c r="H114" s="1424"/>
      <c r="I114" s="1424"/>
      <c r="J114" s="1424"/>
      <c r="K114" s="1424"/>
      <c r="L114" s="1424"/>
      <c r="M114" s="1424"/>
      <c r="N114" s="1424"/>
      <c r="O114" s="1424"/>
      <c r="P114" s="1424"/>
      <c r="Q114" s="1424"/>
      <c r="R114" s="1424"/>
      <c r="S114" s="1424"/>
      <c r="T114" s="1424"/>
      <c r="U114" s="1387"/>
      <c r="V114" s="1387"/>
      <c r="W114" s="1387"/>
      <c r="X114" s="1387"/>
      <c r="Y114" s="1387"/>
      <c r="Z114" s="1387"/>
      <c r="AA114" s="1387"/>
      <c r="AB114" s="1387"/>
    </row>
    <row r="115" spans="1:28">
      <c r="A115" s="1386"/>
      <c r="B115"/>
      <c r="C115" s="1422"/>
      <c r="D115" s="982"/>
      <c r="E115" s="982"/>
      <c r="F115" s="1420"/>
      <c r="G115" s="1386"/>
      <c r="H115" s="1387"/>
      <c r="I115" s="1387"/>
      <c r="J115" s="1387"/>
      <c r="K115" s="1387"/>
      <c r="L115" s="1387"/>
      <c r="M115" s="1387"/>
      <c r="N115" s="1387"/>
      <c r="O115" s="1387"/>
      <c r="P115" s="1387"/>
      <c r="Q115" s="1387"/>
      <c r="R115" s="1387"/>
      <c r="S115" s="1387"/>
      <c r="T115" s="1387"/>
      <c r="U115" s="1387"/>
      <c r="V115" s="1387"/>
      <c r="W115" s="1387"/>
      <c r="X115" s="1387"/>
      <c r="Y115" s="1387"/>
      <c r="Z115" s="1387"/>
      <c r="AA115" s="1387"/>
      <c r="AB115" s="1387"/>
    </row>
    <row r="116" spans="1:28">
      <c r="A116" s="1386"/>
      <c r="B116"/>
      <c r="C116" s="1422"/>
      <c r="D116" s="982"/>
      <c r="E116" s="982"/>
      <c r="F116" s="1420"/>
      <c r="G116" s="1386"/>
      <c r="H116" s="1387"/>
      <c r="I116" s="1387"/>
      <c r="J116" s="1387"/>
      <c r="K116" s="1387"/>
      <c r="L116" s="1387"/>
      <c r="M116" s="1387"/>
      <c r="N116" s="1387"/>
      <c r="O116" s="1387"/>
      <c r="P116" s="1387"/>
      <c r="Q116" s="1387"/>
      <c r="R116" s="1387"/>
      <c r="S116" s="1387"/>
      <c r="T116" s="1387"/>
      <c r="U116" s="1387"/>
      <c r="V116" s="1387"/>
      <c r="W116" s="1387"/>
      <c r="X116" s="1387"/>
      <c r="Y116" s="1387"/>
      <c r="Z116" s="1387"/>
      <c r="AA116" s="1387"/>
      <c r="AB116" s="1387"/>
    </row>
    <row r="117" spans="1:28">
      <c r="A117" s="1386"/>
      <c r="B117"/>
      <c r="C117" s="1422"/>
      <c r="D117" s="982"/>
      <c r="E117" s="982"/>
      <c r="F117" s="1420"/>
      <c r="G117" s="1386"/>
      <c r="H117" s="1424"/>
      <c r="I117" s="1424"/>
      <c r="J117" s="1424"/>
      <c r="K117" s="1424"/>
      <c r="L117" s="1424"/>
      <c r="M117" s="1424"/>
      <c r="N117" s="1424"/>
      <c r="O117" s="1424"/>
      <c r="P117" s="1424"/>
      <c r="Q117" s="1424"/>
      <c r="R117" s="1424"/>
      <c r="S117" s="1424"/>
      <c r="T117" s="1424"/>
      <c r="U117" s="1387"/>
      <c r="V117" s="1387"/>
      <c r="W117" s="1387"/>
      <c r="X117" s="1387"/>
      <c r="Y117" s="1387"/>
      <c r="Z117" s="1387"/>
      <c r="AA117" s="1387"/>
      <c r="AB117" s="1387"/>
    </row>
    <row r="118" spans="1:28">
      <c r="A118" s="1386"/>
      <c r="B118"/>
      <c r="C118" s="1422"/>
      <c r="D118" s="982"/>
      <c r="E118" s="982"/>
      <c r="F118" s="1420"/>
      <c r="G118" s="1386"/>
      <c r="H118" s="1387"/>
      <c r="I118" s="1387"/>
      <c r="J118" s="1387"/>
      <c r="K118" s="1387"/>
      <c r="L118" s="1387"/>
      <c r="M118" s="1387"/>
      <c r="N118" s="1387"/>
      <c r="O118" s="1387"/>
      <c r="P118" s="1387"/>
      <c r="Q118" s="1387"/>
      <c r="R118" s="1387"/>
      <c r="S118" s="1387"/>
      <c r="T118" s="1387"/>
      <c r="U118" s="1387"/>
      <c r="V118" s="1387"/>
      <c r="W118" s="1387"/>
      <c r="X118" s="1387"/>
      <c r="Y118" s="1387"/>
      <c r="Z118" s="1387"/>
      <c r="AA118" s="1387"/>
      <c r="AB118" s="1387"/>
    </row>
    <row r="119" spans="1:28">
      <c r="A119" s="1386"/>
      <c r="B119"/>
      <c r="C119" s="1422"/>
      <c r="D119" s="982"/>
      <c r="E119" s="982"/>
      <c r="F119" s="1420"/>
      <c r="G119" s="1386"/>
      <c r="H119" s="1387"/>
      <c r="I119" s="1387"/>
      <c r="J119" s="1387"/>
      <c r="K119" s="1387"/>
      <c r="L119" s="1387"/>
      <c r="M119" s="1387"/>
      <c r="N119" s="1387"/>
      <c r="O119" s="1387"/>
      <c r="P119" s="1387"/>
      <c r="Q119" s="1387"/>
      <c r="R119" s="1387"/>
      <c r="S119" s="1387"/>
      <c r="T119" s="1387"/>
      <c r="U119" s="1387"/>
      <c r="V119" s="1387"/>
      <c r="W119" s="1387"/>
      <c r="X119" s="1387"/>
      <c r="Y119" s="1387"/>
      <c r="Z119" s="1387"/>
      <c r="AA119" s="1387"/>
      <c r="AB119" s="1387"/>
    </row>
    <row r="120" spans="1:28">
      <c r="A120" s="1386"/>
      <c r="B120"/>
      <c r="C120" s="1422"/>
      <c r="D120" s="982"/>
      <c r="E120" s="982"/>
      <c r="F120" s="1420"/>
      <c r="G120" s="1386"/>
      <c r="H120" s="1424"/>
      <c r="I120" s="1424"/>
      <c r="J120" s="1424"/>
      <c r="K120" s="1424"/>
      <c r="L120" s="1424"/>
      <c r="M120" s="1424"/>
      <c r="N120" s="1424"/>
      <c r="O120" s="1424"/>
      <c r="P120" s="1424"/>
      <c r="Q120" s="1424"/>
      <c r="R120" s="1424"/>
      <c r="S120" s="1424"/>
      <c r="T120" s="1424"/>
      <c r="U120" s="1387"/>
      <c r="V120" s="1387"/>
      <c r="W120" s="1387"/>
      <c r="X120" s="1387"/>
      <c r="Y120" s="1387"/>
      <c r="Z120" s="1387"/>
      <c r="AA120" s="1387"/>
      <c r="AB120" s="1387"/>
    </row>
    <row r="121" spans="1:28">
      <c r="A121" s="1386"/>
      <c r="B121"/>
      <c r="C121" s="1422"/>
      <c r="D121" s="982"/>
      <c r="E121" s="982"/>
      <c r="F121" s="1420"/>
      <c r="G121" s="1386"/>
      <c r="H121" s="1387"/>
      <c r="I121" s="1387"/>
      <c r="J121" s="1387"/>
      <c r="K121" s="1387"/>
      <c r="L121" s="1387"/>
      <c r="M121" s="1387"/>
      <c r="N121" s="1387"/>
      <c r="O121" s="1387"/>
      <c r="P121" s="1387"/>
      <c r="Q121" s="1387"/>
      <c r="R121" s="1387"/>
      <c r="S121" s="1387"/>
      <c r="T121" s="1387"/>
      <c r="U121" s="1387"/>
      <c r="V121" s="1387"/>
      <c r="W121" s="1387"/>
      <c r="X121" s="1387"/>
      <c r="Y121" s="1387"/>
      <c r="Z121" s="1387"/>
      <c r="AA121" s="1387"/>
      <c r="AB121" s="1387"/>
    </row>
    <row r="122" spans="1:28">
      <c r="A122" s="1386"/>
      <c r="B122"/>
      <c r="C122" s="1422"/>
      <c r="D122" s="982"/>
      <c r="E122" s="982"/>
      <c r="F122" s="1420"/>
      <c r="G122" s="1386"/>
      <c r="H122" s="1387"/>
      <c r="I122" s="1387"/>
      <c r="J122" s="1387"/>
      <c r="K122" s="1387"/>
      <c r="L122" s="1387"/>
      <c r="M122" s="1387"/>
      <c r="N122" s="1387"/>
      <c r="O122" s="1387"/>
      <c r="P122" s="1387"/>
      <c r="Q122" s="1387"/>
      <c r="R122" s="1387"/>
      <c r="S122" s="1387"/>
      <c r="T122" s="1387"/>
      <c r="U122" s="1387"/>
      <c r="V122" s="1387"/>
      <c r="W122" s="1387"/>
      <c r="X122" s="1387"/>
      <c r="Y122" s="1387"/>
      <c r="Z122" s="1387"/>
      <c r="AA122" s="1387"/>
      <c r="AB122" s="1387"/>
    </row>
    <row r="123" spans="1:28">
      <c r="A123" s="1386"/>
      <c r="B123"/>
      <c r="C123" s="1422"/>
      <c r="D123" s="982"/>
      <c r="E123" s="982"/>
      <c r="F123" s="1420"/>
      <c r="G123" s="1386"/>
      <c r="H123" s="1424"/>
      <c r="I123" s="1424"/>
      <c r="J123" s="1424"/>
      <c r="K123" s="1424"/>
      <c r="L123" s="1424"/>
      <c r="M123" s="1424"/>
      <c r="N123" s="1424"/>
      <c r="O123" s="1424"/>
      <c r="P123" s="1424"/>
      <c r="Q123" s="1424"/>
      <c r="R123" s="1424"/>
      <c r="S123" s="1424"/>
      <c r="T123" s="1424"/>
      <c r="U123" s="1387"/>
      <c r="V123" s="1387"/>
      <c r="W123" s="1387"/>
      <c r="X123" s="1387"/>
      <c r="Y123" s="1387"/>
      <c r="Z123" s="1387"/>
      <c r="AA123" s="1387"/>
      <c r="AB123" s="1387"/>
    </row>
    <row r="124" spans="1:28">
      <c r="A124" s="1386"/>
      <c r="B124"/>
      <c r="C124" s="1422"/>
      <c r="D124" s="982"/>
      <c r="E124" s="982"/>
      <c r="F124" s="1420"/>
      <c r="G124" s="1386"/>
      <c r="H124" s="1387"/>
      <c r="I124" s="1387"/>
      <c r="J124" s="1387"/>
      <c r="K124" s="1387"/>
      <c r="L124" s="1387"/>
      <c r="M124" s="1387"/>
      <c r="N124" s="1387"/>
      <c r="O124" s="1387"/>
      <c r="P124" s="1387"/>
      <c r="Q124" s="1387"/>
      <c r="R124" s="1387"/>
      <c r="S124" s="1387"/>
      <c r="T124" s="1387"/>
      <c r="U124" s="1387"/>
      <c r="V124" s="1387"/>
      <c r="W124" s="1387"/>
      <c r="X124" s="1387"/>
      <c r="Y124" s="1387"/>
      <c r="Z124" s="1387"/>
      <c r="AA124" s="1387"/>
      <c r="AB124" s="1387"/>
    </row>
    <row r="125" spans="1:28">
      <c r="A125" s="1386"/>
      <c r="B125"/>
      <c r="C125" s="1422"/>
      <c r="D125" s="982"/>
      <c r="E125" s="982"/>
      <c r="F125" s="1420"/>
      <c r="G125" s="1386"/>
      <c r="H125" s="1387"/>
      <c r="I125" s="1387"/>
      <c r="J125" s="1387"/>
      <c r="K125" s="1387"/>
      <c r="L125" s="1387"/>
      <c r="M125" s="1387"/>
      <c r="N125" s="1387"/>
      <c r="O125" s="1387"/>
      <c r="P125" s="1387"/>
      <c r="Q125" s="1387"/>
      <c r="R125" s="1387"/>
      <c r="S125" s="1387"/>
      <c r="T125" s="1387"/>
      <c r="U125" s="1387"/>
      <c r="V125" s="1387"/>
      <c r="W125" s="1387"/>
      <c r="X125" s="1387"/>
      <c r="Y125" s="1387"/>
      <c r="Z125" s="1387"/>
      <c r="AA125" s="1387"/>
      <c r="AB125" s="1387"/>
    </row>
    <row r="126" spans="1:28">
      <c r="A126" s="1386"/>
      <c r="B126"/>
      <c r="C126" s="1422"/>
      <c r="D126" s="982"/>
      <c r="E126" s="982"/>
      <c r="F126" s="1420"/>
      <c r="G126" s="1386"/>
      <c r="H126" s="1424"/>
      <c r="I126" s="1424"/>
      <c r="J126" s="1424"/>
      <c r="K126" s="1424"/>
      <c r="L126" s="1424"/>
      <c r="M126" s="1424"/>
      <c r="N126" s="1424"/>
      <c r="O126" s="1424"/>
      <c r="P126" s="1424"/>
      <c r="Q126" s="1424"/>
      <c r="R126" s="1424"/>
      <c r="S126" s="1424"/>
      <c r="T126" s="1424"/>
      <c r="U126" s="1387"/>
      <c r="V126" s="1387"/>
      <c r="W126" s="1387"/>
      <c r="X126" s="1387"/>
      <c r="Y126" s="1387"/>
      <c r="Z126" s="1387"/>
      <c r="AA126" s="1387"/>
      <c r="AB126" s="1387"/>
    </row>
    <row r="127" spans="1:28">
      <c r="A127" s="1386"/>
      <c r="B127"/>
      <c r="C127" s="1422"/>
      <c r="D127" s="982"/>
      <c r="E127" s="982"/>
      <c r="F127" s="1420"/>
      <c r="G127" s="1386"/>
      <c r="H127" s="1387"/>
      <c r="I127" s="1387"/>
      <c r="J127" s="1387"/>
      <c r="K127" s="1387"/>
      <c r="L127" s="1387"/>
      <c r="M127" s="1387"/>
      <c r="N127" s="1387"/>
      <c r="O127" s="1387"/>
      <c r="P127" s="1387"/>
      <c r="Q127" s="1387"/>
      <c r="R127" s="1387"/>
      <c r="S127" s="1387"/>
      <c r="T127" s="1387"/>
      <c r="U127" s="1387"/>
      <c r="V127" s="1387"/>
      <c r="W127" s="1387"/>
      <c r="X127" s="1387"/>
      <c r="Y127" s="1387"/>
      <c r="Z127" s="1387"/>
      <c r="AA127" s="1387"/>
      <c r="AB127" s="1387"/>
    </row>
    <row r="128" spans="1:28">
      <c r="A128" s="1386"/>
      <c r="B128"/>
      <c r="C128" s="1422"/>
      <c r="D128" s="982"/>
      <c r="E128" s="982"/>
      <c r="F128" s="1420"/>
      <c r="G128" s="1386"/>
      <c r="H128" s="1387"/>
      <c r="I128" s="1387"/>
      <c r="J128" s="1387"/>
      <c r="K128" s="1387"/>
      <c r="L128" s="1387"/>
      <c r="M128" s="1387"/>
      <c r="N128" s="1387"/>
      <c r="O128" s="1387"/>
      <c r="P128" s="1387"/>
      <c r="Q128" s="1387"/>
      <c r="R128" s="1387"/>
      <c r="S128" s="1387"/>
      <c r="T128" s="1387"/>
      <c r="U128" s="1387"/>
      <c r="V128" s="1387"/>
      <c r="W128" s="1387"/>
      <c r="X128" s="1387"/>
      <c r="Y128" s="1387"/>
      <c r="Z128" s="1387"/>
      <c r="AA128" s="1387"/>
      <c r="AB128" s="1387"/>
    </row>
    <row r="129" spans="1:28">
      <c r="A129" s="1386"/>
      <c r="B129"/>
      <c r="C129" s="1422"/>
      <c r="D129" s="982"/>
      <c r="E129" s="982"/>
      <c r="F129" s="1420"/>
      <c r="G129" s="1386"/>
      <c r="H129" s="1424"/>
      <c r="I129" s="1424"/>
      <c r="J129" s="1424"/>
      <c r="K129" s="1424"/>
      <c r="L129" s="1424"/>
      <c r="M129" s="1424"/>
      <c r="N129" s="1424"/>
      <c r="O129" s="1424"/>
      <c r="P129" s="1424"/>
      <c r="Q129" s="1424"/>
      <c r="R129" s="1424"/>
      <c r="S129" s="1424"/>
      <c r="T129" s="1424"/>
      <c r="U129" s="1387"/>
      <c r="V129" s="1387"/>
      <c r="W129" s="1387"/>
      <c r="X129" s="1387"/>
      <c r="Y129" s="1387"/>
      <c r="Z129" s="1387"/>
      <c r="AA129" s="1387"/>
      <c r="AB129" s="1387"/>
    </row>
    <row r="130" spans="1:28">
      <c r="A130" s="1386"/>
      <c r="B130"/>
      <c r="C130" s="1422"/>
      <c r="D130" s="982"/>
      <c r="E130" s="982"/>
      <c r="F130" s="1420"/>
      <c r="G130" s="1386"/>
      <c r="H130" s="1387"/>
      <c r="I130" s="1387"/>
      <c r="J130" s="1387"/>
      <c r="K130" s="1387"/>
      <c r="L130" s="1387"/>
      <c r="M130" s="1387"/>
      <c r="N130" s="1387"/>
      <c r="O130" s="1387"/>
      <c r="P130" s="1387"/>
      <c r="Q130" s="1387"/>
      <c r="R130" s="1387"/>
      <c r="S130" s="1387"/>
      <c r="T130" s="1387"/>
      <c r="U130" s="1387"/>
      <c r="V130" s="1387"/>
      <c r="W130" s="1387"/>
      <c r="X130" s="1387"/>
      <c r="Y130" s="1387"/>
      <c r="Z130" s="1387"/>
      <c r="AA130" s="1387"/>
      <c r="AB130" s="1387"/>
    </row>
    <row r="131" spans="1:28">
      <c r="A131" s="1386"/>
      <c r="B131"/>
      <c r="C131" s="1422"/>
      <c r="D131" s="982"/>
      <c r="E131" s="982"/>
      <c r="F131" s="1420"/>
      <c r="G131" s="1386"/>
      <c r="H131" s="1387"/>
      <c r="I131" s="1387"/>
      <c r="J131" s="1387"/>
      <c r="K131" s="1387"/>
      <c r="L131" s="1387"/>
      <c r="M131" s="1387"/>
      <c r="N131" s="1387"/>
      <c r="O131" s="1387"/>
      <c r="P131" s="1387"/>
      <c r="Q131" s="1387"/>
      <c r="R131" s="1387"/>
      <c r="S131" s="1387"/>
      <c r="T131" s="1387"/>
      <c r="U131" s="1387"/>
      <c r="V131" s="1387"/>
      <c r="W131" s="1387"/>
      <c r="X131" s="1387"/>
      <c r="Y131" s="1387"/>
      <c r="Z131" s="1387"/>
      <c r="AA131" s="1387"/>
      <c r="AB131" s="1387"/>
    </row>
    <row r="132" spans="1:28">
      <c r="A132" s="1386"/>
      <c r="B132"/>
      <c r="C132" s="1422"/>
      <c r="D132" s="982"/>
      <c r="E132" s="982"/>
      <c r="F132" s="1420"/>
      <c r="G132" s="1386"/>
      <c r="H132" s="1424"/>
      <c r="I132" s="1424"/>
      <c r="J132" s="1424"/>
      <c r="K132" s="1424"/>
      <c r="L132" s="1424"/>
      <c r="M132" s="1424"/>
      <c r="N132" s="1424"/>
      <c r="O132" s="1424"/>
      <c r="P132" s="1424"/>
      <c r="Q132" s="1424"/>
      <c r="R132" s="1424"/>
      <c r="S132" s="1424"/>
      <c r="T132" s="1424"/>
      <c r="U132" s="1387"/>
      <c r="V132" s="1387"/>
      <c r="W132" s="1387"/>
      <c r="X132" s="1387"/>
      <c r="Y132" s="1387"/>
      <c r="Z132" s="1387"/>
      <c r="AA132" s="1387"/>
      <c r="AB132" s="1387"/>
    </row>
    <row r="133" spans="1:28">
      <c r="A133" s="1386"/>
      <c r="B133"/>
      <c r="C133" s="1422"/>
      <c r="D133" s="982"/>
      <c r="E133" s="982"/>
      <c r="F133" s="1420"/>
      <c r="G133" s="1386"/>
      <c r="H133" s="1387"/>
      <c r="I133" s="1387"/>
      <c r="J133" s="1387"/>
      <c r="K133" s="1387"/>
      <c r="L133" s="1387"/>
      <c r="M133" s="1387"/>
      <c r="N133" s="1387"/>
      <c r="O133" s="1387"/>
      <c r="P133" s="1387"/>
      <c r="Q133" s="1387"/>
      <c r="R133" s="1387"/>
      <c r="S133" s="1387"/>
      <c r="T133" s="1387"/>
      <c r="U133" s="1387"/>
      <c r="V133" s="1387"/>
      <c r="W133" s="1387"/>
      <c r="X133" s="1387"/>
      <c r="Y133" s="1387"/>
      <c r="Z133" s="1387"/>
      <c r="AA133" s="1387"/>
      <c r="AB133" s="1387"/>
    </row>
    <row r="134" spans="1:28">
      <c r="A134" s="1386"/>
      <c r="B134"/>
      <c r="C134" s="1422"/>
      <c r="D134" s="982"/>
      <c r="E134" s="982"/>
      <c r="F134" s="1420"/>
      <c r="G134" s="1386"/>
      <c r="H134" s="1387"/>
      <c r="I134" s="1387"/>
      <c r="J134" s="1387"/>
      <c r="K134" s="1387"/>
      <c r="L134" s="1387"/>
      <c r="M134" s="1387"/>
      <c r="N134" s="1387"/>
      <c r="O134" s="1387"/>
      <c r="P134" s="1387"/>
      <c r="Q134" s="1387"/>
      <c r="R134" s="1387"/>
      <c r="S134" s="1387"/>
      <c r="T134" s="1387"/>
      <c r="U134" s="1387"/>
      <c r="V134" s="1387"/>
      <c r="W134" s="1387"/>
      <c r="X134" s="1387"/>
      <c r="Y134" s="1387"/>
      <c r="Z134" s="1387"/>
      <c r="AA134" s="1387"/>
      <c r="AB134" s="1387"/>
    </row>
    <row r="135" spans="1:28">
      <c r="A135" s="1386"/>
      <c r="B135"/>
      <c r="C135" s="1422"/>
      <c r="D135" s="982"/>
      <c r="E135" s="982"/>
      <c r="F135" s="1420"/>
      <c r="G135" s="1386"/>
      <c r="H135" s="1424"/>
      <c r="I135" s="1424"/>
      <c r="J135" s="1424"/>
      <c r="K135" s="1424"/>
      <c r="L135" s="1424"/>
      <c r="M135" s="1424"/>
      <c r="N135" s="1424"/>
      <c r="O135" s="1424"/>
      <c r="P135" s="1424"/>
      <c r="Q135" s="1424"/>
      <c r="R135" s="1424"/>
      <c r="S135" s="1424"/>
      <c r="T135" s="1424"/>
      <c r="U135" s="1387"/>
      <c r="V135" s="1387"/>
      <c r="W135" s="1387"/>
      <c r="X135" s="1387"/>
      <c r="Y135" s="1387"/>
      <c r="Z135" s="1387"/>
      <c r="AA135" s="1387"/>
      <c r="AB135" s="1387"/>
    </row>
    <row r="136" spans="1:28">
      <c r="A136" s="1386"/>
      <c r="B136"/>
      <c r="C136" s="1422"/>
      <c r="D136" s="982"/>
      <c r="E136" s="982"/>
      <c r="F136" s="1420"/>
      <c r="G136" s="1386"/>
      <c r="H136" s="1387"/>
      <c r="I136" s="1387"/>
      <c r="J136" s="1387"/>
      <c r="K136" s="1387"/>
      <c r="L136" s="1387"/>
      <c r="M136" s="1387"/>
      <c r="N136" s="1387"/>
      <c r="O136" s="1387"/>
      <c r="P136" s="1387"/>
      <c r="Q136" s="1387"/>
      <c r="R136" s="1387"/>
      <c r="S136" s="1387"/>
      <c r="T136" s="1387"/>
      <c r="U136" s="1387"/>
      <c r="V136" s="1387"/>
      <c r="W136" s="1387"/>
      <c r="X136" s="1387"/>
      <c r="Y136" s="1387"/>
      <c r="Z136" s="1387"/>
      <c r="AA136" s="1387"/>
      <c r="AB136" s="1387"/>
    </row>
    <row r="137" spans="1:28">
      <c r="A137" s="1386"/>
      <c r="B137"/>
      <c r="C137" s="1422"/>
      <c r="D137" s="982"/>
      <c r="E137" s="982"/>
      <c r="F137" s="1420"/>
      <c r="G137" s="1386"/>
      <c r="H137" s="1387"/>
      <c r="I137" s="1387"/>
      <c r="J137" s="1387"/>
      <c r="K137" s="1387"/>
      <c r="L137" s="1387"/>
      <c r="M137" s="1387"/>
      <c r="N137" s="1387"/>
      <c r="O137" s="1387"/>
      <c r="P137" s="1387"/>
      <c r="Q137" s="1387"/>
      <c r="R137" s="1387"/>
      <c r="S137" s="1387"/>
      <c r="T137" s="1387"/>
      <c r="U137" s="1387"/>
      <c r="V137" s="1387"/>
      <c r="W137" s="1387"/>
      <c r="X137" s="1387"/>
      <c r="Y137" s="1387"/>
      <c r="Z137" s="1387"/>
      <c r="AA137" s="1387"/>
      <c r="AB137" s="1387"/>
    </row>
    <row r="138" spans="1:28">
      <c r="A138" s="1386"/>
      <c r="B138"/>
      <c r="C138" s="1422"/>
      <c r="D138" s="982"/>
      <c r="E138" s="982"/>
      <c r="F138" s="1420"/>
      <c r="G138" s="1386"/>
      <c r="H138" s="1424"/>
      <c r="I138" s="1424"/>
      <c r="J138" s="1424"/>
      <c r="K138" s="1424"/>
      <c r="L138" s="1424"/>
      <c r="M138" s="1424"/>
      <c r="N138" s="1424"/>
      <c r="O138" s="1424"/>
      <c r="P138" s="1424"/>
      <c r="Q138" s="1424"/>
      <c r="R138" s="1424"/>
      <c r="S138" s="1424"/>
      <c r="T138" s="1424"/>
      <c r="U138" s="1387"/>
      <c r="V138" s="1387"/>
      <c r="W138" s="1387"/>
      <c r="X138" s="1387"/>
      <c r="Y138" s="1387"/>
      <c r="Z138" s="1387"/>
      <c r="AA138" s="1387"/>
      <c r="AB138" s="1387"/>
    </row>
    <row r="139" spans="1:28">
      <c r="A139" s="1386"/>
      <c r="B139"/>
      <c r="C139" s="1422"/>
      <c r="D139" s="982"/>
      <c r="E139" s="982"/>
      <c r="F139" s="1420"/>
      <c r="G139" s="1386"/>
      <c r="H139" s="1387"/>
      <c r="I139" s="1387"/>
      <c r="J139" s="1387"/>
      <c r="K139" s="1387"/>
      <c r="L139" s="1387"/>
      <c r="M139" s="1387"/>
      <c r="N139" s="1387"/>
      <c r="O139" s="1387"/>
      <c r="P139" s="1387"/>
      <c r="Q139" s="1387"/>
      <c r="R139" s="1387"/>
      <c r="S139" s="1387"/>
      <c r="T139" s="1387"/>
      <c r="U139" s="1387"/>
      <c r="V139" s="1387"/>
      <c r="W139" s="1387"/>
      <c r="X139" s="1387"/>
      <c r="Y139" s="1387"/>
      <c r="Z139" s="1387"/>
      <c r="AA139" s="1387"/>
      <c r="AB139" s="1387"/>
    </row>
    <row r="140" spans="1:28">
      <c r="A140" s="1386"/>
      <c r="B140"/>
      <c r="C140" s="1422"/>
      <c r="D140" s="982"/>
      <c r="E140" s="982"/>
      <c r="F140" s="1420"/>
      <c r="G140" s="1386"/>
      <c r="H140" s="1387"/>
      <c r="I140" s="1387"/>
      <c r="J140" s="1387"/>
      <c r="K140" s="1387"/>
      <c r="L140" s="1387"/>
      <c r="M140" s="1387"/>
      <c r="N140" s="1387"/>
      <c r="O140" s="1387"/>
      <c r="P140" s="1387"/>
      <c r="Q140" s="1387"/>
      <c r="R140" s="1387"/>
      <c r="S140" s="1387"/>
      <c r="T140" s="1387"/>
      <c r="U140" s="1387"/>
      <c r="V140" s="1387"/>
      <c r="W140" s="1387"/>
      <c r="X140" s="1387"/>
      <c r="Y140" s="1387"/>
      <c r="Z140" s="1387"/>
      <c r="AA140" s="1387"/>
      <c r="AB140" s="1387"/>
    </row>
    <row r="141" spans="1:28">
      <c r="A141" s="1386"/>
      <c r="B141"/>
      <c r="C141" s="1422"/>
      <c r="D141" s="982"/>
      <c r="E141" s="982"/>
      <c r="F141" s="1420"/>
      <c r="G141" s="1386"/>
      <c r="H141" s="1424"/>
      <c r="I141" s="1424"/>
      <c r="J141" s="1424"/>
      <c r="K141" s="1424"/>
      <c r="L141" s="1424"/>
      <c r="M141" s="1424"/>
      <c r="N141" s="1424"/>
      <c r="O141" s="1424"/>
      <c r="P141" s="1424"/>
      <c r="Q141" s="1424"/>
      <c r="R141" s="1424"/>
      <c r="S141" s="1424"/>
      <c r="T141" s="1424"/>
      <c r="U141" s="1387"/>
      <c r="V141" s="1387"/>
      <c r="W141" s="1387"/>
      <c r="X141" s="1387"/>
      <c r="Y141" s="1387"/>
      <c r="Z141" s="1387"/>
      <c r="AA141" s="1387"/>
      <c r="AB141" s="1387"/>
    </row>
    <row r="142" spans="1:28">
      <c r="A142" s="1386"/>
      <c r="B142"/>
      <c r="C142" s="1422"/>
      <c r="D142" s="982"/>
      <c r="E142" s="982"/>
      <c r="F142" s="1420"/>
      <c r="G142" s="1386"/>
      <c r="H142" s="1387"/>
      <c r="I142" s="1387"/>
      <c r="J142" s="1387"/>
      <c r="K142" s="1387"/>
      <c r="L142" s="1387"/>
      <c r="M142" s="1387"/>
      <c r="N142" s="1387"/>
      <c r="O142" s="1387"/>
      <c r="P142" s="1387"/>
      <c r="Q142" s="1387"/>
      <c r="R142" s="1387"/>
      <c r="S142" s="1387"/>
      <c r="T142" s="1387"/>
      <c r="U142" s="1387"/>
      <c r="V142" s="1387"/>
      <c r="W142" s="1387"/>
      <c r="X142" s="1387"/>
      <c r="Y142" s="1387"/>
      <c r="Z142" s="1387"/>
      <c r="AA142" s="1387"/>
      <c r="AB142" s="1387"/>
    </row>
    <row r="143" spans="1:28">
      <c r="A143" s="1386"/>
      <c r="B143"/>
      <c r="C143" s="1422"/>
      <c r="D143" s="982"/>
      <c r="E143" s="982"/>
      <c r="F143" s="1420"/>
      <c r="G143" s="1386"/>
      <c r="H143" s="1387"/>
      <c r="I143" s="1387"/>
      <c r="J143" s="1387"/>
      <c r="K143" s="1387"/>
      <c r="L143" s="1387"/>
      <c r="M143" s="1387"/>
      <c r="N143" s="1387"/>
      <c r="O143" s="1387"/>
      <c r="P143" s="1387"/>
      <c r="Q143" s="1387"/>
      <c r="R143" s="1387"/>
      <c r="S143" s="1387"/>
      <c r="T143" s="1387"/>
      <c r="U143" s="1387"/>
      <c r="V143" s="1387"/>
      <c r="W143" s="1387"/>
      <c r="X143" s="1387"/>
      <c r="Y143" s="1387"/>
      <c r="Z143" s="1387"/>
      <c r="AA143" s="1387"/>
      <c r="AB143" s="1387"/>
    </row>
    <row r="144" spans="1:28">
      <c r="A144" s="1386"/>
      <c r="B144"/>
      <c r="C144" s="1422"/>
      <c r="D144" s="982"/>
      <c r="E144" s="982"/>
      <c r="F144" s="1420"/>
      <c r="G144" s="1386"/>
      <c r="H144" s="1424"/>
      <c r="I144" s="1424"/>
      <c r="J144" s="1424"/>
      <c r="K144" s="1424"/>
      <c r="L144" s="1424"/>
      <c r="M144" s="1424"/>
      <c r="N144" s="1424"/>
      <c r="O144" s="1424"/>
      <c r="P144" s="1424"/>
      <c r="Q144" s="1424"/>
      <c r="R144" s="1424"/>
      <c r="S144" s="1424"/>
      <c r="T144" s="1424"/>
      <c r="U144" s="1387"/>
      <c r="V144" s="1387"/>
      <c r="W144" s="1387"/>
      <c r="X144" s="1387"/>
      <c r="Y144" s="1387"/>
      <c r="Z144" s="1387"/>
      <c r="AA144" s="1387"/>
      <c r="AB144" s="1387"/>
    </row>
    <row r="145" spans="1:28">
      <c r="A145" s="1386"/>
      <c r="B145"/>
      <c r="C145" s="1422"/>
      <c r="D145" s="982"/>
      <c r="E145" s="982"/>
      <c r="F145" s="1420"/>
      <c r="G145" s="1386"/>
      <c r="H145" s="1387"/>
      <c r="I145" s="1387"/>
      <c r="J145" s="1387"/>
      <c r="K145" s="1387"/>
      <c r="L145" s="1387"/>
      <c r="M145" s="1387"/>
      <c r="N145" s="1387"/>
      <c r="O145" s="1387"/>
      <c r="P145" s="1387"/>
      <c r="Q145" s="1387"/>
      <c r="R145" s="1387"/>
      <c r="S145" s="1387"/>
      <c r="T145" s="1387"/>
      <c r="U145" s="1387"/>
      <c r="V145" s="1387"/>
      <c r="W145" s="1387"/>
      <c r="X145" s="1387"/>
      <c r="Y145" s="1387"/>
      <c r="Z145" s="1387"/>
      <c r="AA145" s="1387"/>
      <c r="AB145" s="1387"/>
    </row>
    <row r="146" spans="1:28">
      <c r="B146"/>
      <c r="C146" s="1422"/>
      <c r="D146" s="982"/>
      <c r="E146" s="982"/>
      <c r="F146" s="1420"/>
      <c r="G146" s="1386"/>
      <c r="H146" s="1387"/>
      <c r="I146" s="1387"/>
      <c r="J146" s="1387"/>
      <c r="K146" s="1387"/>
      <c r="L146" s="1387"/>
      <c r="M146" s="1387"/>
      <c r="N146" s="1387"/>
      <c r="O146" s="1387"/>
      <c r="P146" s="1387"/>
      <c r="Q146" s="1387"/>
      <c r="R146" s="1387"/>
      <c r="S146" s="1387"/>
      <c r="T146" s="1387"/>
      <c r="U146" s="1387"/>
      <c r="V146" s="1387"/>
      <c r="W146" s="1387"/>
      <c r="X146" s="1387"/>
      <c r="Y146" s="1387"/>
      <c r="Z146" s="1387"/>
      <c r="AA146" s="1387"/>
      <c r="AB146" s="1387"/>
    </row>
    <row r="147" spans="1:28">
      <c r="B147"/>
      <c r="C147" s="1422"/>
      <c r="D147" s="982"/>
      <c r="E147" s="982"/>
      <c r="F147" s="1420"/>
      <c r="G147" s="1386"/>
      <c r="H147" s="1424"/>
      <c r="I147" s="1424"/>
      <c r="J147" s="1424"/>
      <c r="K147" s="1424"/>
      <c r="L147" s="1424"/>
      <c r="M147" s="1424"/>
      <c r="N147" s="1424"/>
      <c r="O147" s="1424"/>
      <c r="P147" s="1424"/>
      <c r="Q147" s="1424"/>
      <c r="R147" s="1424"/>
      <c r="S147" s="1424"/>
      <c r="T147" s="1424"/>
      <c r="U147" s="1387"/>
      <c r="V147" s="1387"/>
      <c r="W147" s="1387"/>
      <c r="X147" s="1387"/>
      <c r="Y147" s="1387"/>
      <c r="Z147" s="1387"/>
      <c r="AA147" s="1387"/>
      <c r="AB147" s="1387"/>
    </row>
    <row r="148" spans="1:28">
      <c r="B148"/>
      <c r="C148" s="1422"/>
      <c r="D148" s="982"/>
      <c r="E148" s="982"/>
      <c r="F148" s="1420"/>
      <c r="G148" s="1386"/>
      <c r="H148" s="1387"/>
      <c r="I148" s="1387"/>
      <c r="J148" s="1387"/>
      <c r="K148" s="1387"/>
      <c r="L148" s="1387"/>
      <c r="M148" s="1387"/>
      <c r="N148" s="1387"/>
      <c r="O148" s="1387"/>
      <c r="P148" s="1387"/>
      <c r="Q148" s="1387"/>
      <c r="R148" s="1387"/>
      <c r="S148" s="1387"/>
      <c r="T148" s="1387"/>
      <c r="U148" s="1387"/>
      <c r="V148" s="1387"/>
      <c r="W148" s="1387"/>
      <c r="X148" s="1387"/>
      <c r="Y148" s="1387"/>
      <c r="Z148" s="1387"/>
      <c r="AA148" s="1387"/>
      <c r="AB148" s="1387"/>
    </row>
    <row r="149" spans="1:28">
      <c r="B149"/>
      <c r="C149" s="1422"/>
      <c r="D149" s="982"/>
      <c r="E149" s="982"/>
      <c r="F149" s="1420"/>
      <c r="G149" s="1386"/>
      <c r="H149" s="1387"/>
      <c r="I149" s="1387"/>
      <c r="J149" s="1387"/>
      <c r="K149" s="1387"/>
      <c r="L149" s="1387"/>
      <c r="M149" s="1387"/>
      <c r="N149" s="1387"/>
      <c r="O149" s="1387"/>
      <c r="P149" s="1387"/>
      <c r="Q149" s="1387"/>
      <c r="R149" s="1387"/>
      <c r="S149" s="1387"/>
      <c r="T149" s="1387"/>
      <c r="U149" s="1387"/>
      <c r="V149" s="1387"/>
      <c r="W149" s="1387"/>
      <c r="X149" s="1387"/>
      <c r="Y149" s="1387"/>
      <c r="Z149" s="1387"/>
      <c r="AA149" s="1387"/>
      <c r="AB149" s="1387"/>
    </row>
    <row r="150" spans="1:28">
      <c r="B150"/>
      <c r="C150" s="1422"/>
      <c r="D150" s="982"/>
      <c r="E150" s="982"/>
      <c r="F150" s="1420"/>
      <c r="G150" s="1386"/>
      <c r="H150" s="1424"/>
      <c r="I150" s="1424"/>
      <c r="J150" s="1424"/>
      <c r="K150" s="1424"/>
      <c r="L150" s="1424"/>
      <c r="M150" s="1424"/>
      <c r="N150" s="1424"/>
      <c r="O150" s="1424"/>
      <c r="P150" s="1424"/>
      <c r="Q150" s="1424"/>
      <c r="R150" s="1424"/>
      <c r="S150" s="1424"/>
      <c r="T150" s="1424"/>
      <c r="U150" s="1387"/>
      <c r="V150" s="1387"/>
      <c r="W150" s="1387"/>
      <c r="X150" s="1387"/>
      <c r="Y150" s="1387"/>
      <c r="Z150" s="1387"/>
      <c r="AA150" s="1387"/>
      <c r="AB150" s="1387"/>
    </row>
  </sheetData>
  <mergeCells count="11">
    <mergeCell ref="AO25:AP25"/>
    <mergeCell ref="AO22:AP22"/>
    <mergeCell ref="AO23:AP23"/>
    <mergeCell ref="AO24:AP24"/>
    <mergeCell ref="AO20:AP20"/>
    <mergeCell ref="AO21:AP21"/>
    <mergeCell ref="AO19:AP19"/>
    <mergeCell ref="X4:Y4"/>
    <mergeCell ref="AI6:AL6"/>
    <mergeCell ref="AM6:AP6"/>
    <mergeCell ref="AI18:AP18"/>
  </mergeCells>
  <pageMargins left="0.7" right="0.7" top="0.75" bottom="0.75" header="0.3" footer="0.3"/>
  <pageSetup paperSize="3" scale="2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3FF04-8D76-415D-A91C-AFC9561002AF}">
  <sheetPr>
    <tabColor rgb="FF0070C0"/>
  </sheetPr>
  <dimension ref="A1:AV599"/>
  <sheetViews>
    <sheetView zoomScaleNormal="100" zoomScalePageLayoutView="125" workbookViewId="0">
      <pane xSplit="1" ySplit="4" topLeftCell="B5" activePane="bottomRight" state="frozen"/>
      <selection pane="topRight" activeCell="B1" sqref="B1"/>
      <selection pane="bottomLeft" activeCell="A4" sqref="A4"/>
      <selection pane="bottomRight" activeCell="T11" sqref="T11"/>
    </sheetView>
  </sheetViews>
  <sheetFormatPr defaultColWidth="8.85546875" defaultRowHeight="15"/>
  <cols>
    <col min="1" max="1" width="45.5703125" style="7" customWidth="1"/>
    <col min="2" max="2" width="21.42578125" style="7" customWidth="1"/>
    <col min="3" max="3" width="18.5703125" style="7" customWidth="1"/>
    <col min="4" max="4" width="15" style="7" customWidth="1"/>
    <col min="5" max="5" width="15.42578125" style="7" customWidth="1"/>
    <col min="6" max="6" width="18.140625" style="7" customWidth="1"/>
    <col min="7" max="7" width="14.42578125" style="89" customWidth="1"/>
    <col min="8" max="8" width="19" style="7" customWidth="1"/>
    <col min="9" max="9" width="17.85546875" style="7" customWidth="1"/>
    <col min="10" max="10" width="16.42578125" style="7" customWidth="1"/>
    <col min="11" max="11" width="12.42578125" style="7" customWidth="1"/>
    <col min="12" max="12" width="14.140625" style="7" customWidth="1"/>
    <col min="13" max="13" width="14.42578125" style="7" customWidth="1"/>
    <col min="14" max="14" width="15.42578125" style="7" customWidth="1"/>
    <col min="15" max="15" width="16.140625" style="7" customWidth="1"/>
    <col min="16" max="16" width="15.42578125" style="7" customWidth="1"/>
    <col min="17" max="17" width="16" style="7" customWidth="1"/>
    <col min="18" max="18" width="14" style="7" customWidth="1"/>
    <col min="19" max="19" width="12.7109375" style="7" bestFit="1" customWidth="1"/>
    <col min="20" max="20" width="17.85546875" style="7" bestFit="1" customWidth="1"/>
    <col min="21" max="22" width="17" style="7" customWidth="1"/>
    <col min="23" max="45" width="17" customWidth="1"/>
    <col min="46" max="46" width="16.5703125" customWidth="1"/>
    <col min="47" max="47" width="15" style="7" customWidth="1"/>
    <col min="48" max="48" width="17.85546875" style="7" bestFit="1" customWidth="1"/>
    <col min="49" max="49" width="9.5703125" style="7" bestFit="1" customWidth="1"/>
    <col min="50" max="50" width="11.85546875" style="7" bestFit="1" customWidth="1"/>
    <col min="51" max="52" width="9.5703125" style="7" bestFit="1" customWidth="1"/>
    <col min="53" max="16384" width="8.85546875" style="7"/>
  </cols>
  <sheetData>
    <row r="1" spans="1:48" ht="15.75" thickBot="1">
      <c r="A1" s="1575" t="str">
        <f>'Development Program'!B30</f>
        <v>Rainier Tower Apts</v>
      </c>
      <c r="B1" s="156" t="s">
        <v>184</v>
      </c>
      <c r="C1" s="144" t="str">
        <f>'Development Program'!D23</f>
        <v>Pre-Development</v>
      </c>
      <c r="D1" s="144" t="str">
        <f>'Development Program'!E23</f>
        <v>Demolition</v>
      </c>
      <c r="E1" s="144" t="str">
        <f>'Development Program'!F23</f>
        <v>Construction</v>
      </c>
      <c r="F1" s="145" t="str">
        <f>'Development Program'!G23</f>
        <v>Close-out</v>
      </c>
      <c r="G1" s="7"/>
      <c r="AU1"/>
      <c r="AV1"/>
    </row>
    <row r="2" spans="1:48" ht="15.75" thickBot="1">
      <c r="A2" s="1575"/>
      <c r="B2" s="303" t="s">
        <v>185</v>
      </c>
      <c r="C2" s="305" t="str">
        <f>'Development Program'!D30</f>
        <v>01/1/31 to 12/31/31</v>
      </c>
      <c r="D2" s="305" t="str">
        <f>'Development Program'!E30</f>
        <v>1/1/32 to 6/30/32</v>
      </c>
      <c r="E2" s="305" t="str">
        <f>'Development Program'!F30</f>
        <v>7/1/32 to 6/30/35</v>
      </c>
      <c r="F2" s="408" t="str">
        <f>'Development Program'!G30</f>
        <v>7/1/35 to 12/31/35</v>
      </c>
      <c r="G2" s="7"/>
      <c r="H2" s="186" t="s">
        <v>186</v>
      </c>
      <c r="I2" s="186" t="s">
        <v>187</v>
      </c>
      <c r="T2" s="1577"/>
      <c r="U2" s="1577"/>
      <c r="V2" s="1577"/>
      <c r="AU2"/>
      <c r="AV2"/>
    </row>
    <row r="3" spans="1:48">
      <c r="A3" s="1575"/>
      <c r="B3" s="485"/>
      <c r="C3" s="499" t="s">
        <v>325</v>
      </c>
      <c r="D3" s="499" t="s">
        <v>326</v>
      </c>
      <c r="E3" s="499" t="s">
        <v>328</v>
      </c>
      <c r="F3" s="508"/>
      <c r="G3" s="7"/>
      <c r="H3" s="487"/>
      <c r="I3" s="487"/>
      <c r="P3" s="186" t="s">
        <v>188</v>
      </c>
      <c r="Q3" s="187" t="s">
        <v>189</v>
      </c>
      <c r="R3" s="187" t="s">
        <v>190</v>
      </c>
      <c r="S3" s="184"/>
      <c r="T3" s="478"/>
      <c r="U3" s="478"/>
      <c r="V3" s="478"/>
      <c r="AU3"/>
      <c r="AV3"/>
    </row>
    <row r="4" spans="1:48" ht="15.75" thickBot="1">
      <c r="A4" s="1576"/>
      <c r="B4" s="92" t="s">
        <v>62</v>
      </c>
      <c r="C4" s="146">
        <v>48214</v>
      </c>
      <c r="D4" s="147">
        <f>EOMONTH(C4,3)</f>
        <v>48334</v>
      </c>
      <c r="E4" s="147">
        <f t="shared" ref="E4:R4" si="0">EOMONTH(D4,3)</f>
        <v>48426</v>
      </c>
      <c r="F4" s="147">
        <f t="shared" si="0"/>
        <v>48518</v>
      </c>
      <c r="G4" s="188">
        <f t="shared" si="0"/>
        <v>48610</v>
      </c>
      <c r="H4" s="188">
        <f t="shared" si="0"/>
        <v>48699</v>
      </c>
      <c r="I4" s="188">
        <f t="shared" si="0"/>
        <v>48791</v>
      </c>
      <c r="J4" s="188">
        <f t="shared" si="0"/>
        <v>48883</v>
      </c>
      <c r="K4" s="188">
        <f t="shared" si="0"/>
        <v>48975</v>
      </c>
      <c r="L4" s="188">
        <f t="shared" si="0"/>
        <v>49064</v>
      </c>
      <c r="M4" s="188">
        <f t="shared" si="0"/>
        <v>49156</v>
      </c>
      <c r="N4" s="188">
        <f t="shared" si="0"/>
        <v>49248</v>
      </c>
      <c r="O4" s="188">
        <f t="shared" si="0"/>
        <v>49340</v>
      </c>
      <c r="P4" s="188">
        <f t="shared" si="0"/>
        <v>49429</v>
      </c>
      <c r="Q4" s="188">
        <f t="shared" si="0"/>
        <v>49521</v>
      </c>
      <c r="R4" s="188">
        <f t="shared" si="0"/>
        <v>49613</v>
      </c>
      <c r="S4" s="188">
        <f>EOMONTH(R4,3)</f>
        <v>49705</v>
      </c>
      <c r="T4" s="188" t="s">
        <v>192</v>
      </c>
      <c r="U4" s="379" t="s">
        <v>193</v>
      </c>
      <c r="V4" s="306"/>
      <c r="AU4"/>
      <c r="AV4"/>
    </row>
    <row r="5" spans="1:48" ht="15.75" thickBot="1">
      <c r="A5" s="308" t="s">
        <v>194</v>
      </c>
      <c r="B5" s="309">
        <v>1</v>
      </c>
      <c r="C5" s="181">
        <v>0</v>
      </c>
      <c r="D5" s="181">
        <v>0</v>
      </c>
      <c r="E5" s="181">
        <v>0</v>
      </c>
      <c r="F5" s="181">
        <f t="shared" ref="F5:H5" si="1">E5</f>
        <v>0</v>
      </c>
      <c r="G5" s="180">
        <f t="shared" si="1"/>
        <v>0</v>
      </c>
      <c r="H5" s="180">
        <f t="shared" si="1"/>
        <v>0</v>
      </c>
      <c r="I5" s="180">
        <v>0.05</v>
      </c>
      <c r="J5" s="180">
        <v>0.05</v>
      </c>
      <c r="K5" s="180">
        <v>0.05</v>
      </c>
      <c r="L5" s="180">
        <v>0.05</v>
      </c>
      <c r="M5" s="180">
        <v>0.2</v>
      </c>
      <c r="N5" s="180">
        <v>0.2</v>
      </c>
      <c r="O5" s="180">
        <v>0.2</v>
      </c>
      <c r="P5" s="180">
        <v>0.2</v>
      </c>
      <c r="Q5" s="180"/>
      <c r="R5" s="180"/>
      <c r="S5" s="180"/>
      <c r="T5" s="310">
        <f>SUM(C5:S5)</f>
        <v>1</v>
      </c>
      <c r="U5" s="311"/>
      <c r="V5" s="159" t="s">
        <v>195</v>
      </c>
      <c r="AU5"/>
      <c r="AV5"/>
    </row>
    <row r="6" spans="1:48">
      <c r="A6" s="312" t="str">
        <f>'Rainier Tower Financial '!B61</f>
        <v>Hard Costs for Construction - MF</v>
      </c>
      <c r="B6" s="409">
        <f>'Rainier Tower Financial '!D61</f>
        <v>86950500</v>
      </c>
      <c r="C6" s="314">
        <f>$B6*C$5</f>
        <v>0</v>
      </c>
      <c r="D6" s="314">
        <f t="shared" ref="D6:S8" si="2">$B6*D$5</f>
        <v>0</v>
      </c>
      <c r="E6" s="314">
        <f t="shared" si="2"/>
        <v>0</v>
      </c>
      <c r="F6" s="314">
        <f t="shared" si="2"/>
        <v>0</v>
      </c>
      <c r="G6" s="314">
        <f t="shared" si="2"/>
        <v>0</v>
      </c>
      <c r="H6" s="314">
        <f t="shared" si="2"/>
        <v>0</v>
      </c>
      <c r="I6" s="314">
        <f t="shared" si="2"/>
        <v>4347525</v>
      </c>
      <c r="J6" s="314">
        <f t="shared" si="2"/>
        <v>4347525</v>
      </c>
      <c r="K6" s="314">
        <f t="shared" si="2"/>
        <v>4347525</v>
      </c>
      <c r="L6" s="314">
        <f t="shared" si="2"/>
        <v>4347525</v>
      </c>
      <c r="M6" s="314">
        <f t="shared" si="2"/>
        <v>17390100</v>
      </c>
      <c r="N6" s="314">
        <f t="shared" si="2"/>
        <v>17390100</v>
      </c>
      <c r="O6" s="314">
        <f t="shared" si="2"/>
        <v>17390100</v>
      </c>
      <c r="P6" s="314">
        <f t="shared" si="2"/>
        <v>17390100</v>
      </c>
      <c r="Q6" s="314">
        <f t="shared" si="2"/>
        <v>0</v>
      </c>
      <c r="R6" s="314">
        <f t="shared" si="2"/>
        <v>0</v>
      </c>
      <c r="S6" s="314">
        <f t="shared" si="2"/>
        <v>0</v>
      </c>
      <c r="T6" s="315">
        <f>SUM(C6:S6)</f>
        <v>86950500</v>
      </c>
      <c r="U6" s="315">
        <f>B6</f>
        <v>86950500</v>
      </c>
      <c r="V6" s="315">
        <f>U6-T6</f>
        <v>0</v>
      </c>
      <c r="AU6"/>
      <c r="AV6"/>
    </row>
    <row r="7" spans="1:48">
      <c r="A7" s="312" t="str">
        <f>'Rainier Tower Financial '!B63</f>
        <v>Parking Stalls</v>
      </c>
      <c r="B7" s="409">
        <f>'Rainier Tower Financial '!D63</f>
        <v>14683590</v>
      </c>
      <c r="C7" s="314">
        <f>$B7*C$5</f>
        <v>0</v>
      </c>
      <c r="D7" s="314">
        <f t="shared" si="2"/>
        <v>0</v>
      </c>
      <c r="E7" s="314">
        <f t="shared" si="2"/>
        <v>0</v>
      </c>
      <c r="F7" s="314">
        <f t="shared" si="2"/>
        <v>0</v>
      </c>
      <c r="G7" s="314">
        <f t="shared" si="2"/>
        <v>0</v>
      </c>
      <c r="H7" s="314">
        <f t="shared" si="2"/>
        <v>0</v>
      </c>
      <c r="I7" s="314">
        <f t="shared" si="2"/>
        <v>734179.5</v>
      </c>
      <c r="J7" s="314">
        <f t="shared" si="2"/>
        <v>734179.5</v>
      </c>
      <c r="K7" s="314">
        <f t="shared" si="2"/>
        <v>734179.5</v>
      </c>
      <c r="L7" s="314">
        <f t="shared" si="2"/>
        <v>734179.5</v>
      </c>
      <c r="M7" s="314">
        <f t="shared" si="2"/>
        <v>2936718</v>
      </c>
      <c r="N7" s="314">
        <f t="shared" si="2"/>
        <v>2936718</v>
      </c>
      <c r="O7" s="314">
        <f t="shared" si="2"/>
        <v>2936718</v>
      </c>
      <c r="P7" s="314">
        <f t="shared" si="2"/>
        <v>2936718</v>
      </c>
      <c r="Q7" s="314">
        <f t="shared" si="2"/>
        <v>0</v>
      </c>
      <c r="R7" s="314">
        <f t="shared" si="2"/>
        <v>0</v>
      </c>
      <c r="S7" s="314">
        <f t="shared" si="2"/>
        <v>0</v>
      </c>
      <c r="T7" s="315">
        <f>SUM(C7:S7)</f>
        <v>14683590</v>
      </c>
      <c r="U7" s="315">
        <f>B7</f>
        <v>14683590</v>
      </c>
      <c r="V7" s="315">
        <f t="shared" ref="V7:V26" si="3">U7-T7</f>
        <v>0</v>
      </c>
      <c r="AU7"/>
      <c r="AV7"/>
    </row>
    <row r="8" spans="1:48">
      <c r="A8" s="312" t="str">
        <f>'Rainier Tower Financial '!B64</f>
        <v>Hard Cost Contingency</v>
      </c>
      <c r="B8" s="409">
        <f>'Rainier Tower Financial '!D64</f>
        <v>6956040</v>
      </c>
      <c r="C8" s="314">
        <f>$B8*C$5</f>
        <v>0</v>
      </c>
      <c r="D8" s="314">
        <f t="shared" si="2"/>
        <v>0</v>
      </c>
      <c r="E8" s="314">
        <f t="shared" si="2"/>
        <v>0</v>
      </c>
      <c r="F8" s="314">
        <f t="shared" si="2"/>
        <v>0</v>
      </c>
      <c r="G8" s="314">
        <f t="shared" si="2"/>
        <v>0</v>
      </c>
      <c r="H8" s="314">
        <f t="shared" si="2"/>
        <v>0</v>
      </c>
      <c r="I8" s="314">
        <f t="shared" si="2"/>
        <v>347802</v>
      </c>
      <c r="J8" s="314">
        <f t="shared" si="2"/>
        <v>347802</v>
      </c>
      <c r="K8" s="314">
        <f t="shared" si="2"/>
        <v>347802</v>
      </c>
      <c r="L8" s="314">
        <f t="shared" si="2"/>
        <v>347802</v>
      </c>
      <c r="M8" s="314">
        <f t="shared" si="2"/>
        <v>1391208</v>
      </c>
      <c r="N8" s="314">
        <f t="shared" si="2"/>
        <v>1391208</v>
      </c>
      <c r="O8" s="314">
        <f t="shared" si="2"/>
        <v>1391208</v>
      </c>
      <c r="P8" s="314">
        <f t="shared" si="2"/>
        <v>1391208</v>
      </c>
      <c r="Q8" s="314">
        <f t="shared" si="2"/>
        <v>0</v>
      </c>
      <c r="R8" s="314">
        <f t="shared" si="2"/>
        <v>0</v>
      </c>
      <c r="S8" s="314">
        <f t="shared" si="2"/>
        <v>0</v>
      </c>
      <c r="T8" s="315">
        <f>SUM(C8:S8)</f>
        <v>6956040</v>
      </c>
      <c r="U8" s="315">
        <f>B8</f>
        <v>6956040</v>
      </c>
      <c r="V8" s="315">
        <f t="shared" si="3"/>
        <v>0</v>
      </c>
      <c r="AU8"/>
      <c r="AV8"/>
    </row>
    <row r="9" spans="1:48">
      <c r="A9" s="312" t="str">
        <f>'Rainier Tower Financial '!B65</f>
        <v>Demolition</v>
      </c>
      <c r="B9" s="409">
        <f>'Rainier Tower Financial '!D65</f>
        <v>3360000</v>
      </c>
      <c r="C9" s="314">
        <f>B9</f>
        <v>3360000</v>
      </c>
      <c r="D9" s="316">
        <v>0</v>
      </c>
      <c r="E9" s="319">
        <v>0</v>
      </c>
      <c r="F9" s="314">
        <f t="shared" ref="F9:R12" si="4">$B9*F$5</f>
        <v>0</v>
      </c>
      <c r="G9" s="314">
        <f t="shared" si="4"/>
        <v>0</v>
      </c>
      <c r="H9" s="314">
        <f t="shared" si="4"/>
        <v>0</v>
      </c>
      <c r="I9" s="314">
        <v>0</v>
      </c>
      <c r="J9" s="314">
        <v>0</v>
      </c>
      <c r="K9" s="314">
        <v>0</v>
      </c>
      <c r="L9" s="314">
        <v>0</v>
      </c>
      <c r="M9" s="314">
        <v>0</v>
      </c>
      <c r="N9" s="314">
        <v>0</v>
      </c>
      <c r="O9" s="314">
        <v>0</v>
      </c>
      <c r="P9" s="314">
        <v>0</v>
      </c>
      <c r="Q9" s="314">
        <f t="shared" si="4"/>
        <v>0</v>
      </c>
      <c r="R9" s="314">
        <f t="shared" si="4"/>
        <v>0</v>
      </c>
      <c r="S9" s="314">
        <f t="shared" ref="S9:S12" si="5">$B9*S$5</f>
        <v>0</v>
      </c>
      <c r="T9" s="315"/>
      <c r="U9" s="315"/>
      <c r="V9" s="315">
        <f t="shared" si="3"/>
        <v>0</v>
      </c>
      <c r="AU9"/>
      <c r="AV9"/>
    </row>
    <row r="10" spans="1:48">
      <c r="A10" s="312" t="str">
        <f>'Rainier Tower Financial '!B66</f>
        <v>LAND</v>
      </c>
      <c r="B10" s="315">
        <f>'Rainier Tower Financial '!D66</f>
        <v>55000000</v>
      </c>
      <c r="C10" s="314">
        <f>B10</f>
        <v>55000000</v>
      </c>
      <c r="D10" s="316">
        <v>0</v>
      </c>
      <c r="E10" s="319">
        <v>0</v>
      </c>
      <c r="F10" s="314">
        <f t="shared" si="4"/>
        <v>0</v>
      </c>
      <c r="G10" s="314">
        <f t="shared" si="4"/>
        <v>0</v>
      </c>
      <c r="H10" s="314">
        <f t="shared" si="4"/>
        <v>0</v>
      </c>
      <c r="I10" s="314">
        <v>0</v>
      </c>
      <c r="J10" s="314">
        <v>0</v>
      </c>
      <c r="K10" s="314">
        <v>0</v>
      </c>
      <c r="L10" s="314">
        <v>0</v>
      </c>
      <c r="M10" s="314">
        <v>0</v>
      </c>
      <c r="N10" s="314">
        <v>0</v>
      </c>
      <c r="O10" s="314">
        <v>0</v>
      </c>
      <c r="P10" s="314">
        <v>0</v>
      </c>
      <c r="Q10" s="314">
        <f t="shared" si="4"/>
        <v>0</v>
      </c>
      <c r="R10" s="314">
        <f t="shared" si="4"/>
        <v>0</v>
      </c>
      <c r="S10" s="314">
        <f t="shared" si="5"/>
        <v>0</v>
      </c>
      <c r="T10" s="315">
        <f>SUM(C10:S10)</f>
        <v>55000000</v>
      </c>
      <c r="U10" s="315">
        <f t="shared" ref="U10:U26" si="6">B10</f>
        <v>55000000</v>
      </c>
      <c r="V10" s="315">
        <f t="shared" si="3"/>
        <v>0</v>
      </c>
      <c r="AU10"/>
      <c r="AV10"/>
    </row>
    <row r="11" spans="1:48">
      <c r="A11" s="312" t="str">
        <f>'Rainier Tower Financial '!B67</f>
        <v>Municipal Fees and Allowances</v>
      </c>
      <c r="B11" s="409">
        <f>'Rainier Tower Financial '!D67</f>
        <v>834000</v>
      </c>
      <c r="C11" s="314">
        <f>$B11*C$5</f>
        <v>0</v>
      </c>
      <c r="D11" s="314">
        <f t="shared" ref="D11:S11" si="7">$B11*D$5</f>
        <v>0</v>
      </c>
      <c r="E11" s="314">
        <f t="shared" si="7"/>
        <v>0</v>
      </c>
      <c r="F11" s="314">
        <f t="shared" si="7"/>
        <v>0</v>
      </c>
      <c r="G11" s="314">
        <f t="shared" si="7"/>
        <v>0</v>
      </c>
      <c r="H11" s="314">
        <f t="shared" si="7"/>
        <v>0</v>
      </c>
      <c r="I11" s="314">
        <f t="shared" si="7"/>
        <v>41700</v>
      </c>
      <c r="J11" s="314">
        <f t="shared" si="7"/>
        <v>41700</v>
      </c>
      <c r="K11" s="314">
        <f t="shared" si="7"/>
        <v>41700</v>
      </c>
      <c r="L11" s="314">
        <f t="shared" si="7"/>
        <v>41700</v>
      </c>
      <c r="M11" s="314">
        <f t="shared" si="7"/>
        <v>166800</v>
      </c>
      <c r="N11" s="314">
        <f t="shared" si="7"/>
        <v>166800</v>
      </c>
      <c r="O11" s="314">
        <f t="shared" si="7"/>
        <v>166800</v>
      </c>
      <c r="P11" s="314">
        <f t="shared" si="7"/>
        <v>166800</v>
      </c>
      <c r="Q11" s="314">
        <f t="shared" si="7"/>
        <v>0</v>
      </c>
      <c r="R11" s="314">
        <f t="shared" si="7"/>
        <v>0</v>
      </c>
      <c r="S11" s="314">
        <f t="shared" si="7"/>
        <v>0</v>
      </c>
      <c r="T11" s="315">
        <f t="shared" ref="T11:T26" si="8">SUM(C11:S11)</f>
        <v>834000</v>
      </c>
      <c r="U11" s="315">
        <f t="shared" si="6"/>
        <v>834000</v>
      </c>
      <c r="V11" s="315">
        <f t="shared" si="3"/>
        <v>0</v>
      </c>
      <c r="AU11"/>
      <c r="AV11"/>
    </row>
    <row r="12" spans="1:48">
      <c r="A12" s="312" t="str">
        <f>'Rainier Tower Financial '!B68</f>
        <v>Infrastructure allocation</v>
      </c>
      <c r="B12" s="409">
        <f>'Rainier Tower Financial '!D68</f>
        <v>4000000</v>
      </c>
      <c r="C12" s="319">
        <f>B12</f>
        <v>4000000</v>
      </c>
      <c r="D12" s="316">
        <v>0</v>
      </c>
      <c r="E12" s="319">
        <v>0</v>
      </c>
      <c r="F12" s="314">
        <f t="shared" si="4"/>
        <v>0</v>
      </c>
      <c r="G12" s="314">
        <f t="shared" si="4"/>
        <v>0</v>
      </c>
      <c r="H12" s="314">
        <f t="shared" si="4"/>
        <v>0</v>
      </c>
      <c r="I12" s="314">
        <v>0</v>
      </c>
      <c r="J12" s="314">
        <v>0</v>
      </c>
      <c r="K12" s="314">
        <v>0</v>
      </c>
      <c r="L12" s="314">
        <v>0</v>
      </c>
      <c r="M12" s="314">
        <v>0</v>
      </c>
      <c r="N12" s="314">
        <v>0</v>
      </c>
      <c r="O12" s="314">
        <v>0</v>
      </c>
      <c r="P12" s="314">
        <v>0</v>
      </c>
      <c r="Q12" s="314">
        <f t="shared" si="4"/>
        <v>0</v>
      </c>
      <c r="R12" s="314">
        <f t="shared" si="4"/>
        <v>0</v>
      </c>
      <c r="S12" s="314">
        <f t="shared" si="5"/>
        <v>0</v>
      </c>
      <c r="T12" s="315">
        <f t="shared" si="8"/>
        <v>4000000</v>
      </c>
      <c r="U12" s="315">
        <f t="shared" si="6"/>
        <v>4000000</v>
      </c>
      <c r="V12" s="315">
        <f t="shared" si="3"/>
        <v>0</v>
      </c>
      <c r="AU12"/>
      <c r="AV12"/>
    </row>
    <row r="13" spans="1:48">
      <c r="A13" s="312" t="str">
        <f>'Rainier Tower Financial '!B69</f>
        <v>Legal</v>
      </c>
      <c r="B13" s="409">
        <f>'Rainier Tower Financial '!D69</f>
        <v>600000</v>
      </c>
      <c r="C13" s="314">
        <f t="shared" ref="C13:C22" si="9">$B13*C$5</f>
        <v>0</v>
      </c>
      <c r="D13" s="314">
        <f t="shared" ref="D13:S24" si="10">$B13*D$5</f>
        <v>0</v>
      </c>
      <c r="E13" s="314">
        <f t="shared" si="10"/>
        <v>0</v>
      </c>
      <c r="F13" s="314">
        <f t="shared" si="10"/>
        <v>0</v>
      </c>
      <c r="G13" s="314">
        <f t="shared" si="10"/>
        <v>0</v>
      </c>
      <c r="H13" s="314">
        <f t="shared" si="10"/>
        <v>0</v>
      </c>
      <c r="I13" s="314">
        <f t="shared" si="10"/>
        <v>30000</v>
      </c>
      <c r="J13" s="314">
        <f t="shared" si="10"/>
        <v>30000</v>
      </c>
      <c r="K13" s="314">
        <f t="shared" si="10"/>
        <v>30000</v>
      </c>
      <c r="L13" s="314">
        <f t="shared" si="10"/>
        <v>30000</v>
      </c>
      <c r="M13" s="314">
        <f t="shared" si="10"/>
        <v>120000</v>
      </c>
      <c r="N13" s="314">
        <f t="shared" si="10"/>
        <v>120000</v>
      </c>
      <c r="O13" s="314">
        <f t="shared" si="10"/>
        <v>120000</v>
      </c>
      <c r="P13" s="314">
        <f t="shared" si="10"/>
        <v>120000</v>
      </c>
      <c r="Q13" s="314">
        <f t="shared" si="10"/>
        <v>0</v>
      </c>
      <c r="R13" s="314">
        <f t="shared" si="10"/>
        <v>0</v>
      </c>
      <c r="S13" s="314">
        <f t="shared" si="10"/>
        <v>0</v>
      </c>
      <c r="T13" s="315">
        <f t="shared" si="8"/>
        <v>600000</v>
      </c>
      <c r="U13" s="315">
        <f t="shared" si="6"/>
        <v>600000</v>
      </c>
      <c r="V13" s="315">
        <f t="shared" si="3"/>
        <v>0</v>
      </c>
      <c r="AU13"/>
      <c r="AV13"/>
    </row>
    <row r="14" spans="1:48">
      <c r="A14" s="312" t="str">
        <f>'Rainier Tower Financial '!B70</f>
        <v>Land Closing Costs/commissions</v>
      </c>
      <c r="B14" s="409">
        <f>'Rainier Tower Financial '!D70</f>
        <v>550000</v>
      </c>
      <c r="C14" s="314">
        <f t="shared" si="9"/>
        <v>0</v>
      </c>
      <c r="D14" s="314">
        <f t="shared" si="10"/>
        <v>0</v>
      </c>
      <c r="E14" s="314">
        <f t="shared" si="10"/>
        <v>0</v>
      </c>
      <c r="F14" s="314">
        <f t="shared" si="10"/>
        <v>0</v>
      </c>
      <c r="G14" s="314">
        <f t="shared" si="10"/>
        <v>0</v>
      </c>
      <c r="H14" s="314">
        <f t="shared" si="10"/>
        <v>0</v>
      </c>
      <c r="I14" s="314">
        <f t="shared" si="10"/>
        <v>27500</v>
      </c>
      <c r="J14" s="314">
        <f t="shared" si="10"/>
        <v>27500</v>
      </c>
      <c r="K14" s="314">
        <f t="shared" si="10"/>
        <v>27500</v>
      </c>
      <c r="L14" s="314">
        <f t="shared" si="10"/>
        <v>27500</v>
      </c>
      <c r="M14" s="314">
        <f t="shared" si="10"/>
        <v>110000</v>
      </c>
      <c r="N14" s="314">
        <f t="shared" si="10"/>
        <v>110000</v>
      </c>
      <c r="O14" s="314">
        <f t="shared" si="10"/>
        <v>110000</v>
      </c>
      <c r="P14" s="314">
        <f t="shared" si="10"/>
        <v>110000</v>
      </c>
      <c r="Q14" s="314">
        <f t="shared" si="10"/>
        <v>0</v>
      </c>
      <c r="R14" s="314">
        <f t="shared" si="10"/>
        <v>0</v>
      </c>
      <c r="S14" s="314">
        <f t="shared" si="10"/>
        <v>0</v>
      </c>
      <c r="T14" s="315">
        <f t="shared" si="8"/>
        <v>550000</v>
      </c>
      <c r="U14" s="315">
        <f t="shared" si="6"/>
        <v>550000</v>
      </c>
      <c r="V14" s="315">
        <f t="shared" si="3"/>
        <v>0</v>
      </c>
      <c r="AU14"/>
      <c r="AV14"/>
    </row>
    <row r="15" spans="1:48">
      <c r="A15" s="312" t="str">
        <f>'Rainier Tower Financial '!B71</f>
        <v xml:space="preserve">Design </v>
      </c>
      <c r="B15" s="409">
        <f>'Rainier Tower Financial '!D71</f>
        <v>2817196.1999999997</v>
      </c>
      <c r="C15" s="314">
        <f t="shared" si="9"/>
        <v>0</v>
      </c>
      <c r="D15" s="314">
        <f t="shared" si="10"/>
        <v>0</v>
      </c>
      <c r="E15" s="314">
        <f t="shared" si="10"/>
        <v>0</v>
      </c>
      <c r="F15" s="314">
        <f t="shared" si="10"/>
        <v>0</v>
      </c>
      <c r="G15" s="314">
        <f t="shared" si="10"/>
        <v>0</v>
      </c>
      <c r="H15" s="314">
        <f t="shared" si="10"/>
        <v>0</v>
      </c>
      <c r="I15" s="314">
        <f t="shared" si="10"/>
        <v>140859.81</v>
      </c>
      <c r="J15" s="314">
        <f t="shared" si="10"/>
        <v>140859.81</v>
      </c>
      <c r="K15" s="314">
        <f t="shared" si="10"/>
        <v>140859.81</v>
      </c>
      <c r="L15" s="314">
        <f t="shared" si="10"/>
        <v>140859.81</v>
      </c>
      <c r="M15" s="314">
        <f t="shared" si="10"/>
        <v>563439.24</v>
      </c>
      <c r="N15" s="314">
        <f t="shared" si="10"/>
        <v>563439.24</v>
      </c>
      <c r="O15" s="314">
        <f t="shared" si="10"/>
        <v>563439.24</v>
      </c>
      <c r="P15" s="314">
        <f t="shared" si="10"/>
        <v>563439.24</v>
      </c>
      <c r="Q15" s="314">
        <f t="shared" si="10"/>
        <v>0</v>
      </c>
      <c r="R15" s="314">
        <f t="shared" si="10"/>
        <v>0</v>
      </c>
      <c r="S15" s="314">
        <f t="shared" si="10"/>
        <v>0</v>
      </c>
      <c r="T15" s="315">
        <f t="shared" si="8"/>
        <v>2817196.2</v>
      </c>
      <c r="U15" s="315">
        <f t="shared" si="6"/>
        <v>2817196.1999999997</v>
      </c>
      <c r="V15" s="315">
        <f t="shared" si="3"/>
        <v>0</v>
      </c>
      <c r="AU15"/>
      <c r="AV15"/>
    </row>
    <row r="16" spans="1:48">
      <c r="A16" s="312" t="str">
        <f>'Rainier Tower Financial '!B72</f>
        <v>Developer Fee</v>
      </c>
      <c r="B16" s="409">
        <f>'Rainier Tower Financial '!D72</f>
        <v>5774078.2859999994</v>
      </c>
      <c r="C16" s="314">
        <f t="shared" si="9"/>
        <v>0</v>
      </c>
      <c r="D16" s="314">
        <f t="shared" si="10"/>
        <v>0</v>
      </c>
      <c r="E16" s="314">
        <f t="shared" si="10"/>
        <v>0</v>
      </c>
      <c r="F16" s="314">
        <f t="shared" si="10"/>
        <v>0</v>
      </c>
      <c r="G16" s="314">
        <f t="shared" si="10"/>
        <v>0</v>
      </c>
      <c r="H16" s="314">
        <f t="shared" si="10"/>
        <v>0</v>
      </c>
      <c r="I16" s="314">
        <f t="shared" si="10"/>
        <v>288703.9143</v>
      </c>
      <c r="J16" s="314">
        <f t="shared" si="10"/>
        <v>288703.9143</v>
      </c>
      <c r="K16" s="314">
        <f t="shared" si="10"/>
        <v>288703.9143</v>
      </c>
      <c r="L16" s="314">
        <f t="shared" si="10"/>
        <v>288703.9143</v>
      </c>
      <c r="M16" s="314">
        <f t="shared" si="10"/>
        <v>1154815.6572</v>
      </c>
      <c r="N16" s="314">
        <f t="shared" si="10"/>
        <v>1154815.6572</v>
      </c>
      <c r="O16" s="314">
        <f t="shared" si="10"/>
        <v>1154815.6572</v>
      </c>
      <c r="P16" s="314">
        <f t="shared" si="10"/>
        <v>1154815.6572</v>
      </c>
      <c r="Q16" s="314">
        <f t="shared" si="10"/>
        <v>0</v>
      </c>
      <c r="R16" s="314">
        <f t="shared" si="10"/>
        <v>0</v>
      </c>
      <c r="S16" s="314">
        <f t="shared" si="10"/>
        <v>0</v>
      </c>
      <c r="T16" s="315">
        <f t="shared" si="8"/>
        <v>5774078.2860000003</v>
      </c>
      <c r="U16" s="315">
        <f t="shared" si="6"/>
        <v>5774078.2859999994</v>
      </c>
      <c r="V16" s="315">
        <f t="shared" si="3"/>
        <v>0</v>
      </c>
      <c r="AU16"/>
      <c r="AV16"/>
    </row>
    <row r="17" spans="1:48">
      <c r="A17" s="312" t="str">
        <f>'Rainier Tower Financial '!B73</f>
        <v>Construction Management Fee</v>
      </c>
      <c r="B17" s="409">
        <f>'Rainier Tower Financial '!D73</f>
        <v>1945330.8</v>
      </c>
      <c r="C17" s="314">
        <f t="shared" si="9"/>
        <v>0</v>
      </c>
      <c r="D17" s="314">
        <f t="shared" si="10"/>
        <v>0</v>
      </c>
      <c r="E17" s="314">
        <f t="shared" si="10"/>
        <v>0</v>
      </c>
      <c r="F17" s="314">
        <f t="shared" si="10"/>
        <v>0</v>
      </c>
      <c r="G17" s="314">
        <f t="shared" si="10"/>
        <v>0</v>
      </c>
      <c r="H17" s="314">
        <f t="shared" si="10"/>
        <v>0</v>
      </c>
      <c r="I17" s="314">
        <f t="shared" si="10"/>
        <v>97266.540000000008</v>
      </c>
      <c r="J17" s="314">
        <f t="shared" si="10"/>
        <v>97266.540000000008</v>
      </c>
      <c r="K17" s="314">
        <f t="shared" si="10"/>
        <v>97266.540000000008</v>
      </c>
      <c r="L17" s="314">
        <f t="shared" si="10"/>
        <v>97266.540000000008</v>
      </c>
      <c r="M17" s="314">
        <f t="shared" si="10"/>
        <v>389066.16000000003</v>
      </c>
      <c r="N17" s="314">
        <f t="shared" si="10"/>
        <v>389066.16000000003</v>
      </c>
      <c r="O17" s="314">
        <f t="shared" si="10"/>
        <v>389066.16000000003</v>
      </c>
      <c r="P17" s="314">
        <f t="shared" si="10"/>
        <v>389066.16000000003</v>
      </c>
      <c r="Q17" s="314">
        <f t="shared" si="10"/>
        <v>0</v>
      </c>
      <c r="R17" s="314">
        <f t="shared" si="10"/>
        <v>0</v>
      </c>
      <c r="S17" s="314">
        <f t="shared" si="10"/>
        <v>0</v>
      </c>
      <c r="T17" s="315">
        <f t="shared" si="8"/>
        <v>1945330.8000000003</v>
      </c>
      <c r="U17" s="315">
        <f t="shared" si="6"/>
        <v>1945330.8</v>
      </c>
      <c r="V17" s="315">
        <f t="shared" si="3"/>
        <v>0</v>
      </c>
      <c r="AU17"/>
      <c r="AV17"/>
    </row>
    <row r="18" spans="1:48">
      <c r="A18" s="312" t="str">
        <f>'Rainier Tower Financial '!B74</f>
        <v>Taxes (2 years of assessments)</v>
      </c>
      <c r="B18" s="409">
        <f>'Rainier Tower Financial '!D74</f>
        <v>995500.00000000012</v>
      </c>
      <c r="C18" s="314">
        <f t="shared" si="9"/>
        <v>0</v>
      </c>
      <c r="D18" s="314">
        <f t="shared" si="10"/>
        <v>0</v>
      </c>
      <c r="E18" s="314">
        <f t="shared" si="10"/>
        <v>0</v>
      </c>
      <c r="F18" s="314">
        <f t="shared" si="10"/>
        <v>0</v>
      </c>
      <c r="G18" s="314">
        <f t="shared" si="10"/>
        <v>0</v>
      </c>
      <c r="H18" s="314">
        <f t="shared" si="10"/>
        <v>0</v>
      </c>
      <c r="I18" s="314">
        <f t="shared" si="10"/>
        <v>49775.000000000007</v>
      </c>
      <c r="J18" s="314">
        <f t="shared" si="10"/>
        <v>49775.000000000007</v>
      </c>
      <c r="K18" s="314">
        <f t="shared" si="10"/>
        <v>49775.000000000007</v>
      </c>
      <c r="L18" s="314">
        <f t="shared" si="10"/>
        <v>49775.000000000007</v>
      </c>
      <c r="M18" s="314">
        <f t="shared" si="10"/>
        <v>199100.00000000003</v>
      </c>
      <c r="N18" s="314">
        <f t="shared" si="10"/>
        <v>199100.00000000003</v>
      </c>
      <c r="O18" s="314">
        <f t="shared" si="10"/>
        <v>199100.00000000003</v>
      </c>
      <c r="P18" s="314">
        <f t="shared" si="10"/>
        <v>199100.00000000003</v>
      </c>
      <c r="Q18" s="314">
        <f t="shared" si="10"/>
        <v>0</v>
      </c>
      <c r="R18" s="314">
        <f t="shared" si="10"/>
        <v>0</v>
      </c>
      <c r="S18" s="314">
        <f t="shared" si="10"/>
        <v>0</v>
      </c>
      <c r="T18" s="315">
        <f t="shared" si="8"/>
        <v>995500.00000000012</v>
      </c>
      <c r="U18" s="315">
        <f t="shared" si="6"/>
        <v>995500.00000000012</v>
      </c>
      <c r="V18" s="315">
        <f t="shared" si="3"/>
        <v>0</v>
      </c>
      <c r="AU18"/>
      <c r="AV18"/>
    </row>
    <row r="19" spans="1:48">
      <c r="A19" s="312" t="str">
        <f>'Rainier Tower Financial '!B75</f>
        <v>Insurance</v>
      </c>
      <c r="B19" s="409">
        <f>'Rainier Tower Financial '!D75</f>
        <v>466353</v>
      </c>
      <c r="C19" s="314">
        <f t="shared" si="9"/>
        <v>0</v>
      </c>
      <c r="D19" s="314">
        <f t="shared" si="10"/>
        <v>0</v>
      </c>
      <c r="E19" s="314">
        <f t="shared" si="10"/>
        <v>0</v>
      </c>
      <c r="F19" s="314">
        <f t="shared" si="10"/>
        <v>0</v>
      </c>
      <c r="G19" s="314">
        <f t="shared" si="10"/>
        <v>0</v>
      </c>
      <c r="H19" s="314">
        <f t="shared" si="10"/>
        <v>0</v>
      </c>
      <c r="I19" s="314">
        <f t="shared" si="10"/>
        <v>23317.65</v>
      </c>
      <c r="J19" s="314">
        <f t="shared" si="10"/>
        <v>23317.65</v>
      </c>
      <c r="K19" s="314">
        <f t="shared" si="10"/>
        <v>23317.65</v>
      </c>
      <c r="L19" s="314">
        <f t="shared" si="10"/>
        <v>23317.65</v>
      </c>
      <c r="M19" s="314">
        <f t="shared" si="10"/>
        <v>93270.6</v>
      </c>
      <c r="N19" s="314">
        <f t="shared" si="10"/>
        <v>93270.6</v>
      </c>
      <c r="O19" s="314">
        <f t="shared" si="10"/>
        <v>93270.6</v>
      </c>
      <c r="P19" s="314">
        <f t="shared" si="10"/>
        <v>93270.6</v>
      </c>
      <c r="Q19" s="314">
        <f t="shared" si="10"/>
        <v>0</v>
      </c>
      <c r="R19" s="314">
        <f t="shared" si="10"/>
        <v>0</v>
      </c>
      <c r="S19" s="314">
        <f t="shared" si="10"/>
        <v>0</v>
      </c>
      <c r="T19" s="315">
        <f t="shared" si="8"/>
        <v>466353</v>
      </c>
      <c r="U19" s="315">
        <f t="shared" si="6"/>
        <v>466353</v>
      </c>
      <c r="V19" s="315">
        <f t="shared" si="3"/>
        <v>0</v>
      </c>
      <c r="AU19"/>
      <c r="AV19"/>
    </row>
    <row r="20" spans="1:48">
      <c r="A20" s="312" t="str">
        <f>'Rainier Tower Financial '!B76</f>
        <v>Marketing, FFE and Preleasing</v>
      </c>
      <c r="B20" s="409">
        <f>'Rainier Tower Financial '!D76</f>
        <v>466353</v>
      </c>
      <c r="C20" s="314">
        <f t="shared" si="9"/>
        <v>0</v>
      </c>
      <c r="D20" s="314">
        <f t="shared" si="10"/>
        <v>0</v>
      </c>
      <c r="E20" s="314">
        <f t="shared" si="10"/>
        <v>0</v>
      </c>
      <c r="F20" s="314">
        <f t="shared" si="10"/>
        <v>0</v>
      </c>
      <c r="G20" s="314">
        <f t="shared" si="10"/>
        <v>0</v>
      </c>
      <c r="H20" s="314">
        <f t="shared" si="10"/>
        <v>0</v>
      </c>
      <c r="I20" s="314">
        <f t="shared" si="10"/>
        <v>23317.65</v>
      </c>
      <c r="J20" s="314">
        <f t="shared" si="10"/>
        <v>23317.65</v>
      </c>
      <c r="K20" s="314">
        <f t="shared" si="10"/>
        <v>23317.65</v>
      </c>
      <c r="L20" s="314">
        <f t="shared" si="10"/>
        <v>23317.65</v>
      </c>
      <c r="M20" s="314">
        <f t="shared" si="10"/>
        <v>93270.6</v>
      </c>
      <c r="N20" s="314">
        <f t="shared" si="10"/>
        <v>93270.6</v>
      </c>
      <c r="O20" s="314">
        <f t="shared" si="10"/>
        <v>93270.6</v>
      </c>
      <c r="P20" s="314">
        <f t="shared" si="10"/>
        <v>93270.6</v>
      </c>
      <c r="Q20" s="314">
        <f t="shared" si="10"/>
        <v>0</v>
      </c>
      <c r="R20" s="314">
        <f t="shared" si="10"/>
        <v>0</v>
      </c>
      <c r="S20" s="314">
        <f t="shared" si="10"/>
        <v>0</v>
      </c>
      <c r="T20" s="315">
        <f t="shared" si="8"/>
        <v>466353</v>
      </c>
      <c r="U20" s="315">
        <f t="shared" si="6"/>
        <v>466353</v>
      </c>
      <c r="V20" s="315">
        <f t="shared" si="3"/>
        <v>0</v>
      </c>
      <c r="AU20"/>
      <c r="AV20"/>
    </row>
    <row r="21" spans="1:48">
      <c r="A21" s="312" t="str">
        <f>'Rainier Tower Financial '!B77</f>
        <v>Net interest during closeout</v>
      </c>
      <c r="B21" s="409">
        <f ca="1">'Rainier Tower Financial '!D77</f>
        <v>1560388.2102122554</v>
      </c>
      <c r="C21" s="314">
        <f t="shared" ca="1" si="9"/>
        <v>0</v>
      </c>
      <c r="D21" s="314">
        <f t="shared" ca="1" si="10"/>
        <v>0</v>
      </c>
      <c r="E21" s="314">
        <f t="shared" ca="1" si="10"/>
        <v>0</v>
      </c>
      <c r="F21" s="314">
        <f t="shared" ca="1" si="10"/>
        <v>0</v>
      </c>
      <c r="G21" s="314">
        <f t="shared" ca="1" si="10"/>
        <v>0</v>
      </c>
      <c r="H21" s="314">
        <f t="shared" ca="1" si="10"/>
        <v>0</v>
      </c>
      <c r="I21" s="314">
        <f t="shared" ca="1" si="10"/>
        <v>78019.410510612768</v>
      </c>
      <c r="J21" s="314">
        <f t="shared" ca="1" si="10"/>
        <v>78019.410510612768</v>
      </c>
      <c r="K21" s="314">
        <f t="shared" ca="1" si="10"/>
        <v>78019.410510612768</v>
      </c>
      <c r="L21" s="314">
        <f t="shared" ca="1" si="10"/>
        <v>78019.410510612768</v>
      </c>
      <c r="M21" s="314">
        <f t="shared" ca="1" si="10"/>
        <v>312077.64204245107</v>
      </c>
      <c r="N21" s="314">
        <f t="shared" ca="1" si="10"/>
        <v>312077.64204245107</v>
      </c>
      <c r="O21" s="314">
        <f t="shared" ca="1" si="10"/>
        <v>312077.64204245107</v>
      </c>
      <c r="P21" s="314">
        <f t="shared" ca="1" si="10"/>
        <v>312077.64204245107</v>
      </c>
      <c r="Q21" s="314">
        <f t="shared" ca="1" si="10"/>
        <v>0</v>
      </c>
      <c r="R21" s="314">
        <f t="shared" ca="1" si="10"/>
        <v>0</v>
      </c>
      <c r="S21" s="314">
        <f t="shared" ca="1" si="10"/>
        <v>0</v>
      </c>
      <c r="T21" s="315">
        <f t="shared" ca="1" si="8"/>
        <v>1560388.2102122554</v>
      </c>
      <c r="U21" s="315">
        <f t="shared" ca="1" si="6"/>
        <v>1560388.2102122554</v>
      </c>
      <c r="V21" s="315">
        <f t="shared" ca="1" si="3"/>
        <v>0</v>
      </c>
      <c r="AU21"/>
      <c r="AV21"/>
    </row>
    <row r="22" spans="1:48">
      <c r="A22" s="312" t="str">
        <f>'Rainier Tower Financial '!B78</f>
        <v>Retail Tenant Improvements</v>
      </c>
      <c r="B22" s="409">
        <f>'Rainier Tower Financial '!D78</f>
        <v>8358975</v>
      </c>
      <c r="C22" s="314">
        <f t="shared" si="9"/>
        <v>0</v>
      </c>
      <c r="D22" s="314">
        <f t="shared" si="10"/>
        <v>0</v>
      </c>
      <c r="E22" s="314">
        <f t="shared" si="10"/>
        <v>0</v>
      </c>
      <c r="F22" s="314">
        <f t="shared" si="10"/>
        <v>0</v>
      </c>
      <c r="G22" s="314">
        <f t="shared" si="10"/>
        <v>0</v>
      </c>
      <c r="H22" s="314">
        <f t="shared" si="10"/>
        <v>0</v>
      </c>
      <c r="I22" s="314">
        <f t="shared" si="10"/>
        <v>417948.75</v>
      </c>
      <c r="J22" s="314">
        <f t="shared" si="10"/>
        <v>417948.75</v>
      </c>
      <c r="K22" s="314">
        <f t="shared" si="10"/>
        <v>417948.75</v>
      </c>
      <c r="L22" s="314">
        <f t="shared" si="10"/>
        <v>417948.75</v>
      </c>
      <c r="M22" s="314">
        <f t="shared" si="10"/>
        <v>1671795</v>
      </c>
      <c r="N22" s="314">
        <f t="shared" si="10"/>
        <v>1671795</v>
      </c>
      <c r="O22" s="314">
        <f t="shared" si="10"/>
        <v>1671795</v>
      </c>
      <c r="P22" s="314">
        <f t="shared" si="10"/>
        <v>1671795</v>
      </c>
      <c r="Q22" s="314">
        <f t="shared" si="10"/>
        <v>0</v>
      </c>
      <c r="R22" s="314">
        <f t="shared" si="10"/>
        <v>0</v>
      </c>
      <c r="S22" s="314">
        <f t="shared" si="10"/>
        <v>0</v>
      </c>
      <c r="T22" s="315">
        <f t="shared" si="8"/>
        <v>8358975</v>
      </c>
      <c r="U22" s="315">
        <f t="shared" si="6"/>
        <v>8358975</v>
      </c>
      <c r="V22" s="315">
        <f t="shared" si="3"/>
        <v>0</v>
      </c>
      <c r="AU22"/>
      <c r="AV22"/>
    </row>
    <row r="23" spans="1:48">
      <c r="A23" s="312" t="str">
        <f>'Rainier Tower Financial '!B79</f>
        <v>Retail brokerage</v>
      </c>
      <c r="B23" s="409">
        <f>'Rainier Tower Financial '!D79</f>
        <v>2474256.6</v>
      </c>
      <c r="C23" s="318">
        <f>B23</f>
        <v>2474256.6</v>
      </c>
      <c r="D23" s="316">
        <v>0</v>
      </c>
      <c r="E23" s="319">
        <v>0</v>
      </c>
      <c r="F23" s="314">
        <f t="shared" si="10"/>
        <v>0</v>
      </c>
      <c r="G23" s="314">
        <f t="shared" si="10"/>
        <v>0</v>
      </c>
      <c r="H23" s="314">
        <f t="shared" si="10"/>
        <v>0</v>
      </c>
      <c r="I23" s="314">
        <v>0</v>
      </c>
      <c r="J23" s="314">
        <v>0</v>
      </c>
      <c r="K23" s="314">
        <v>0</v>
      </c>
      <c r="L23" s="314">
        <v>0</v>
      </c>
      <c r="M23" s="314">
        <v>0</v>
      </c>
      <c r="N23" s="314">
        <v>0</v>
      </c>
      <c r="O23" s="314">
        <v>0</v>
      </c>
      <c r="P23" s="314">
        <v>0</v>
      </c>
      <c r="Q23" s="314">
        <f t="shared" si="10"/>
        <v>0</v>
      </c>
      <c r="R23" s="314">
        <f t="shared" si="10"/>
        <v>0</v>
      </c>
      <c r="S23" s="314">
        <f t="shared" si="10"/>
        <v>0</v>
      </c>
      <c r="T23" s="315">
        <f t="shared" si="8"/>
        <v>2474256.6</v>
      </c>
      <c r="U23" s="315">
        <f t="shared" si="6"/>
        <v>2474256.6</v>
      </c>
      <c r="V23" s="315">
        <f t="shared" si="3"/>
        <v>0</v>
      </c>
      <c r="AU23"/>
      <c r="AV23"/>
    </row>
    <row r="24" spans="1:48">
      <c r="A24" s="312" t="str">
        <f>'Rainier Tower Financial '!B80</f>
        <v>Construction Loan Origination</v>
      </c>
      <c r="B24" s="409">
        <f ca="1">'Rainier Tower Financial '!D80</f>
        <v>2229126.0145889362</v>
      </c>
      <c r="C24" s="318">
        <f ca="1">B24</f>
        <v>2229126.0145889362</v>
      </c>
      <c r="D24" s="316">
        <v>0</v>
      </c>
      <c r="E24" s="319">
        <v>0</v>
      </c>
      <c r="F24" s="314">
        <f t="shared" ca="1" si="10"/>
        <v>0</v>
      </c>
      <c r="G24" s="314">
        <f t="shared" ca="1" si="10"/>
        <v>0</v>
      </c>
      <c r="H24" s="314">
        <f t="shared" ca="1" si="10"/>
        <v>0</v>
      </c>
      <c r="I24" s="314">
        <v>0</v>
      </c>
      <c r="J24" s="314">
        <v>0</v>
      </c>
      <c r="K24" s="314">
        <v>0</v>
      </c>
      <c r="L24" s="314">
        <v>0</v>
      </c>
      <c r="M24" s="314">
        <v>0</v>
      </c>
      <c r="N24" s="314">
        <v>0</v>
      </c>
      <c r="O24" s="314">
        <v>0</v>
      </c>
      <c r="P24" s="314">
        <v>0</v>
      </c>
      <c r="Q24" s="314">
        <f t="shared" ca="1" si="10"/>
        <v>0</v>
      </c>
      <c r="R24" s="314">
        <f t="shared" ca="1" si="10"/>
        <v>0</v>
      </c>
      <c r="S24" s="314">
        <f t="shared" ca="1" si="10"/>
        <v>0</v>
      </c>
      <c r="T24" s="315">
        <f t="shared" ca="1" si="8"/>
        <v>2229126.0145889362</v>
      </c>
      <c r="U24" s="315">
        <f t="shared" ca="1" si="6"/>
        <v>2229126.0145889362</v>
      </c>
      <c r="V24" s="315">
        <f t="shared" ca="1" si="3"/>
        <v>0</v>
      </c>
      <c r="AU24"/>
      <c r="AV24"/>
    </row>
    <row r="25" spans="1:48">
      <c r="A25" s="312" t="str">
        <f>'Rainier Tower Financial '!B81</f>
        <v>Construction Interest</v>
      </c>
      <c r="B25" s="409">
        <f ca="1">'Rainier Tower Financial '!D81</f>
        <v>10402588.068081703</v>
      </c>
      <c r="C25" s="314">
        <f ca="1">$B25*C$5</f>
        <v>0</v>
      </c>
      <c r="D25" s="314">
        <f t="shared" ref="D25:S26" ca="1" si="11">$B25*D$5</f>
        <v>0</v>
      </c>
      <c r="E25" s="314">
        <f t="shared" ca="1" si="11"/>
        <v>0</v>
      </c>
      <c r="F25" s="314">
        <f t="shared" ca="1" si="11"/>
        <v>0</v>
      </c>
      <c r="G25" s="314">
        <f t="shared" ca="1" si="11"/>
        <v>0</v>
      </c>
      <c r="H25" s="314">
        <f t="shared" ca="1" si="11"/>
        <v>0</v>
      </c>
      <c r="I25" s="314">
        <f t="shared" ca="1" si="11"/>
        <v>520129.4034040852</v>
      </c>
      <c r="J25" s="314">
        <f t="shared" ca="1" si="11"/>
        <v>520129.4034040852</v>
      </c>
      <c r="K25" s="314">
        <f t="shared" ca="1" si="11"/>
        <v>520129.4034040852</v>
      </c>
      <c r="L25" s="314">
        <f t="shared" ca="1" si="11"/>
        <v>520129.4034040852</v>
      </c>
      <c r="M25" s="314">
        <f t="shared" ca="1" si="11"/>
        <v>2080517.6136163408</v>
      </c>
      <c r="N25" s="314">
        <f t="shared" ca="1" si="11"/>
        <v>2080517.6136163408</v>
      </c>
      <c r="O25" s="314">
        <f t="shared" ca="1" si="11"/>
        <v>2080517.6136163408</v>
      </c>
      <c r="P25" s="314">
        <f t="shared" ca="1" si="11"/>
        <v>2080517.6136163408</v>
      </c>
      <c r="Q25" s="314">
        <f t="shared" ca="1" si="11"/>
        <v>0</v>
      </c>
      <c r="R25" s="314">
        <f t="shared" ca="1" si="11"/>
        <v>0</v>
      </c>
      <c r="S25" s="314">
        <f t="shared" ca="1" si="11"/>
        <v>0</v>
      </c>
      <c r="T25" s="315">
        <f t="shared" ca="1" si="8"/>
        <v>10402588.068081703</v>
      </c>
      <c r="U25" s="315">
        <f t="shared" ca="1" si="6"/>
        <v>10402588.068081703</v>
      </c>
      <c r="V25" s="315">
        <f t="shared" ca="1" si="3"/>
        <v>0</v>
      </c>
      <c r="AU25"/>
      <c r="AV25"/>
    </row>
    <row r="26" spans="1:48" ht="15.75" thickBot="1">
      <c r="A26" s="393" t="str">
        <f>'Rainier Tower Financial '!B82</f>
        <v>Additional Contingency</v>
      </c>
      <c r="B26" s="328">
        <f ca="1">'Rainier Tower Financial '!D82</f>
        <v>1486084.0097259576</v>
      </c>
      <c r="C26" s="327">
        <f ca="1">$B26*C$5</f>
        <v>0</v>
      </c>
      <c r="D26" s="327">
        <f t="shared" ca="1" si="11"/>
        <v>0</v>
      </c>
      <c r="E26" s="327">
        <f t="shared" ca="1" si="11"/>
        <v>0</v>
      </c>
      <c r="F26" s="327">
        <f t="shared" ca="1" si="11"/>
        <v>0</v>
      </c>
      <c r="G26" s="327">
        <f t="shared" ca="1" si="11"/>
        <v>0</v>
      </c>
      <c r="H26" s="327">
        <f t="shared" ca="1" si="11"/>
        <v>0</v>
      </c>
      <c r="I26" s="327">
        <f t="shared" ca="1" si="11"/>
        <v>74304.200486297879</v>
      </c>
      <c r="J26" s="327">
        <f t="shared" ca="1" si="11"/>
        <v>74304.200486297879</v>
      </c>
      <c r="K26" s="327">
        <f t="shared" ca="1" si="11"/>
        <v>74304.200486297879</v>
      </c>
      <c r="L26" s="327">
        <f t="shared" ca="1" si="11"/>
        <v>74304.200486297879</v>
      </c>
      <c r="M26" s="327">
        <f t="shared" ca="1" si="11"/>
        <v>297216.80194519152</v>
      </c>
      <c r="N26" s="327">
        <f t="shared" ca="1" si="11"/>
        <v>297216.80194519152</v>
      </c>
      <c r="O26" s="327">
        <f t="shared" ca="1" si="11"/>
        <v>297216.80194519152</v>
      </c>
      <c r="P26" s="327">
        <f t="shared" ca="1" si="11"/>
        <v>297216.80194519152</v>
      </c>
      <c r="Q26" s="327">
        <f t="shared" ca="1" si="11"/>
        <v>0</v>
      </c>
      <c r="R26" s="327">
        <f t="shared" ca="1" si="11"/>
        <v>0</v>
      </c>
      <c r="S26" s="327">
        <f t="shared" ca="1" si="11"/>
        <v>0</v>
      </c>
      <c r="T26" s="328">
        <f t="shared" ca="1" si="8"/>
        <v>1486084.0097259576</v>
      </c>
      <c r="U26" s="328">
        <f t="shared" ca="1" si="6"/>
        <v>1486084.0097259576</v>
      </c>
      <c r="V26" s="328">
        <f t="shared" ca="1" si="3"/>
        <v>0</v>
      </c>
      <c r="AU26"/>
      <c r="AV26"/>
    </row>
    <row r="27" spans="1:48" ht="16.5" thickTop="1" thickBot="1">
      <c r="A27" s="393" t="str">
        <f>'Rainier Tower Financial '!B83</f>
        <v>Total Project Cost</v>
      </c>
      <c r="B27" s="124">
        <f t="shared" ref="B27:S27" ca="1" si="12">SUM(B6:B26)</f>
        <v>211910359.18860886</v>
      </c>
      <c r="C27" s="99">
        <f t="shared" ca="1" si="12"/>
        <v>67063382.614588939</v>
      </c>
      <c r="D27" s="99">
        <f t="shared" ca="1" si="12"/>
        <v>0</v>
      </c>
      <c r="E27" s="99">
        <f t="shared" ca="1" si="12"/>
        <v>0</v>
      </c>
      <c r="F27" s="99">
        <f t="shared" ca="1" si="12"/>
        <v>0</v>
      </c>
      <c r="G27" s="99">
        <f t="shared" ca="1" si="12"/>
        <v>0</v>
      </c>
      <c r="H27" s="99">
        <f t="shared" ca="1" si="12"/>
        <v>0</v>
      </c>
      <c r="I27" s="99">
        <f t="shared" ca="1" si="12"/>
        <v>7242348.828700996</v>
      </c>
      <c r="J27" s="99">
        <f t="shared" ca="1" si="12"/>
        <v>7242348.828700996</v>
      </c>
      <c r="K27" s="99">
        <f t="shared" ca="1" si="12"/>
        <v>7242348.828700996</v>
      </c>
      <c r="L27" s="99">
        <f t="shared" ca="1" si="12"/>
        <v>7242348.828700996</v>
      </c>
      <c r="M27" s="99">
        <f t="shared" ca="1" si="12"/>
        <v>28969395.314803984</v>
      </c>
      <c r="N27" s="99">
        <f t="shared" ca="1" si="12"/>
        <v>28969395.314803984</v>
      </c>
      <c r="O27" s="99">
        <f t="shared" ca="1" si="12"/>
        <v>28969395.314803984</v>
      </c>
      <c r="P27" s="99">
        <f t="shared" ca="1" si="12"/>
        <v>28969395.314803984</v>
      </c>
      <c r="Q27" s="99">
        <f t="shared" ca="1" si="12"/>
        <v>0</v>
      </c>
      <c r="R27" s="99">
        <f t="shared" ca="1" si="12"/>
        <v>0</v>
      </c>
      <c r="S27" s="99">
        <f t="shared" ca="1" si="12"/>
        <v>0</v>
      </c>
      <c r="T27" s="96">
        <f ca="1">SUM(T6:T26)</f>
        <v>208550359.18860886</v>
      </c>
      <c r="U27" s="95">
        <f ca="1">SUM(U6:U26)</f>
        <v>208550359.18860886</v>
      </c>
      <c r="V27" s="95"/>
      <c r="AU27"/>
      <c r="AV27"/>
    </row>
    <row r="28" spans="1:48" ht="15.75" thickTop="1">
      <c r="A28" s="97" t="s">
        <v>196</v>
      </c>
      <c r="B28" s="125">
        <f ca="1">'Rainier Tower Financial '!C91</f>
        <v>0</v>
      </c>
      <c r="C28" s="126"/>
      <c r="D28" s="127"/>
      <c r="E28" s="127"/>
      <c r="F28" s="127"/>
      <c r="G28" s="127"/>
      <c r="H28" s="127"/>
      <c r="I28" s="127"/>
      <c r="J28" s="127"/>
      <c r="K28" s="127"/>
      <c r="L28" s="127"/>
      <c r="M28" s="127"/>
      <c r="N28" s="127"/>
      <c r="O28" s="127"/>
      <c r="P28" s="127"/>
      <c r="Q28" s="127"/>
      <c r="R28" s="127"/>
      <c r="S28" s="127"/>
      <c r="T28" s="129"/>
      <c r="U28" s="126"/>
      <c r="V28" s="95"/>
      <c r="AU28"/>
      <c r="AV28"/>
    </row>
    <row r="29" spans="1:48" ht="15.75" thickBot="1">
      <c r="A29" s="329" t="s">
        <v>197</v>
      </c>
      <c r="B29" s="410">
        <f ca="1">B27+B28</f>
        <v>211910359.18860886</v>
      </c>
      <c r="C29" s="411"/>
      <c r="D29" s="342"/>
      <c r="E29" s="342"/>
      <c r="F29" s="342"/>
      <c r="G29" s="342"/>
      <c r="H29" s="342"/>
      <c r="I29" s="342"/>
      <c r="J29" s="342"/>
      <c r="K29" s="342"/>
      <c r="L29" s="342"/>
      <c r="M29" s="342"/>
      <c r="N29" s="342"/>
      <c r="O29" s="342"/>
      <c r="P29" s="342"/>
      <c r="Q29" s="342"/>
      <c r="R29" s="342"/>
      <c r="S29" s="342"/>
      <c r="T29" s="342"/>
      <c r="U29" s="411"/>
      <c r="V29" s="331"/>
      <c r="AU29"/>
      <c r="AV29"/>
    </row>
    <row r="30" spans="1:48">
      <c r="A30" s="104" t="s">
        <v>198</v>
      </c>
      <c r="B30" s="105">
        <f ca="1">SUM(C30:T30)</f>
        <v>80019908.216013089</v>
      </c>
      <c r="C30" s="315">
        <f ca="1">C27</f>
        <v>67063382.614588939</v>
      </c>
      <c r="D30" s="315">
        <f t="shared" ref="D30:S30" ca="1" si="13">IF(C31+D27&lt;=$B$31,D27,($B$31-C31))</f>
        <v>0</v>
      </c>
      <c r="E30" s="315">
        <f t="shared" ca="1" si="13"/>
        <v>0</v>
      </c>
      <c r="F30" s="315">
        <f t="shared" ca="1" si="13"/>
        <v>0</v>
      </c>
      <c r="G30" s="315">
        <f t="shared" ca="1" si="13"/>
        <v>0</v>
      </c>
      <c r="H30" s="315">
        <f t="shared" ca="1" si="13"/>
        <v>0</v>
      </c>
      <c r="I30" s="315">
        <f t="shared" ca="1" si="13"/>
        <v>7242348.828700996</v>
      </c>
      <c r="J30" s="315">
        <f t="shared" ca="1" si="13"/>
        <v>5714176.7727231532</v>
      </c>
      <c r="K30" s="315">
        <f t="shared" ca="1" si="13"/>
        <v>0</v>
      </c>
      <c r="L30" s="315">
        <f t="shared" ca="1" si="13"/>
        <v>0</v>
      </c>
      <c r="M30" s="315">
        <f t="shared" ca="1" si="13"/>
        <v>0</v>
      </c>
      <c r="N30" s="315">
        <f t="shared" ca="1" si="13"/>
        <v>0</v>
      </c>
      <c r="O30" s="315">
        <f t="shared" ca="1" si="13"/>
        <v>0</v>
      </c>
      <c r="P30" s="315">
        <f t="shared" ca="1" si="13"/>
        <v>0</v>
      </c>
      <c r="Q30" s="315">
        <f t="shared" ca="1" si="13"/>
        <v>0</v>
      </c>
      <c r="R30" s="315">
        <f t="shared" ca="1" si="13"/>
        <v>0</v>
      </c>
      <c r="S30" s="315">
        <f t="shared" ca="1" si="13"/>
        <v>0</v>
      </c>
      <c r="T30" s="336"/>
      <c r="U30" s="335"/>
      <c r="V30" s="334"/>
      <c r="AU30"/>
      <c r="AV30"/>
    </row>
    <row r="31" spans="1:48" ht="15.75" thickBot="1">
      <c r="A31" s="312" t="s">
        <v>199</v>
      </c>
      <c r="B31" s="101">
        <f ca="1">'Rainier Tower Financial '!C94</f>
        <v>80019908.216013089</v>
      </c>
      <c r="C31" s="315">
        <f ca="1">C30</f>
        <v>67063382.614588939</v>
      </c>
      <c r="D31" s="315">
        <f ca="1">IF(SUM($C$30:D30)&lt;=$B31,SUM($C$30:D30),0)</f>
        <v>67063382.614588939</v>
      </c>
      <c r="E31" s="315">
        <f ca="1">IF(SUM($C$30:E30)&lt;=$B31,SUM($C$30:E30),0)</f>
        <v>67063382.614588939</v>
      </c>
      <c r="F31" s="315">
        <f ca="1">IF(SUM($C$30:F30)&lt;=$B31,SUM($C$30:F30),0)</f>
        <v>67063382.614588939</v>
      </c>
      <c r="G31" s="315">
        <f ca="1">IF(SUM($C$30:G30)&lt;=$B31,SUM($C$30:G30),0)</f>
        <v>67063382.614588939</v>
      </c>
      <c r="H31" s="315">
        <f ca="1">IF(SUM($C$30:H30)&lt;=$B31,SUM($C$30:H30),0)</f>
        <v>67063382.614588939</v>
      </c>
      <c r="I31" s="315">
        <f ca="1">IF(SUM($C$30:I30)&lt;=$B31,SUM($C$30:I30),0)</f>
        <v>74305731.443289936</v>
      </c>
      <c r="J31" s="315">
        <f ca="1">IF(SUM($C$30:J30)&lt;=$B31,SUM($C$30:J30),0)</f>
        <v>80019908.216013089</v>
      </c>
      <c r="K31" s="315">
        <f ca="1">IF(SUM($C$30:K30)&lt;=$B31,SUM($C$30:K30),0)</f>
        <v>80019908.216013089</v>
      </c>
      <c r="L31" s="315">
        <f ca="1">IF(SUM($C$30:L30)&lt;=$B31,SUM($C$30:L30),0)</f>
        <v>80019908.216013089</v>
      </c>
      <c r="M31" s="315">
        <f ca="1">IF(SUM($C$30:M30)&lt;=$B31,SUM($C$30:M30),0)</f>
        <v>80019908.216013089</v>
      </c>
      <c r="N31" s="315">
        <f ca="1">IF(SUM($C$30:N30)&lt;=$B31,SUM($C$30:N30),0)</f>
        <v>80019908.216013089</v>
      </c>
      <c r="O31" s="315">
        <f ca="1">IF(SUM($C$30:O30)&lt;=$B31,SUM($C$30:O30),0)</f>
        <v>80019908.216013089</v>
      </c>
      <c r="P31" s="315">
        <f ca="1">IF(SUM($C$30:P30)&lt;=$B31,SUM($C$30:P30),0)</f>
        <v>80019908.216013089</v>
      </c>
      <c r="Q31" s="315">
        <f ca="1">IF(SUM($C$30:Q30)&lt;=$B31,SUM($C$30:Q30),0)</f>
        <v>80019908.216013089</v>
      </c>
      <c r="R31" s="315">
        <f ca="1">IF(SUM($C$30:R30)&lt;=$B31,SUM($C$30:R30),0)</f>
        <v>80019908.216013089</v>
      </c>
      <c r="S31" s="315">
        <f ca="1">IF(SUM($C$30:S30)&lt;=$B31,SUM($C$30:S30),0)</f>
        <v>80019908.216013089</v>
      </c>
      <c r="T31" s="336"/>
      <c r="U31" s="335"/>
      <c r="V31" s="334"/>
      <c r="AU31"/>
      <c r="AV31"/>
    </row>
    <row r="32" spans="1:48">
      <c r="A32" s="102" t="s">
        <v>200</v>
      </c>
      <c r="B32" s="103">
        <f ca="1">'Rainier Tower Financial '!C93</f>
        <v>148608400.97259575</v>
      </c>
      <c r="C32" s="335"/>
      <c r="D32" s="336"/>
      <c r="E32" s="336"/>
      <c r="F32" s="336"/>
      <c r="G32" s="336"/>
      <c r="H32" s="336"/>
      <c r="I32" s="336"/>
      <c r="J32" s="336"/>
      <c r="K32" s="336"/>
      <c r="L32" s="336"/>
      <c r="M32" s="336"/>
      <c r="N32" s="336"/>
      <c r="O32" s="336"/>
      <c r="P32" s="336"/>
      <c r="Q32" s="336"/>
      <c r="R32" s="336"/>
      <c r="S32" s="336"/>
      <c r="T32" s="336"/>
      <c r="U32" s="335"/>
      <c r="V32" s="334"/>
      <c r="AU32"/>
      <c r="AV32"/>
    </row>
    <row r="33" spans="1:48" ht="15.75" thickBot="1">
      <c r="A33" s="337" t="s">
        <v>201</v>
      </c>
      <c r="B33" s="338">
        <f ca="1">PMT(0.045,30,(B32))</f>
        <v>-9123299.024886528</v>
      </c>
      <c r="C33" s="335"/>
      <c r="D33" s="336"/>
      <c r="E33" s="336"/>
      <c r="F33" s="336"/>
      <c r="G33" s="336"/>
      <c r="H33" s="336"/>
      <c r="I33" s="336"/>
      <c r="J33" s="336"/>
      <c r="K33" s="336"/>
      <c r="L33" s="336"/>
      <c r="M33" s="336"/>
      <c r="N33" s="336"/>
      <c r="O33" s="336"/>
      <c r="P33" s="336"/>
      <c r="Q33" s="336"/>
      <c r="R33" s="336"/>
      <c r="S33" s="336"/>
      <c r="T33" s="336"/>
      <c r="U33" s="335"/>
      <c r="V33" s="334"/>
      <c r="AU33"/>
      <c r="AV33"/>
    </row>
    <row r="34" spans="1:48">
      <c r="A34" s="123" t="s">
        <v>202</v>
      </c>
      <c r="B34" s="173">
        <f>SUM(C34:T34)</f>
        <v>0</v>
      </c>
      <c r="C34" s="345"/>
      <c r="D34" s="345"/>
      <c r="E34" s="345"/>
      <c r="F34" s="345"/>
      <c r="G34" s="345"/>
      <c r="H34" s="345"/>
      <c r="I34" s="345"/>
      <c r="J34" s="345"/>
      <c r="K34" s="345"/>
      <c r="L34" s="345"/>
      <c r="M34" s="345"/>
      <c r="N34" s="345"/>
      <c r="O34" s="345"/>
      <c r="P34" s="345"/>
      <c r="Q34" s="345"/>
      <c r="R34" s="345"/>
      <c r="S34" s="345"/>
      <c r="T34" s="413"/>
      <c r="U34" s="335"/>
      <c r="V34" s="334"/>
      <c r="AU34"/>
      <c r="AV34"/>
    </row>
    <row r="35" spans="1:48">
      <c r="A35" s="400" t="s">
        <v>203</v>
      </c>
      <c r="B35" s="400"/>
      <c r="C35" s="336"/>
      <c r="D35" s="336"/>
      <c r="E35" s="336"/>
      <c r="F35" s="336"/>
      <c r="G35" s="336"/>
      <c r="H35" s="336"/>
      <c r="I35" s="336"/>
      <c r="J35" s="336"/>
      <c r="K35" s="336"/>
      <c r="L35" s="336"/>
      <c r="M35" s="336"/>
      <c r="N35" s="336"/>
      <c r="O35" s="336"/>
      <c r="P35" s="336"/>
      <c r="Q35" s="336"/>
      <c r="R35" s="336"/>
      <c r="S35" s="336"/>
      <c r="T35" s="340"/>
      <c r="U35" s="335"/>
      <c r="V35" s="334"/>
      <c r="AU35"/>
      <c r="AV35"/>
    </row>
    <row r="36" spans="1:48">
      <c r="A36" s="332" t="s">
        <v>204</v>
      </c>
      <c r="B36" s="199">
        <f ca="1">'Rainier Tower Financial '!C101+'Rainier Tower Financial '!C102</f>
        <v>158820899.02740425</v>
      </c>
      <c r="C36" s="340"/>
      <c r="D36" s="341"/>
      <c r="E36" s="341"/>
      <c r="F36" s="341"/>
      <c r="G36" s="341"/>
      <c r="H36" s="341"/>
      <c r="I36" s="341"/>
      <c r="J36" s="341"/>
      <c r="K36" s="341"/>
      <c r="L36" s="341"/>
      <c r="M36" s="341"/>
      <c r="N36" s="341"/>
      <c r="O36" s="341"/>
      <c r="P36" s="341"/>
      <c r="Q36" s="341"/>
      <c r="R36" s="341"/>
      <c r="S36" s="341"/>
      <c r="T36" s="342"/>
      <c r="U36" s="335"/>
      <c r="V36" s="334"/>
      <c r="AU36"/>
      <c r="AV36"/>
    </row>
    <row r="37" spans="1:48">
      <c r="A37" s="322" t="s">
        <v>205</v>
      </c>
      <c r="B37" s="315">
        <f ca="1">SUM(C37:R37)</f>
        <v>78800990.81139116</v>
      </c>
      <c r="C37" s="315">
        <f t="shared" ref="C37:Q37" ca="1" si="14">-C30</f>
        <v>-67063382.614588939</v>
      </c>
      <c r="D37" s="315">
        <f t="shared" ca="1" si="14"/>
        <v>0</v>
      </c>
      <c r="E37" s="315">
        <f t="shared" ca="1" si="14"/>
        <v>0</v>
      </c>
      <c r="F37" s="315">
        <f t="shared" ca="1" si="14"/>
        <v>0</v>
      </c>
      <c r="G37" s="315">
        <f t="shared" ca="1" si="14"/>
        <v>0</v>
      </c>
      <c r="H37" s="315">
        <f t="shared" ca="1" si="14"/>
        <v>0</v>
      </c>
      <c r="I37" s="315">
        <f t="shared" ca="1" si="14"/>
        <v>-7242348.828700996</v>
      </c>
      <c r="J37" s="315">
        <f t="shared" ca="1" si="14"/>
        <v>-5714176.7727231532</v>
      </c>
      <c r="K37" s="315">
        <f t="shared" ca="1" si="14"/>
        <v>0</v>
      </c>
      <c r="L37" s="315">
        <f t="shared" ca="1" si="14"/>
        <v>0</v>
      </c>
      <c r="M37" s="315">
        <f t="shared" ca="1" si="14"/>
        <v>0</v>
      </c>
      <c r="N37" s="315">
        <f t="shared" ca="1" si="14"/>
        <v>0</v>
      </c>
      <c r="O37" s="315">
        <f t="shared" ca="1" si="14"/>
        <v>0</v>
      </c>
      <c r="P37" s="315">
        <f t="shared" ca="1" si="14"/>
        <v>0</v>
      </c>
      <c r="Q37" s="315">
        <f t="shared" ca="1" si="14"/>
        <v>0</v>
      </c>
      <c r="R37" s="347">
        <f ca="1">B36</f>
        <v>158820899.02740425</v>
      </c>
      <c r="T37" s="342"/>
      <c r="U37" s="335"/>
      <c r="V37" s="334"/>
      <c r="AU37"/>
      <c r="AV37"/>
    </row>
    <row r="38" spans="1:48">
      <c r="A38" s="322" t="s">
        <v>229</v>
      </c>
      <c r="B38" s="415">
        <f ca="1">IF(B37&lt;0,0,IRR(C37:R37))</f>
        <v>4.9871308402132719E-2</v>
      </c>
      <c r="C38" s="348"/>
      <c r="D38" s="348"/>
      <c r="E38" s="348"/>
      <c r="F38" s="348"/>
      <c r="G38" s="348"/>
      <c r="H38" s="348"/>
      <c r="I38" s="348"/>
      <c r="J38" s="348"/>
      <c r="K38" s="348"/>
      <c r="L38" s="348"/>
      <c r="M38" s="348"/>
      <c r="N38" s="348"/>
      <c r="O38" s="348"/>
      <c r="P38" s="348"/>
      <c r="Q38" s="348"/>
      <c r="R38" s="348"/>
      <c r="S38" s="348"/>
      <c r="T38" s="342"/>
      <c r="U38" s="335"/>
      <c r="V38" s="334"/>
      <c r="AU38"/>
      <c r="AV38"/>
    </row>
    <row r="39" spans="1:48">
      <c r="A39" s="322" t="s">
        <v>207</v>
      </c>
      <c r="B39" s="417">
        <f ca="1">POWER((1+B38),4)-1</f>
        <v>0.21491045310162793</v>
      </c>
      <c r="C39" s="342"/>
      <c r="D39" s="342"/>
      <c r="E39" s="351"/>
      <c r="F39" s="351"/>
      <c r="G39" s="351"/>
      <c r="H39" s="351"/>
      <c r="I39" s="351"/>
      <c r="J39" s="351"/>
      <c r="K39" s="351"/>
      <c r="L39" s="351"/>
      <c r="M39" s="351"/>
      <c r="N39" s="351"/>
      <c r="O39" s="351"/>
      <c r="P39" s="352"/>
      <c r="Q39" s="351"/>
      <c r="R39" s="351"/>
      <c r="S39" s="351"/>
      <c r="T39" s="342"/>
      <c r="U39" s="335"/>
      <c r="V39" s="334"/>
      <c r="AU39"/>
      <c r="AV39"/>
    </row>
    <row r="40" spans="1:48">
      <c r="A40" s="400" t="s">
        <v>208</v>
      </c>
      <c r="B40" s="400"/>
      <c r="C40" s="342"/>
      <c r="D40" s="342"/>
      <c r="E40" s="342"/>
      <c r="F40" s="342"/>
      <c r="G40" s="342"/>
      <c r="H40" s="342"/>
      <c r="I40" s="342"/>
      <c r="J40" s="342"/>
      <c r="K40" s="342"/>
      <c r="L40" s="342"/>
      <c r="M40" s="342"/>
      <c r="N40" s="342"/>
      <c r="O40" s="342"/>
      <c r="P40" s="342"/>
      <c r="Q40" s="342"/>
      <c r="R40" s="342"/>
      <c r="S40" s="342"/>
      <c r="T40" s="342"/>
      <c r="U40" s="335"/>
      <c r="V40" s="334"/>
    </row>
    <row r="41" spans="1:48">
      <c r="A41" s="332" t="s">
        <v>209</v>
      </c>
      <c r="B41" s="199">
        <f ca="1">'Rainier Tower Financial '!C101+'Rainier Tower Financial '!C91</f>
        <v>307429300</v>
      </c>
      <c r="C41" s="342"/>
      <c r="D41" s="342"/>
      <c r="E41" s="342"/>
      <c r="F41" s="342"/>
      <c r="G41" s="342"/>
      <c r="H41" s="342"/>
      <c r="I41" s="342"/>
      <c r="J41" s="342"/>
      <c r="K41" s="342"/>
      <c r="L41" s="342"/>
      <c r="M41" s="336"/>
      <c r="N41" s="342"/>
      <c r="O41" s="342"/>
      <c r="P41" s="342"/>
      <c r="Q41" s="342"/>
      <c r="R41" s="342"/>
      <c r="S41" s="336"/>
      <c r="T41" s="342"/>
      <c r="U41" s="335"/>
      <c r="V41" s="334"/>
    </row>
    <row r="42" spans="1:48">
      <c r="A42" s="322" t="s">
        <v>210</v>
      </c>
      <c r="B42" s="315">
        <f ca="1">SUM(C42:R42)</f>
        <v>95518940.811391145</v>
      </c>
      <c r="C42" s="315">
        <f ca="1">-C27</f>
        <v>-67063382.614588939</v>
      </c>
      <c r="D42" s="315">
        <f t="shared" ref="D42:Q42" ca="1" si="15">-D27</f>
        <v>0</v>
      </c>
      <c r="E42" s="315">
        <f t="shared" ca="1" si="15"/>
        <v>0</v>
      </c>
      <c r="F42" s="315">
        <f t="shared" ca="1" si="15"/>
        <v>0</v>
      </c>
      <c r="G42" s="315">
        <f t="shared" ca="1" si="15"/>
        <v>0</v>
      </c>
      <c r="H42" s="315">
        <f t="shared" ca="1" si="15"/>
        <v>0</v>
      </c>
      <c r="I42" s="315">
        <f t="shared" ca="1" si="15"/>
        <v>-7242348.828700996</v>
      </c>
      <c r="J42" s="315">
        <f t="shared" ca="1" si="15"/>
        <v>-7242348.828700996</v>
      </c>
      <c r="K42" s="315">
        <f t="shared" ca="1" si="15"/>
        <v>-7242348.828700996</v>
      </c>
      <c r="L42" s="315">
        <f t="shared" ca="1" si="15"/>
        <v>-7242348.828700996</v>
      </c>
      <c r="M42" s="315">
        <f t="shared" ca="1" si="15"/>
        <v>-28969395.314803984</v>
      </c>
      <c r="N42" s="315">
        <f t="shared" ca="1" si="15"/>
        <v>-28969395.314803984</v>
      </c>
      <c r="O42" s="315">
        <f t="shared" ca="1" si="15"/>
        <v>-28969395.314803984</v>
      </c>
      <c r="P42" s="315">
        <f t="shared" ca="1" si="15"/>
        <v>-28969395.314803984</v>
      </c>
      <c r="Q42" s="315">
        <f t="shared" ca="1" si="15"/>
        <v>0</v>
      </c>
      <c r="R42" s="349">
        <f ca="1">B41-S27</f>
        <v>307429300</v>
      </c>
      <c r="T42" s="322"/>
      <c r="U42" s="335"/>
      <c r="V42" s="334"/>
    </row>
    <row r="43" spans="1:48">
      <c r="A43" s="322" t="s">
        <v>211</v>
      </c>
      <c r="B43" s="415">
        <f ca="1">IF(B42&lt;0,0,IRR(C42:R42))</f>
        <v>4.5743231365924064E-2</v>
      </c>
      <c r="C43" s="342"/>
      <c r="D43" s="342"/>
      <c r="E43" s="342"/>
      <c r="F43" s="342"/>
      <c r="G43" s="342"/>
      <c r="H43" s="342"/>
      <c r="I43" s="342"/>
      <c r="J43" s="342"/>
      <c r="K43" s="342"/>
      <c r="L43" s="342"/>
      <c r="M43" s="342"/>
      <c r="N43" s="342"/>
      <c r="O43" s="342"/>
      <c r="P43" s="342"/>
      <c r="Q43" s="342"/>
      <c r="R43" s="342"/>
      <c r="S43" s="342"/>
      <c r="T43" s="342"/>
      <c r="U43" s="335"/>
      <c r="V43" s="334"/>
    </row>
    <row r="44" spans="1:48">
      <c r="A44" s="322" t="s">
        <v>212</v>
      </c>
      <c r="B44" s="417">
        <f ca="1">POWER((1+B43),4)-1</f>
        <v>0.19591482353364742</v>
      </c>
      <c r="C44" s="342"/>
      <c r="D44" s="342"/>
      <c r="E44" s="342"/>
      <c r="F44" s="342"/>
      <c r="G44" s="342"/>
      <c r="H44" s="342"/>
      <c r="I44" s="342"/>
      <c r="J44" s="342"/>
      <c r="K44" s="342"/>
      <c r="L44" s="342"/>
      <c r="M44" s="342"/>
      <c r="N44" s="342"/>
      <c r="O44" s="342"/>
      <c r="P44" s="342"/>
      <c r="Q44" s="342"/>
      <c r="R44" s="342"/>
      <c r="S44" s="342"/>
      <c r="T44" s="342"/>
      <c r="U44" s="335"/>
      <c r="V44" s="334"/>
    </row>
    <row r="45" spans="1:48">
      <c r="G45" s="7"/>
    </row>
    <row r="46" spans="1:48">
      <c r="G46" s="7"/>
    </row>
    <row r="47" spans="1:48">
      <c r="G47" s="7"/>
    </row>
    <row r="48" spans="1:48">
      <c r="G48" s="7"/>
    </row>
    <row r="49" spans="7:7">
      <c r="G49" s="7"/>
    </row>
    <row r="50" spans="7:7">
      <c r="G50" s="7"/>
    </row>
    <row r="51" spans="7:7">
      <c r="G51" s="7"/>
    </row>
    <row r="52" spans="7:7">
      <c r="G52" s="7"/>
    </row>
    <row r="53" spans="7:7">
      <c r="G53" s="7"/>
    </row>
    <row r="54" spans="7:7">
      <c r="G54" s="7"/>
    </row>
    <row r="55" spans="7:7">
      <c r="G55" s="7"/>
    </row>
    <row r="56" spans="7:7">
      <c r="G56" s="7"/>
    </row>
    <row r="57" spans="7:7">
      <c r="G57" s="7"/>
    </row>
    <row r="58" spans="7:7">
      <c r="G58" s="7"/>
    </row>
    <row r="59" spans="7:7">
      <c r="G59" s="7"/>
    </row>
    <row r="60" spans="7:7">
      <c r="G60" s="7"/>
    </row>
    <row r="61" spans="7:7">
      <c r="G61" s="7"/>
    </row>
    <row r="62" spans="7:7">
      <c r="G62" s="7"/>
    </row>
    <row r="63" spans="7:7">
      <c r="G63" s="7"/>
    </row>
    <row r="64" spans="7:7">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sheetData>
  <mergeCells count="2">
    <mergeCell ref="A1:A4"/>
    <mergeCell ref="T2:V2"/>
  </mergeCells>
  <conditionalFormatting sqref="D4:V4">
    <cfRule type="cellIs" dxfId="43" priority="9" operator="equal">
      <formula>#REF!</formula>
    </cfRule>
    <cfRule type="cellIs" dxfId="42" priority="10" operator="equal">
      <formula>#REF!</formula>
    </cfRule>
    <cfRule type="cellIs" dxfId="41" priority="11" operator="equal">
      <formula>#REF!</formula>
    </cfRule>
    <cfRule type="cellIs" dxfId="40" priority="12"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2F2C-E2E0-4252-85C5-77BC5457C24C}">
  <sheetPr>
    <tabColor rgb="FF0070C0"/>
  </sheetPr>
  <dimension ref="A1:BV574"/>
  <sheetViews>
    <sheetView zoomScale="85" zoomScaleNormal="85" zoomScalePageLayoutView="125" workbookViewId="0">
      <pane xSplit="1" ySplit="3" topLeftCell="AD4" activePane="bottomRight" state="frozen"/>
      <selection pane="topRight" activeCell="B1" sqref="B1"/>
      <selection pane="bottomLeft" activeCell="A4" sqref="A4"/>
      <selection pane="bottomRight" activeCell="D29" sqref="D29"/>
    </sheetView>
  </sheetViews>
  <sheetFormatPr defaultColWidth="8.85546875" defaultRowHeight="15"/>
  <cols>
    <col min="1" max="1" width="35.42578125" style="7" customWidth="1"/>
    <col min="2" max="2" width="14.42578125" style="7" customWidth="1"/>
    <col min="3" max="6" width="13.85546875" style="7" customWidth="1"/>
    <col min="7" max="7" width="13.85546875" style="89" customWidth="1"/>
    <col min="8" max="27" width="13.85546875" style="7" customWidth="1"/>
    <col min="28" max="28" width="13.85546875" style="90" customWidth="1"/>
    <col min="29" max="30" width="13.85546875" style="7" customWidth="1"/>
    <col min="31" max="31" width="13.85546875" style="90" customWidth="1"/>
    <col min="32" max="34" width="13.85546875" style="7" customWidth="1"/>
    <col min="35" max="35" width="13.85546875" style="91" customWidth="1"/>
    <col min="36" max="47" width="13.85546875" style="7" customWidth="1"/>
    <col min="48" max="70" width="17" customWidth="1"/>
    <col min="71" max="71" width="16.5703125" customWidth="1"/>
    <col min="72" max="72" width="15" customWidth="1"/>
    <col min="73" max="73" width="17.85546875" bestFit="1" customWidth="1"/>
    <col min="74" max="74" width="9.5703125" bestFit="1" customWidth="1"/>
    <col min="75" max="75" width="11.85546875" style="7" bestFit="1" customWidth="1"/>
    <col min="76" max="77" width="9.5703125" style="7" bestFit="1" customWidth="1"/>
    <col min="78" max="16384" width="8.85546875" style="7"/>
  </cols>
  <sheetData>
    <row r="1" spans="1:47">
      <c r="A1" s="1661" t="s">
        <v>249</v>
      </c>
      <c r="B1" s="1364"/>
      <c r="G1" s="7"/>
      <c r="AB1"/>
      <c r="AC1"/>
      <c r="AD1"/>
      <c r="AE1"/>
      <c r="AI1" s="7"/>
    </row>
    <row r="2" spans="1:47">
      <c r="A2" s="1662"/>
      <c r="G2" s="7"/>
      <c r="AB2"/>
      <c r="AC2"/>
      <c r="AD2"/>
      <c r="AE2"/>
      <c r="AI2" s="7"/>
    </row>
    <row r="3" spans="1:47" ht="15.75" thickBot="1">
      <c r="A3" s="1663"/>
      <c r="B3" s="407" t="s">
        <v>250</v>
      </c>
      <c r="C3" s="453">
        <v>45658</v>
      </c>
      <c r="D3" s="188">
        <f>EOMONTH(C3,3)</f>
        <v>45777</v>
      </c>
      <c r="E3" s="188">
        <f t="shared" ref="E3:AU3" si="0">EOMONTH(D3,3)</f>
        <v>45869</v>
      </c>
      <c r="F3" s="188">
        <f t="shared" si="0"/>
        <v>45961</v>
      </c>
      <c r="G3" s="188">
        <f t="shared" si="0"/>
        <v>46053</v>
      </c>
      <c r="H3" s="188">
        <f t="shared" si="0"/>
        <v>46142</v>
      </c>
      <c r="I3" s="188">
        <f t="shared" si="0"/>
        <v>46234</v>
      </c>
      <c r="J3" s="188">
        <f t="shared" si="0"/>
        <v>46326</v>
      </c>
      <c r="K3" s="188">
        <f t="shared" si="0"/>
        <v>46418</v>
      </c>
      <c r="L3" s="188">
        <f t="shared" si="0"/>
        <v>46507</v>
      </c>
      <c r="M3" s="188">
        <f t="shared" si="0"/>
        <v>46599</v>
      </c>
      <c r="N3" s="188">
        <f t="shared" si="0"/>
        <v>46691</v>
      </c>
      <c r="O3" s="188">
        <f t="shared" si="0"/>
        <v>46783</v>
      </c>
      <c r="P3" s="188">
        <f t="shared" si="0"/>
        <v>46873</v>
      </c>
      <c r="Q3" s="188">
        <f t="shared" si="0"/>
        <v>46965</v>
      </c>
      <c r="R3" s="188">
        <f t="shared" si="0"/>
        <v>47057</v>
      </c>
      <c r="S3" s="188">
        <f t="shared" si="0"/>
        <v>47149</v>
      </c>
      <c r="T3" s="188">
        <f t="shared" si="0"/>
        <v>47238</v>
      </c>
      <c r="U3" s="188">
        <f t="shared" si="0"/>
        <v>47330</v>
      </c>
      <c r="V3" s="188">
        <f t="shared" si="0"/>
        <v>47422</v>
      </c>
      <c r="W3" s="188">
        <f t="shared" si="0"/>
        <v>47514</v>
      </c>
      <c r="X3" s="188">
        <f t="shared" si="0"/>
        <v>47603</v>
      </c>
      <c r="Y3" s="188">
        <f t="shared" si="0"/>
        <v>47695</v>
      </c>
      <c r="Z3" s="188">
        <f t="shared" si="0"/>
        <v>47787</v>
      </c>
      <c r="AA3" s="188">
        <f t="shared" si="0"/>
        <v>47879</v>
      </c>
      <c r="AB3" s="188">
        <f t="shared" si="0"/>
        <v>47968</v>
      </c>
      <c r="AC3" s="188">
        <f t="shared" si="0"/>
        <v>48060</v>
      </c>
      <c r="AD3" s="188">
        <f t="shared" si="0"/>
        <v>48152</v>
      </c>
      <c r="AE3" s="188">
        <f t="shared" si="0"/>
        <v>48244</v>
      </c>
      <c r="AF3" s="188">
        <f t="shared" si="0"/>
        <v>48334</v>
      </c>
      <c r="AG3" s="188">
        <f t="shared" si="0"/>
        <v>48426</v>
      </c>
      <c r="AH3" s="188">
        <f t="shared" si="0"/>
        <v>48518</v>
      </c>
      <c r="AI3" s="188">
        <f t="shared" si="0"/>
        <v>48610</v>
      </c>
      <c r="AJ3" s="188">
        <f t="shared" si="0"/>
        <v>48699</v>
      </c>
      <c r="AK3" s="188">
        <f t="shared" si="0"/>
        <v>48791</v>
      </c>
      <c r="AL3" s="188">
        <f t="shared" si="0"/>
        <v>48883</v>
      </c>
      <c r="AM3" s="188">
        <f t="shared" si="0"/>
        <v>48975</v>
      </c>
      <c r="AN3" s="188">
        <f>EOMONTH(AM3,3)</f>
        <v>49064</v>
      </c>
      <c r="AO3" s="188">
        <f t="shared" si="0"/>
        <v>49156</v>
      </c>
      <c r="AP3" s="188">
        <f t="shared" si="0"/>
        <v>49248</v>
      </c>
      <c r="AQ3" s="188">
        <f t="shared" si="0"/>
        <v>49340</v>
      </c>
      <c r="AR3" s="188">
        <f t="shared" si="0"/>
        <v>49429</v>
      </c>
      <c r="AS3" s="188">
        <f t="shared" si="0"/>
        <v>49521</v>
      </c>
      <c r="AT3" s="188">
        <f t="shared" si="0"/>
        <v>49613</v>
      </c>
      <c r="AU3" s="188">
        <f t="shared" si="0"/>
        <v>49705</v>
      </c>
    </row>
    <row r="4" spans="1:47">
      <c r="A4" s="703" t="s">
        <v>355</v>
      </c>
      <c r="B4" s="698">
        <f ca="1">SUM(C4:AT4)</f>
        <v>350903280.02081722</v>
      </c>
      <c r="C4" s="315">
        <f ca="1">SUM(C7:C13)</f>
        <v>-9541332.2660788652</v>
      </c>
      <c r="D4" s="315">
        <f t="shared" ref="D4:AU4" ca="1" si="1">SUM(D7:D13)</f>
        <v>0</v>
      </c>
      <c r="E4" s="315">
        <f t="shared" ca="1" si="1"/>
        <v>0</v>
      </c>
      <c r="F4" s="315">
        <f t="shared" ca="1" si="1"/>
        <v>0</v>
      </c>
      <c r="G4" s="315">
        <f t="shared" ca="1" si="1"/>
        <v>-65160634.377929591</v>
      </c>
      <c r="H4" s="315">
        <f t="shared" ca="1" si="1"/>
        <v>-2531523.7538008671</v>
      </c>
      <c r="I4" s="315">
        <f t="shared" ca="1" si="1"/>
        <v>-5063047.5076017343</v>
      </c>
      <c r="J4" s="315">
        <f t="shared" ca="1" si="1"/>
        <v>-14477724.350650826</v>
      </c>
      <c r="K4" s="315">
        <f t="shared" ca="1" si="1"/>
        <v>-10076428.695094684</v>
      </c>
      <c r="L4" s="315">
        <f t="shared" ca="1" si="1"/>
        <v>-9673221.5697897226</v>
      </c>
      <c r="M4" s="315">
        <f t="shared" ca="1" si="1"/>
        <v>0</v>
      </c>
      <c r="N4" s="315">
        <f t="shared" ca="1" si="1"/>
        <v>0</v>
      </c>
      <c r="O4" s="315">
        <f t="shared" ca="1" si="1"/>
        <v>0</v>
      </c>
      <c r="P4" s="315">
        <f t="shared" ca="1" si="1"/>
        <v>0</v>
      </c>
      <c r="Q4" s="315">
        <f t="shared" ca="1" si="1"/>
        <v>0</v>
      </c>
      <c r="R4" s="315">
        <f t="shared" ca="1" si="1"/>
        <v>0</v>
      </c>
      <c r="S4" s="315">
        <f t="shared" ca="1" si="1"/>
        <v>-143931265.11541975</v>
      </c>
      <c r="T4" s="315">
        <f t="shared" ca="1" si="1"/>
        <v>-4589492.497065234</v>
      </c>
      <c r="U4" s="315">
        <f t="shared" ca="1" si="1"/>
        <v>40156727.166761458</v>
      </c>
      <c r="V4" s="315">
        <f t="shared" ca="1" si="1"/>
        <v>-10298795.941577485</v>
      </c>
      <c r="W4" s="315">
        <f t="shared" ca="1" si="1"/>
        <v>-76742345.740935177</v>
      </c>
      <c r="X4" s="315">
        <f t="shared" ca="1" si="1"/>
        <v>-952984.20975218993</v>
      </c>
      <c r="Y4" s="315">
        <f t="shared" ca="1" si="1"/>
        <v>-3469093.7076872913</v>
      </c>
      <c r="Z4" s="315">
        <f t="shared" ca="1" si="1"/>
        <v>182854705.82558355</v>
      </c>
      <c r="AA4" s="315">
        <f t="shared" ca="1" si="1"/>
        <v>0</v>
      </c>
      <c r="AB4" s="315">
        <f t="shared" ca="1" si="1"/>
        <v>127337135.04216388</v>
      </c>
      <c r="AC4" s="315">
        <f t="shared" ca="1" si="1"/>
        <v>0</v>
      </c>
      <c r="AD4" s="315">
        <f t="shared" ca="1" si="1"/>
        <v>0</v>
      </c>
      <c r="AE4" s="315">
        <f t="shared" ca="1" si="1"/>
        <v>-31251962.242054403</v>
      </c>
      <c r="AF4" s="315">
        <f t="shared" ca="1" si="1"/>
        <v>0</v>
      </c>
      <c r="AG4" s="315">
        <f t="shared" ca="1" si="1"/>
        <v>0</v>
      </c>
      <c r="AH4" s="315">
        <f t="shared" ca="1" si="1"/>
        <v>131596900.46398398</v>
      </c>
      <c r="AI4" s="315">
        <f t="shared" ca="1" si="1"/>
        <v>0</v>
      </c>
      <c r="AJ4" s="315">
        <f t="shared" ca="1" si="1"/>
        <v>0</v>
      </c>
      <c r="AK4" s="315">
        <f t="shared" ca="1" si="1"/>
        <v>-7242348.828700996</v>
      </c>
      <c r="AL4" s="315">
        <f t="shared" ca="1" si="1"/>
        <v>-5714176.7727231532</v>
      </c>
      <c r="AM4" s="315">
        <f t="shared" ca="1" si="1"/>
        <v>0</v>
      </c>
      <c r="AN4" s="315">
        <f t="shared" ca="1" si="1"/>
        <v>0</v>
      </c>
      <c r="AO4" s="315">
        <f t="shared" ca="1" si="1"/>
        <v>0</v>
      </c>
      <c r="AP4" s="315">
        <f t="shared" ca="1" si="1"/>
        <v>110853290.0717822</v>
      </c>
      <c r="AQ4" s="315">
        <f t="shared" ca="1" si="1"/>
        <v>0</v>
      </c>
      <c r="AR4" s="315">
        <f t="shared" ca="1" si="1"/>
        <v>0</v>
      </c>
      <c r="AS4" s="315">
        <f t="shared" ca="1" si="1"/>
        <v>0</v>
      </c>
      <c r="AT4" s="315">
        <f t="shared" ca="1" si="1"/>
        <v>158820899.02740425</v>
      </c>
      <c r="AU4" s="315">
        <f t="shared" si="1"/>
        <v>0</v>
      </c>
    </row>
    <row r="5" spans="1:47">
      <c r="A5" s="704" t="s">
        <v>229</v>
      </c>
      <c r="B5" s="699">
        <f ca="1">IF(B4&lt;0,0,IRR(C4:AT4))</f>
        <v>4.0843933488823536E-2</v>
      </c>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row>
    <row r="6" spans="1:47" ht="15.75" thickBot="1">
      <c r="A6" s="705" t="s">
        <v>207</v>
      </c>
      <c r="B6" s="700">
        <f ca="1">POWER((1+B5),4)-1</f>
        <v>0.17366042614798549</v>
      </c>
      <c r="C6" s="342"/>
      <c r="D6" s="342"/>
      <c r="E6" s="342"/>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row>
    <row r="7" spans="1:47">
      <c r="A7" s="706" t="str">
        <f>'Development Program'!B5</f>
        <v>King Condominiums</v>
      </c>
      <c r="B7" s="417"/>
      <c r="C7" s="511"/>
      <c r="D7" s="511"/>
      <c r="E7" s="511"/>
      <c r="F7" s="511"/>
      <c r="G7" s="509">
        <f ca="1">'King Condominiums DRAW '!C37</f>
        <v>-62629110.624128722</v>
      </c>
      <c r="H7" s="510">
        <f ca="1">'King Condominiums DRAW '!D37</f>
        <v>0</v>
      </c>
      <c r="I7" s="510">
        <f ca="1">'King Condominiums DRAW '!E37</f>
        <v>0</v>
      </c>
      <c r="J7" s="510">
        <f ca="1">'King Condominiums DRAW '!F37</f>
        <v>-10076428.695094684</v>
      </c>
      <c r="K7" s="510">
        <f ca="1">'King Condominiums DRAW '!G37</f>
        <v>-10076428.695094684</v>
      </c>
      <c r="L7" s="510">
        <f ca="1">'King Condominiums DRAW '!H37</f>
        <v>-9673221.5697897226</v>
      </c>
      <c r="M7" s="510">
        <f ca="1">'King Condominiums DRAW '!I37</f>
        <v>0</v>
      </c>
      <c r="N7" s="510">
        <f ca="1">'King Condominiums DRAW '!J37</f>
        <v>0</v>
      </c>
      <c r="O7" s="510">
        <f ca="1">'King Condominiums DRAW '!K37</f>
        <v>0</v>
      </c>
      <c r="P7" s="510">
        <f ca="1">'King Condominiums DRAW '!L37</f>
        <v>0</v>
      </c>
      <c r="Q7" s="510">
        <f ca="1">'King Condominiums DRAW '!M37</f>
        <v>0</v>
      </c>
      <c r="R7" s="510">
        <f ca="1">'King Condominiums DRAW '!N37</f>
        <v>0</v>
      </c>
      <c r="S7" s="510">
        <f ca="1">'King Condominiums DRAW '!O37</f>
        <v>0</v>
      </c>
      <c r="T7" s="510">
        <f ca="1">'King Condominiums DRAW '!P37</f>
        <v>0</v>
      </c>
      <c r="U7" s="510">
        <f ca="1">'King Condominiums DRAW '!Q37</f>
        <v>0</v>
      </c>
      <c r="V7" s="510">
        <f ca="1">'King Condominiums DRAW '!R37</f>
        <v>0</v>
      </c>
      <c r="W7" s="510">
        <f ca="1">'King Condominiums DRAW '!S37</f>
        <v>0</v>
      </c>
      <c r="X7" s="510">
        <f ca="1">'King Condominiums DRAW '!T37</f>
        <v>0</v>
      </c>
      <c r="Y7" s="510">
        <f ca="1">'King Condominiums DRAW '!U37</f>
        <v>0</v>
      </c>
      <c r="Z7" s="512">
        <f ca="1">'King Condominiums DRAW '!V37</f>
        <v>187754405.05808547</v>
      </c>
      <c r="AA7" s="510">
        <f>'King Condominiums DRAW '!W37</f>
        <v>0</v>
      </c>
      <c r="AB7" s="510">
        <f>'King Condominiums DRAW '!X37</f>
        <v>0</v>
      </c>
      <c r="AC7" s="510">
        <f>'King Condominiums DRAW '!Y37</f>
        <v>0</v>
      </c>
      <c r="AD7" s="510">
        <f>'King Condominiums DRAW '!Z37</f>
        <v>0</v>
      </c>
      <c r="AE7" s="510">
        <f>'King Condominiums DRAW '!AA37</f>
        <v>0</v>
      </c>
      <c r="AF7" s="510">
        <f>'King Condominiums DRAW '!AB37</f>
        <v>0</v>
      </c>
      <c r="AG7" s="510">
        <f>'King Condominiums DRAW '!AC37</f>
        <v>0</v>
      </c>
      <c r="AH7" s="510">
        <f>'King Condominiums DRAW '!AD37</f>
        <v>0</v>
      </c>
      <c r="AI7" s="510">
        <f>'King Condominiums DRAW '!AE37</f>
        <v>0</v>
      </c>
      <c r="AJ7" s="510">
        <f>'King Condominiums DRAW '!AF37</f>
        <v>0</v>
      </c>
      <c r="AK7" s="510">
        <f>'King Condominiums DRAW '!AG37</f>
        <v>0</v>
      </c>
      <c r="AL7" s="510">
        <f>'King Condominiums DRAW '!AH37</f>
        <v>0</v>
      </c>
      <c r="AM7" s="510">
        <f>'King Condominiums DRAW '!AI37</f>
        <v>0</v>
      </c>
      <c r="AN7" s="510">
        <f>'King Condominiums DRAW '!AJ37</f>
        <v>0</v>
      </c>
      <c r="AO7" s="510">
        <f>'King Condominiums DRAW '!AK37</f>
        <v>0</v>
      </c>
      <c r="AP7" s="510">
        <f>'King Condominiums DRAW '!AL37</f>
        <v>0</v>
      </c>
      <c r="AQ7" s="510">
        <f>'King Condominiums DRAW '!AM37</f>
        <v>0</v>
      </c>
      <c r="AR7" s="510">
        <f>'King Condominiums DRAW '!AN37</f>
        <v>0</v>
      </c>
      <c r="AS7" s="510">
        <f>'King Condominiums DRAW '!AO37</f>
        <v>0</v>
      </c>
      <c r="AT7" s="510">
        <f>'King Condominiums DRAW '!AP37</f>
        <v>0</v>
      </c>
      <c r="AU7" s="510">
        <f>'King Condominiums DRAW '!AQ37</f>
        <v>0</v>
      </c>
    </row>
    <row r="8" spans="1:47">
      <c r="A8" s="707" t="str">
        <f>'Development Program'!B6</f>
        <v>Yesler Hotel</v>
      </c>
      <c r="B8" s="417"/>
      <c r="C8" s="509">
        <f ca="1">'Yesler DRAW'!C37</f>
        <v>-9541332.2660788652</v>
      </c>
      <c r="D8" s="510">
        <f ca="1">'Yesler DRAW'!D37</f>
        <v>0</v>
      </c>
      <c r="E8" s="510">
        <f ca="1">'Yesler DRAW'!E37</f>
        <v>0</v>
      </c>
      <c r="F8" s="510">
        <f ca="1">'Yesler DRAW'!F37</f>
        <v>0</v>
      </c>
      <c r="G8" s="510">
        <f ca="1">'Yesler DRAW'!G37</f>
        <v>-2531523.7538008671</v>
      </c>
      <c r="H8" s="510">
        <f ca="1">'Yesler DRAW'!H37</f>
        <v>-2531523.7538008671</v>
      </c>
      <c r="I8" s="510">
        <f ca="1">'Yesler DRAW'!I37</f>
        <v>-5063047.5076017343</v>
      </c>
      <c r="J8" s="510">
        <f ca="1">'Yesler DRAW'!J37</f>
        <v>-4401295.6555561423</v>
      </c>
      <c r="K8" s="510">
        <f ca="1">'Yesler DRAW'!K37</f>
        <v>0</v>
      </c>
      <c r="L8" s="510">
        <f ca="1">'Yesler DRAW'!L37</f>
        <v>0</v>
      </c>
      <c r="M8" s="510">
        <f ca="1">'Yesler DRAW'!M37</f>
        <v>0</v>
      </c>
      <c r="N8" s="510">
        <f ca="1">'Yesler DRAW'!N37</f>
        <v>0</v>
      </c>
      <c r="O8" s="510">
        <f ca="1">'Yesler DRAW'!O37</f>
        <v>0</v>
      </c>
      <c r="P8" s="510">
        <f ca="1">'Yesler DRAW'!P37</f>
        <v>0</v>
      </c>
      <c r="Q8" s="510">
        <f ca="1">'Yesler DRAW'!Q37</f>
        <v>0</v>
      </c>
      <c r="R8" s="510">
        <f ca="1">'Yesler DRAW'!R37</f>
        <v>0</v>
      </c>
      <c r="S8" s="510">
        <f ca="1">'Yesler DRAW'!S37</f>
        <v>0</v>
      </c>
      <c r="T8" s="510">
        <f ca="1">'Yesler DRAW'!T37</f>
        <v>0</v>
      </c>
      <c r="U8" s="512">
        <f ca="1">'Yesler DRAW'!U37</f>
        <v>53611815.594742283</v>
      </c>
      <c r="V8" s="510">
        <v>0</v>
      </c>
      <c r="W8" s="510">
        <v>0</v>
      </c>
      <c r="X8" s="510">
        <v>0</v>
      </c>
      <c r="Y8" s="510">
        <v>0</v>
      </c>
      <c r="Z8" s="510">
        <v>0</v>
      </c>
      <c r="AA8" s="510">
        <v>0</v>
      </c>
      <c r="AB8" s="510">
        <v>0</v>
      </c>
      <c r="AC8" s="510">
        <v>0</v>
      </c>
      <c r="AD8" s="510">
        <v>0</v>
      </c>
      <c r="AE8" s="510">
        <v>0</v>
      </c>
      <c r="AF8" s="510">
        <v>0</v>
      </c>
      <c r="AG8" s="510">
        <v>0</v>
      </c>
      <c r="AH8" s="510">
        <v>0</v>
      </c>
      <c r="AI8" s="510">
        <v>0</v>
      </c>
      <c r="AJ8" s="510">
        <v>0</v>
      </c>
      <c r="AK8" s="510">
        <f>'Yesler DRAW'!AK37</f>
        <v>0</v>
      </c>
      <c r="AL8" s="510">
        <f>'Yesler DRAW'!AL37</f>
        <v>0</v>
      </c>
      <c r="AM8" s="510">
        <f>'Yesler DRAW'!AM37</f>
        <v>0</v>
      </c>
      <c r="AN8" s="510">
        <f>'Yesler DRAW'!AN37</f>
        <v>0</v>
      </c>
      <c r="AO8" s="510">
        <f>'Yesler DRAW'!AO37</f>
        <v>0</v>
      </c>
      <c r="AP8" s="510">
        <f>'Yesler DRAW'!AP37</f>
        <v>0</v>
      </c>
      <c r="AQ8" s="510">
        <f>'Yesler DRAW'!AQ37</f>
        <v>0</v>
      </c>
      <c r="AR8" s="510">
        <f>'Yesler DRAW'!AR37</f>
        <v>0</v>
      </c>
      <c r="AS8" s="510">
        <f>'Yesler DRAW'!AS37</f>
        <v>0</v>
      </c>
      <c r="AT8" s="510">
        <f>'Yesler DRAW'!AT37</f>
        <v>0</v>
      </c>
      <c r="AU8" s="510">
        <f>'Yesler DRAW'!AU37</f>
        <v>0</v>
      </c>
    </row>
    <row r="9" spans="1:47">
      <c r="A9" s="707" t="str">
        <f>'Development Program'!B7</f>
        <v>Glacier Peak Apts</v>
      </c>
      <c r="B9" s="417"/>
      <c r="C9" s="511">
        <v>0</v>
      </c>
      <c r="D9" s="511">
        <v>0</v>
      </c>
      <c r="E9" s="511">
        <v>0</v>
      </c>
      <c r="F9" s="511">
        <v>0</v>
      </c>
      <c r="G9" s="511">
        <v>0</v>
      </c>
      <c r="H9" s="511">
        <v>0</v>
      </c>
      <c r="I9" s="511">
        <v>0</v>
      </c>
      <c r="J9" s="511">
        <v>0</v>
      </c>
      <c r="K9" s="511">
        <v>0</v>
      </c>
      <c r="L9" s="511">
        <v>0</v>
      </c>
      <c r="M9" s="511">
        <v>0</v>
      </c>
      <c r="N9" s="511">
        <v>0</v>
      </c>
      <c r="O9" s="511">
        <v>0</v>
      </c>
      <c r="P9" s="511">
        <v>0</v>
      </c>
      <c r="Q9" s="511">
        <v>0</v>
      </c>
      <c r="R9" s="511">
        <v>0</v>
      </c>
      <c r="S9" s="509">
        <f ca="1">'Glacier Peak Draw '!C38</f>
        <v>-55872555.993040241</v>
      </c>
      <c r="T9" s="511">
        <f ca="1">'Glacier Peak Draw '!D38</f>
        <v>0</v>
      </c>
      <c r="U9" s="511">
        <f ca="1">'Glacier Peak Draw '!E38</f>
        <v>-8564249.0877338387</v>
      </c>
      <c r="V9" s="511">
        <f ca="1">'Glacier Peak Draw '!F38</f>
        <v>-8564249.0877338387</v>
      </c>
      <c r="W9" s="511">
        <f ca="1">'Glacier Peak Draw '!G38</f>
        <v>-6504084.0431930125</v>
      </c>
      <c r="X9" s="511">
        <f ca="1">'Glacier Peak Draw '!H38</f>
        <v>0</v>
      </c>
      <c r="Y9" s="511">
        <f ca="1">'Glacier Peak Draw '!I38</f>
        <v>0</v>
      </c>
      <c r="Z9" s="511">
        <f ca="1">'Glacier Peak Draw '!J38</f>
        <v>0</v>
      </c>
      <c r="AA9" s="511">
        <f ca="1">'Glacier Peak Draw '!K38</f>
        <v>0</v>
      </c>
      <c r="AB9" s="511">
        <f ca="1">'Glacier Peak Draw '!L38</f>
        <v>0</v>
      </c>
      <c r="AC9" s="511">
        <f ca="1">'Glacier Peak Draw '!M38</f>
        <v>0</v>
      </c>
      <c r="AD9" s="511">
        <f ca="1">'Glacier Peak Draw '!N38</f>
        <v>0</v>
      </c>
      <c r="AE9" s="511">
        <f ca="1">'Glacier Peak Draw '!O38</f>
        <v>0</v>
      </c>
      <c r="AF9" s="511">
        <f ca="1">'Glacier Peak Draw '!P38</f>
        <v>0</v>
      </c>
      <c r="AG9" s="511">
        <f ca="1">'Glacier Peak Draw '!Q38</f>
        <v>0</v>
      </c>
      <c r="AH9" s="512">
        <f ca="1">'Glacier Peak Draw '!R38</f>
        <v>131596900.46398398</v>
      </c>
      <c r="AI9" s="511">
        <f ca="1">'Glacier Peak Draw '!S38</f>
        <v>0</v>
      </c>
      <c r="AJ9" s="511">
        <f ca="1">'Glacier Peak Draw '!T38</f>
        <v>0</v>
      </c>
      <c r="AK9" s="511">
        <f ca="1">'Glacier Peak Draw '!U38</f>
        <v>0</v>
      </c>
      <c r="AL9" s="511">
        <f ca="1">'Glacier Peak Draw '!V38</f>
        <v>0</v>
      </c>
      <c r="AM9" s="511">
        <f ca="1">'Glacier Peak Draw '!W38</f>
        <v>0</v>
      </c>
      <c r="AN9" s="511">
        <v>0</v>
      </c>
      <c r="AO9" s="511">
        <f>'Glacier Peak Draw '!Y38</f>
        <v>0</v>
      </c>
      <c r="AP9" s="511">
        <f>'Glacier Peak Draw '!Z38</f>
        <v>0</v>
      </c>
      <c r="AQ9" s="511">
        <f>'Glacier Peak Draw '!AA38</f>
        <v>0</v>
      </c>
      <c r="AR9" s="511">
        <f>'Glacier Peak Draw '!AB38</f>
        <v>0</v>
      </c>
      <c r="AS9" s="511">
        <f>'Glacier Peak Draw '!AC38</f>
        <v>0</v>
      </c>
      <c r="AT9" s="511">
        <f>'Glacier Peak Draw '!AD38</f>
        <v>0</v>
      </c>
      <c r="AU9" s="511">
        <f>'Glacier Peak Draw '!AE38</f>
        <v>0</v>
      </c>
    </row>
    <row r="10" spans="1:47">
      <c r="A10" s="707" t="str">
        <f>'Development Program'!B9</f>
        <v>4th Street Site</v>
      </c>
      <c r="B10" s="417"/>
      <c r="C10" s="511">
        <v>0</v>
      </c>
      <c r="D10" s="511">
        <v>0</v>
      </c>
      <c r="E10" s="511">
        <v>0</v>
      </c>
      <c r="F10" s="511">
        <v>0</v>
      </c>
      <c r="G10" s="511">
        <v>0</v>
      </c>
      <c r="H10" s="511">
        <v>0</v>
      </c>
      <c r="I10" s="511">
        <v>0</v>
      </c>
      <c r="J10" s="511">
        <v>0</v>
      </c>
      <c r="K10" s="511">
        <v>0</v>
      </c>
      <c r="L10" s="511">
        <v>0</v>
      </c>
      <c r="M10" s="511">
        <v>0</v>
      </c>
      <c r="N10" s="511">
        <v>0</v>
      </c>
      <c r="O10" s="511">
        <v>0</v>
      </c>
      <c r="P10" s="511">
        <v>0</v>
      </c>
      <c r="Q10" s="511">
        <v>0</v>
      </c>
      <c r="R10" s="511">
        <v>0</v>
      </c>
      <c r="S10" s="509">
        <f ca="1">'4th Street Draw'!C41</f>
        <v>-11760429.148011982</v>
      </c>
      <c r="T10" s="511">
        <f ca="1">'4th Street Draw'!D41</f>
        <v>0</v>
      </c>
      <c r="U10" s="511">
        <f ca="1">'4th Street Draw'!E41</f>
        <v>-1734546.8538436457</v>
      </c>
      <c r="V10" s="511">
        <f ca="1">'4th Street Draw'!F41</f>
        <v>-1734546.8538436457</v>
      </c>
      <c r="W10" s="511">
        <f ca="1">'4th Street Draw'!G41</f>
        <v>-1734546.8538436457</v>
      </c>
      <c r="X10" s="511">
        <f ca="1">'4th Street Draw'!H41</f>
        <v>-3469093.7076872913</v>
      </c>
      <c r="Y10" s="511">
        <f ca="1">'4th Street Draw'!I41</f>
        <v>-3469093.7076872913</v>
      </c>
      <c r="Z10" s="511">
        <f ca="1">'4th Street Draw'!J41</f>
        <v>-4899699.232501924</v>
      </c>
      <c r="AA10" s="511">
        <f ca="1">'4th Street Draw'!K41</f>
        <v>0</v>
      </c>
      <c r="AB10" s="511">
        <f ca="1">'4th Street Draw'!L41</f>
        <v>0</v>
      </c>
      <c r="AC10" s="511">
        <f ca="1">'4th Street Draw'!M41</f>
        <v>0</v>
      </c>
      <c r="AD10" s="511">
        <f ca="1">'4th Street Draw'!N41</f>
        <v>0</v>
      </c>
      <c r="AE10" s="512">
        <f ca="1">'4th Street Draw'!O41</f>
        <v>35811420.372534536</v>
      </c>
      <c r="AF10" s="511">
        <f>'4th Street Draw'!P41</f>
        <v>0</v>
      </c>
      <c r="AG10" s="511">
        <f>'4th Street Draw'!Q41</f>
        <v>0</v>
      </c>
      <c r="AH10" s="511">
        <f>'4th Street Draw'!R41</f>
        <v>0</v>
      </c>
      <c r="AI10" s="511">
        <f>'4th Street Draw'!S41</f>
        <v>0</v>
      </c>
      <c r="AJ10" s="511">
        <f>'4th Street Draw'!T41</f>
        <v>0</v>
      </c>
      <c r="AK10" s="511">
        <f>'4th Street Draw'!U41</f>
        <v>0</v>
      </c>
      <c r="AL10" s="511">
        <f>'4th Street Draw'!V41</f>
        <v>0</v>
      </c>
      <c r="AM10" s="511">
        <f>'4th Street Draw'!W41</f>
        <v>0</v>
      </c>
      <c r="AN10" s="511">
        <f>'4th Street Draw'!X41</f>
        <v>0</v>
      </c>
      <c r="AO10" s="511">
        <f>'4th Street Draw'!Y41</f>
        <v>0</v>
      </c>
      <c r="AP10" s="511">
        <f>'4th Street Draw'!Z41</f>
        <v>0</v>
      </c>
      <c r="AQ10" s="511">
        <f>'4th Street Draw'!AA41</f>
        <v>0</v>
      </c>
      <c r="AR10" s="511">
        <f>'4th Street Draw'!AB41</f>
        <v>0</v>
      </c>
      <c r="AS10" s="511">
        <f>'4th Street Draw'!AC41</f>
        <v>0</v>
      </c>
      <c r="AT10" s="511">
        <f>'4th Street Draw'!AD41</f>
        <v>0</v>
      </c>
      <c r="AU10" s="511">
        <f>'4th Street Draw'!AE41</f>
        <v>0</v>
      </c>
    </row>
    <row r="11" spans="1:47">
      <c r="A11" s="707" t="str">
        <f>'Development Program'!B8</f>
        <v>Chinook Condos</v>
      </c>
      <c r="B11" s="417"/>
      <c r="C11" s="511">
        <v>0</v>
      </c>
      <c r="D11" s="511">
        <v>0</v>
      </c>
      <c r="E11" s="511">
        <v>0</v>
      </c>
      <c r="F11" s="511">
        <v>0</v>
      </c>
      <c r="G11" s="511">
        <v>0</v>
      </c>
      <c r="H11" s="511">
        <v>0</v>
      </c>
      <c r="I11" s="511">
        <v>0</v>
      </c>
      <c r="J11" s="511">
        <v>0</v>
      </c>
      <c r="K11" s="511">
        <v>0</v>
      </c>
      <c r="L11" s="511">
        <v>0</v>
      </c>
      <c r="M11" s="511">
        <v>0</v>
      </c>
      <c r="N11" s="511">
        <v>0</v>
      </c>
      <c r="O11" s="511">
        <v>0</v>
      </c>
      <c r="P11" s="511">
        <v>0</v>
      </c>
      <c r="Q11" s="511">
        <v>0</v>
      </c>
      <c r="R11" s="511">
        <v>0</v>
      </c>
      <c r="S11" s="509">
        <f ca="1">'Chinook Draw'!C38</f>
        <v>-76298279.974367544</v>
      </c>
      <c r="T11" s="511">
        <f ca="1">'Chinook Draw'!D38</f>
        <v>-4589492.497065234</v>
      </c>
      <c r="U11" s="511">
        <f ca="1">'Chinook Draw'!E38</f>
        <v>-3156292.4864033461</v>
      </c>
      <c r="V11" s="511">
        <f ca="1">'Chinook Draw'!F38</f>
        <v>0</v>
      </c>
      <c r="W11" s="511">
        <f ca="1">'Chinook Draw'!G38</f>
        <v>0</v>
      </c>
      <c r="X11" s="511">
        <f ca="1">'Chinook Draw'!H38</f>
        <v>0</v>
      </c>
      <c r="Y11" s="511">
        <f ca="1">'Chinook Draw'!I38</f>
        <v>0</v>
      </c>
      <c r="Z11" s="511">
        <f ca="1">'Chinook Draw'!J38</f>
        <v>0</v>
      </c>
      <c r="AA11" s="511">
        <f ca="1">'Chinook Draw'!K38</f>
        <v>0</v>
      </c>
      <c r="AB11" s="512">
        <f ca="1">'Chinook Draw'!L38</f>
        <v>127337135.04216388</v>
      </c>
      <c r="AC11" s="511">
        <f>'Chinook Draw'!M38</f>
        <v>0</v>
      </c>
      <c r="AD11" s="511">
        <f>'Chinook Draw'!N38</f>
        <v>0</v>
      </c>
      <c r="AE11" s="511">
        <f>'Chinook Draw'!O38</f>
        <v>0</v>
      </c>
      <c r="AF11" s="511">
        <f>'Chinook Draw'!P38</f>
        <v>0</v>
      </c>
      <c r="AG11" s="511">
        <f>'Chinook Draw'!Q38</f>
        <v>0</v>
      </c>
      <c r="AH11" s="511">
        <f>'Chinook Draw'!R38</f>
        <v>0</v>
      </c>
      <c r="AI11" s="511">
        <f>'Chinook Draw'!S38</f>
        <v>0</v>
      </c>
      <c r="AJ11" s="511">
        <f>'Chinook Draw'!T38</f>
        <v>0</v>
      </c>
      <c r="AK11" s="511">
        <f>'Chinook Draw'!U38</f>
        <v>0</v>
      </c>
      <c r="AL11" s="511">
        <f>'Chinook Draw'!V38</f>
        <v>0</v>
      </c>
      <c r="AM11" s="511">
        <f>'Chinook Draw'!W38</f>
        <v>0</v>
      </c>
      <c r="AN11" s="511">
        <f>'Chinook Draw'!X38</f>
        <v>0</v>
      </c>
      <c r="AO11" s="511">
        <f>'Chinook Draw'!Y38</f>
        <v>0</v>
      </c>
      <c r="AP11" s="511">
        <f>'Chinook Draw'!Z38</f>
        <v>0</v>
      </c>
      <c r="AQ11" s="511">
        <f>'Chinook Draw'!AA38</f>
        <v>0</v>
      </c>
      <c r="AR11" s="511">
        <f>'Chinook Draw'!AB38</f>
        <v>0</v>
      </c>
      <c r="AS11" s="511">
        <f>'Chinook Draw'!AC38</f>
        <v>0</v>
      </c>
      <c r="AT11" s="511">
        <f>'Chinook Draw'!AD38</f>
        <v>0</v>
      </c>
      <c r="AU11" s="511">
        <f>'Chinook Draw'!AE38</f>
        <v>0</v>
      </c>
    </row>
    <row r="12" spans="1:47">
      <c r="A12" s="707" t="str">
        <f>'Development Program'!B10</f>
        <v>Rainier Tower Apts</v>
      </c>
      <c r="B12" s="417"/>
      <c r="C12" s="511">
        <v>0</v>
      </c>
      <c r="D12" s="511">
        <v>0</v>
      </c>
      <c r="E12" s="511">
        <v>0</v>
      </c>
      <c r="F12" s="511">
        <v>0</v>
      </c>
      <c r="G12" s="511">
        <v>0</v>
      </c>
      <c r="H12" s="511">
        <v>0</v>
      </c>
      <c r="I12" s="511">
        <v>0</v>
      </c>
      <c r="J12" s="511">
        <v>0</v>
      </c>
      <c r="K12" s="511">
        <v>0</v>
      </c>
      <c r="L12" s="511">
        <v>0</v>
      </c>
      <c r="M12" s="511">
        <v>0</v>
      </c>
      <c r="N12" s="511">
        <v>0</v>
      </c>
      <c r="O12" s="511">
        <v>0</v>
      </c>
      <c r="P12" s="511">
        <v>0</v>
      </c>
      <c r="Q12" s="511">
        <v>0</v>
      </c>
      <c r="R12" s="511">
        <v>0</v>
      </c>
      <c r="S12" s="511">
        <v>0</v>
      </c>
      <c r="T12" s="511">
        <v>0</v>
      </c>
      <c r="U12" s="511">
        <v>0</v>
      </c>
      <c r="V12" s="511">
        <v>0</v>
      </c>
      <c r="W12" s="511">
        <v>0</v>
      </c>
      <c r="X12" s="511">
        <v>0</v>
      </c>
      <c r="Y12" s="511">
        <v>0</v>
      </c>
      <c r="Z12" s="511">
        <v>0</v>
      </c>
      <c r="AA12" s="511">
        <v>0</v>
      </c>
      <c r="AB12" s="511">
        <v>0</v>
      </c>
      <c r="AC12" s="511">
        <v>0</v>
      </c>
      <c r="AD12" s="511">
        <v>0</v>
      </c>
      <c r="AE12" s="702">
        <f ca="1">'Rainier Tower Draw'!C37</f>
        <v>-67063382.614588939</v>
      </c>
      <c r="AF12" s="510">
        <f ca="1">'Rainier Tower Draw'!D37</f>
        <v>0</v>
      </c>
      <c r="AG12" s="510">
        <f ca="1">'Rainier Tower Draw'!E37</f>
        <v>0</v>
      </c>
      <c r="AH12" s="510">
        <f ca="1">'Rainier Tower Draw'!F37</f>
        <v>0</v>
      </c>
      <c r="AI12" s="510">
        <f ca="1">'Rainier Tower Draw'!G37</f>
        <v>0</v>
      </c>
      <c r="AJ12" s="510">
        <f ca="1">'Rainier Tower Draw'!H37</f>
        <v>0</v>
      </c>
      <c r="AK12" s="510">
        <f ca="1">'Rainier Tower Draw'!I37</f>
        <v>-7242348.828700996</v>
      </c>
      <c r="AL12" s="510">
        <f ca="1">'Rainier Tower Draw'!J37</f>
        <v>-5714176.7727231532</v>
      </c>
      <c r="AM12" s="510">
        <f ca="1">'Rainier Tower Draw'!K37</f>
        <v>0</v>
      </c>
      <c r="AN12" s="510">
        <f ca="1">'Rainier Tower Draw'!L37</f>
        <v>0</v>
      </c>
      <c r="AO12" s="510">
        <f ca="1">'Rainier Tower Draw'!M37</f>
        <v>0</v>
      </c>
      <c r="AP12" s="510">
        <f ca="1">'Rainier Tower Draw'!N37</f>
        <v>0</v>
      </c>
      <c r="AQ12" s="510">
        <f ca="1">'Rainier Tower Draw'!O37</f>
        <v>0</v>
      </c>
      <c r="AR12" s="510">
        <f ca="1">'Rainier Tower Draw'!P37</f>
        <v>0</v>
      </c>
      <c r="AS12" s="510">
        <f ca="1">'Rainier Tower Draw'!Q37</f>
        <v>0</v>
      </c>
      <c r="AT12" s="512">
        <f ca="1">'Rainier Tower Draw'!R37</f>
        <v>158820899.02740425</v>
      </c>
      <c r="AU12" s="510">
        <f>'Rainier Tower Draw'!S37</f>
        <v>0</v>
      </c>
    </row>
    <row r="13" spans="1:47" ht="15.75" thickBot="1">
      <c r="A13" s="708" t="str">
        <f>'Development Program'!B11</f>
        <v>Baker Tower Apts</v>
      </c>
      <c r="B13" s="417"/>
      <c r="C13" s="511">
        <v>0</v>
      </c>
      <c r="D13" s="511">
        <v>0</v>
      </c>
      <c r="E13" s="511">
        <v>0</v>
      </c>
      <c r="F13" s="511">
        <v>0</v>
      </c>
      <c r="G13" s="511">
        <v>0</v>
      </c>
      <c r="H13" s="511">
        <v>0</v>
      </c>
      <c r="I13" s="511">
        <v>0</v>
      </c>
      <c r="J13" s="511">
        <v>0</v>
      </c>
      <c r="K13" s="511">
        <v>0</v>
      </c>
      <c r="L13" s="511">
        <v>0</v>
      </c>
      <c r="M13" s="511">
        <v>0</v>
      </c>
      <c r="N13" s="511">
        <v>0</v>
      </c>
      <c r="O13" s="511">
        <v>0</v>
      </c>
      <c r="P13" s="511">
        <v>0</v>
      </c>
      <c r="Q13" s="511">
        <v>0</v>
      </c>
      <c r="R13" s="511">
        <v>0</v>
      </c>
      <c r="S13" s="511">
        <v>0</v>
      </c>
      <c r="T13" s="511">
        <v>0</v>
      </c>
      <c r="U13" s="511">
        <v>0</v>
      </c>
      <c r="V13" s="511">
        <v>0</v>
      </c>
      <c r="W13" s="702">
        <f ca="1">'Baker Tower Draw '!C37</f>
        <v>-68503714.84389852</v>
      </c>
      <c r="X13" s="510">
        <f ca="1">'Baker Tower Draw '!D37</f>
        <v>2516109.4979351014</v>
      </c>
      <c r="Y13" s="510">
        <f ca="1">'Baker Tower Draw '!E37</f>
        <v>0</v>
      </c>
      <c r="Z13" s="510">
        <f ca="1">'Baker Tower Draw '!F37</f>
        <v>0</v>
      </c>
      <c r="AA13" s="510">
        <f ca="1">'Baker Tower Draw '!G37</f>
        <v>0</v>
      </c>
      <c r="AB13" s="510">
        <f ca="1">'Baker Tower Draw '!H37</f>
        <v>0</v>
      </c>
      <c r="AC13" s="510">
        <f ca="1">'Baker Tower Draw '!I37</f>
        <v>0</v>
      </c>
      <c r="AD13" s="510">
        <f ca="1">'Baker Tower Draw '!J37</f>
        <v>0</v>
      </c>
      <c r="AE13" s="510">
        <f ca="1">'Baker Tower Draw '!K37</f>
        <v>0</v>
      </c>
      <c r="AF13" s="510">
        <f ca="1">'Baker Tower Draw '!L37</f>
        <v>0</v>
      </c>
      <c r="AG13" s="510">
        <f ca="1">'Baker Tower Draw '!M37</f>
        <v>0</v>
      </c>
      <c r="AH13" s="510">
        <f ca="1">'Baker Tower Draw '!N37</f>
        <v>0</v>
      </c>
      <c r="AI13" s="510">
        <f ca="1">'Baker Tower Draw '!O37</f>
        <v>0</v>
      </c>
      <c r="AJ13" s="510">
        <f ca="1">'Baker Tower Draw '!P37</f>
        <v>0</v>
      </c>
      <c r="AK13" s="510">
        <f ca="1">'Baker Tower Draw '!Q37</f>
        <v>0</v>
      </c>
      <c r="AL13" s="510">
        <f ca="1">'Baker Tower Draw '!R37</f>
        <v>0</v>
      </c>
      <c r="AM13" s="510">
        <f ca="1">'Baker Tower Draw '!S37</f>
        <v>0</v>
      </c>
      <c r="AN13" s="510">
        <f ca="1">'Baker Tower Draw '!T37</f>
        <v>0</v>
      </c>
      <c r="AO13" s="510">
        <f ca="1">'Baker Tower Draw '!U37</f>
        <v>0</v>
      </c>
      <c r="AP13" s="512">
        <f ca="1">'Baker Tower Draw '!V37</f>
        <v>110853290.0717822</v>
      </c>
      <c r="AQ13" s="510">
        <f>'Baker Tower Draw '!W37</f>
        <v>0</v>
      </c>
      <c r="AR13" s="510">
        <f>'Baker Tower Draw '!X37</f>
        <v>0</v>
      </c>
      <c r="AS13" s="510">
        <f>'Baker Tower Draw '!Y37</f>
        <v>0</v>
      </c>
      <c r="AT13" s="510">
        <f>'Baker Tower Draw '!Z37</f>
        <v>0</v>
      </c>
      <c r="AU13" s="510">
        <f>'Baker Tower Draw '!AA37</f>
        <v>0</v>
      </c>
    </row>
    <row r="14" spans="1:47" ht="6.75" customHeight="1">
      <c r="A14" s="696"/>
      <c r="B14" s="709"/>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c r="AT14" s="710"/>
      <c r="AU14" s="711"/>
    </row>
    <row r="15" spans="1:47">
      <c r="A15" s="697" t="s">
        <v>356</v>
      </c>
      <c r="B15" s="698">
        <f ca="1">SUM(C15:AT15)</f>
        <v>449976080.0208171</v>
      </c>
      <c r="C15" s="315">
        <f ca="1">SUM(C18:C24)</f>
        <v>-9541332.2660788652</v>
      </c>
      <c r="D15" s="315">
        <f t="shared" ref="D15:AT15" ca="1" si="2">SUM(D18:D24)</f>
        <v>0</v>
      </c>
      <c r="E15" s="315">
        <f t="shared" ca="1" si="2"/>
        <v>0</v>
      </c>
      <c r="F15" s="315">
        <f t="shared" ca="1" si="2"/>
        <v>0</v>
      </c>
      <c r="G15" s="315">
        <f t="shared" ca="1" si="2"/>
        <v>-65160634.377929591</v>
      </c>
      <c r="H15" s="315">
        <f t="shared" ca="1" si="2"/>
        <v>-2531523.7538008671</v>
      </c>
      <c r="I15" s="315">
        <f t="shared" ca="1" si="2"/>
        <v>-5063047.5076017343</v>
      </c>
      <c r="J15" s="315">
        <f t="shared" ca="1" si="2"/>
        <v>-15139476.202696418</v>
      </c>
      <c r="K15" s="315">
        <f t="shared" ca="1" si="2"/>
        <v>-17670999.956497286</v>
      </c>
      <c r="L15" s="315">
        <f t="shared" ca="1" si="2"/>
        <v>-35808571.607667714</v>
      </c>
      <c r="M15" s="315">
        <f t="shared" ca="1" si="2"/>
        <v>-35808571.607667714</v>
      </c>
      <c r="N15" s="315">
        <f t="shared" ca="1" si="2"/>
        <v>-35808571.607667714</v>
      </c>
      <c r="O15" s="315">
        <f t="shared" ca="1" si="2"/>
        <v>-33277047.853866845</v>
      </c>
      <c r="P15" s="315">
        <f t="shared" ca="1" si="2"/>
        <v>-28214000.346265111</v>
      </c>
      <c r="Q15" s="315">
        <f t="shared" ca="1" si="2"/>
        <v>-28214000.346265111</v>
      </c>
      <c r="R15" s="315">
        <f t="shared" ca="1" si="2"/>
        <v>-12091714.434113618</v>
      </c>
      <c r="S15" s="315">
        <f t="shared" ca="1" si="2"/>
        <v>-143931265.11541975</v>
      </c>
      <c r="T15" s="315">
        <f t="shared" ca="1" si="2"/>
        <v>-4589492.497065234</v>
      </c>
      <c r="U15" s="315">
        <f t="shared" ca="1" si="2"/>
        <v>65647626.567226812</v>
      </c>
      <c r="V15" s="315">
        <f t="shared" ca="1" si="2"/>
        <v>-24067273.432773188</v>
      </c>
      <c r="W15" s="315">
        <f t="shared" ca="1" si="2"/>
        <v>-92570988.276671708</v>
      </c>
      <c r="X15" s="315">
        <f t="shared" ca="1" si="2"/>
        <v>-29776576.877285436</v>
      </c>
      <c r="Y15" s="315">
        <f t="shared" ca="1" si="2"/>
        <v>-29776576.877285436</v>
      </c>
      <c r="Z15" s="315">
        <f t="shared" ca="1" si="2"/>
        <v>321621736.91796207</v>
      </c>
      <c r="AA15" s="315">
        <f t="shared" ca="1" si="2"/>
        <v>-36100616.228194319</v>
      </c>
      <c r="AB15" s="315">
        <f t="shared" ca="1" si="2"/>
        <v>190783608.11684504</v>
      </c>
      <c r="AC15" s="315">
        <f t="shared" ca="1" si="2"/>
        <v>-26138309.404669106</v>
      </c>
      <c r="AD15" s="315">
        <f t="shared" ca="1" si="2"/>
        <v>-26138309.404669106</v>
      </c>
      <c r="AE15" s="315">
        <f t="shared" ca="1" si="2"/>
        <v>-43699768.071570754</v>
      </c>
      <c r="AF15" s="315">
        <f t="shared" ca="1" si="2"/>
        <v>-14104966.609247977</v>
      </c>
      <c r="AG15" s="315">
        <f t="shared" ca="1" si="2"/>
        <v>-13297722.051633928</v>
      </c>
      <c r="AH15" s="315">
        <f t="shared" ca="1" si="2"/>
        <v>260244577.94836608</v>
      </c>
      <c r="AI15" s="315">
        <f t="shared" ca="1" si="2"/>
        <v>-13297722.051633928</v>
      </c>
      <c r="AJ15" s="315">
        <f t="shared" ca="1" si="2"/>
        <v>76417177.948366076</v>
      </c>
      <c r="AK15" s="315">
        <f t="shared" ca="1" si="2"/>
        <v>-20540070.880334925</v>
      </c>
      <c r="AL15" s="315">
        <f t="shared" ca="1" si="2"/>
        <v>-20540070.880334925</v>
      </c>
      <c r="AM15" s="315">
        <f t="shared" ca="1" si="2"/>
        <v>-12783066.350215133</v>
      </c>
      <c r="AN15" s="315">
        <f t="shared" ca="1" si="2"/>
        <v>-10566779.341609478</v>
      </c>
      <c r="AO15" s="315">
        <f t="shared" ca="1" si="2"/>
        <v>-28969395.314803984</v>
      </c>
      <c r="AP15" s="315">
        <f t="shared" ca="1" si="2"/>
        <v>200989304.68519601</v>
      </c>
      <c r="AQ15" s="315">
        <f t="shared" ca="1" si="2"/>
        <v>-28969395.314803984</v>
      </c>
      <c r="AR15" s="315">
        <f t="shared" ca="1" si="2"/>
        <v>-28969395.314803984</v>
      </c>
      <c r="AS15" s="315">
        <f t="shared" ca="1" si="2"/>
        <v>0</v>
      </c>
      <c r="AT15" s="315">
        <f t="shared" ca="1" si="2"/>
        <v>307429300</v>
      </c>
      <c r="AU15" s="315"/>
    </row>
    <row r="16" spans="1:47">
      <c r="A16" s="697" t="s">
        <v>353</v>
      </c>
      <c r="B16" s="699">
        <f ca="1">IF(B15&lt;0,0,IRR(C15:AT15))</f>
        <v>3.1438565626916271E-2</v>
      </c>
      <c r="C16" s="336"/>
      <c r="D16" s="342"/>
      <c r="E16" s="342"/>
      <c r="F16" s="342"/>
      <c r="G16" s="342"/>
      <c r="H16" s="342"/>
      <c r="I16" s="342"/>
      <c r="J16" s="342"/>
      <c r="K16" s="342"/>
      <c r="L16" s="342"/>
      <c r="M16" s="336"/>
      <c r="N16" s="342"/>
      <c r="O16" s="342"/>
      <c r="P16" s="342"/>
      <c r="Q16" s="342"/>
      <c r="R16" s="342"/>
      <c r="S16" s="336"/>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row>
    <row r="17" spans="1:47">
      <c r="A17" s="697" t="s">
        <v>354</v>
      </c>
      <c r="B17" s="700">
        <f ca="1">POWER((1+B16),4)-1</f>
        <v>0.13180983328812834</v>
      </c>
      <c r="C17" s="342"/>
      <c r="D17" s="342"/>
      <c r="E17" s="342"/>
      <c r="F17" s="342"/>
      <c r="G17" s="342"/>
      <c r="H17" s="342"/>
      <c r="I17" s="342"/>
      <c r="J17" s="342"/>
      <c r="K17" s="342"/>
      <c r="L17" s="342"/>
      <c r="M17" s="336"/>
      <c r="N17" s="342"/>
      <c r="O17" s="342"/>
      <c r="P17" s="342"/>
      <c r="Q17" s="342"/>
      <c r="R17" s="342"/>
      <c r="S17" s="336"/>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row>
    <row r="18" spans="1:47">
      <c r="A18" s="701" t="str">
        <f>A7</f>
        <v>King Condominiums</v>
      </c>
      <c r="B18" s="322"/>
      <c r="C18" s="510"/>
      <c r="D18" s="510"/>
      <c r="E18" s="510"/>
      <c r="F18" s="510"/>
      <c r="G18" s="509">
        <f ca="1">'King Condominiums DRAW '!C42</f>
        <v>-62629110.624128722</v>
      </c>
      <c r="H18" s="510">
        <f ca="1">'King Condominiums DRAW '!D42</f>
        <v>0</v>
      </c>
      <c r="I18" s="510">
        <f ca="1">'King Condominiums DRAW '!E42</f>
        <v>0</v>
      </c>
      <c r="J18" s="510">
        <f ca="1">'King Condominiums DRAW '!F42</f>
        <v>-10076428.695094684</v>
      </c>
      <c r="K18" s="510">
        <f ca="1">'King Condominiums DRAW '!G42</f>
        <v>-10076428.695094684</v>
      </c>
      <c r="L18" s="510">
        <f ca="1">'King Condominiums DRAW '!H42</f>
        <v>-28214000.346265111</v>
      </c>
      <c r="M18" s="510">
        <f ca="1">'King Condominiums DRAW '!I42</f>
        <v>-28214000.346265111</v>
      </c>
      <c r="N18" s="510">
        <f ca="1">'King Condominiums DRAW '!J42</f>
        <v>-28214000.346265111</v>
      </c>
      <c r="O18" s="510">
        <f ca="1">'King Condominiums DRAW '!K42</f>
        <v>-28214000.346265111</v>
      </c>
      <c r="P18" s="510">
        <f ca="1">'King Condominiums DRAW '!L42</f>
        <v>-28214000.346265111</v>
      </c>
      <c r="Q18" s="510">
        <f ca="1">'King Condominiums DRAW '!M42</f>
        <v>-28214000.346265111</v>
      </c>
      <c r="R18" s="510">
        <f ca="1">'King Condominiums DRAW '!N42</f>
        <v>-12091714.434113618</v>
      </c>
      <c r="S18" s="510">
        <f ca="1">'King Condominiums DRAW '!O42</f>
        <v>0</v>
      </c>
      <c r="T18" s="510">
        <f ca="1">'King Condominiums DRAW '!P42</f>
        <v>0</v>
      </c>
      <c r="U18" s="510">
        <f ca="1">'King Condominiums DRAW '!Q42</f>
        <v>0</v>
      </c>
      <c r="V18" s="510">
        <f ca="1">'King Condominiums DRAW '!R42</f>
        <v>0</v>
      </c>
      <c r="W18" s="510">
        <f ca="1">'King Condominiums DRAW '!S42</f>
        <v>0</v>
      </c>
      <c r="X18" s="510">
        <f ca="1">'King Condominiums DRAW '!T42</f>
        <v>0</v>
      </c>
      <c r="Y18" s="510">
        <f ca="1">'King Condominiums DRAW '!U42</f>
        <v>0</v>
      </c>
      <c r="Z18" s="512">
        <f ca="1">'King Condominiums DRAW '!V42</f>
        <v>359456900</v>
      </c>
      <c r="AA18" s="510">
        <f>'King Condominiums DRAW '!W42</f>
        <v>0</v>
      </c>
      <c r="AB18" s="510">
        <f>'King Condominiums DRAW '!X42</f>
        <v>0</v>
      </c>
      <c r="AC18" s="510">
        <f>'King Condominiums DRAW '!Y42</f>
        <v>0</v>
      </c>
      <c r="AD18" s="510">
        <f>'King Condominiums DRAW '!Z42</f>
        <v>0</v>
      </c>
      <c r="AE18" s="510">
        <f>'King Condominiums DRAW '!AA42</f>
        <v>0</v>
      </c>
      <c r="AF18" s="510">
        <f>'King Condominiums DRAW '!AB42</f>
        <v>0</v>
      </c>
      <c r="AG18" s="510">
        <f>'King Condominiums DRAW '!AC42</f>
        <v>0</v>
      </c>
      <c r="AH18" s="510">
        <f>'King Condominiums DRAW '!AD42</f>
        <v>0</v>
      </c>
      <c r="AI18" s="510">
        <f>'King Condominiums DRAW '!AE42</f>
        <v>0</v>
      </c>
      <c r="AJ18" s="510">
        <f>'King Condominiums DRAW '!AF42</f>
        <v>0</v>
      </c>
      <c r="AK18" s="510">
        <f>'King Condominiums DRAW '!AG42</f>
        <v>0</v>
      </c>
      <c r="AL18" s="510">
        <f>'King Condominiums DRAW '!AH42</f>
        <v>0</v>
      </c>
      <c r="AM18" s="510">
        <f>'King Condominiums DRAW '!AI42</f>
        <v>0</v>
      </c>
      <c r="AN18" s="510">
        <f>'King Condominiums DRAW '!AJ42</f>
        <v>0</v>
      </c>
      <c r="AO18" s="510">
        <f>'King Condominiums DRAW '!AK42</f>
        <v>0</v>
      </c>
      <c r="AP18" s="510">
        <f>'King Condominiums DRAW '!AL42</f>
        <v>0</v>
      </c>
      <c r="AQ18" s="510">
        <f>'King Condominiums DRAW '!AM42</f>
        <v>0</v>
      </c>
      <c r="AR18" s="510">
        <f>'King Condominiums DRAW '!AN42</f>
        <v>0</v>
      </c>
      <c r="AS18" s="510">
        <f>'King Condominiums DRAW '!AO42</f>
        <v>0</v>
      </c>
      <c r="AT18" s="510">
        <f>'King Condominiums DRAW '!AP42</f>
        <v>0</v>
      </c>
      <c r="AU18" s="510">
        <f>'King Condominiums DRAW '!AQ42</f>
        <v>0</v>
      </c>
    </row>
    <row r="19" spans="1:47">
      <c r="A19" s="701" t="str">
        <f t="shared" ref="A19:A24" si="3">A8</f>
        <v>Yesler Hotel</v>
      </c>
      <c r="B19" s="322"/>
      <c r="C19" s="509">
        <f ca="1">'Yesler DRAW'!C42</f>
        <v>-9541332.2660788652</v>
      </c>
      <c r="D19" s="510">
        <f ca="1">'Yesler DRAW'!D42</f>
        <v>0</v>
      </c>
      <c r="E19" s="510">
        <f ca="1">'Yesler DRAW'!E42</f>
        <v>0</v>
      </c>
      <c r="F19" s="510">
        <f ca="1">'Yesler DRAW'!F42</f>
        <v>0</v>
      </c>
      <c r="G19" s="510">
        <f ca="1">'Yesler DRAW'!G42</f>
        <v>-2531523.7538008671</v>
      </c>
      <c r="H19" s="510">
        <f ca="1">'Yesler DRAW'!H42</f>
        <v>-2531523.7538008671</v>
      </c>
      <c r="I19" s="510">
        <f ca="1">'Yesler DRAW'!I42</f>
        <v>-5063047.5076017343</v>
      </c>
      <c r="J19" s="510">
        <f ca="1">'Yesler DRAW'!J42</f>
        <v>-5063047.5076017343</v>
      </c>
      <c r="K19" s="510">
        <f ca="1">'Yesler DRAW'!K42</f>
        <v>-7594571.2614026004</v>
      </c>
      <c r="L19" s="510">
        <f ca="1">'Yesler DRAW'!L42</f>
        <v>-7594571.2614026004</v>
      </c>
      <c r="M19" s="510">
        <f ca="1">'Yesler DRAW'!M42</f>
        <v>-7594571.2614026004</v>
      </c>
      <c r="N19" s="510">
        <f ca="1">'Yesler DRAW'!N42</f>
        <v>-7594571.2614026004</v>
      </c>
      <c r="O19" s="510">
        <f ca="1">'Yesler DRAW'!O42</f>
        <v>-5063047.5076017343</v>
      </c>
      <c r="P19" s="510">
        <f ca="1">'Yesler DRAW'!P42</f>
        <v>0</v>
      </c>
      <c r="Q19" s="510">
        <f ca="1">'Yesler DRAW'!Q42</f>
        <v>0</v>
      </c>
      <c r="R19" s="510">
        <f ca="1">'Yesler DRAW'!R42</f>
        <v>0</v>
      </c>
      <c r="S19" s="510">
        <f ca="1">'Yesler DRAW'!S42</f>
        <v>0</v>
      </c>
      <c r="T19" s="510">
        <f ca="1">'Yesler DRAW'!T42</f>
        <v>0</v>
      </c>
      <c r="U19" s="512">
        <f ca="1">'Yesler DRAW'!U42</f>
        <v>89714900</v>
      </c>
      <c r="V19" s="510">
        <f>'Yesler DRAW'!V42</f>
        <v>0</v>
      </c>
      <c r="W19" s="510">
        <f>'Yesler DRAW'!W42</f>
        <v>0</v>
      </c>
      <c r="X19" s="510">
        <f>'Yesler DRAW'!X42</f>
        <v>0</v>
      </c>
      <c r="Y19" s="510">
        <f>'Yesler DRAW'!Y42</f>
        <v>0</v>
      </c>
      <c r="Z19" s="510">
        <f>'Yesler DRAW'!Z42</f>
        <v>0</v>
      </c>
      <c r="AA19" s="510">
        <f>'Yesler DRAW'!AA42</f>
        <v>0</v>
      </c>
      <c r="AB19" s="510">
        <f>'Yesler DRAW'!AB42</f>
        <v>0</v>
      </c>
      <c r="AC19" s="510">
        <f>'Yesler DRAW'!AC42</f>
        <v>0</v>
      </c>
      <c r="AD19" s="510">
        <f>'Yesler DRAW'!AD42</f>
        <v>0</v>
      </c>
      <c r="AE19" s="510">
        <f>'Yesler DRAW'!AE42</f>
        <v>0</v>
      </c>
      <c r="AF19" s="510">
        <f>'Yesler DRAW'!AF42</f>
        <v>0</v>
      </c>
      <c r="AG19" s="510">
        <f>'Yesler DRAW'!AG42</f>
        <v>0</v>
      </c>
      <c r="AH19" s="510">
        <f>'Yesler DRAW'!AH42</f>
        <v>0</v>
      </c>
      <c r="AI19" s="510">
        <f>'Yesler DRAW'!AI42</f>
        <v>0</v>
      </c>
      <c r="AJ19" s="512">
        <f ca="1">'Yesler DRAW'!AJ42</f>
        <v>89714900</v>
      </c>
      <c r="AK19" s="510">
        <f>'Yesler DRAW'!AK42</f>
        <v>0</v>
      </c>
      <c r="AL19" s="510">
        <f>'Yesler DRAW'!AL42</f>
        <v>0</v>
      </c>
      <c r="AM19" s="510">
        <f>'Yesler DRAW'!AM42</f>
        <v>0</v>
      </c>
      <c r="AN19" s="510">
        <f>'Yesler DRAW'!AN42</f>
        <v>0</v>
      </c>
      <c r="AO19" s="510">
        <f>'Yesler DRAW'!AO42</f>
        <v>0</v>
      </c>
      <c r="AP19" s="510">
        <f>'Yesler DRAW'!AP42</f>
        <v>0</v>
      </c>
      <c r="AQ19" s="510">
        <f>'Yesler DRAW'!AQ42</f>
        <v>0</v>
      </c>
      <c r="AR19" s="510">
        <f>'Yesler DRAW'!AR42</f>
        <v>0</v>
      </c>
      <c r="AS19" s="510">
        <f>'Yesler DRAW'!AS42</f>
        <v>0</v>
      </c>
      <c r="AT19" s="510">
        <f>'Yesler DRAW'!AT42</f>
        <v>0</v>
      </c>
      <c r="AU19" s="510">
        <f>'Yesler DRAW'!AU42</f>
        <v>0</v>
      </c>
    </row>
    <row r="20" spans="1:47">
      <c r="A20" s="701" t="str">
        <f t="shared" si="3"/>
        <v>Glacier Peak Apts</v>
      </c>
      <c r="B20" s="322"/>
      <c r="C20" s="510">
        <v>0</v>
      </c>
      <c r="D20" s="510">
        <v>0</v>
      </c>
      <c r="E20" s="510">
        <v>0</v>
      </c>
      <c r="F20" s="510">
        <v>0</v>
      </c>
      <c r="G20" s="510">
        <v>0</v>
      </c>
      <c r="H20" s="510">
        <v>0</v>
      </c>
      <c r="I20" s="510">
        <v>0</v>
      </c>
      <c r="J20" s="510">
        <v>0</v>
      </c>
      <c r="K20" s="510">
        <v>0</v>
      </c>
      <c r="L20" s="510">
        <v>0</v>
      </c>
      <c r="M20" s="510">
        <v>0</v>
      </c>
      <c r="N20" s="510">
        <v>0</v>
      </c>
      <c r="O20" s="510">
        <v>0</v>
      </c>
      <c r="P20" s="510">
        <v>0</v>
      </c>
      <c r="Q20" s="510">
        <v>0</v>
      </c>
      <c r="R20" s="510">
        <v>0</v>
      </c>
      <c r="S20" s="702">
        <f ca="1">'Glacier Peak Draw '!C43</f>
        <v>-55872555.993040241</v>
      </c>
      <c r="T20" s="510">
        <f ca="1">'Glacier Peak Draw '!D43</f>
        <v>0</v>
      </c>
      <c r="U20" s="510">
        <f ca="1">'Glacier Peak Draw '!E43</f>
        <v>-8564249.0877338387</v>
      </c>
      <c r="V20" s="510">
        <f ca="1">'Glacier Peak Draw '!F43</f>
        <v>-8564249.0877338387</v>
      </c>
      <c r="W20" s="510">
        <f ca="1">'Glacier Peak Draw '!G43</f>
        <v>-8564249.0877338387</v>
      </c>
      <c r="X20" s="510">
        <f ca="1">'Glacier Peak Draw '!H43</f>
        <v>-17128498.175467677</v>
      </c>
      <c r="Y20" s="510">
        <f ca="1">'Glacier Peak Draw '!I43</f>
        <v>-17128498.175467677</v>
      </c>
      <c r="Z20" s="510">
        <f ca="1">'Glacier Peak Draw '!J43</f>
        <v>-17128498.175467677</v>
      </c>
      <c r="AA20" s="510">
        <f ca="1">'Glacier Peak Draw '!K43</f>
        <v>-17128498.175467677</v>
      </c>
      <c r="AB20" s="510">
        <f ca="1">'Glacier Peak Draw '!L43</f>
        <v>-17128498.175467677</v>
      </c>
      <c r="AC20" s="510">
        <f ca="1">'Glacier Peak Draw '!M43</f>
        <v>-17128498.175467677</v>
      </c>
      <c r="AD20" s="510">
        <f ca="1">'Glacier Peak Draw '!N43</f>
        <v>-17128498.175467677</v>
      </c>
      <c r="AE20" s="510">
        <f ca="1">'Glacier Peak Draw '!O43</f>
        <v>-17128498.175467677</v>
      </c>
      <c r="AF20" s="510">
        <f ca="1">'Glacier Peak Draw '!P43</f>
        <v>-8564249.0877338387</v>
      </c>
      <c r="AG20" s="510">
        <f>'Glacier Peak Draw '!Q43</f>
        <v>0</v>
      </c>
      <c r="AH20" s="512">
        <f ca="1">'Glacier Peak Draw '!R43</f>
        <v>273542300</v>
      </c>
      <c r="AI20" s="510">
        <f>'Glacier Peak Draw '!S43</f>
        <v>0</v>
      </c>
      <c r="AJ20" s="510">
        <f>'Glacier Peak Draw '!T43</f>
        <v>0</v>
      </c>
      <c r="AK20" s="510">
        <f>'Glacier Peak Draw '!U43</f>
        <v>0</v>
      </c>
      <c r="AL20" s="510">
        <f>'Glacier Peak Draw '!V43</f>
        <v>0</v>
      </c>
      <c r="AM20" s="510">
        <f>'Glacier Peak Draw '!W43</f>
        <v>0</v>
      </c>
      <c r="AN20" s="510">
        <v>0</v>
      </c>
      <c r="AO20" s="510">
        <f ca="1">'Glacier Peak Draw '!Y43</f>
        <v>0</v>
      </c>
      <c r="AP20" s="510">
        <f ca="1">'Glacier Peak Draw '!Z43</f>
        <v>0</v>
      </c>
      <c r="AQ20" s="510">
        <f ca="1">'Glacier Peak Draw '!AA43</f>
        <v>0</v>
      </c>
      <c r="AR20" s="510">
        <f ca="1">'Glacier Peak Draw '!AB43</f>
        <v>0</v>
      </c>
      <c r="AS20" s="510">
        <f ca="1">'Glacier Peak Draw '!AC43</f>
        <v>0</v>
      </c>
      <c r="AT20" s="510">
        <f ca="1">'Glacier Peak Draw '!AD43</f>
        <v>0</v>
      </c>
      <c r="AU20" s="510">
        <f ca="1">'Glacier Peak Draw '!AE43</f>
        <v>0</v>
      </c>
    </row>
    <row r="21" spans="1:47">
      <c r="A21" s="701" t="str">
        <f t="shared" si="3"/>
        <v>4th Street Site</v>
      </c>
      <c r="B21" s="322"/>
      <c r="C21" s="510">
        <v>0</v>
      </c>
      <c r="D21" s="510">
        <v>0</v>
      </c>
      <c r="E21" s="510">
        <v>0</v>
      </c>
      <c r="F21" s="510">
        <v>0</v>
      </c>
      <c r="G21" s="510">
        <v>0</v>
      </c>
      <c r="H21" s="510">
        <v>0</v>
      </c>
      <c r="I21" s="510">
        <v>0</v>
      </c>
      <c r="J21" s="510">
        <v>0</v>
      </c>
      <c r="K21" s="510">
        <v>0</v>
      </c>
      <c r="L21" s="510">
        <v>0</v>
      </c>
      <c r="M21" s="510">
        <v>0</v>
      </c>
      <c r="N21" s="510">
        <v>0</v>
      </c>
      <c r="O21" s="510">
        <v>0</v>
      </c>
      <c r="P21" s="510">
        <v>0</v>
      </c>
      <c r="Q21" s="510">
        <v>0</v>
      </c>
      <c r="R21" s="510">
        <v>0</v>
      </c>
      <c r="S21" s="702">
        <f ca="1">'4th Street Draw'!C46</f>
        <v>-11760429.148011982</v>
      </c>
      <c r="T21" s="510">
        <f ca="1">'4th Street Draw'!D46</f>
        <v>0</v>
      </c>
      <c r="U21" s="510">
        <f ca="1">'4th Street Draw'!E46</f>
        <v>-1734546.8538436457</v>
      </c>
      <c r="V21" s="510">
        <f ca="1">'4th Street Draw'!F46</f>
        <v>-1734546.8538436457</v>
      </c>
      <c r="W21" s="510">
        <f ca="1">'4th Street Draw'!G46</f>
        <v>-1734546.8538436457</v>
      </c>
      <c r="X21" s="510">
        <f ca="1">'4th Street Draw'!H46</f>
        <v>-3469093.7076872913</v>
      </c>
      <c r="Y21" s="510">
        <f ca="1">'4th Street Draw'!I46</f>
        <v>-3469093.7076872913</v>
      </c>
      <c r="Z21" s="510">
        <f ca="1">'4th Street Draw'!J46</f>
        <v>-6938187.4153745826</v>
      </c>
      <c r="AA21" s="510">
        <f ca="1">'4th Street Draw'!K46</f>
        <v>-5203640.5615309374</v>
      </c>
      <c r="AB21" s="510">
        <f ca="1">'4th Street Draw'!L46</f>
        <v>-3469093.7076872913</v>
      </c>
      <c r="AC21" s="510">
        <f ca="1">'4th Street Draw'!M46</f>
        <v>-3469093.7076872913</v>
      </c>
      <c r="AD21" s="510">
        <f ca="1">'4th Street Draw'!N46</f>
        <v>-3469093.7076872913</v>
      </c>
      <c r="AE21" s="512">
        <f ca="1">'4th Street Draw'!O46</f>
        <v>46032830.240000002</v>
      </c>
      <c r="AF21" s="510">
        <f>'4th Street Draw'!P46</f>
        <v>0</v>
      </c>
      <c r="AG21" s="510">
        <f>'4th Street Draw'!Q46</f>
        <v>0</v>
      </c>
      <c r="AH21" s="510">
        <f>'4th Street Draw'!R46</f>
        <v>0</v>
      </c>
      <c r="AI21" s="510">
        <f>'4th Street Draw'!S46</f>
        <v>0</v>
      </c>
      <c r="AJ21" s="510">
        <f>'4th Street Draw'!T46</f>
        <v>0</v>
      </c>
      <c r="AK21" s="510">
        <f>'4th Street Draw'!U46</f>
        <v>0</v>
      </c>
      <c r="AL21" s="510">
        <f>'4th Street Draw'!V46</f>
        <v>0</v>
      </c>
      <c r="AM21" s="510">
        <f>'4th Street Draw'!W46</f>
        <v>0</v>
      </c>
      <c r="AN21" s="510">
        <f>'4th Street Draw'!X46</f>
        <v>0</v>
      </c>
      <c r="AO21" s="510">
        <f>'4th Street Draw'!Y46</f>
        <v>0</v>
      </c>
      <c r="AP21" s="510">
        <f>'4th Street Draw'!Z46</f>
        <v>0</v>
      </c>
      <c r="AQ21" s="510">
        <f>'4th Street Draw'!AA46</f>
        <v>0</v>
      </c>
      <c r="AR21" s="510">
        <f>'4th Street Draw'!AB46</f>
        <v>0</v>
      </c>
      <c r="AS21" s="510">
        <f>'4th Street Draw'!AC46</f>
        <v>0</v>
      </c>
      <c r="AT21" s="510">
        <f>'4th Street Draw'!AD46</f>
        <v>0</v>
      </c>
      <c r="AU21" s="510">
        <f>'4th Street Draw'!AE46</f>
        <v>0</v>
      </c>
    </row>
    <row r="22" spans="1:47">
      <c r="A22" s="701" t="str">
        <f t="shared" si="3"/>
        <v>Chinook Condos</v>
      </c>
      <c r="B22" s="322"/>
      <c r="C22" s="510">
        <v>0</v>
      </c>
      <c r="D22" s="510">
        <v>0</v>
      </c>
      <c r="E22" s="510">
        <v>0</v>
      </c>
      <c r="F22" s="510">
        <v>0</v>
      </c>
      <c r="G22" s="510">
        <v>0</v>
      </c>
      <c r="H22" s="510">
        <v>0</v>
      </c>
      <c r="I22" s="510">
        <v>0</v>
      </c>
      <c r="J22" s="510">
        <v>0</v>
      </c>
      <c r="K22" s="510">
        <v>0</v>
      </c>
      <c r="L22" s="510">
        <v>0</v>
      </c>
      <c r="M22" s="510">
        <v>0</v>
      </c>
      <c r="N22" s="510">
        <v>0</v>
      </c>
      <c r="O22" s="510">
        <v>0</v>
      </c>
      <c r="P22" s="510">
        <v>0</v>
      </c>
      <c r="Q22" s="510">
        <v>0</v>
      </c>
      <c r="R22" s="510">
        <v>0</v>
      </c>
      <c r="S22" s="702">
        <f ca="1">'Chinook Draw'!C43</f>
        <v>-76298279.974367544</v>
      </c>
      <c r="T22" s="510">
        <f ca="1">'Chinook Draw'!D43</f>
        <v>-4589492.497065234</v>
      </c>
      <c r="U22" s="510">
        <f ca="1">'Chinook Draw'!E43</f>
        <v>-13768477.491195705</v>
      </c>
      <c r="V22" s="510">
        <f ca="1">'Chinook Draw'!F43</f>
        <v>-13768477.491195705</v>
      </c>
      <c r="W22" s="510">
        <f ca="1">'Chinook Draw'!G43</f>
        <v>-13768477.491195705</v>
      </c>
      <c r="X22" s="510">
        <f ca="1">'Chinook Draw'!H43</f>
        <v>-9178984.994130468</v>
      </c>
      <c r="Y22" s="510">
        <f ca="1">'Chinook Draw'!I43</f>
        <v>-9178984.994130468</v>
      </c>
      <c r="Z22" s="510">
        <f ca="1">'Chinook Draw'!J43</f>
        <v>-13768477.491195705</v>
      </c>
      <c r="AA22" s="510">
        <f ca="1">'Chinook Draw'!K43</f>
        <v>-13768477.491195705</v>
      </c>
      <c r="AB22" s="512">
        <f ca="1">'Chinook Draw'!L43</f>
        <v>211381200</v>
      </c>
      <c r="AC22" s="510">
        <f>'Chinook Draw'!M43</f>
        <v>0</v>
      </c>
      <c r="AD22" s="510">
        <f>'Chinook Draw'!N43</f>
        <v>0</v>
      </c>
      <c r="AE22" s="510">
        <f>'Chinook Draw'!O43</f>
        <v>0</v>
      </c>
      <c r="AF22" s="510">
        <f>'Chinook Draw'!P43</f>
        <v>0</v>
      </c>
      <c r="AG22" s="510">
        <f>'Chinook Draw'!Q43</f>
        <v>0</v>
      </c>
      <c r="AH22" s="510">
        <f>'Chinook Draw'!R43</f>
        <v>0</v>
      </c>
      <c r="AI22" s="510">
        <f>'Chinook Draw'!S43</f>
        <v>0</v>
      </c>
      <c r="AJ22" s="510">
        <f>'Chinook Draw'!T43</f>
        <v>0</v>
      </c>
      <c r="AK22" s="510">
        <f>'Chinook Draw'!U43</f>
        <v>0</v>
      </c>
      <c r="AL22" s="510">
        <f>'Chinook Draw'!V43</f>
        <v>0</v>
      </c>
      <c r="AM22" s="510">
        <f>'Chinook Draw'!W43</f>
        <v>0</v>
      </c>
      <c r="AN22" s="510">
        <f>'Chinook Draw'!X43</f>
        <v>0</v>
      </c>
      <c r="AO22" s="510">
        <f>'Chinook Draw'!Y43</f>
        <v>0</v>
      </c>
      <c r="AP22" s="510">
        <f>'Chinook Draw'!Z43</f>
        <v>0</v>
      </c>
      <c r="AQ22" s="510">
        <f>'Chinook Draw'!AA43</f>
        <v>0</v>
      </c>
      <c r="AR22" s="510">
        <f>'Chinook Draw'!AB43</f>
        <v>0</v>
      </c>
      <c r="AS22" s="510">
        <f>'Chinook Draw'!AC43</f>
        <v>0</v>
      </c>
      <c r="AT22" s="510">
        <f>'Chinook Draw'!AD43</f>
        <v>0</v>
      </c>
      <c r="AU22" s="510">
        <f>'Chinook Draw'!AE43</f>
        <v>0</v>
      </c>
    </row>
    <row r="23" spans="1:47">
      <c r="A23" s="701" t="str">
        <f t="shared" si="3"/>
        <v>Rainier Tower Apts</v>
      </c>
      <c r="B23" s="322"/>
      <c r="C23" s="510">
        <v>0</v>
      </c>
      <c r="D23" s="510">
        <v>0</v>
      </c>
      <c r="E23" s="510">
        <v>0</v>
      </c>
      <c r="F23" s="510">
        <v>0</v>
      </c>
      <c r="G23" s="510">
        <v>0</v>
      </c>
      <c r="H23" s="510">
        <v>0</v>
      </c>
      <c r="I23" s="510">
        <v>0</v>
      </c>
      <c r="J23" s="510">
        <v>0</v>
      </c>
      <c r="K23" s="510">
        <v>0</v>
      </c>
      <c r="L23" s="510">
        <v>0</v>
      </c>
      <c r="M23" s="510">
        <v>0</v>
      </c>
      <c r="N23" s="510">
        <v>0</v>
      </c>
      <c r="O23" s="510">
        <v>0</v>
      </c>
      <c r="P23" s="510">
        <v>0</v>
      </c>
      <c r="Q23" s="510">
        <v>0</v>
      </c>
      <c r="R23" s="510">
        <v>0</v>
      </c>
      <c r="S23" s="510">
        <v>0</v>
      </c>
      <c r="T23" s="510">
        <v>0</v>
      </c>
      <c r="U23" s="510">
        <v>0</v>
      </c>
      <c r="V23" s="510">
        <v>0</v>
      </c>
      <c r="W23" s="510">
        <v>0</v>
      </c>
      <c r="X23" s="510">
        <v>0</v>
      </c>
      <c r="Y23" s="510">
        <v>0</v>
      </c>
      <c r="Z23" s="510">
        <v>0</v>
      </c>
      <c r="AA23" s="510">
        <v>0</v>
      </c>
      <c r="AB23" s="510">
        <v>0</v>
      </c>
      <c r="AC23" s="510">
        <v>0</v>
      </c>
      <c r="AD23" s="510">
        <v>0</v>
      </c>
      <c r="AE23" s="702">
        <f ca="1">'Rainier Tower Draw'!C42</f>
        <v>-67063382.614588939</v>
      </c>
      <c r="AF23" s="510">
        <f ca="1">'Rainier Tower Draw'!D42</f>
        <v>0</v>
      </c>
      <c r="AG23" s="510">
        <f ca="1">'Rainier Tower Draw'!E42</f>
        <v>0</v>
      </c>
      <c r="AH23" s="510">
        <f ca="1">'Rainier Tower Draw'!F42</f>
        <v>0</v>
      </c>
      <c r="AI23" s="510">
        <f ca="1">'Rainier Tower Draw'!G42</f>
        <v>0</v>
      </c>
      <c r="AJ23" s="510">
        <f ca="1">'Rainier Tower Draw'!H42</f>
        <v>0</v>
      </c>
      <c r="AK23" s="510">
        <f ca="1">'Rainier Tower Draw'!I42</f>
        <v>-7242348.828700996</v>
      </c>
      <c r="AL23" s="510">
        <f ca="1">'Rainier Tower Draw'!J42</f>
        <v>-7242348.828700996</v>
      </c>
      <c r="AM23" s="510">
        <f ca="1">'Rainier Tower Draw'!K42</f>
        <v>-7242348.828700996</v>
      </c>
      <c r="AN23" s="510">
        <f ca="1">'Rainier Tower Draw'!L42</f>
        <v>-7242348.828700996</v>
      </c>
      <c r="AO23" s="510">
        <f ca="1">'Rainier Tower Draw'!M42</f>
        <v>-28969395.314803984</v>
      </c>
      <c r="AP23" s="510">
        <f ca="1">'Rainier Tower Draw'!N42</f>
        <v>-28969395.314803984</v>
      </c>
      <c r="AQ23" s="510">
        <f ca="1">'Rainier Tower Draw'!O42</f>
        <v>-28969395.314803984</v>
      </c>
      <c r="AR23" s="510">
        <f ca="1">'Rainier Tower Draw'!P42</f>
        <v>-28969395.314803984</v>
      </c>
      <c r="AS23" s="510">
        <f ca="1">'Rainier Tower Draw'!Q42</f>
        <v>0</v>
      </c>
      <c r="AT23" s="512">
        <f ca="1">'Rainier Tower Draw'!R42</f>
        <v>307429300</v>
      </c>
      <c r="AU23" s="510">
        <f>'Rainier Tower Draw'!S42</f>
        <v>0</v>
      </c>
    </row>
    <row r="24" spans="1:47">
      <c r="A24" s="701" t="str">
        <f t="shared" si="3"/>
        <v>Baker Tower Apts</v>
      </c>
      <c r="B24" s="322"/>
      <c r="C24" s="510">
        <v>0</v>
      </c>
      <c r="D24" s="510">
        <v>0</v>
      </c>
      <c r="E24" s="510">
        <v>0</v>
      </c>
      <c r="F24" s="510">
        <v>0</v>
      </c>
      <c r="G24" s="510">
        <v>0</v>
      </c>
      <c r="H24" s="510">
        <v>0</v>
      </c>
      <c r="I24" s="510">
        <v>0</v>
      </c>
      <c r="J24" s="510">
        <v>0</v>
      </c>
      <c r="K24" s="510">
        <v>0</v>
      </c>
      <c r="L24" s="510">
        <v>0</v>
      </c>
      <c r="M24" s="510">
        <v>0</v>
      </c>
      <c r="N24" s="510">
        <v>0</v>
      </c>
      <c r="O24" s="510">
        <v>0</v>
      </c>
      <c r="P24" s="510">
        <v>0</v>
      </c>
      <c r="Q24" s="510">
        <v>0</v>
      </c>
      <c r="R24" s="510">
        <v>0</v>
      </c>
      <c r="S24" s="510">
        <v>0</v>
      </c>
      <c r="T24" s="510">
        <v>0</v>
      </c>
      <c r="U24" s="510">
        <v>0</v>
      </c>
      <c r="V24" s="510">
        <v>0</v>
      </c>
      <c r="W24" s="702">
        <f ca="1">'Baker Tower Draw '!C42</f>
        <v>-68503714.84389852</v>
      </c>
      <c r="X24" s="510">
        <f ca="1">'Baker Tower Draw '!D42</f>
        <v>0</v>
      </c>
      <c r="Y24" s="510">
        <f ca="1">'Baker Tower Draw '!E42</f>
        <v>0</v>
      </c>
      <c r="Z24" s="510">
        <f ca="1">'Baker Tower Draw '!F42</f>
        <v>0</v>
      </c>
      <c r="AA24" s="510">
        <f ca="1">'Baker Tower Draw '!G42</f>
        <v>0</v>
      </c>
      <c r="AB24" s="510">
        <f ca="1">'Baker Tower Draw '!H42</f>
        <v>0</v>
      </c>
      <c r="AC24" s="510">
        <f ca="1">'Baker Tower Draw '!I42</f>
        <v>-5540717.5215141382</v>
      </c>
      <c r="AD24" s="510">
        <f ca="1">'Baker Tower Draw '!J42</f>
        <v>-5540717.5215141382</v>
      </c>
      <c r="AE24" s="510">
        <f ca="1">'Baker Tower Draw '!K42</f>
        <v>-5540717.5215141382</v>
      </c>
      <c r="AF24" s="510">
        <f ca="1">'Baker Tower Draw '!L42</f>
        <v>-5540717.5215141382</v>
      </c>
      <c r="AG24" s="510">
        <f ca="1">'Baker Tower Draw '!M42</f>
        <v>-13297722.051633928</v>
      </c>
      <c r="AH24" s="510">
        <f ca="1">'Baker Tower Draw '!N42</f>
        <v>-13297722.051633928</v>
      </c>
      <c r="AI24" s="510">
        <f ca="1">'Baker Tower Draw '!O42</f>
        <v>-13297722.051633928</v>
      </c>
      <c r="AJ24" s="510">
        <f ca="1">'Baker Tower Draw '!P42</f>
        <v>-13297722.051633928</v>
      </c>
      <c r="AK24" s="510">
        <f ca="1">'Baker Tower Draw '!Q42</f>
        <v>-13297722.051633928</v>
      </c>
      <c r="AL24" s="510">
        <f ca="1">'Baker Tower Draw '!R42</f>
        <v>-13297722.051633928</v>
      </c>
      <c r="AM24" s="510">
        <f ca="1">'Baker Tower Draw '!S42</f>
        <v>-5540717.5215141382</v>
      </c>
      <c r="AN24" s="510">
        <f ca="1">'Baker Tower Draw '!T42</f>
        <v>-3324430.512908482</v>
      </c>
      <c r="AO24" s="510">
        <f ca="1">'Baker Tower Draw '!U42</f>
        <v>0</v>
      </c>
      <c r="AP24" s="512">
        <f ca="1">'Baker Tower Draw '!V42</f>
        <v>229958700</v>
      </c>
      <c r="AQ24" s="510">
        <f>'Baker Tower Draw '!W42</f>
        <v>0</v>
      </c>
      <c r="AR24" s="510">
        <f>'Baker Tower Draw '!X42</f>
        <v>0</v>
      </c>
      <c r="AS24" s="510">
        <f>'Baker Tower Draw '!Y42</f>
        <v>0</v>
      </c>
      <c r="AT24" s="510">
        <f>'Baker Tower Draw '!Z42</f>
        <v>0</v>
      </c>
      <c r="AU24" s="510">
        <f>'Baker Tower Draw '!AA42</f>
        <v>0</v>
      </c>
    </row>
    <row r="25" spans="1:47">
      <c r="G25" s="7"/>
      <c r="AA25"/>
      <c r="AB25"/>
      <c r="AC25"/>
      <c r="AD25"/>
      <c r="AE25"/>
      <c r="AF25"/>
      <c r="AI25" s="7"/>
    </row>
    <row r="26" spans="1:47">
      <c r="G26" s="7"/>
      <c r="AA26"/>
      <c r="AB26"/>
      <c r="AC26"/>
      <c r="AD26"/>
      <c r="AE26"/>
      <c r="AF26"/>
      <c r="AH26"/>
      <c r="AI26"/>
      <c r="AJ26"/>
    </row>
    <row r="27" spans="1:47">
      <c r="G27" s="7"/>
      <c r="AA27"/>
      <c r="AB27"/>
      <c r="AC27"/>
      <c r="AD27"/>
      <c r="AE27"/>
      <c r="AF27"/>
      <c r="AH27"/>
      <c r="AI27"/>
      <c r="AJ27"/>
    </row>
    <row r="28" spans="1:47">
      <c r="G28" s="7"/>
      <c r="AA28"/>
      <c r="AB28"/>
      <c r="AC28"/>
      <c r="AD28"/>
      <c r="AE28"/>
      <c r="AF28"/>
      <c r="AH28"/>
      <c r="AI28"/>
      <c r="AJ28"/>
    </row>
    <row r="29" spans="1:47">
      <c r="G29" s="7"/>
      <c r="AA29"/>
      <c r="AB29"/>
      <c r="AC29"/>
      <c r="AD29"/>
      <c r="AE29"/>
      <c r="AF29"/>
      <c r="AH29"/>
      <c r="AI29"/>
      <c r="AJ29"/>
    </row>
    <row r="30" spans="1:47">
      <c r="G30" s="7"/>
      <c r="AA30"/>
      <c r="AB30"/>
      <c r="AC30"/>
      <c r="AD30"/>
      <c r="AE30"/>
      <c r="AF30"/>
      <c r="AH30"/>
      <c r="AI30"/>
      <c r="AJ30"/>
    </row>
    <row r="31" spans="1:47">
      <c r="G31" s="7"/>
      <c r="AA31"/>
      <c r="AB31"/>
      <c r="AC31"/>
      <c r="AD31"/>
      <c r="AE31"/>
      <c r="AF31"/>
      <c r="AH31"/>
      <c r="AI31"/>
      <c r="AJ31"/>
    </row>
    <row r="32" spans="1:47">
      <c r="G32" s="7"/>
      <c r="AA32"/>
      <c r="AB32"/>
      <c r="AC32"/>
      <c r="AD32"/>
      <c r="AE32"/>
      <c r="AF32"/>
      <c r="AH32"/>
      <c r="AI32"/>
      <c r="AJ32"/>
    </row>
    <row r="33" spans="7:36">
      <c r="G33" s="7"/>
      <c r="AA33"/>
      <c r="AB33"/>
      <c r="AC33"/>
      <c r="AD33"/>
      <c r="AE33"/>
      <c r="AF33"/>
      <c r="AH33"/>
      <c r="AI33"/>
      <c r="AJ33"/>
    </row>
    <row r="34" spans="7:36">
      <c r="G34" s="7"/>
      <c r="AA34"/>
      <c r="AB34"/>
      <c r="AC34"/>
      <c r="AD34"/>
      <c r="AE34"/>
      <c r="AF34"/>
      <c r="AH34"/>
      <c r="AI34"/>
      <c r="AJ34"/>
    </row>
    <row r="35" spans="7:36">
      <c r="G35" s="7"/>
      <c r="AA35"/>
      <c r="AB35"/>
      <c r="AC35"/>
      <c r="AD35"/>
      <c r="AE35"/>
      <c r="AF35"/>
      <c r="AH35"/>
      <c r="AI35"/>
      <c r="AJ35"/>
    </row>
    <row r="36" spans="7:36">
      <c r="G36" s="7"/>
      <c r="AA36"/>
      <c r="AB36"/>
      <c r="AC36"/>
      <c r="AD36"/>
      <c r="AE36"/>
      <c r="AF36"/>
      <c r="AH36"/>
      <c r="AI36"/>
      <c r="AJ36"/>
    </row>
    <row r="37" spans="7:36">
      <c r="G37" s="7"/>
      <c r="AA37"/>
      <c r="AB37"/>
      <c r="AC37"/>
      <c r="AD37"/>
      <c r="AE37"/>
      <c r="AF37"/>
      <c r="AH37"/>
      <c r="AI37"/>
      <c r="AJ37"/>
    </row>
    <row r="38" spans="7:36">
      <c r="G38" s="7"/>
      <c r="AA38"/>
      <c r="AB38"/>
      <c r="AC38"/>
      <c r="AD38"/>
      <c r="AE38"/>
      <c r="AF38"/>
      <c r="AH38"/>
      <c r="AI38"/>
      <c r="AJ38"/>
    </row>
    <row r="39" spans="7:36">
      <c r="G39" s="7"/>
      <c r="AA39"/>
      <c r="AB39"/>
      <c r="AC39"/>
      <c r="AD39"/>
      <c r="AE39"/>
      <c r="AF39"/>
      <c r="AH39"/>
      <c r="AI39"/>
      <c r="AJ39"/>
    </row>
    <row r="40" spans="7:36">
      <c r="G40" s="7"/>
      <c r="AA40"/>
      <c r="AB40"/>
      <c r="AC40"/>
      <c r="AD40"/>
      <c r="AE40"/>
      <c r="AF40"/>
      <c r="AH40"/>
      <c r="AI40"/>
      <c r="AJ40"/>
    </row>
    <row r="41" spans="7:36">
      <c r="G41" s="7"/>
      <c r="AA41"/>
      <c r="AB41"/>
      <c r="AC41"/>
      <c r="AD41"/>
      <c r="AE41"/>
      <c r="AF41"/>
      <c r="AH41"/>
      <c r="AI41"/>
      <c r="AJ41"/>
    </row>
    <row r="42" spans="7:36">
      <c r="G42" s="7"/>
      <c r="AA42"/>
      <c r="AB42"/>
      <c r="AC42"/>
      <c r="AD42"/>
      <c r="AE42"/>
      <c r="AF42"/>
      <c r="AH42"/>
      <c r="AI42"/>
      <c r="AJ42"/>
    </row>
    <row r="43" spans="7:36">
      <c r="G43" s="7"/>
      <c r="AA43"/>
      <c r="AB43"/>
      <c r="AC43"/>
      <c r="AD43"/>
      <c r="AE43"/>
      <c r="AF43"/>
      <c r="AH43"/>
      <c r="AI43"/>
      <c r="AJ43"/>
    </row>
    <row r="44" spans="7:36">
      <c r="G44" s="7"/>
      <c r="AA44"/>
      <c r="AB44"/>
      <c r="AC44"/>
      <c r="AD44"/>
      <c r="AE44"/>
      <c r="AF44"/>
      <c r="AH44"/>
      <c r="AI44"/>
      <c r="AJ44"/>
    </row>
    <row r="45" spans="7:36">
      <c r="G45" s="7"/>
      <c r="AA45"/>
      <c r="AB45"/>
      <c r="AC45"/>
      <c r="AD45"/>
      <c r="AE45"/>
      <c r="AF45"/>
      <c r="AH45"/>
      <c r="AI45"/>
      <c r="AJ45"/>
    </row>
    <row r="46" spans="7:36">
      <c r="G46" s="7"/>
      <c r="AA46"/>
      <c r="AB46"/>
      <c r="AC46"/>
      <c r="AD46"/>
      <c r="AE46"/>
      <c r="AF46"/>
      <c r="AH46"/>
      <c r="AI46"/>
      <c r="AJ46"/>
    </row>
    <row r="47" spans="7:36">
      <c r="G47" s="7"/>
      <c r="AA47"/>
      <c r="AB47"/>
      <c r="AC47"/>
      <c r="AD47"/>
      <c r="AE47"/>
      <c r="AF47"/>
      <c r="AH47"/>
      <c r="AI47"/>
      <c r="AJ47"/>
    </row>
    <row r="48" spans="7:36">
      <c r="G48" s="7"/>
      <c r="AA48"/>
      <c r="AB48"/>
      <c r="AC48"/>
      <c r="AD48"/>
      <c r="AE48"/>
      <c r="AF48"/>
      <c r="AH48"/>
      <c r="AI48"/>
      <c r="AJ48"/>
    </row>
    <row r="49" spans="7:36">
      <c r="G49" s="7"/>
      <c r="AA49"/>
      <c r="AB49"/>
      <c r="AC49"/>
      <c r="AD49"/>
      <c r="AE49"/>
      <c r="AF49"/>
      <c r="AH49"/>
      <c r="AI49"/>
      <c r="AJ49"/>
    </row>
    <row r="50" spans="7:36">
      <c r="G50" s="7"/>
      <c r="AA50"/>
      <c r="AB50"/>
      <c r="AC50"/>
      <c r="AD50"/>
      <c r="AE50"/>
      <c r="AF50"/>
      <c r="AH50"/>
      <c r="AI50"/>
      <c r="AJ50"/>
    </row>
    <row r="51" spans="7:36">
      <c r="G51" s="7"/>
      <c r="AA51"/>
      <c r="AB51"/>
      <c r="AC51"/>
      <c r="AD51"/>
      <c r="AE51"/>
      <c r="AF51"/>
      <c r="AH51"/>
      <c r="AI51"/>
      <c r="AJ51"/>
    </row>
    <row r="52" spans="7:36">
      <c r="G52" s="7"/>
      <c r="AA52"/>
      <c r="AB52"/>
      <c r="AC52"/>
      <c r="AD52"/>
      <c r="AE52"/>
      <c r="AF52"/>
      <c r="AH52"/>
      <c r="AI52"/>
      <c r="AJ52"/>
    </row>
    <row r="53" spans="7:36">
      <c r="G53" s="7"/>
      <c r="AA53"/>
      <c r="AB53"/>
      <c r="AC53"/>
      <c r="AD53"/>
      <c r="AE53"/>
      <c r="AF53"/>
      <c r="AH53"/>
      <c r="AI53"/>
      <c r="AJ53"/>
    </row>
    <row r="54" spans="7:36">
      <c r="G54" s="7"/>
      <c r="AA54"/>
      <c r="AB54"/>
      <c r="AC54"/>
      <c r="AD54"/>
      <c r="AE54"/>
      <c r="AF54"/>
      <c r="AH54"/>
      <c r="AI54"/>
      <c r="AJ54"/>
    </row>
    <row r="55" spans="7:36">
      <c r="G55" s="7"/>
      <c r="AA55"/>
      <c r="AB55"/>
      <c r="AC55"/>
      <c r="AD55"/>
      <c r="AE55"/>
      <c r="AF55"/>
      <c r="AH55"/>
      <c r="AI55"/>
      <c r="AJ55"/>
    </row>
    <row r="56" spans="7:36">
      <c r="G56" s="7"/>
      <c r="AA56"/>
      <c r="AB56"/>
      <c r="AC56"/>
      <c r="AD56"/>
      <c r="AE56"/>
      <c r="AF56"/>
    </row>
    <row r="57" spans="7:36">
      <c r="G57" s="7"/>
      <c r="AA57"/>
      <c r="AB57"/>
      <c r="AC57"/>
      <c r="AD57"/>
      <c r="AE57"/>
      <c r="AF57"/>
    </row>
    <row r="58" spans="7:36">
      <c r="G58" s="7"/>
      <c r="AA58"/>
      <c r="AB58"/>
      <c r="AC58"/>
      <c r="AD58"/>
      <c r="AE58"/>
      <c r="AF58"/>
    </row>
    <row r="59" spans="7:36">
      <c r="G59" s="7"/>
      <c r="AA59"/>
      <c r="AB59"/>
      <c r="AC59"/>
      <c r="AD59"/>
      <c r="AE59"/>
      <c r="AF59"/>
    </row>
    <row r="60" spans="7:36">
      <c r="G60" s="7"/>
      <c r="AA60"/>
      <c r="AB60"/>
      <c r="AC60"/>
      <c r="AD60"/>
      <c r="AE60"/>
      <c r="AF60"/>
    </row>
    <row r="61" spans="7:36">
      <c r="G61" s="7"/>
      <c r="AA61"/>
      <c r="AB61"/>
      <c r="AC61"/>
      <c r="AD61"/>
      <c r="AE61"/>
      <c r="AF61"/>
    </row>
    <row r="62" spans="7:36">
      <c r="G62" s="7"/>
      <c r="AA62"/>
      <c r="AB62"/>
      <c r="AC62"/>
      <c r="AD62"/>
      <c r="AE62"/>
      <c r="AF62"/>
    </row>
    <row r="63" spans="7:36">
      <c r="G63" s="7"/>
      <c r="AA63"/>
      <c r="AB63"/>
      <c r="AC63"/>
      <c r="AD63"/>
      <c r="AE63"/>
      <c r="AF63"/>
    </row>
    <row r="64" spans="7:36">
      <c r="G64" s="7"/>
      <c r="AA64"/>
      <c r="AB64"/>
      <c r="AC64"/>
      <c r="AD64"/>
      <c r="AE64"/>
      <c r="AF64"/>
    </row>
    <row r="65" spans="7:32">
      <c r="G65" s="7"/>
      <c r="AA65"/>
      <c r="AB65"/>
      <c r="AC65"/>
      <c r="AD65"/>
      <c r="AE65"/>
      <c r="AF65"/>
    </row>
    <row r="66" spans="7:32">
      <c r="G66" s="7"/>
      <c r="AA66"/>
      <c r="AB66"/>
      <c r="AC66"/>
      <c r="AD66"/>
      <c r="AE66"/>
      <c r="AF66"/>
    </row>
    <row r="67" spans="7:32">
      <c r="G67" s="7"/>
      <c r="AA67"/>
      <c r="AB67"/>
      <c r="AC67"/>
      <c r="AD67"/>
      <c r="AE67"/>
      <c r="AF67"/>
    </row>
    <row r="68" spans="7:32">
      <c r="G68" s="7"/>
      <c r="AA68"/>
      <c r="AB68"/>
      <c r="AC68"/>
      <c r="AD68"/>
      <c r="AE68"/>
      <c r="AF68"/>
    </row>
    <row r="69" spans="7:32">
      <c r="G69" s="7"/>
      <c r="AA69"/>
      <c r="AB69"/>
      <c r="AC69"/>
      <c r="AD69"/>
      <c r="AE69"/>
      <c r="AF69"/>
    </row>
    <row r="70" spans="7:32">
      <c r="G70" s="7"/>
      <c r="AA70"/>
      <c r="AB70"/>
      <c r="AC70"/>
      <c r="AD70"/>
      <c r="AE70"/>
      <c r="AF70"/>
    </row>
    <row r="71" spans="7:32">
      <c r="G71" s="7"/>
      <c r="AA71"/>
      <c r="AB71"/>
      <c r="AC71"/>
      <c r="AD71"/>
      <c r="AE71"/>
      <c r="AF71"/>
    </row>
    <row r="72" spans="7:32">
      <c r="G72" s="7"/>
      <c r="AA72"/>
      <c r="AB72"/>
      <c r="AC72"/>
      <c r="AD72"/>
      <c r="AE72"/>
      <c r="AF72"/>
    </row>
    <row r="73" spans="7:32">
      <c r="G73" s="7"/>
      <c r="AA73"/>
      <c r="AB73"/>
      <c r="AC73"/>
      <c r="AD73"/>
      <c r="AE73"/>
      <c r="AF73"/>
    </row>
    <row r="74" spans="7:32">
      <c r="G74" s="7"/>
      <c r="AA74"/>
      <c r="AB74"/>
      <c r="AC74"/>
      <c r="AD74"/>
      <c r="AE74"/>
      <c r="AF74"/>
    </row>
    <row r="75" spans="7:32">
      <c r="G75" s="7"/>
      <c r="AA75"/>
      <c r="AB75"/>
      <c r="AC75"/>
      <c r="AD75"/>
      <c r="AE75"/>
      <c r="AF75"/>
    </row>
    <row r="76" spans="7:32">
      <c r="G76" s="7"/>
      <c r="AA76"/>
      <c r="AB76"/>
      <c r="AC76"/>
      <c r="AD76"/>
      <c r="AE76"/>
      <c r="AF76"/>
    </row>
    <row r="77" spans="7:32">
      <c r="G77" s="7"/>
      <c r="AA77"/>
      <c r="AB77"/>
      <c r="AC77"/>
      <c r="AD77"/>
      <c r="AE77"/>
      <c r="AF77"/>
    </row>
    <row r="78" spans="7:32">
      <c r="G78" s="7"/>
      <c r="AA78"/>
      <c r="AB78"/>
      <c r="AC78"/>
      <c r="AD78"/>
      <c r="AE78"/>
      <c r="AF78"/>
    </row>
    <row r="79" spans="7:32">
      <c r="G79" s="7"/>
      <c r="AA79"/>
      <c r="AB79"/>
      <c r="AC79"/>
      <c r="AD79"/>
      <c r="AE79"/>
      <c r="AF79"/>
    </row>
    <row r="80" spans="7:32">
      <c r="G80" s="7"/>
      <c r="AA80"/>
      <c r="AB80"/>
      <c r="AC80"/>
      <c r="AD80"/>
      <c r="AE80"/>
      <c r="AF80"/>
    </row>
    <row r="81" spans="7:32">
      <c r="G81" s="7"/>
      <c r="AA81"/>
      <c r="AB81"/>
      <c r="AC81"/>
      <c r="AD81"/>
      <c r="AE81"/>
      <c r="AF81"/>
    </row>
    <row r="82" spans="7:32">
      <c r="G82" s="7"/>
      <c r="AA82"/>
      <c r="AB82"/>
      <c r="AC82"/>
      <c r="AD82"/>
      <c r="AE82"/>
      <c r="AF82"/>
    </row>
    <row r="83" spans="7:32">
      <c r="G83" s="7"/>
      <c r="AA83"/>
      <c r="AB83"/>
      <c r="AC83"/>
      <c r="AD83"/>
      <c r="AE83"/>
      <c r="AF83"/>
    </row>
    <row r="84" spans="7:32">
      <c r="G84" s="7"/>
      <c r="AA84"/>
      <c r="AB84"/>
      <c r="AC84"/>
      <c r="AD84"/>
      <c r="AE84"/>
      <c r="AF84"/>
    </row>
    <row r="85" spans="7:32">
      <c r="G85" s="7"/>
      <c r="AA85"/>
      <c r="AB85"/>
      <c r="AC85"/>
      <c r="AD85"/>
      <c r="AE85"/>
      <c r="AF85"/>
    </row>
    <row r="86" spans="7:32">
      <c r="G86" s="7"/>
      <c r="AA86"/>
      <c r="AB86"/>
      <c r="AC86"/>
      <c r="AD86"/>
      <c r="AE86"/>
      <c r="AF86"/>
    </row>
    <row r="87" spans="7:32">
      <c r="G87" s="7"/>
      <c r="AA87"/>
      <c r="AB87"/>
      <c r="AC87"/>
      <c r="AD87"/>
      <c r="AE87"/>
      <c r="AF87"/>
    </row>
    <row r="88" spans="7:32">
      <c r="G88" s="7"/>
      <c r="AA88"/>
      <c r="AB88"/>
      <c r="AC88"/>
      <c r="AD88"/>
      <c r="AE88"/>
      <c r="AF88"/>
    </row>
    <row r="89" spans="7:32">
      <c r="G89" s="7"/>
      <c r="AA89"/>
      <c r="AB89"/>
      <c r="AC89"/>
      <c r="AD89"/>
      <c r="AE89"/>
      <c r="AF89"/>
    </row>
    <row r="90" spans="7:32">
      <c r="G90" s="7"/>
      <c r="AA90"/>
      <c r="AB90"/>
      <c r="AC90"/>
      <c r="AD90"/>
      <c r="AE90"/>
      <c r="AF90"/>
    </row>
    <row r="91" spans="7:32">
      <c r="G91" s="7"/>
      <c r="AA91"/>
      <c r="AB91"/>
      <c r="AC91"/>
      <c r="AD91"/>
      <c r="AE91"/>
      <c r="AF91"/>
    </row>
    <row r="92" spans="7:32">
      <c r="G92" s="7"/>
      <c r="AA92"/>
      <c r="AB92"/>
      <c r="AC92"/>
      <c r="AD92"/>
      <c r="AE92"/>
      <c r="AF92"/>
    </row>
    <row r="93" spans="7:32">
      <c r="G93" s="7"/>
      <c r="AA93"/>
      <c r="AB93"/>
      <c r="AC93"/>
      <c r="AD93"/>
      <c r="AE93"/>
      <c r="AF93"/>
    </row>
    <row r="94" spans="7:32">
      <c r="G94" s="7"/>
      <c r="AA94"/>
      <c r="AB94"/>
      <c r="AC94"/>
      <c r="AD94"/>
      <c r="AE94"/>
      <c r="AF94"/>
    </row>
    <row r="95" spans="7:32">
      <c r="G95" s="7"/>
      <c r="AA95"/>
      <c r="AB95"/>
      <c r="AC95"/>
      <c r="AD95"/>
      <c r="AE95"/>
      <c r="AF95"/>
    </row>
    <row r="96" spans="7:32">
      <c r="G96" s="7"/>
      <c r="AA96"/>
      <c r="AB96"/>
      <c r="AC96"/>
      <c r="AD96"/>
      <c r="AE96"/>
      <c r="AF96"/>
    </row>
    <row r="97" spans="7:32">
      <c r="G97" s="7"/>
      <c r="AA97"/>
      <c r="AB97"/>
      <c r="AC97"/>
      <c r="AD97"/>
      <c r="AE97"/>
      <c r="AF97"/>
    </row>
    <row r="98" spans="7:32">
      <c r="G98" s="7"/>
      <c r="AA98"/>
      <c r="AB98"/>
      <c r="AC98"/>
      <c r="AD98"/>
      <c r="AE98"/>
      <c r="AF98"/>
    </row>
    <row r="99" spans="7:32">
      <c r="G99" s="7"/>
      <c r="AA99"/>
      <c r="AB99"/>
      <c r="AC99"/>
      <c r="AD99"/>
      <c r="AE99"/>
      <c r="AF99"/>
    </row>
    <row r="100" spans="7:32">
      <c r="G100" s="7"/>
      <c r="AA100"/>
      <c r="AB100"/>
      <c r="AC100"/>
      <c r="AD100"/>
      <c r="AE100"/>
      <c r="AF100"/>
    </row>
    <row r="101" spans="7:32">
      <c r="G101" s="7"/>
      <c r="AA101"/>
      <c r="AB101"/>
      <c r="AC101"/>
      <c r="AD101"/>
      <c r="AE101"/>
      <c r="AF101"/>
    </row>
    <row r="102" spans="7:32">
      <c r="G102" s="7"/>
      <c r="AA102"/>
      <c r="AB102"/>
      <c r="AC102"/>
      <c r="AD102"/>
      <c r="AE102"/>
      <c r="AF102"/>
    </row>
    <row r="103" spans="7:32">
      <c r="G103" s="7"/>
      <c r="AA103"/>
      <c r="AB103"/>
      <c r="AC103"/>
      <c r="AD103"/>
      <c r="AE103"/>
      <c r="AF103"/>
    </row>
    <row r="104" spans="7:32">
      <c r="G104" s="7"/>
      <c r="AA104"/>
      <c r="AB104"/>
      <c r="AC104"/>
      <c r="AD104"/>
      <c r="AE104"/>
      <c r="AF104"/>
    </row>
    <row r="105" spans="7:32">
      <c r="G105" s="7"/>
      <c r="AA105"/>
      <c r="AB105"/>
      <c r="AC105"/>
      <c r="AD105"/>
      <c r="AE105"/>
      <c r="AF105"/>
    </row>
    <row r="106" spans="7:32">
      <c r="G106" s="7"/>
      <c r="AA106"/>
      <c r="AB106"/>
      <c r="AC106"/>
      <c r="AD106"/>
      <c r="AE106"/>
      <c r="AF106"/>
    </row>
    <row r="107" spans="7:32">
      <c r="G107" s="7"/>
      <c r="AA107"/>
      <c r="AB107"/>
      <c r="AC107"/>
      <c r="AD107"/>
      <c r="AE107"/>
      <c r="AF107"/>
    </row>
    <row r="108" spans="7:32">
      <c r="G108" s="7"/>
      <c r="AA108"/>
      <c r="AB108"/>
      <c r="AC108"/>
      <c r="AD108"/>
      <c r="AE108"/>
      <c r="AF108"/>
    </row>
    <row r="109" spans="7:32">
      <c r="G109" s="7"/>
      <c r="AA109"/>
      <c r="AB109"/>
      <c r="AC109"/>
      <c r="AD109"/>
      <c r="AE109"/>
      <c r="AF109"/>
    </row>
    <row r="110" spans="7:32">
      <c r="G110" s="7"/>
      <c r="AA110"/>
      <c r="AB110"/>
      <c r="AC110"/>
      <c r="AD110"/>
      <c r="AE110"/>
      <c r="AF110"/>
    </row>
    <row r="111" spans="7:32">
      <c r="G111" s="7"/>
      <c r="AA111"/>
      <c r="AB111"/>
      <c r="AC111"/>
      <c r="AD111"/>
      <c r="AE111"/>
      <c r="AF111"/>
    </row>
    <row r="112" spans="7:32">
      <c r="G112" s="7"/>
      <c r="AA112"/>
      <c r="AB112"/>
      <c r="AC112"/>
      <c r="AD112"/>
      <c r="AE112"/>
      <c r="AF112"/>
    </row>
    <row r="113" spans="7:32">
      <c r="G113" s="7"/>
      <c r="AA113"/>
      <c r="AB113"/>
      <c r="AC113"/>
      <c r="AD113"/>
      <c r="AE113"/>
      <c r="AF113"/>
    </row>
    <row r="114" spans="7:32">
      <c r="G114" s="7"/>
      <c r="AA114"/>
      <c r="AB114"/>
      <c r="AC114"/>
      <c r="AD114"/>
      <c r="AE114"/>
      <c r="AF114"/>
    </row>
    <row r="115" spans="7:32">
      <c r="G115" s="7"/>
      <c r="AA115"/>
      <c r="AB115"/>
      <c r="AC115"/>
      <c r="AD115"/>
      <c r="AE115"/>
      <c r="AF115"/>
    </row>
    <row r="116" spans="7:32">
      <c r="G116" s="7"/>
      <c r="AA116"/>
      <c r="AB116"/>
      <c r="AC116"/>
      <c r="AD116"/>
      <c r="AE116"/>
      <c r="AF116"/>
    </row>
    <row r="117" spans="7:32">
      <c r="G117" s="7"/>
      <c r="AA117"/>
      <c r="AB117"/>
      <c r="AC117"/>
      <c r="AD117"/>
      <c r="AE117"/>
      <c r="AF117"/>
    </row>
    <row r="118" spans="7:32">
      <c r="G118" s="7"/>
      <c r="AA118"/>
      <c r="AB118"/>
      <c r="AC118"/>
      <c r="AD118"/>
      <c r="AE118"/>
      <c r="AF118"/>
    </row>
    <row r="119" spans="7:32">
      <c r="G119" s="7"/>
      <c r="AA119"/>
      <c r="AB119"/>
      <c r="AC119"/>
      <c r="AD119"/>
      <c r="AE119"/>
      <c r="AF119"/>
    </row>
    <row r="120" spans="7:32">
      <c r="G120" s="7"/>
      <c r="AA120"/>
      <c r="AB120"/>
      <c r="AC120"/>
      <c r="AD120"/>
      <c r="AE120"/>
      <c r="AF120"/>
    </row>
    <row r="121" spans="7:32">
      <c r="G121" s="7"/>
      <c r="AA121"/>
      <c r="AB121"/>
      <c r="AC121"/>
      <c r="AD121"/>
      <c r="AE121"/>
      <c r="AF121"/>
    </row>
    <row r="122" spans="7:32">
      <c r="G122" s="7"/>
      <c r="AA122"/>
      <c r="AB122"/>
      <c r="AC122"/>
      <c r="AD122"/>
      <c r="AE122"/>
      <c r="AF122"/>
    </row>
    <row r="123" spans="7:32">
      <c r="G123" s="7"/>
      <c r="AA123"/>
      <c r="AB123"/>
      <c r="AC123"/>
      <c r="AD123"/>
      <c r="AE123"/>
      <c r="AF123"/>
    </row>
    <row r="124" spans="7:32">
      <c r="G124" s="7"/>
      <c r="AA124"/>
      <c r="AB124"/>
      <c r="AC124"/>
      <c r="AD124"/>
      <c r="AE124"/>
      <c r="AF124"/>
    </row>
    <row r="125" spans="7:32">
      <c r="G125" s="7"/>
      <c r="AA125"/>
      <c r="AB125"/>
      <c r="AC125"/>
      <c r="AD125"/>
      <c r="AE125"/>
      <c r="AF125"/>
    </row>
    <row r="126" spans="7:32">
      <c r="G126" s="7"/>
      <c r="AA126"/>
      <c r="AB126"/>
      <c r="AC126"/>
      <c r="AD126"/>
      <c r="AE126"/>
      <c r="AF126"/>
    </row>
    <row r="127" spans="7:32">
      <c r="G127" s="7"/>
      <c r="AA127"/>
      <c r="AB127"/>
      <c r="AC127"/>
      <c r="AD127"/>
      <c r="AE127"/>
      <c r="AF127"/>
    </row>
    <row r="128" spans="7:32">
      <c r="G128" s="7"/>
      <c r="AA128"/>
      <c r="AB128"/>
      <c r="AC128"/>
      <c r="AD128"/>
      <c r="AE128"/>
      <c r="AF128"/>
    </row>
    <row r="129" spans="7:32">
      <c r="G129" s="7"/>
      <c r="AA129"/>
      <c r="AB129"/>
      <c r="AC129"/>
      <c r="AD129"/>
      <c r="AE129"/>
      <c r="AF129"/>
    </row>
    <row r="130" spans="7:32">
      <c r="G130" s="7"/>
      <c r="AA130"/>
      <c r="AB130"/>
      <c r="AC130"/>
      <c r="AD130"/>
      <c r="AE130"/>
      <c r="AF130"/>
    </row>
    <row r="131" spans="7:32">
      <c r="G131" s="7"/>
      <c r="AA131"/>
      <c r="AB131"/>
      <c r="AC131"/>
      <c r="AD131"/>
      <c r="AE131"/>
      <c r="AF131"/>
    </row>
    <row r="132" spans="7:32">
      <c r="G132" s="7"/>
      <c r="AA132"/>
      <c r="AB132"/>
      <c r="AC132"/>
      <c r="AD132"/>
      <c r="AE132"/>
      <c r="AF132"/>
    </row>
    <row r="133" spans="7:32">
      <c r="G133" s="7"/>
      <c r="AA133"/>
      <c r="AB133"/>
      <c r="AC133"/>
      <c r="AD133"/>
      <c r="AE133"/>
      <c r="AF133"/>
    </row>
    <row r="134" spans="7:32">
      <c r="G134" s="7"/>
      <c r="AA134"/>
      <c r="AB134"/>
      <c r="AC134"/>
      <c r="AD134"/>
      <c r="AE134"/>
      <c r="AF134"/>
    </row>
    <row r="135" spans="7:32">
      <c r="G135" s="7"/>
      <c r="AA135"/>
      <c r="AB135"/>
      <c r="AC135"/>
      <c r="AD135"/>
      <c r="AE135"/>
      <c r="AF135"/>
    </row>
    <row r="136" spans="7:32">
      <c r="G136" s="7"/>
      <c r="AA136"/>
      <c r="AB136"/>
      <c r="AC136"/>
      <c r="AD136"/>
      <c r="AE136"/>
      <c r="AF136"/>
    </row>
    <row r="137" spans="7:32">
      <c r="G137" s="7"/>
      <c r="AA137"/>
      <c r="AB137"/>
      <c r="AC137"/>
      <c r="AD137"/>
      <c r="AE137"/>
      <c r="AF137"/>
    </row>
    <row r="138" spans="7:32">
      <c r="G138" s="7"/>
      <c r="AA138"/>
      <c r="AB138"/>
      <c r="AC138"/>
      <c r="AD138"/>
      <c r="AE138"/>
      <c r="AF138"/>
    </row>
    <row r="139" spans="7:32">
      <c r="G139" s="7"/>
      <c r="AA139"/>
      <c r="AB139"/>
      <c r="AC139"/>
      <c r="AD139"/>
      <c r="AE139"/>
      <c r="AF139"/>
    </row>
    <row r="140" spans="7:32">
      <c r="G140" s="7"/>
      <c r="AA140"/>
      <c r="AB140"/>
      <c r="AC140"/>
      <c r="AD140"/>
      <c r="AE140"/>
      <c r="AF140"/>
    </row>
    <row r="141" spans="7:32">
      <c r="G141" s="7"/>
      <c r="AA141"/>
      <c r="AB141"/>
      <c r="AC141"/>
      <c r="AD141"/>
      <c r="AE141"/>
      <c r="AF141"/>
    </row>
    <row r="142" spans="7:32">
      <c r="G142" s="7"/>
      <c r="AA142"/>
      <c r="AB142"/>
      <c r="AC142"/>
      <c r="AD142"/>
      <c r="AE142"/>
      <c r="AF142"/>
    </row>
    <row r="143" spans="7:32">
      <c r="G143" s="7"/>
      <c r="AA143"/>
      <c r="AB143"/>
      <c r="AC143"/>
      <c r="AD143"/>
      <c r="AE143"/>
      <c r="AF143"/>
    </row>
    <row r="144" spans="7:32">
      <c r="G144" s="7"/>
      <c r="AA144"/>
      <c r="AB144"/>
      <c r="AC144"/>
      <c r="AD144"/>
      <c r="AE144"/>
      <c r="AF144"/>
    </row>
    <row r="145" spans="7:32">
      <c r="G145" s="7"/>
      <c r="AA145"/>
      <c r="AB145"/>
      <c r="AC145"/>
      <c r="AD145"/>
      <c r="AE145"/>
      <c r="AF145"/>
    </row>
    <row r="146" spans="7:32">
      <c r="G146" s="7"/>
      <c r="AA146"/>
      <c r="AB146"/>
      <c r="AC146"/>
      <c r="AD146"/>
      <c r="AE146"/>
      <c r="AF146"/>
    </row>
    <row r="147" spans="7:32">
      <c r="G147" s="7"/>
      <c r="AA147"/>
      <c r="AB147"/>
      <c r="AC147"/>
      <c r="AD147"/>
      <c r="AE147"/>
      <c r="AF147"/>
    </row>
    <row r="148" spans="7:32">
      <c r="G148" s="7"/>
      <c r="AA148"/>
      <c r="AB148"/>
      <c r="AC148"/>
      <c r="AD148"/>
      <c r="AE148"/>
      <c r="AF148"/>
    </row>
    <row r="149" spans="7:32">
      <c r="G149" s="7"/>
      <c r="AA149"/>
      <c r="AB149"/>
      <c r="AC149"/>
      <c r="AD149"/>
      <c r="AE149"/>
      <c r="AF149"/>
    </row>
    <row r="150" spans="7:32">
      <c r="G150" s="7"/>
      <c r="AA150"/>
      <c r="AB150"/>
      <c r="AC150"/>
      <c r="AD150"/>
      <c r="AE150"/>
      <c r="AF150"/>
    </row>
    <row r="151" spans="7:32">
      <c r="G151" s="7"/>
      <c r="AA151"/>
      <c r="AB151"/>
      <c r="AC151"/>
      <c r="AD151"/>
      <c r="AE151"/>
      <c r="AF151"/>
    </row>
    <row r="152" spans="7:32">
      <c r="G152" s="7"/>
      <c r="AA152"/>
      <c r="AB152"/>
      <c r="AC152"/>
      <c r="AD152"/>
      <c r="AE152"/>
      <c r="AF152"/>
    </row>
    <row r="153" spans="7:32">
      <c r="G153" s="7"/>
      <c r="AA153"/>
      <c r="AB153"/>
      <c r="AC153"/>
      <c r="AD153"/>
      <c r="AE153"/>
      <c r="AF153"/>
    </row>
    <row r="154" spans="7:32">
      <c r="G154" s="7"/>
      <c r="AA154"/>
      <c r="AB154"/>
      <c r="AC154"/>
      <c r="AD154"/>
      <c r="AE154"/>
      <c r="AF154"/>
    </row>
    <row r="155" spans="7:32">
      <c r="G155" s="7"/>
      <c r="AA155"/>
      <c r="AB155"/>
      <c r="AC155"/>
      <c r="AD155"/>
      <c r="AE155"/>
      <c r="AF155"/>
    </row>
    <row r="156" spans="7:32">
      <c r="G156" s="7"/>
      <c r="AA156"/>
      <c r="AB156"/>
      <c r="AC156"/>
      <c r="AD156"/>
      <c r="AE156"/>
      <c r="AF156"/>
    </row>
    <row r="157" spans="7:32">
      <c r="G157" s="7"/>
      <c r="AA157"/>
      <c r="AB157"/>
      <c r="AC157"/>
      <c r="AD157"/>
      <c r="AE157"/>
      <c r="AF157"/>
    </row>
    <row r="158" spans="7:32">
      <c r="G158" s="7"/>
      <c r="AA158"/>
      <c r="AB158"/>
      <c r="AC158"/>
      <c r="AD158"/>
      <c r="AE158"/>
      <c r="AF158"/>
    </row>
    <row r="159" spans="7:32">
      <c r="G159" s="7"/>
      <c r="AA159"/>
      <c r="AB159"/>
      <c r="AC159"/>
      <c r="AD159"/>
      <c r="AE159"/>
      <c r="AF159"/>
    </row>
    <row r="160" spans="7:32">
      <c r="G160" s="7"/>
      <c r="AA160"/>
      <c r="AB160"/>
      <c r="AC160"/>
      <c r="AD160"/>
      <c r="AE160"/>
      <c r="AF160"/>
    </row>
    <row r="161" spans="7:32">
      <c r="G161" s="7"/>
      <c r="AA161"/>
      <c r="AB161"/>
      <c r="AC161"/>
      <c r="AD161"/>
      <c r="AE161"/>
      <c r="AF161"/>
    </row>
    <row r="162" spans="7:32">
      <c r="G162" s="7"/>
      <c r="AA162"/>
      <c r="AB162"/>
      <c r="AC162"/>
      <c r="AD162"/>
      <c r="AE162"/>
      <c r="AF162"/>
    </row>
    <row r="163" spans="7:32">
      <c r="G163" s="7"/>
      <c r="AA163"/>
      <c r="AB163"/>
      <c r="AC163"/>
      <c r="AD163"/>
      <c r="AE163"/>
      <c r="AF163"/>
    </row>
    <row r="164" spans="7:32">
      <c r="G164" s="7"/>
      <c r="AA164"/>
      <c r="AB164"/>
      <c r="AC164"/>
      <c r="AD164"/>
      <c r="AE164"/>
      <c r="AF164"/>
    </row>
    <row r="165" spans="7:32">
      <c r="G165" s="7"/>
      <c r="AA165"/>
      <c r="AB165"/>
      <c r="AC165"/>
      <c r="AD165"/>
      <c r="AE165"/>
      <c r="AF165"/>
    </row>
    <row r="166" spans="7:32">
      <c r="G166" s="7"/>
      <c r="AA166"/>
      <c r="AB166"/>
      <c r="AC166"/>
      <c r="AD166"/>
      <c r="AE166"/>
      <c r="AF166"/>
    </row>
    <row r="167" spans="7:32">
      <c r="G167" s="7"/>
      <c r="AA167"/>
      <c r="AB167"/>
      <c r="AC167"/>
      <c r="AD167"/>
      <c r="AE167"/>
      <c r="AF167"/>
    </row>
    <row r="168" spans="7:32">
      <c r="G168" s="7"/>
      <c r="AA168"/>
      <c r="AB168"/>
      <c r="AC168"/>
      <c r="AD168"/>
      <c r="AE168"/>
      <c r="AF168"/>
    </row>
    <row r="169" spans="7:32">
      <c r="G169" s="7"/>
      <c r="AA169"/>
      <c r="AB169"/>
      <c r="AC169"/>
      <c r="AD169"/>
      <c r="AE169"/>
      <c r="AF169"/>
    </row>
    <row r="170" spans="7:32">
      <c r="G170" s="7"/>
      <c r="AA170"/>
      <c r="AB170"/>
      <c r="AC170"/>
      <c r="AD170"/>
      <c r="AE170"/>
      <c r="AF170"/>
    </row>
    <row r="171" spans="7:32">
      <c r="G171" s="7"/>
      <c r="AA171"/>
      <c r="AB171"/>
      <c r="AC171"/>
      <c r="AD171"/>
      <c r="AE171"/>
      <c r="AF171"/>
    </row>
    <row r="172" spans="7:32">
      <c r="G172" s="7"/>
      <c r="AA172"/>
      <c r="AB172"/>
      <c r="AC172"/>
      <c r="AD172"/>
      <c r="AE172"/>
      <c r="AF172"/>
    </row>
    <row r="173" spans="7:32">
      <c r="G173" s="7"/>
      <c r="AA173"/>
      <c r="AB173"/>
      <c r="AC173"/>
      <c r="AD173"/>
      <c r="AE173"/>
      <c r="AF173"/>
    </row>
    <row r="174" spans="7:32">
      <c r="G174" s="7"/>
      <c r="AA174"/>
      <c r="AB174"/>
      <c r="AC174"/>
      <c r="AD174"/>
      <c r="AE174"/>
      <c r="AF174"/>
    </row>
    <row r="175" spans="7:32">
      <c r="G175" s="7"/>
      <c r="AA175"/>
      <c r="AB175"/>
      <c r="AC175"/>
      <c r="AD175"/>
      <c r="AE175"/>
      <c r="AF175"/>
    </row>
    <row r="176" spans="7:32">
      <c r="G176" s="7"/>
      <c r="AA176"/>
      <c r="AB176"/>
      <c r="AC176"/>
      <c r="AD176"/>
      <c r="AE176"/>
      <c r="AF176"/>
    </row>
    <row r="177" spans="7:32">
      <c r="G177" s="7"/>
      <c r="AA177"/>
      <c r="AB177"/>
      <c r="AC177"/>
      <c r="AD177"/>
      <c r="AE177"/>
      <c r="AF177"/>
    </row>
    <row r="178" spans="7:32">
      <c r="G178" s="7"/>
      <c r="AA178"/>
      <c r="AB178"/>
      <c r="AC178"/>
      <c r="AD178"/>
      <c r="AE178"/>
      <c r="AF178"/>
    </row>
    <row r="179" spans="7:32">
      <c r="G179" s="7"/>
      <c r="AA179"/>
      <c r="AB179"/>
      <c r="AC179"/>
      <c r="AD179"/>
      <c r="AE179"/>
      <c r="AF179"/>
    </row>
    <row r="180" spans="7:32">
      <c r="G180" s="7"/>
      <c r="AA180"/>
      <c r="AB180"/>
      <c r="AC180"/>
      <c r="AD180"/>
      <c r="AE180"/>
      <c r="AF180"/>
    </row>
    <row r="181" spans="7:32">
      <c r="G181" s="7"/>
      <c r="AA181"/>
      <c r="AB181"/>
      <c r="AC181"/>
      <c r="AD181"/>
      <c r="AE181"/>
      <c r="AF181"/>
    </row>
    <row r="182" spans="7:32">
      <c r="G182" s="7"/>
      <c r="AA182"/>
      <c r="AB182"/>
      <c r="AC182"/>
      <c r="AD182"/>
      <c r="AE182"/>
      <c r="AF182"/>
    </row>
    <row r="183" spans="7:32">
      <c r="G183" s="7"/>
      <c r="AA183"/>
      <c r="AB183"/>
      <c r="AC183"/>
      <c r="AD183"/>
      <c r="AE183"/>
      <c r="AF183"/>
    </row>
    <row r="184" spans="7:32">
      <c r="G184" s="7"/>
      <c r="AA184"/>
      <c r="AB184"/>
      <c r="AC184"/>
      <c r="AD184"/>
      <c r="AE184"/>
      <c r="AF184"/>
    </row>
    <row r="185" spans="7:32">
      <c r="G185" s="7"/>
      <c r="AA185"/>
      <c r="AB185"/>
      <c r="AC185"/>
      <c r="AD185"/>
      <c r="AE185"/>
      <c r="AF185"/>
    </row>
    <row r="186" spans="7:32">
      <c r="G186" s="7"/>
      <c r="AA186"/>
      <c r="AB186"/>
      <c r="AC186"/>
      <c r="AD186"/>
      <c r="AE186"/>
      <c r="AF186"/>
    </row>
    <row r="187" spans="7:32">
      <c r="G187" s="7"/>
      <c r="AA187"/>
      <c r="AB187"/>
      <c r="AC187"/>
      <c r="AD187"/>
      <c r="AE187"/>
      <c r="AF187"/>
    </row>
    <row r="188" spans="7:32">
      <c r="G188" s="7"/>
      <c r="AA188"/>
      <c r="AB188"/>
      <c r="AC188"/>
      <c r="AD188"/>
      <c r="AE188"/>
      <c r="AF188"/>
    </row>
    <row r="189" spans="7:32">
      <c r="G189" s="7"/>
      <c r="AA189"/>
      <c r="AB189"/>
      <c r="AC189"/>
      <c r="AD189"/>
      <c r="AE189"/>
      <c r="AF189"/>
    </row>
    <row r="190" spans="7:32">
      <c r="G190" s="7"/>
      <c r="AA190"/>
      <c r="AB190"/>
      <c r="AC190"/>
      <c r="AD190"/>
      <c r="AE190"/>
      <c r="AF190"/>
    </row>
    <row r="191" spans="7:32">
      <c r="G191" s="7"/>
      <c r="AA191"/>
      <c r="AB191"/>
      <c r="AC191"/>
      <c r="AD191"/>
      <c r="AE191"/>
      <c r="AF191"/>
    </row>
    <row r="192" spans="7:32">
      <c r="G192" s="7"/>
      <c r="AA192"/>
      <c r="AB192"/>
      <c r="AC192"/>
      <c r="AD192"/>
      <c r="AE192"/>
      <c r="AF192"/>
    </row>
    <row r="193" spans="7:32">
      <c r="G193" s="7"/>
      <c r="AA193"/>
      <c r="AB193"/>
      <c r="AC193"/>
      <c r="AD193"/>
      <c r="AE193"/>
      <c r="AF193"/>
    </row>
    <row r="194" spans="7:32">
      <c r="G194" s="7"/>
      <c r="AA194"/>
      <c r="AB194"/>
      <c r="AC194"/>
      <c r="AD194"/>
      <c r="AE194"/>
      <c r="AF194"/>
    </row>
    <row r="195" spans="7:32">
      <c r="G195" s="7"/>
      <c r="AA195"/>
      <c r="AB195"/>
      <c r="AC195"/>
      <c r="AD195"/>
      <c r="AE195"/>
      <c r="AF195"/>
    </row>
    <row r="196" spans="7:32">
      <c r="G196" s="7"/>
      <c r="AA196"/>
      <c r="AB196"/>
      <c r="AC196"/>
      <c r="AD196"/>
      <c r="AE196"/>
      <c r="AF196"/>
    </row>
    <row r="197" spans="7:32">
      <c r="G197" s="7"/>
      <c r="AA197"/>
      <c r="AB197"/>
      <c r="AC197"/>
      <c r="AD197"/>
      <c r="AE197"/>
      <c r="AF197"/>
    </row>
    <row r="198" spans="7:32">
      <c r="G198" s="7"/>
      <c r="AA198"/>
      <c r="AB198"/>
      <c r="AC198"/>
      <c r="AD198"/>
      <c r="AE198"/>
      <c r="AF198"/>
    </row>
    <row r="199" spans="7:32">
      <c r="G199" s="7"/>
      <c r="AA199"/>
      <c r="AB199"/>
      <c r="AC199"/>
      <c r="AD199"/>
      <c r="AE199"/>
      <c r="AF199"/>
    </row>
    <row r="200" spans="7:32">
      <c r="G200" s="7"/>
      <c r="AA200"/>
      <c r="AB200"/>
      <c r="AC200"/>
      <c r="AD200"/>
      <c r="AE200"/>
      <c r="AF200"/>
    </row>
    <row r="201" spans="7:32">
      <c r="G201" s="7"/>
      <c r="AA201"/>
      <c r="AB201"/>
      <c r="AC201"/>
      <c r="AD201"/>
      <c r="AE201"/>
      <c r="AF201"/>
    </row>
    <row r="202" spans="7:32">
      <c r="G202" s="7"/>
      <c r="AA202"/>
      <c r="AB202"/>
      <c r="AC202"/>
      <c r="AD202"/>
      <c r="AE202"/>
      <c r="AF202"/>
    </row>
    <row r="203" spans="7:32">
      <c r="G203" s="7"/>
      <c r="AA203"/>
      <c r="AB203"/>
      <c r="AC203"/>
      <c r="AD203"/>
      <c r="AE203"/>
      <c r="AF203"/>
    </row>
    <row r="204" spans="7:32">
      <c r="G204" s="7"/>
      <c r="AA204"/>
      <c r="AB204"/>
      <c r="AC204"/>
      <c r="AD204"/>
      <c r="AE204"/>
      <c r="AF204"/>
    </row>
    <row r="205" spans="7:32">
      <c r="G205" s="7"/>
      <c r="AA205"/>
      <c r="AB205"/>
      <c r="AC205"/>
      <c r="AD205"/>
      <c r="AE205"/>
      <c r="AF205"/>
    </row>
    <row r="206" spans="7:32">
      <c r="G206" s="7"/>
      <c r="AA206"/>
      <c r="AB206"/>
      <c r="AC206"/>
      <c r="AD206"/>
      <c r="AE206"/>
      <c r="AF206"/>
    </row>
    <row r="207" spans="7:32">
      <c r="G207" s="7"/>
      <c r="AA207"/>
      <c r="AB207"/>
      <c r="AC207"/>
      <c r="AD207"/>
      <c r="AE207"/>
      <c r="AF207"/>
    </row>
    <row r="208" spans="7:32">
      <c r="G208" s="7"/>
      <c r="AA208"/>
      <c r="AB208"/>
      <c r="AC208"/>
      <c r="AD208"/>
      <c r="AE208"/>
      <c r="AF208"/>
    </row>
    <row r="209" spans="7:32">
      <c r="G209" s="7"/>
      <c r="AA209"/>
      <c r="AB209"/>
      <c r="AC209"/>
      <c r="AD209"/>
      <c r="AE209"/>
      <c r="AF209"/>
    </row>
    <row r="210" spans="7:32">
      <c r="G210" s="7"/>
      <c r="AA210"/>
      <c r="AB210"/>
      <c r="AC210"/>
      <c r="AD210"/>
      <c r="AE210"/>
      <c r="AF210"/>
    </row>
    <row r="211" spans="7:32">
      <c r="G211" s="7"/>
      <c r="AA211"/>
      <c r="AB211"/>
      <c r="AC211"/>
      <c r="AD211"/>
      <c r="AE211"/>
      <c r="AF211"/>
    </row>
    <row r="212" spans="7:32">
      <c r="G212" s="7"/>
      <c r="AA212"/>
      <c r="AB212"/>
      <c r="AC212"/>
      <c r="AD212"/>
      <c r="AE212"/>
      <c r="AF212"/>
    </row>
    <row r="213" spans="7:32">
      <c r="G213" s="7"/>
      <c r="AA213"/>
      <c r="AB213"/>
      <c r="AC213"/>
      <c r="AD213"/>
      <c r="AE213"/>
      <c r="AF213"/>
    </row>
    <row r="214" spans="7:32">
      <c r="G214" s="7"/>
      <c r="AA214"/>
      <c r="AB214"/>
      <c r="AC214"/>
      <c r="AD214"/>
      <c r="AE214"/>
      <c r="AF214"/>
    </row>
    <row r="215" spans="7:32">
      <c r="G215" s="7"/>
      <c r="AA215"/>
      <c r="AB215"/>
      <c r="AC215"/>
      <c r="AD215"/>
      <c r="AE215"/>
      <c r="AF215"/>
    </row>
    <row r="216" spans="7:32">
      <c r="G216" s="7"/>
      <c r="AA216"/>
      <c r="AB216"/>
      <c r="AC216"/>
      <c r="AD216"/>
      <c r="AE216"/>
      <c r="AF216"/>
    </row>
    <row r="217" spans="7:32">
      <c r="G217" s="7"/>
      <c r="AA217"/>
      <c r="AB217"/>
      <c r="AC217"/>
      <c r="AD217"/>
      <c r="AE217"/>
      <c r="AF217"/>
    </row>
    <row r="218" spans="7:32">
      <c r="G218" s="7"/>
      <c r="AA218"/>
      <c r="AB218"/>
      <c r="AC218"/>
      <c r="AD218"/>
      <c r="AE218"/>
      <c r="AF218"/>
    </row>
    <row r="219" spans="7:32">
      <c r="G219" s="7"/>
      <c r="AA219"/>
      <c r="AB219"/>
      <c r="AC219"/>
      <c r="AD219"/>
      <c r="AE219"/>
      <c r="AF219"/>
    </row>
    <row r="220" spans="7:32">
      <c r="G220" s="7"/>
      <c r="AA220"/>
      <c r="AB220"/>
      <c r="AC220"/>
      <c r="AD220"/>
      <c r="AE220"/>
      <c r="AF220"/>
    </row>
    <row r="221" spans="7:32">
      <c r="G221" s="7"/>
      <c r="AA221"/>
      <c r="AB221"/>
      <c r="AC221"/>
      <c r="AD221"/>
      <c r="AE221"/>
      <c r="AF221"/>
    </row>
    <row r="222" spans="7:32">
      <c r="G222" s="7"/>
      <c r="AA222"/>
      <c r="AB222"/>
      <c r="AC222"/>
      <c r="AD222"/>
      <c r="AE222"/>
      <c r="AF222"/>
    </row>
    <row r="223" spans="7:32">
      <c r="G223" s="7"/>
      <c r="AA223"/>
      <c r="AB223"/>
      <c r="AC223"/>
      <c r="AD223"/>
      <c r="AE223"/>
      <c r="AF223"/>
    </row>
    <row r="224" spans="7:32">
      <c r="G224" s="7"/>
      <c r="AA224"/>
      <c r="AB224"/>
      <c r="AC224"/>
      <c r="AD224"/>
      <c r="AE224"/>
      <c r="AF224"/>
    </row>
    <row r="225" spans="7:32">
      <c r="G225" s="7"/>
      <c r="AA225"/>
      <c r="AB225"/>
      <c r="AC225"/>
      <c r="AD225"/>
      <c r="AE225"/>
      <c r="AF225"/>
    </row>
    <row r="226" spans="7:32">
      <c r="G226" s="7"/>
      <c r="AA226"/>
      <c r="AB226"/>
      <c r="AC226"/>
      <c r="AD226"/>
      <c r="AE226"/>
      <c r="AF226"/>
    </row>
    <row r="227" spans="7:32">
      <c r="G227" s="7"/>
      <c r="AA227"/>
      <c r="AB227"/>
      <c r="AC227"/>
      <c r="AD227"/>
      <c r="AE227"/>
      <c r="AF227"/>
    </row>
    <row r="228" spans="7:32">
      <c r="G228" s="7"/>
      <c r="AA228"/>
      <c r="AB228"/>
      <c r="AC228"/>
      <c r="AD228"/>
      <c r="AE228"/>
      <c r="AF228"/>
    </row>
    <row r="229" spans="7:32">
      <c r="G229" s="7"/>
      <c r="AA229"/>
      <c r="AB229"/>
      <c r="AC229"/>
      <c r="AD229"/>
      <c r="AE229"/>
      <c r="AF229"/>
    </row>
    <row r="230" spans="7:32">
      <c r="G230" s="7"/>
      <c r="AA230"/>
      <c r="AB230"/>
      <c r="AC230"/>
      <c r="AD230"/>
      <c r="AE230"/>
      <c r="AF230"/>
    </row>
    <row r="231" spans="7:32">
      <c r="G231" s="7"/>
      <c r="AA231"/>
      <c r="AB231"/>
      <c r="AC231"/>
      <c r="AD231"/>
      <c r="AE231"/>
      <c r="AF231"/>
    </row>
    <row r="232" spans="7:32">
      <c r="G232" s="7"/>
      <c r="AA232"/>
      <c r="AB232"/>
      <c r="AC232"/>
      <c r="AD232"/>
      <c r="AE232"/>
      <c r="AF232"/>
    </row>
    <row r="233" spans="7:32">
      <c r="G233" s="7"/>
      <c r="AA233"/>
      <c r="AB233"/>
      <c r="AC233"/>
      <c r="AD233"/>
      <c r="AE233"/>
      <c r="AF233"/>
    </row>
    <row r="234" spans="7:32">
      <c r="G234" s="7"/>
      <c r="AA234"/>
      <c r="AB234"/>
      <c r="AC234"/>
      <c r="AD234"/>
      <c r="AE234"/>
      <c r="AF234"/>
    </row>
    <row r="235" spans="7:32">
      <c r="G235" s="7"/>
      <c r="AA235"/>
      <c r="AB235"/>
      <c r="AC235"/>
      <c r="AD235"/>
      <c r="AE235"/>
      <c r="AF235"/>
    </row>
    <row r="236" spans="7:32">
      <c r="G236" s="7"/>
      <c r="AA236"/>
      <c r="AB236"/>
      <c r="AC236"/>
      <c r="AD236"/>
      <c r="AE236"/>
      <c r="AF236"/>
    </row>
    <row r="237" spans="7:32">
      <c r="G237" s="7"/>
      <c r="AA237"/>
      <c r="AB237"/>
      <c r="AC237"/>
      <c r="AD237"/>
      <c r="AE237"/>
      <c r="AF237"/>
    </row>
    <row r="238" spans="7:32">
      <c r="G238" s="7"/>
      <c r="AA238"/>
      <c r="AB238"/>
      <c r="AC238"/>
      <c r="AD238"/>
      <c r="AE238"/>
      <c r="AF238"/>
    </row>
    <row r="239" spans="7:32">
      <c r="G239" s="7"/>
      <c r="AA239"/>
      <c r="AB239"/>
      <c r="AC239"/>
      <c r="AD239"/>
      <c r="AE239"/>
      <c r="AF239"/>
    </row>
    <row r="240" spans="7:32">
      <c r="G240" s="7"/>
      <c r="AA240"/>
      <c r="AB240"/>
      <c r="AC240"/>
      <c r="AD240"/>
      <c r="AE240"/>
      <c r="AF240"/>
    </row>
    <row r="241" spans="7:32">
      <c r="G241" s="7"/>
      <c r="AA241"/>
      <c r="AB241"/>
      <c r="AC241"/>
      <c r="AD241"/>
      <c r="AE241"/>
      <c r="AF241"/>
    </row>
    <row r="242" spans="7:32">
      <c r="G242" s="7"/>
      <c r="AA242"/>
      <c r="AB242"/>
      <c r="AC242"/>
      <c r="AD242"/>
      <c r="AE242"/>
      <c r="AF242"/>
    </row>
    <row r="243" spans="7:32">
      <c r="G243" s="7"/>
      <c r="AA243"/>
      <c r="AB243"/>
      <c r="AC243"/>
      <c r="AD243"/>
      <c r="AE243"/>
      <c r="AF243"/>
    </row>
    <row r="244" spans="7:32">
      <c r="G244" s="7"/>
      <c r="AA244"/>
      <c r="AB244"/>
      <c r="AC244"/>
      <c r="AD244"/>
      <c r="AE244"/>
      <c r="AF244"/>
    </row>
    <row r="245" spans="7:32">
      <c r="G245" s="7"/>
      <c r="AA245"/>
      <c r="AB245"/>
      <c r="AC245"/>
      <c r="AD245"/>
      <c r="AE245"/>
      <c r="AF245"/>
    </row>
    <row r="246" spans="7:32">
      <c r="G246" s="7"/>
      <c r="AA246"/>
      <c r="AB246"/>
      <c r="AC246"/>
      <c r="AD246"/>
      <c r="AE246"/>
      <c r="AF246"/>
    </row>
    <row r="247" spans="7:32">
      <c r="G247" s="7"/>
      <c r="AA247"/>
      <c r="AB247"/>
      <c r="AC247"/>
      <c r="AD247"/>
      <c r="AE247"/>
      <c r="AF247"/>
    </row>
    <row r="248" spans="7:32">
      <c r="G248" s="7"/>
      <c r="AA248"/>
      <c r="AB248"/>
      <c r="AC248"/>
      <c r="AD248"/>
      <c r="AE248"/>
      <c r="AF248"/>
    </row>
    <row r="249" spans="7:32">
      <c r="G249" s="7"/>
      <c r="AA249"/>
      <c r="AB249"/>
      <c r="AC249"/>
      <c r="AD249"/>
      <c r="AE249"/>
      <c r="AF249"/>
    </row>
    <row r="250" spans="7:32">
      <c r="G250" s="7"/>
      <c r="AA250"/>
      <c r="AB250"/>
      <c r="AC250"/>
      <c r="AD250"/>
      <c r="AE250"/>
      <c r="AF250"/>
    </row>
    <row r="251" spans="7:32">
      <c r="G251" s="7"/>
      <c r="AA251"/>
      <c r="AB251"/>
      <c r="AC251"/>
      <c r="AD251"/>
      <c r="AE251"/>
      <c r="AF251"/>
    </row>
    <row r="252" spans="7:32">
      <c r="G252" s="7"/>
      <c r="AA252"/>
      <c r="AB252"/>
      <c r="AC252"/>
      <c r="AD252"/>
      <c r="AE252"/>
      <c r="AF252"/>
    </row>
    <row r="253" spans="7:32">
      <c r="G253" s="7"/>
      <c r="AA253"/>
      <c r="AB253"/>
      <c r="AC253"/>
      <c r="AD253"/>
      <c r="AE253"/>
      <c r="AF253"/>
    </row>
    <row r="254" spans="7:32">
      <c r="G254" s="7"/>
      <c r="AA254"/>
      <c r="AB254"/>
      <c r="AC254"/>
      <c r="AD254"/>
      <c r="AE254"/>
      <c r="AF254"/>
    </row>
    <row r="255" spans="7:32">
      <c r="G255" s="7"/>
      <c r="AA255"/>
      <c r="AB255"/>
      <c r="AC255"/>
      <c r="AD255"/>
      <c r="AE255"/>
      <c r="AF255"/>
    </row>
    <row r="256" spans="7:32">
      <c r="G256" s="7"/>
      <c r="AA256"/>
      <c r="AB256"/>
      <c r="AC256"/>
      <c r="AD256"/>
      <c r="AE256"/>
      <c r="AF256"/>
    </row>
    <row r="257" spans="7:32">
      <c r="G257" s="7"/>
      <c r="AA257"/>
      <c r="AB257"/>
      <c r="AC257"/>
      <c r="AD257"/>
      <c r="AE257"/>
      <c r="AF257"/>
    </row>
    <row r="258" spans="7:32">
      <c r="G258" s="7"/>
      <c r="AA258"/>
      <c r="AB258"/>
      <c r="AC258"/>
      <c r="AD258"/>
      <c r="AE258"/>
      <c r="AF258"/>
    </row>
    <row r="259" spans="7:32">
      <c r="G259" s="7"/>
      <c r="AA259"/>
      <c r="AB259"/>
      <c r="AC259"/>
      <c r="AD259"/>
      <c r="AE259"/>
      <c r="AF259"/>
    </row>
    <row r="260" spans="7:32">
      <c r="G260" s="7"/>
      <c r="AA260"/>
      <c r="AB260"/>
      <c r="AC260"/>
      <c r="AD260"/>
      <c r="AE260"/>
      <c r="AF260"/>
    </row>
    <row r="261" spans="7:32">
      <c r="G261" s="7"/>
      <c r="AA261"/>
      <c r="AB261"/>
      <c r="AC261"/>
      <c r="AD261"/>
      <c r="AE261"/>
      <c r="AF261"/>
    </row>
    <row r="262" spans="7:32">
      <c r="G262" s="7"/>
      <c r="AA262"/>
      <c r="AB262"/>
      <c r="AC262"/>
      <c r="AD262"/>
      <c r="AE262"/>
      <c r="AF262"/>
    </row>
    <row r="263" spans="7:32">
      <c r="G263" s="7"/>
      <c r="AA263"/>
      <c r="AB263"/>
      <c r="AC263"/>
      <c r="AD263"/>
      <c r="AE263"/>
      <c r="AF263"/>
    </row>
    <row r="264" spans="7:32">
      <c r="G264" s="7"/>
      <c r="AA264"/>
      <c r="AB264"/>
      <c r="AC264"/>
      <c r="AD264"/>
      <c r="AE264"/>
      <c r="AF264"/>
    </row>
    <row r="265" spans="7:32">
      <c r="G265" s="7"/>
      <c r="AA265"/>
      <c r="AB265"/>
      <c r="AC265"/>
      <c r="AD265"/>
      <c r="AE265"/>
      <c r="AF265"/>
    </row>
    <row r="266" spans="7:32">
      <c r="G266" s="7"/>
      <c r="AA266"/>
      <c r="AB266"/>
      <c r="AC266"/>
      <c r="AD266"/>
      <c r="AE266"/>
      <c r="AF266"/>
    </row>
    <row r="267" spans="7:32">
      <c r="G267" s="7"/>
      <c r="AA267"/>
      <c r="AB267"/>
      <c r="AC267"/>
      <c r="AD267"/>
      <c r="AE267"/>
      <c r="AF267"/>
    </row>
    <row r="268" spans="7:32">
      <c r="G268" s="7"/>
      <c r="AA268"/>
      <c r="AB268"/>
      <c r="AC268"/>
      <c r="AD268"/>
      <c r="AE268"/>
      <c r="AF268"/>
    </row>
    <row r="269" spans="7:32">
      <c r="G269" s="7"/>
      <c r="AA269"/>
      <c r="AB269"/>
      <c r="AC269"/>
      <c r="AD269"/>
      <c r="AE269"/>
      <c r="AF269"/>
    </row>
    <row r="270" spans="7:32">
      <c r="G270" s="7"/>
      <c r="AA270"/>
      <c r="AB270"/>
      <c r="AC270"/>
      <c r="AD270"/>
      <c r="AE270"/>
      <c r="AF270"/>
    </row>
    <row r="271" spans="7:32">
      <c r="G271" s="7"/>
      <c r="AA271"/>
      <c r="AB271"/>
      <c r="AC271"/>
      <c r="AD271"/>
      <c r="AE271"/>
      <c r="AF271"/>
    </row>
    <row r="272" spans="7:32">
      <c r="G272" s="7"/>
      <c r="AA272"/>
      <c r="AB272"/>
      <c r="AC272"/>
      <c r="AD272"/>
      <c r="AE272"/>
      <c r="AF272"/>
    </row>
    <row r="273" spans="7:32">
      <c r="G273" s="7"/>
      <c r="AA273"/>
      <c r="AB273"/>
      <c r="AC273"/>
      <c r="AD273"/>
      <c r="AE273"/>
      <c r="AF273"/>
    </row>
    <row r="274" spans="7:32">
      <c r="G274" s="7"/>
      <c r="AA274"/>
      <c r="AB274"/>
      <c r="AC274"/>
      <c r="AD274"/>
      <c r="AE274"/>
      <c r="AF274"/>
    </row>
    <row r="275" spans="7:32">
      <c r="G275" s="7"/>
      <c r="AA275"/>
      <c r="AB275"/>
      <c r="AC275"/>
      <c r="AD275"/>
      <c r="AE275"/>
      <c r="AF275"/>
    </row>
    <row r="276" spans="7:32">
      <c r="G276" s="7"/>
      <c r="AA276"/>
      <c r="AB276"/>
      <c r="AC276"/>
      <c r="AD276"/>
      <c r="AE276"/>
      <c r="AF276"/>
    </row>
    <row r="277" spans="7:32">
      <c r="G277" s="7"/>
      <c r="AA277"/>
      <c r="AB277"/>
      <c r="AC277"/>
      <c r="AD277"/>
      <c r="AE277"/>
      <c r="AF277"/>
    </row>
    <row r="278" spans="7:32">
      <c r="G278" s="7"/>
      <c r="AA278"/>
      <c r="AB278"/>
      <c r="AC278"/>
      <c r="AD278"/>
      <c r="AE278"/>
      <c r="AF278"/>
    </row>
    <row r="279" spans="7:32">
      <c r="G279" s="7"/>
      <c r="AA279"/>
      <c r="AB279"/>
      <c r="AC279"/>
      <c r="AD279"/>
      <c r="AE279"/>
      <c r="AF279"/>
    </row>
    <row r="280" spans="7:32">
      <c r="G280" s="7"/>
      <c r="AA280"/>
      <c r="AB280"/>
      <c r="AC280"/>
      <c r="AD280"/>
      <c r="AE280"/>
      <c r="AF280"/>
    </row>
    <row r="281" spans="7:32">
      <c r="G281" s="7"/>
      <c r="AA281"/>
      <c r="AB281"/>
      <c r="AC281"/>
      <c r="AD281"/>
      <c r="AE281"/>
      <c r="AF281"/>
    </row>
    <row r="282" spans="7:32">
      <c r="G282" s="7"/>
      <c r="AA282"/>
      <c r="AB282"/>
      <c r="AC282"/>
      <c r="AD282"/>
      <c r="AE282"/>
      <c r="AF282"/>
    </row>
    <row r="283" spans="7:32">
      <c r="G283" s="7"/>
      <c r="AA283"/>
      <c r="AB283"/>
      <c r="AC283"/>
      <c r="AD283"/>
      <c r="AE283"/>
      <c r="AF283"/>
    </row>
    <row r="284" spans="7:32">
      <c r="G284" s="7"/>
      <c r="AA284"/>
      <c r="AB284"/>
      <c r="AC284"/>
      <c r="AD284"/>
      <c r="AE284"/>
      <c r="AF284"/>
    </row>
    <row r="285" spans="7:32">
      <c r="G285" s="7"/>
      <c r="AA285"/>
      <c r="AB285"/>
      <c r="AC285"/>
      <c r="AD285"/>
      <c r="AE285"/>
      <c r="AF285"/>
    </row>
    <row r="286" spans="7:32">
      <c r="G286" s="7"/>
      <c r="AA286"/>
      <c r="AB286"/>
      <c r="AC286"/>
      <c r="AD286"/>
      <c r="AE286"/>
      <c r="AF286"/>
    </row>
    <row r="287" spans="7:32">
      <c r="G287" s="7"/>
      <c r="AA287"/>
      <c r="AB287"/>
      <c r="AC287"/>
      <c r="AD287"/>
      <c r="AE287"/>
      <c r="AF287"/>
    </row>
    <row r="288" spans="7:32">
      <c r="G288" s="7"/>
      <c r="AA288"/>
      <c r="AB288"/>
      <c r="AC288"/>
      <c r="AD288"/>
      <c r="AE288"/>
      <c r="AF288"/>
    </row>
    <row r="289" spans="7:32">
      <c r="G289" s="7"/>
      <c r="AA289"/>
      <c r="AB289"/>
      <c r="AC289"/>
      <c r="AD289"/>
      <c r="AE289"/>
      <c r="AF289"/>
    </row>
    <row r="290" spans="7:32">
      <c r="G290" s="7"/>
      <c r="AA290"/>
      <c r="AB290"/>
      <c r="AC290"/>
      <c r="AD290"/>
      <c r="AE290"/>
      <c r="AF290"/>
    </row>
    <row r="291" spans="7:32">
      <c r="G291" s="7"/>
      <c r="AA291"/>
      <c r="AB291"/>
      <c r="AC291"/>
      <c r="AD291"/>
      <c r="AE291"/>
      <c r="AF291"/>
    </row>
    <row r="292" spans="7:32">
      <c r="G292" s="7"/>
      <c r="AA292"/>
      <c r="AB292"/>
      <c r="AC292"/>
      <c r="AD292"/>
      <c r="AE292"/>
      <c r="AF292"/>
    </row>
    <row r="293" spans="7:32">
      <c r="G293" s="7"/>
      <c r="AA293"/>
      <c r="AB293"/>
      <c r="AC293"/>
      <c r="AD293"/>
      <c r="AE293"/>
      <c r="AF293"/>
    </row>
    <row r="294" spans="7:32">
      <c r="G294" s="7"/>
      <c r="AA294"/>
      <c r="AB294"/>
      <c r="AC294"/>
      <c r="AD294"/>
      <c r="AE294"/>
      <c r="AF294"/>
    </row>
    <row r="295" spans="7:32">
      <c r="G295" s="7"/>
      <c r="AA295"/>
      <c r="AB295"/>
      <c r="AC295"/>
      <c r="AD295"/>
      <c r="AE295"/>
      <c r="AF295"/>
    </row>
    <row r="296" spans="7:32">
      <c r="G296" s="7"/>
      <c r="AA296"/>
      <c r="AB296"/>
      <c r="AC296"/>
      <c r="AD296"/>
      <c r="AE296"/>
      <c r="AF296"/>
    </row>
    <row r="297" spans="7:32">
      <c r="G297" s="7"/>
      <c r="AA297"/>
      <c r="AB297"/>
      <c r="AC297"/>
      <c r="AD297"/>
      <c r="AE297"/>
      <c r="AF297"/>
    </row>
    <row r="298" spans="7:32">
      <c r="G298" s="7"/>
      <c r="AA298"/>
      <c r="AB298"/>
      <c r="AC298"/>
      <c r="AD298"/>
      <c r="AE298"/>
      <c r="AF298"/>
    </row>
    <row r="299" spans="7:32">
      <c r="G299" s="7"/>
      <c r="AA299"/>
      <c r="AB299"/>
      <c r="AC299"/>
      <c r="AD299"/>
      <c r="AE299"/>
      <c r="AF299"/>
    </row>
    <row r="300" spans="7:32">
      <c r="G300" s="7"/>
      <c r="AA300"/>
      <c r="AB300"/>
      <c r="AC300"/>
      <c r="AD300"/>
      <c r="AE300"/>
      <c r="AF300"/>
    </row>
    <row r="301" spans="7:32">
      <c r="G301" s="7"/>
      <c r="AA301"/>
      <c r="AB301"/>
      <c r="AC301"/>
      <c r="AD301"/>
      <c r="AE301"/>
      <c r="AF301"/>
    </row>
    <row r="302" spans="7:32">
      <c r="G302" s="7"/>
      <c r="AA302"/>
      <c r="AB302"/>
      <c r="AC302"/>
      <c r="AD302"/>
      <c r="AE302"/>
      <c r="AF302"/>
    </row>
    <row r="303" spans="7:32">
      <c r="G303" s="7"/>
      <c r="AA303"/>
      <c r="AB303"/>
      <c r="AC303"/>
      <c r="AD303"/>
      <c r="AE303"/>
      <c r="AF303"/>
    </row>
    <row r="304" spans="7:32">
      <c r="G304" s="7"/>
      <c r="AA304"/>
      <c r="AB304"/>
      <c r="AC304"/>
      <c r="AD304"/>
      <c r="AE304"/>
      <c r="AF304"/>
    </row>
    <row r="305" spans="7:32">
      <c r="G305" s="7"/>
      <c r="AA305"/>
      <c r="AB305"/>
      <c r="AC305"/>
      <c r="AD305"/>
      <c r="AE305"/>
      <c r="AF305"/>
    </row>
    <row r="306" spans="7:32">
      <c r="G306" s="7"/>
      <c r="AA306"/>
      <c r="AB306"/>
      <c r="AC306"/>
      <c r="AD306"/>
      <c r="AE306"/>
      <c r="AF306"/>
    </row>
    <row r="307" spans="7:32">
      <c r="G307" s="7"/>
      <c r="AA307"/>
      <c r="AB307"/>
      <c r="AC307"/>
      <c r="AD307"/>
      <c r="AE307"/>
      <c r="AF307"/>
    </row>
    <row r="308" spans="7:32">
      <c r="G308" s="7"/>
      <c r="AA308"/>
      <c r="AB308"/>
      <c r="AC308"/>
      <c r="AD308"/>
      <c r="AE308"/>
      <c r="AF308"/>
    </row>
    <row r="309" spans="7:32">
      <c r="G309" s="7"/>
      <c r="AA309"/>
      <c r="AB309"/>
      <c r="AC309"/>
      <c r="AD309"/>
      <c r="AE309"/>
      <c r="AF309"/>
    </row>
    <row r="310" spans="7:32">
      <c r="G310" s="7"/>
      <c r="AA310"/>
      <c r="AB310"/>
      <c r="AC310"/>
      <c r="AD310"/>
      <c r="AE310"/>
      <c r="AF310"/>
    </row>
    <row r="311" spans="7:32">
      <c r="G311" s="7"/>
      <c r="AA311"/>
      <c r="AB311"/>
      <c r="AC311"/>
      <c r="AD311"/>
      <c r="AE311"/>
      <c r="AF311"/>
    </row>
    <row r="312" spans="7:32">
      <c r="G312" s="7"/>
      <c r="AA312"/>
      <c r="AB312"/>
      <c r="AC312"/>
      <c r="AD312"/>
      <c r="AE312"/>
      <c r="AF312"/>
    </row>
    <row r="313" spans="7:32">
      <c r="G313" s="7"/>
      <c r="AA313"/>
      <c r="AB313"/>
      <c r="AC313"/>
      <c r="AD313"/>
      <c r="AE313"/>
      <c r="AF313"/>
    </row>
    <row r="314" spans="7:32">
      <c r="G314" s="7"/>
      <c r="AA314"/>
      <c r="AB314"/>
      <c r="AC314"/>
      <c r="AD314"/>
      <c r="AE314"/>
      <c r="AF314"/>
    </row>
    <row r="315" spans="7:32">
      <c r="G315" s="7"/>
      <c r="AA315"/>
      <c r="AB315"/>
      <c r="AC315"/>
      <c r="AD315"/>
      <c r="AE315"/>
      <c r="AF315"/>
    </row>
    <row r="316" spans="7:32">
      <c r="G316" s="7"/>
      <c r="AA316"/>
      <c r="AB316"/>
      <c r="AC316"/>
      <c r="AD316"/>
      <c r="AE316"/>
      <c r="AF316"/>
    </row>
    <row r="317" spans="7:32">
      <c r="G317" s="7"/>
      <c r="AA317"/>
      <c r="AB317"/>
      <c r="AC317"/>
      <c r="AD317"/>
      <c r="AE317"/>
      <c r="AF317"/>
    </row>
    <row r="318" spans="7:32">
      <c r="G318" s="7"/>
      <c r="AA318"/>
      <c r="AB318"/>
      <c r="AC318"/>
      <c r="AD318"/>
      <c r="AE318"/>
      <c r="AF318"/>
    </row>
    <row r="319" spans="7:32">
      <c r="G319" s="7"/>
      <c r="AA319"/>
      <c r="AB319"/>
      <c r="AC319"/>
      <c r="AD319"/>
      <c r="AE319"/>
      <c r="AF319"/>
    </row>
    <row r="320" spans="7:32">
      <c r="G320" s="7"/>
      <c r="AA320"/>
      <c r="AB320"/>
      <c r="AC320"/>
      <c r="AD320"/>
      <c r="AE320"/>
      <c r="AF320"/>
    </row>
    <row r="321" spans="7:32">
      <c r="G321" s="7"/>
      <c r="AA321"/>
      <c r="AB321"/>
      <c r="AC321"/>
      <c r="AD321"/>
      <c r="AE321"/>
      <c r="AF321"/>
    </row>
    <row r="322" spans="7:32">
      <c r="G322" s="7"/>
      <c r="AA322"/>
      <c r="AB322"/>
      <c r="AC322"/>
      <c r="AD322"/>
      <c r="AE322"/>
      <c r="AF322"/>
    </row>
    <row r="323" spans="7:32">
      <c r="G323" s="7"/>
      <c r="AA323"/>
      <c r="AB323"/>
      <c r="AC323"/>
      <c r="AD323"/>
      <c r="AE323"/>
      <c r="AF323"/>
    </row>
    <row r="324" spans="7:32">
      <c r="G324" s="7"/>
      <c r="AA324"/>
      <c r="AB324"/>
      <c r="AC324"/>
      <c r="AD324"/>
      <c r="AE324"/>
      <c r="AF324"/>
    </row>
    <row r="325" spans="7:32">
      <c r="G325" s="7"/>
      <c r="AA325"/>
      <c r="AB325"/>
      <c r="AC325"/>
      <c r="AD325"/>
      <c r="AE325"/>
      <c r="AF325"/>
    </row>
    <row r="326" spans="7:32">
      <c r="G326" s="7"/>
      <c r="AA326"/>
      <c r="AB326"/>
      <c r="AC326"/>
      <c r="AD326"/>
      <c r="AE326"/>
      <c r="AF326"/>
    </row>
    <row r="327" spans="7:32">
      <c r="G327" s="7"/>
      <c r="AA327"/>
      <c r="AB327"/>
      <c r="AC327"/>
      <c r="AD327"/>
      <c r="AE327"/>
      <c r="AF327"/>
    </row>
    <row r="328" spans="7:32">
      <c r="G328" s="7"/>
      <c r="AA328"/>
      <c r="AB328"/>
      <c r="AC328"/>
      <c r="AD328"/>
      <c r="AE328"/>
      <c r="AF328"/>
    </row>
    <row r="329" spans="7:32">
      <c r="G329" s="7"/>
      <c r="AA329"/>
      <c r="AB329"/>
      <c r="AC329"/>
      <c r="AD329"/>
      <c r="AE329"/>
      <c r="AF329"/>
    </row>
    <row r="330" spans="7:32">
      <c r="G330" s="7"/>
      <c r="AA330"/>
      <c r="AB330"/>
      <c r="AC330"/>
      <c r="AD330"/>
      <c r="AE330"/>
      <c r="AF330"/>
    </row>
    <row r="331" spans="7:32">
      <c r="G331" s="7"/>
      <c r="AA331"/>
      <c r="AB331"/>
      <c r="AC331"/>
      <c r="AD331"/>
      <c r="AE331"/>
      <c r="AF331"/>
    </row>
    <row r="332" spans="7:32">
      <c r="G332" s="7"/>
      <c r="AA332"/>
      <c r="AB332"/>
      <c r="AC332"/>
      <c r="AD332"/>
      <c r="AE332"/>
      <c r="AF332"/>
    </row>
    <row r="333" spans="7:32">
      <c r="G333" s="7"/>
      <c r="AA333"/>
      <c r="AB333"/>
      <c r="AC333"/>
      <c r="AD333"/>
      <c r="AE333"/>
      <c r="AF333"/>
    </row>
    <row r="334" spans="7:32">
      <c r="G334" s="7"/>
      <c r="AA334"/>
      <c r="AB334"/>
      <c r="AC334"/>
      <c r="AD334"/>
      <c r="AE334"/>
      <c r="AF334"/>
    </row>
    <row r="335" spans="7:32">
      <c r="G335" s="7"/>
      <c r="AA335"/>
      <c r="AB335"/>
      <c r="AC335"/>
      <c r="AD335"/>
      <c r="AE335"/>
      <c r="AF335"/>
    </row>
    <row r="336" spans="7:32">
      <c r="G336" s="7"/>
      <c r="AA336"/>
      <c r="AB336"/>
      <c r="AC336"/>
      <c r="AD336"/>
      <c r="AE336"/>
      <c r="AF336"/>
    </row>
    <row r="337" spans="7:32">
      <c r="G337" s="7"/>
      <c r="AA337"/>
      <c r="AB337"/>
      <c r="AC337"/>
      <c r="AD337"/>
      <c r="AE337"/>
      <c r="AF337"/>
    </row>
    <row r="338" spans="7:32">
      <c r="G338" s="7"/>
      <c r="AA338"/>
      <c r="AB338"/>
      <c r="AC338"/>
      <c r="AD338"/>
      <c r="AE338"/>
      <c r="AF338"/>
    </row>
    <row r="339" spans="7:32">
      <c r="G339" s="7"/>
      <c r="AA339"/>
      <c r="AB339"/>
      <c r="AC339"/>
      <c r="AD339"/>
      <c r="AE339"/>
      <c r="AF339"/>
    </row>
    <row r="340" spans="7:32">
      <c r="G340" s="7"/>
      <c r="AA340"/>
      <c r="AB340"/>
      <c r="AC340"/>
      <c r="AD340"/>
      <c r="AE340"/>
      <c r="AF340"/>
    </row>
    <row r="341" spans="7:32">
      <c r="G341" s="7"/>
      <c r="AA341"/>
      <c r="AB341"/>
      <c r="AC341"/>
      <c r="AD341"/>
      <c r="AE341"/>
      <c r="AF341"/>
    </row>
    <row r="342" spans="7:32">
      <c r="G342" s="7"/>
      <c r="AA342"/>
      <c r="AB342"/>
      <c r="AC342"/>
      <c r="AD342"/>
      <c r="AE342"/>
      <c r="AF342"/>
    </row>
    <row r="343" spans="7:32">
      <c r="G343" s="7"/>
      <c r="AA343"/>
      <c r="AB343"/>
      <c r="AC343"/>
      <c r="AD343"/>
      <c r="AE343"/>
      <c r="AF343"/>
    </row>
    <row r="344" spans="7:32">
      <c r="G344" s="7"/>
      <c r="AA344"/>
      <c r="AB344"/>
      <c r="AC344"/>
      <c r="AD344"/>
      <c r="AE344"/>
      <c r="AF344"/>
    </row>
    <row r="345" spans="7:32">
      <c r="G345" s="7"/>
      <c r="AA345"/>
      <c r="AB345"/>
      <c r="AC345"/>
      <c r="AD345"/>
      <c r="AE345"/>
      <c r="AF345"/>
    </row>
    <row r="346" spans="7:32">
      <c r="G346" s="7"/>
      <c r="AA346"/>
      <c r="AB346"/>
      <c r="AC346"/>
      <c r="AD346"/>
      <c r="AE346"/>
      <c r="AF346"/>
    </row>
    <row r="347" spans="7:32">
      <c r="G347" s="7"/>
      <c r="AA347"/>
      <c r="AB347"/>
      <c r="AC347"/>
      <c r="AD347"/>
      <c r="AE347"/>
      <c r="AF347"/>
    </row>
    <row r="348" spans="7:32">
      <c r="G348" s="7"/>
      <c r="AA348"/>
      <c r="AB348"/>
      <c r="AC348"/>
      <c r="AD348"/>
      <c r="AE348"/>
      <c r="AF348"/>
    </row>
    <row r="349" spans="7:32">
      <c r="G349" s="7"/>
      <c r="AA349"/>
      <c r="AB349"/>
      <c r="AC349"/>
      <c r="AD349"/>
      <c r="AE349"/>
      <c r="AF349"/>
    </row>
    <row r="350" spans="7:32">
      <c r="G350" s="7"/>
      <c r="AA350"/>
      <c r="AB350"/>
      <c r="AC350"/>
      <c r="AD350"/>
      <c r="AE350"/>
      <c r="AF350"/>
    </row>
    <row r="351" spans="7:32">
      <c r="G351" s="7"/>
      <c r="AA351"/>
      <c r="AB351"/>
      <c r="AC351"/>
      <c r="AD351"/>
      <c r="AE351"/>
      <c r="AF351"/>
    </row>
    <row r="352" spans="7:32">
      <c r="G352" s="7"/>
      <c r="AA352"/>
      <c r="AB352"/>
      <c r="AC352"/>
      <c r="AD352"/>
      <c r="AE352"/>
      <c r="AF352"/>
    </row>
    <row r="353" spans="7:32">
      <c r="G353" s="7"/>
      <c r="AA353"/>
      <c r="AB353"/>
      <c r="AC353"/>
      <c r="AD353"/>
      <c r="AE353"/>
      <c r="AF353"/>
    </row>
    <row r="354" spans="7:32">
      <c r="G354" s="7"/>
      <c r="AA354"/>
      <c r="AB354"/>
      <c r="AC354"/>
      <c r="AD354"/>
      <c r="AE354"/>
      <c r="AF354"/>
    </row>
    <row r="355" spans="7:32">
      <c r="G355" s="7"/>
      <c r="AA355"/>
      <c r="AB355"/>
      <c r="AC355"/>
      <c r="AD355"/>
      <c r="AE355"/>
      <c r="AF355"/>
    </row>
    <row r="356" spans="7:32">
      <c r="G356" s="7"/>
      <c r="AA356"/>
      <c r="AB356"/>
      <c r="AC356"/>
      <c r="AD356"/>
      <c r="AE356"/>
      <c r="AF356"/>
    </row>
    <row r="357" spans="7:32">
      <c r="G357" s="7"/>
      <c r="AA357"/>
      <c r="AB357"/>
      <c r="AC357"/>
      <c r="AD357"/>
      <c r="AE357"/>
      <c r="AF357"/>
    </row>
    <row r="358" spans="7:32">
      <c r="G358" s="7"/>
      <c r="AA358"/>
      <c r="AB358"/>
      <c r="AC358"/>
      <c r="AD358"/>
      <c r="AE358"/>
      <c r="AF358"/>
    </row>
    <row r="359" spans="7:32">
      <c r="G359" s="7"/>
      <c r="AA359"/>
      <c r="AB359"/>
      <c r="AC359"/>
      <c r="AD359"/>
      <c r="AE359"/>
      <c r="AF359"/>
    </row>
    <row r="360" spans="7:32">
      <c r="G360" s="7"/>
      <c r="AA360"/>
      <c r="AB360"/>
      <c r="AC360"/>
      <c r="AD360"/>
      <c r="AE360"/>
      <c r="AF360"/>
    </row>
    <row r="361" spans="7:32">
      <c r="G361" s="7"/>
      <c r="AA361"/>
      <c r="AB361"/>
      <c r="AC361"/>
      <c r="AD361"/>
      <c r="AE361"/>
      <c r="AF361"/>
    </row>
    <row r="362" spans="7:32">
      <c r="G362" s="7"/>
      <c r="AA362"/>
      <c r="AB362"/>
      <c r="AC362"/>
      <c r="AD362"/>
      <c r="AE362"/>
      <c r="AF362"/>
    </row>
    <row r="363" spans="7:32">
      <c r="G363" s="7"/>
      <c r="AA363"/>
      <c r="AB363"/>
      <c r="AC363"/>
      <c r="AD363"/>
      <c r="AE363"/>
      <c r="AF363"/>
    </row>
    <row r="364" spans="7:32">
      <c r="G364" s="7"/>
      <c r="AA364"/>
      <c r="AB364"/>
      <c r="AC364"/>
      <c r="AD364"/>
      <c r="AE364"/>
      <c r="AF364"/>
    </row>
    <row r="365" spans="7:32">
      <c r="G365" s="7"/>
      <c r="AA365"/>
      <c r="AB365"/>
      <c r="AC365"/>
      <c r="AD365"/>
      <c r="AE365"/>
      <c r="AF365"/>
    </row>
    <row r="366" spans="7:32">
      <c r="G366" s="7"/>
      <c r="AA366"/>
      <c r="AB366"/>
      <c r="AC366"/>
      <c r="AD366"/>
      <c r="AE366"/>
      <c r="AF366"/>
    </row>
    <row r="367" spans="7:32">
      <c r="G367" s="7"/>
      <c r="AA367"/>
      <c r="AB367"/>
      <c r="AC367"/>
      <c r="AD367"/>
      <c r="AE367"/>
      <c r="AF367"/>
    </row>
    <row r="368" spans="7:32">
      <c r="G368" s="7"/>
      <c r="AA368"/>
      <c r="AB368"/>
      <c r="AC368"/>
      <c r="AD368"/>
      <c r="AE368"/>
      <c r="AF368"/>
    </row>
    <row r="369" spans="7:32">
      <c r="G369" s="7"/>
      <c r="AA369"/>
      <c r="AB369"/>
      <c r="AC369"/>
      <c r="AD369"/>
      <c r="AE369"/>
      <c r="AF369"/>
    </row>
    <row r="370" spans="7:32">
      <c r="G370" s="7"/>
      <c r="AA370"/>
      <c r="AB370"/>
      <c r="AC370"/>
      <c r="AD370"/>
      <c r="AE370"/>
      <c r="AF370"/>
    </row>
    <row r="371" spans="7:32">
      <c r="G371" s="7"/>
      <c r="AA371"/>
      <c r="AB371"/>
      <c r="AC371"/>
      <c r="AD371"/>
      <c r="AE371"/>
      <c r="AF371"/>
    </row>
    <row r="372" spans="7:32">
      <c r="G372" s="7"/>
      <c r="AA372"/>
      <c r="AB372"/>
      <c r="AC372"/>
      <c r="AD372"/>
      <c r="AE372"/>
      <c r="AF372"/>
    </row>
    <row r="373" spans="7:32">
      <c r="G373" s="7"/>
      <c r="AA373"/>
      <c r="AB373"/>
      <c r="AC373"/>
      <c r="AD373"/>
      <c r="AE373"/>
      <c r="AF373"/>
    </row>
    <row r="374" spans="7:32">
      <c r="G374" s="7"/>
      <c r="AA374"/>
      <c r="AB374"/>
      <c r="AC374"/>
      <c r="AD374"/>
      <c r="AE374"/>
      <c r="AF374"/>
    </row>
    <row r="375" spans="7:32">
      <c r="G375" s="7"/>
      <c r="AA375"/>
      <c r="AB375"/>
      <c r="AC375"/>
      <c r="AD375"/>
      <c r="AE375"/>
      <c r="AF375"/>
    </row>
    <row r="376" spans="7:32">
      <c r="G376" s="7"/>
      <c r="AA376"/>
      <c r="AB376"/>
      <c r="AC376"/>
      <c r="AD376"/>
      <c r="AE376"/>
      <c r="AF376"/>
    </row>
    <row r="377" spans="7:32">
      <c r="G377" s="7"/>
      <c r="AA377"/>
      <c r="AB377"/>
      <c r="AC377"/>
      <c r="AD377"/>
      <c r="AE377"/>
      <c r="AF377"/>
    </row>
    <row r="378" spans="7:32">
      <c r="G378" s="7"/>
      <c r="AA378"/>
      <c r="AB378"/>
      <c r="AC378"/>
      <c r="AD378"/>
      <c r="AE378"/>
      <c r="AF378"/>
    </row>
    <row r="379" spans="7:32">
      <c r="G379" s="7"/>
      <c r="AA379"/>
      <c r="AB379"/>
      <c r="AC379"/>
      <c r="AD379"/>
      <c r="AE379"/>
      <c r="AF379"/>
    </row>
    <row r="380" spans="7:32">
      <c r="G380" s="7"/>
      <c r="AA380"/>
      <c r="AB380"/>
      <c r="AC380"/>
      <c r="AD380"/>
      <c r="AE380"/>
      <c r="AF380"/>
    </row>
    <row r="381" spans="7:32">
      <c r="G381" s="7"/>
      <c r="AA381"/>
      <c r="AB381"/>
      <c r="AC381"/>
      <c r="AD381"/>
      <c r="AE381"/>
      <c r="AF381"/>
    </row>
    <row r="382" spans="7:32">
      <c r="G382" s="7"/>
      <c r="AA382"/>
      <c r="AB382"/>
      <c r="AC382"/>
      <c r="AD382"/>
      <c r="AE382"/>
      <c r="AF382"/>
    </row>
    <row r="383" spans="7:32">
      <c r="G383" s="7"/>
      <c r="AA383"/>
      <c r="AB383"/>
      <c r="AC383"/>
      <c r="AD383"/>
      <c r="AE383"/>
      <c r="AF383"/>
    </row>
    <row r="384" spans="7:32">
      <c r="G384" s="7"/>
      <c r="AA384"/>
      <c r="AB384"/>
      <c r="AC384"/>
      <c r="AD384"/>
      <c r="AE384"/>
      <c r="AF384"/>
    </row>
    <row r="385" spans="7:32">
      <c r="G385" s="7"/>
      <c r="AA385"/>
      <c r="AB385"/>
      <c r="AC385"/>
      <c r="AD385"/>
      <c r="AE385"/>
      <c r="AF385"/>
    </row>
    <row r="386" spans="7:32">
      <c r="G386" s="7"/>
      <c r="AA386"/>
      <c r="AB386"/>
      <c r="AC386"/>
      <c r="AD386"/>
      <c r="AE386"/>
      <c r="AF386"/>
    </row>
    <row r="387" spans="7:32">
      <c r="G387" s="7"/>
      <c r="AA387"/>
      <c r="AB387"/>
      <c r="AC387"/>
      <c r="AD387"/>
      <c r="AE387"/>
      <c r="AF387"/>
    </row>
    <row r="388" spans="7:32">
      <c r="G388" s="7"/>
      <c r="AA388"/>
      <c r="AB388"/>
      <c r="AC388"/>
      <c r="AD388"/>
      <c r="AE388"/>
      <c r="AF388"/>
    </row>
    <row r="389" spans="7:32">
      <c r="G389" s="7"/>
      <c r="AA389"/>
      <c r="AB389"/>
      <c r="AC389"/>
      <c r="AD389"/>
      <c r="AE389"/>
      <c r="AF389"/>
    </row>
    <row r="390" spans="7:32">
      <c r="G390" s="7"/>
      <c r="AA390"/>
      <c r="AB390"/>
      <c r="AC390"/>
      <c r="AD390"/>
      <c r="AE390"/>
      <c r="AF390"/>
    </row>
    <row r="391" spans="7:32">
      <c r="G391" s="7"/>
      <c r="AA391"/>
      <c r="AB391"/>
      <c r="AC391"/>
      <c r="AD391"/>
      <c r="AE391"/>
      <c r="AF391"/>
    </row>
    <row r="392" spans="7:32">
      <c r="G392" s="7"/>
      <c r="AA392"/>
      <c r="AB392"/>
      <c r="AC392"/>
      <c r="AD392"/>
      <c r="AE392"/>
      <c r="AF392"/>
    </row>
    <row r="393" spans="7:32">
      <c r="G393" s="7"/>
      <c r="AA393"/>
      <c r="AB393"/>
      <c r="AC393"/>
      <c r="AD393"/>
      <c r="AE393"/>
      <c r="AF393"/>
    </row>
    <row r="394" spans="7:32">
      <c r="G394" s="7"/>
      <c r="AA394"/>
      <c r="AB394"/>
      <c r="AC394"/>
      <c r="AD394"/>
      <c r="AE394"/>
      <c r="AF394"/>
    </row>
    <row r="395" spans="7:32">
      <c r="G395" s="7"/>
      <c r="AA395"/>
      <c r="AB395"/>
      <c r="AC395"/>
      <c r="AD395"/>
      <c r="AE395"/>
      <c r="AF395"/>
    </row>
    <row r="396" spans="7:32">
      <c r="G396" s="7"/>
      <c r="AA396"/>
      <c r="AB396"/>
      <c r="AC396"/>
      <c r="AD396"/>
      <c r="AE396"/>
      <c r="AF396"/>
    </row>
    <row r="397" spans="7:32">
      <c r="G397" s="7"/>
      <c r="AA397"/>
      <c r="AB397"/>
      <c r="AC397"/>
      <c r="AD397"/>
      <c r="AE397"/>
      <c r="AF397"/>
    </row>
    <row r="398" spans="7:32">
      <c r="G398" s="7"/>
      <c r="AA398"/>
      <c r="AB398"/>
      <c r="AC398"/>
      <c r="AD398"/>
      <c r="AE398"/>
      <c r="AF398"/>
    </row>
    <row r="399" spans="7:32">
      <c r="G399" s="7"/>
      <c r="AA399"/>
      <c r="AB399"/>
      <c r="AC399"/>
      <c r="AD399"/>
      <c r="AE399"/>
      <c r="AF399"/>
    </row>
    <row r="400" spans="7:32">
      <c r="G400" s="7"/>
      <c r="AA400"/>
      <c r="AB400"/>
      <c r="AC400"/>
      <c r="AD400"/>
      <c r="AE400"/>
      <c r="AF400"/>
    </row>
    <row r="401" spans="7:32">
      <c r="G401" s="7"/>
      <c r="AA401"/>
      <c r="AB401"/>
      <c r="AC401"/>
      <c r="AD401"/>
      <c r="AE401"/>
      <c r="AF401"/>
    </row>
    <row r="402" spans="7:32">
      <c r="G402" s="7"/>
      <c r="AA402"/>
      <c r="AB402"/>
      <c r="AC402"/>
      <c r="AD402"/>
      <c r="AE402"/>
      <c r="AF402"/>
    </row>
    <row r="403" spans="7:32">
      <c r="G403" s="7"/>
      <c r="AA403"/>
      <c r="AB403"/>
      <c r="AC403"/>
      <c r="AD403"/>
      <c r="AE403"/>
      <c r="AF403"/>
    </row>
    <row r="404" spans="7:32">
      <c r="G404" s="7"/>
      <c r="AA404"/>
      <c r="AB404"/>
      <c r="AC404"/>
      <c r="AD404"/>
      <c r="AE404"/>
      <c r="AF404"/>
    </row>
    <row r="405" spans="7:32">
      <c r="G405" s="7"/>
      <c r="AA405"/>
      <c r="AB405"/>
      <c r="AC405"/>
      <c r="AD405"/>
      <c r="AE405"/>
      <c r="AF405"/>
    </row>
    <row r="406" spans="7:32">
      <c r="G406" s="7"/>
      <c r="AA406"/>
      <c r="AB406"/>
      <c r="AC406"/>
      <c r="AD406"/>
      <c r="AE406"/>
      <c r="AF406"/>
    </row>
    <row r="407" spans="7:32">
      <c r="G407" s="7"/>
      <c r="AA407"/>
      <c r="AB407"/>
      <c r="AC407"/>
      <c r="AD407"/>
      <c r="AE407"/>
      <c r="AF407"/>
    </row>
    <row r="408" spans="7:32">
      <c r="G408" s="7"/>
      <c r="AA408"/>
      <c r="AB408"/>
      <c r="AC408"/>
      <c r="AD408"/>
      <c r="AE408"/>
      <c r="AF408"/>
    </row>
    <row r="409" spans="7:32">
      <c r="G409" s="7"/>
      <c r="AA409"/>
      <c r="AB409"/>
      <c r="AC409"/>
      <c r="AD409"/>
      <c r="AE409"/>
      <c r="AF409"/>
    </row>
    <row r="410" spans="7:32">
      <c r="G410" s="7"/>
      <c r="AA410"/>
      <c r="AB410"/>
      <c r="AC410"/>
      <c r="AD410"/>
      <c r="AE410"/>
      <c r="AF410"/>
    </row>
    <row r="411" spans="7:32">
      <c r="G411" s="7"/>
      <c r="AA411"/>
      <c r="AB411"/>
      <c r="AC411"/>
      <c r="AD411"/>
      <c r="AE411"/>
      <c r="AF411"/>
    </row>
    <row r="412" spans="7:32">
      <c r="G412" s="7"/>
      <c r="AA412"/>
      <c r="AB412"/>
      <c r="AC412"/>
      <c r="AD412"/>
      <c r="AE412"/>
      <c r="AF412"/>
    </row>
    <row r="413" spans="7:32">
      <c r="G413" s="7"/>
      <c r="AA413"/>
      <c r="AB413"/>
      <c r="AC413"/>
      <c r="AD413"/>
      <c r="AE413"/>
      <c r="AF413"/>
    </row>
    <row r="414" spans="7:32">
      <c r="G414" s="7"/>
      <c r="AA414"/>
      <c r="AB414"/>
      <c r="AC414"/>
      <c r="AD414"/>
      <c r="AE414"/>
      <c r="AF414"/>
    </row>
    <row r="415" spans="7:32">
      <c r="G415" s="7"/>
      <c r="AA415"/>
      <c r="AB415"/>
      <c r="AC415"/>
      <c r="AD415"/>
      <c r="AE415"/>
      <c r="AF415"/>
    </row>
    <row r="416" spans="7:32">
      <c r="G416" s="7"/>
      <c r="AA416"/>
      <c r="AB416"/>
      <c r="AC416"/>
      <c r="AD416"/>
      <c r="AE416"/>
      <c r="AF416"/>
    </row>
    <row r="417" spans="7:32">
      <c r="G417" s="7"/>
      <c r="AA417"/>
      <c r="AB417"/>
      <c r="AC417"/>
      <c r="AD417"/>
      <c r="AE417"/>
      <c r="AF417"/>
    </row>
    <row r="418" spans="7:32">
      <c r="G418" s="7"/>
      <c r="AA418"/>
      <c r="AB418"/>
      <c r="AC418"/>
      <c r="AD418"/>
      <c r="AE418"/>
      <c r="AF418"/>
    </row>
    <row r="419" spans="7:32">
      <c r="G419" s="7"/>
      <c r="AA419"/>
      <c r="AB419"/>
      <c r="AC419"/>
      <c r="AD419"/>
      <c r="AE419"/>
      <c r="AF419"/>
    </row>
    <row r="420" spans="7:32">
      <c r="G420" s="7"/>
      <c r="AA420"/>
      <c r="AB420"/>
      <c r="AC420"/>
      <c r="AD420"/>
      <c r="AE420"/>
      <c r="AF420"/>
    </row>
    <row r="421" spans="7:32">
      <c r="G421" s="7"/>
      <c r="AA421"/>
      <c r="AB421"/>
      <c r="AC421"/>
      <c r="AD421"/>
      <c r="AE421"/>
      <c r="AF421"/>
    </row>
    <row r="422" spans="7:32">
      <c r="G422" s="7"/>
      <c r="AA422"/>
      <c r="AB422"/>
      <c r="AC422"/>
      <c r="AD422"/>
      <c r="AE422"/>
      <c r="AF422"/>
    </row>
    <row r="423" spans="7:32">
      <c r="G423" s="7"/>
      <c r="AA423"/>
      <c r="AB423"/>
      <c r="AC423"/>
      <c r="AD423"/>
      <c r="AE423"/>
      <c r="AF423"/>
    </row>
    <row r="424" spans="7:32">
      <c r="G424" s="7"/>
      <c r="AA424"/>
      <c r="AB424"/>
      <c r="AC424"/>
      <c r="AD424"/>
      <c r="AE424"/>
      <c r="AF424"/>
    </row>
    <row r="425" spans="7:32">
      <c r="G425" s="7"/>
      <c r="AA425"/>
      <c r="AB425"/>
      <c r="AC425"/>
      <c r="AD425"/>
      <c r="AE425"/>
      <c r="AF425"/>
    </row>
    <row r="426" spans="7:32">
      <c r="G426" s="7"/>
      <c r="AA426"/>
      <c r="AB426"/>
      <c r="AC426"/>
      <c r="AD426"/>
      <c r="AE426"/>
      <c r="AF426"/>
    </row>
    <row r="427" spans="7:32">
      <c r="G427" s="7"/>
      <c r="AA427"/>
      <c r="AB427"/>
      <c r="AC427"/>
      <c r="AD427"/>
      <c r="AE427"/>
      <c r="AF427"/>
    </row>
    <row r="428" spans="7:32">
      <c r="G428" s="7"/>
      <c r="AA428"/>
      <c r="AB428"/>
      <c r="AC428"/>
      <c r="AD428"/>
      <c r="AE428"/>
      <c r="AF428"/>
    </row>
    <row r="429" spans="7:32">
      <c r="G429" s="7"/>
      <c r="AA429"/>
      <c r="AB429"/>
      <c r="AC429"/>
      <c r="AD429"/>
      <c r="AE429"/>
      <c r="AF429"/>
    </row>
    <row r="430" spans="7:32">
      <c r="G430" s="7"/>
      <c r="AA430"/>
      <c r="AB430"/>
      <c r="AC430"/>
      <c r="AD430"/>
      <c r="AE430"/>
      <c r="AF430"/>
    </row>
    <row r="431" spans="7:32">
      <c r="G431" s="7"/>
      <c r="AA431"/>
      <c r="AB431"/>
      <c r="AC431"/>
      <c r="AD431"/>
      <c r="AE431"/>
      <c r="AF431"/>
    </row>
    <row r="432" spans="7:32">
      <c r="G432" s="7"/>
      <c r="AA432"/>
      <c r="AB432"/>
      <c r="AC432"/>
      <c r="AD432"/>
      <c r="AE432"/>
      <c r="AF432"/>
    </row>
    <row r="433" spans="7:32">
      <c r="G433" s="7"/>
      <c r="AA433"/>
      <c r="AB433"/>
      <c r="AC433"/>
      <c r="AD433"/>
      <c r="AE433"/>
      <c r="AF433"/>
    </row>
    <row r="434" spans="7:32">
      <c r="G434" s="7"/>
      <c r="AA434"/>
      <c r="AB434"/>
      <c r="AC434"/>
      <c r="AD434"/>
      <c r="AE434"/>
      <c r="AF434"/>
    </row>
    <row r="435" spans="7:32">
      <c r="G435" s="7"/>
      <c r="AA435"/>
      <c r="AB435"/>
      <c r="AC435"/>
      <c r="AD435"/>
      <c r="AE435"/>
      <c r="AF435"/>
    </row>
    <row r="436" spans="7:32">
      <c r="G436" s="7"/>
      <c r="AA436"/>
      <c r="AB436"/>
      <c r="AC436"/>
      <c r="AD436"/>
      <c r="AE436"/>
      <c r="AF436"/>
    </row>
    <row r="437" spans="7:32">
      <c r="G437" s="7"/>
      <c r="AA437"/>
      <c r="AB437"/>
      <c r="AC437"/>
      <c r="AD437"/>
      <c r="AE437"/>
      <c r="AF437"/>
    </row>
    <row r="438" spans="7:32">
      <c r="G438" s="7"/>
      <c r="AA438"/>
      <c r="AB438"/>
      <c r="AC438"/>
      <c r="AD438"/>
      <c r="AE438"/>
      <c r="AF438"/>
    </row>
    <row r="439" spans="7:32">
      <c r="G439" s="7"/>
      <c r="AA439"/>
      <c r="AB439"/>
      <c r="AC439"/>
      <c r="AD439"/>
      <c r="AE439"/>
      <c r="AF439"/>
    </row>
    <row r="440" spans="7:32">
      <c r="G440" s="7"/>
      <c r="AA440"/>
      <c r="AB440"/>
      <c r="AC440"/>
      <c r="AD440"/>
      <c r="AE440"/>
      <c r="AF440"/>
    </row>
    <row r="441" spans="7:32">
      <c r="G441" s="7"/>
      <c r="AA441"/>
      <c r="AB441"/>
      <c r="AC441"/>
      <c r="AD441"/>
      <c r="AE441"/>
      <c r="AF441"/>
    </row>
    <row r="442" spans="7:32">
      <c r="G442" s="7"/>
      <c r="AA442"/>
      <c r="AB442"/>
      <c r="AC442"/>
      <c r="AD442"/>
      <c r="AE442"/>
      <c r="AF442"/>
    </row>
    <row r="443" spans="7:32">
      <c r="G443" s="7"/>
      <c r="AA443"/>
      <c r="AB443"/>
      <c r="AC443"/>
      <c r="AD443"/>
      <c r="AE443"/>
      <c r="AF443"/>
    </row>
    <row r="444" spans="7:32">
      <c r="G444" s="7"/>
      <c r="AA444"/>
      <c r="AB444"/>
      <c r="AC444"/>
      <c r="AD444"/>
      <c r="AE444"/>
      <c r="AF444"/>
    </row>
    <row r="445" spans="7:32">
      <c r="G445" s="7"/>
      <c r="AA445"/>
      <c r="AB445"/>
      <c r="AC445"/>
      <c r="AD445"/>
      <c r="AE445"/>
      <c r="AF445"/>
    </row>
    <row r="446" spans="7:32">
      <c r="G446" s="7"/>
      <c r="AA446"/>
      <c r="AB446"/>
      <c r="AC446"/>
      <c r="AD446"/>
      <c r="AE446"/>
      <c r="AF446"/>
    </row>
    <row r="447" spans="7:32">
      <c r="G447" s="7"/>
      <c r="AA447"/>
      <c r="AB447"/>
      <c r="AC447"/>
      <c r="AD447"/>
      <c r="AE447"/>
      <c r="AF447"/>
    </row>
    <row r="448" spans="7:32">
      <c r="G448" s="7"/>
      <c r="AA448"/>
      <c r="AB448"/>
      <c r="AC448"/>
      <c r="AD448"/>
      <c r="AE448"/>
      <c r="AF448"/>
    </row>
    <row r="449" spans="7:32">
      <c r="G449" s="7"/>
      <c r="AA449"/>
      <c r="AB449"/>
      <c r="AC449"/>
      <c r="AD449"/>
      <c r="AE449"/>
      <c r="AF449"/>
    </row>
    <row r="450" spans="7:32">
      <c r="G450" s="7"/>
      <c r="AA450"/>
      <c r="AB450"/>
      <c r="AC450"/>
      <c r="AD450"/>
      <c r="AE450"/>
      <c r="AF450"/>
    </row>
    <row r="451" spans="7:32">
      <c r="G451" s="7"/>
      <c r="AA451"/>
      <c r="AB451"/>
      <c r="AC451"/>
      <c r="AD451"/>
      <c r="AE451"/>
      <c r="AF451"/>
    </row>
    <row r="452" spans="7:32">
      <c r="G452" s="7"/>
      <c r="AA452"/>
      <c r="AB452"/>
      <c r="AC452"/>
      <c r="AD452"/>
      <c r="AE452"/>
      <c r="AF452"/>
    </row>
    <row r="453" spans="7:32">
      <c r="G453" s="7"/>
      <c r="AA453"/>
      <c r="AB453"/>
      <c r="AC453"/>
      <c r="AD453"/>
      <c r="AE453"/>
      <c r="AF453"/>
    </row>
    <row r="454" spans="7:32">
      <c r="G454" s="7"/>
      <c r="AA454"/>
      <c r="AB454"/>
      <c r="AC454"/>
      <c r="AD454"/>
      <c r="AE454"/>
      <c r="AF454"/>
    </row>
    <row r="455" spans="7:32">
      <c r="G455" s="7"/>
      <c r="AA455"/>
      <c r="AB455"/>
      <c r="AC455"/>
      <c r="AD455"/>
      <c r="AE455"/>
      <c r="AF455"/>
    </row>
    <row r="456" spans="7:32">
      <c r="G456" s="7"/>
      <c r="AA456"/>
      <c r="AB456"/>
      <c r="AC456"/>
      <c r="AD456"/>
      <c r="AE456"/>
      <c r="AF456"/>
    </row>
    <row r="457" spans="7:32">
      <c r="G457" s="7"/>
      <c r="AA457"/>
      <c r="AB457"/>
      <c r="AC457"/>
      <c r="AD457"/>
      <c r="AE457"/>
      <c r="AF457"/>
    </row>
    <row r="458" spans="7:32">
      <c r="G458" s="7"/>
      <c r="AA458"/>
      <c r="AB458"/>
      <c r="AC458"/>
      <c r="AD458"/>
      <c r="AE458"/>
      <c r="AF458"/>
    </row>
    <row r="459" spans="7:32">
      <c r="G459" s="7"/>
      <c r="AA459"/>
      <c r="AB459"/>
      <c r="AC459"/>
      <c r="AD459"/>
      <c r="AE459"/>
      <c r="AF459"/>
    </row>
    <row r="460" spans="7:32">
      <c r="G460" s="7"/>
      <c r="AA460"/>
      <c r="AB460"/>
      <c r="AC460"/>
      <c r="AD460"/>
      <c r="AE460"/>
      <c r="AF460"/>
    </row>
    <row r="461" spans="7:32">
      <c r="G461" s="7"/>
      <c r="AA461"/>
      <c r="AB461"/>
      <c r="AC461"/>
      <c r="AD461"/>
      <c r="AE461"/>
      <c r="AF461"/>
    </row>
    <row r="462" spans="7:32">
      <c r="G462" s="7"/>
      <c r="AA462"/>
      <c r="AB462"/>
      <c r="AC462"/>
      <c r="AD462"/>
      <c r="AE462"/>
      <c r="AF462"/>
    </row>
    <row r="463" spans="7:32">
      <c r="G463" s="7"/>
      <c r="AA463"/>
      <c r="AB463"/>
      <c r="AC463"/>
      <c r="AD463"/>
      <c r="AE463"/>
      <c r="AF463"/>
    </row>
    <row r="464" spans="7:32">
      <c r="G464" s="7"/>
      <c r="AA464"/>
      <c r="AB464"/>
      <c r="AC464"/>
      <c r="AD464"/>
      <c r="AE464"/>
      <c r="AF464"/>
    </row>
    <row r="465" spans="7:32">
      <c r="G465" s="7"/>
      <c r="AA465"/>
      <c r="AB465"/>
      <c r="AC465"/>
      <c r="AD465"/>
      <c r="AE465"/>
      <c r="AF465"/>
    </row>
    <row r="466" spans="7:32">
      <c r="G466" s="7"/>
      <c r="AA466"/>
      <c r="AB466"/>
      <c r="AC466"/>
      <c r="AD466"/>
      <c r="AE466"/>
      <c r="AF466"/>
    </row>
    <row r="467" spans="7:32">
      <c r="G467" s="7"/>
      <c r="AA467"/>
      <c r="AB467"/>
      <c r="AC467"/>
      <c r="AD467"/>
      <c r="AE467"/>
      <c r="AF467"/>
    </row>
    <row r="468" spans="7:32">
      <c r="G468" s="7"/>
      <c r="AA468"/>
      <c r="AB468"/>
      <c r="AC468"/>
      <c r="AD468"/>
      <c r="AE468"/>
      <c r="AF468"/>
    </row>
    <row r="469" spans="7:32">
      <c r="G469" s="7"/>
      <c r="AA469"/>
      <c r="AB469"/>
      <c r="AC469"/>
      <c r="AD469"/>
      <c r="AE469"/>
      <c r="AF469"/>
    </row>
    <row r="470" spans="7:32">
      <c r="G470" s="7"/>
      <c r="AA470"/>
      <c r="AB470"/>
      <c r="AC470"/>
      <c r="AD470"/>
      <c r="AE470"/>
      <c r="AF470"/>
    </row>
    <row r="471" spans="7:32">
      <c r="G471" s="7"/>
      <c r="AA471"/>
      <c r="AB471"/>
      <c r="AC471"/>
      <c r="AD471"/>
      <c r="AE471"/>
      <c r="AF471"/>
    </row>
    <row r="472" spans="7:32">
      <c r="G472" s="7"/>
      <c r="AA472"/>
      <c r="AB472"/>
      <c r="AC472"/>
      <c r="AD472"/>
      <c r="AE472"/>
      <c r="AF472"/>
    </row>
    <row r="473" spans="7:32">
      <c r="G473" s="7"/>
      <c r="AA473"/>
      <c r="AB473"/>
      <c r="AC473"/>
      <c r="AD473"/>
      <c r="AE473"/>
      <c r="AF473"/>
    </row>
    <row r="474" spans="7:32">
      <c r="G474" s="7"/>
      <c r="AA474"/>
      <c r="AB474"/>
      <c r="AC474"/>
      <c r="AD474"/>
      <c r="AE474"/>
      <c r="AF474"/>
    </row>
    <row r="475" spans="7:32">
      <c r="G475" s="7"/>
      <c r="AA475"/>
      <c r="AB475"/>
      <c r="AC475"/>
      <c r="AD475"/>
      <c r="AE475"/>
      <c r="AF475"/>
    </row>
    <row r="476" spans="7:32">
      <c r="G476" s="7"/>
      <c r="AA476"/>
      <c r="AB476"/>
      <c r="AC476"/>
      <c r="AD476"/>
      <c r="AE476"/>
      <c r="AF476"/>
    </row>
    <row r="477" spans="7:32">
      <c r="G477" s="7"/>
      <c r="AA477"/>
      <c r="AB477"/>
      <c r="AC477"/>
      <c r="AD477"/>
      <c r="AE477"/>
      <c r="AF477"/>
    </row>
    <row r="478" spans="7:32">
      <c r="G478" s="7"/>
      <c r="AA478"/>
      <c r="AB478"/>
      <c r="AC478"/>
      <c r="AD478"/>
      <c r="AE478"/>
      <c r="AF478"/>
    </row>
    <row r="479" spans="7:32">
      <c r="G479" s="7"/>
      <c r="AA479"/>
      <c r="AB479"/>
      <c r="AC479"/>
      <c r="AD479"/>
      <c r="AE479"/>
      <c r="AF479"/>
    </row>
    <row r="480" spans="7:32">
      <c r="G480" s="7"/>
      <c r="AA480"/>
      <c r="AB480"/>
      <c r="AC480"/>
      <c r="AD480"/>
      <c r="AE480"/>
      <c r="AF480"/>
    </row>
    <row r="481" spans="7:32">
      <c r="G481" s="7"/>
      <c r="AA481"/>
      <c r="AB481"/>
      <c r="AC481"/>
      <c r="AD481"/>
      <c r="AE481"/>
      <c r="AF481"/>
    </row>
    <row r="482" spans="7:32">
      <c r="G482" s="7"/>
      <c r="AA482"/>
      <c r="AB482"/>
      <c r="AC482"/>
      <c r="AD482"/>
      <c r="AE482"/>
      <c r="AF482"/>
    </row>
    <row r="483" spans="7:32">
      <c r="G483" s="7"/>
      <c r="AA483"/>
      <c r="AB483"/>
      <c r="AC483"/>
      <c r="AD483"/>
      <c r="AE483"/>
      <c r="AF483"/>
    </row>
    <row r="484" spans="7:32">
      <c r="G484" s="7"/>
      <c r="AA484"/>
      <c r="AB484"/>
      <c r="AC484"/>
      <c r="AD484"/>
      <c r="AE484"/>
      <c r="AF484"/>
    </row>
    <row r="485" spans="7:32">
      <c r="G485" s="7"/>
      <c r="AA485"/>
      <c r="AB485"/>
      <c r="AC485"/>
      <c r="AD485"/>
      <c r="AE485"/>
      <c r="AF485"/>
    </row>
    <row r="486" spans="7:32">
      <c r="G486" s="7"/>
      <c r="AA486"/>
      <c r="AB486"/>
      <c r="AC486"/>
      <c r="AD486"/>
      <c r="AE486"/>
      <c r="AF486"/>
    </row>
    <row r="487" spans="7:32">
      <c r="G487" s="7"/>
      <c r="AA487"/>
      <c r="AB487"/>
      <c r="AC487"/>
      <c r="AD487"/>
      <c r="AE487"/>
      <c r="AF487"/>
    </row>
    <row r="488" spans="7:32">
      <c r="G488" s="7"/>
      <c r="AA488"/>
      <c r="AB488"/>
      <c r="AC488"/>
      <c r="AD488"/>
      <c r="AE488"/>
      <c r="AF488"/>
    </row>
    <row r="489" spans="7:32">
      <c r="G489" s="7"/>
      <c r="AA489"/>
      <c r="AB489"/>
      <c r="AC489"/>
      <c r="AD489"/>
      <c r="AE489"/>
      <c r="AF489"/>
    </row>
    <row r="490" spans="7:32">
      <c r="G490" s="7"/>
      <c r="AA490"/>
      <c r="AB490"/>
      <c r="AC490"/>
      <c r="AD490"/>
      <c r="AE490"/>
      <c r="AF490"/>
    </row>
    <row r="491" spans="7:32">
      <c r="G491" s="7"/>
      <c r="AA491"/>
      <c r="AB491"/>
      <c r="AC491"/>
      <c r="AD491"/>
      <c r="AE491"/>
      <c r="AF491"/>
    </row>
    <row r="492" spans="7:32">
      <c r="G492" s="7"/>
      <c r="AA492"/>
      <c r="AB492"/>
      <c r="AC492"/>
      <c r="AD492"/>
      <c r="AE492"/>
      <c r="AF492"/>
    </row>
    <row r="493" spans="7:32">
      <c r="G493" s="7"/>
      <c r="AA493"/>
      <c r="AB493"/>
      <c r="AC493"/>
      <c r="AD493"/>
      <c r="AE493"/>
      <c r="AF493"/>
    </row>
    <row r="494" spans="7:32">
      <c r="G494" s="7"/>
      <c r="AA494"/>
      <c r="AB494"/>
      <c r="AC494"/>
      <c r="AD494"/>
      <c r="AE494"/>
      <c r="AF494"/>
    </row>
    <row r="495" spans="7:32">
      <c r="G495" s="7"/>
      <c r="AA495"/>
      <c r="AB495"/>
      <c r="AC495"/>
      <c r="AD495"/>
      <c r="AE495"/>
      <c r="AF495"/>
    </row>
    <row r="496" spans="7:32">
      <c r="G496" s="7"/>
      <c r="AA496"/>
      <c r="AB496"/>
      <c r="AC496"/>
      <c r="AD496"/>
      <c r="AE496"/>
      <c r="AF496"/>
    </row>
    <row r="497" spans="7:32">
      <c r="G497" s="7"/>
      <c r="AA497"/>
      <c r="AB497"/>
      <c r="AC497"/>
      <c r="AD497"/>
      <c r="AE497"/>
      <c r="AF497"/>
    </row>
    <row r="498" spans="7:32">
      <c r="G498" s="7"/>
      <c r="AA498"/>
      <c r="AB498"/>
      <c r="AC498"/>
      <c r="AD498"/>
      <c r="AE498"/>
      <c r="AF498"/>
    </row>
    <row r="499" spans="7:32">
      <c r="G499" s="7"/>
      <c r="AA499"/>
      <c r="AB499"/>
      <c r="AC499"/>
      <c r="AD499"/>
      <c r="AE499"/>
      <c r="AF499"/>
    </row>
    <row r="500" spans="7:32">
      <c r="G500" s="7"/>
      <c r="AA500"/>
      <c r="AB500"/>
      <c r="AC500"/>
      <c r="AD500"/>
      <c r="AE500"/>
      <c r="AF500"/>
    </row>
    <row r="501" spans="7:32">
      <c r="G501" s="7"/>
      <c r="AA501"/>
      <c r="AB501"/>
      <c r="AC501"/>
      <c r="AD501"/>
      <c r="AE501"/>
      <c r="AF501"/>
    </row>
    <row r="502" spans="7:32">
      <c r="G502" s="7"/>
      <c r="AA502"/>
      <c r="AB502"/>
      <c r="AC502"/>
      <c r="AD502"/>
      <c r="AE502"/>
      <c r="AF502"/>
    </row>
    <row r="503" spans="7:32">
      <c r="G503" s="7"/>
      <c r="AA503"/>
      <c r="AB503"/>
      <c r="AC503"/>
      <c r="AD503"/>
      <c r="AE503"/>
      <c r="AF503"/>
    </row>
    <row r="504" spans="7:32">
      <c r="G504" s="7"/>
      <c r="AA504"/>
      <c r="AB504"/>
      <c r="AC504"/>
      <c r="AD504"/>
      <c r="AE504"/>
      <c r="AF504"/>
    </row>
    <row r="505" spans="7:32">
      <c r="G505" s="7"/>
      <c r="AA505"/>
      <c r="AB505"/>
      <c r="AC505"/>
      <c r="AD505"/>
      <c r="AE505"/>
      <c r="AF505"/>
    </row>
    <row r="506" spans="7:32">
      <c r="G506" s="7"/>
      <c r="AA506"/>
      <c r="AB506"/>
      <c r="AC506"/>
      <c r="AD506"/>
      <c r="AE506"/>
      <c r="AF506"/>
    </row>
    <row r="507" spans="7:32">
      <c r="G507" s="7"/>
      <c r="AA507"/>
      <c r="AB507"/>
      <c r="AC507"/>
      <c r="AD507"/>
      <c r="AE507"/>
      <c r="AF507"/>
    </row>
    <row r="508" spans="7:32">
      <c r="G508" s="7"/>
      <c r="AA508"/>
      <c r="AB508"/>
      <c r="AC508"/>
      <c r="AD508"/>
      <c r="AE508"/>
      <c r="AF508"/>
    </row>
    <row r="509" spans="7:32">
      <c r="G509" s="7"/>
      <c r="AA509"/>
      <c r="AB509"/>
      <c r="AC509"/>
      <c r="AD509"/>
      <c r="AE509"/>
      <c r="AF509"/>
    </row>
    <row r="510" spans="7:32">
      <c r="G510" s="7"/>
      <c r="AA510"/>
      <c r="AB510"/>
      <c r="AC510"/>
      <c r="AD510"/>
      <c r="AE510"/>
      <c r="AF510"/>
    </row>
    <row r="511" spans="7:32">
      <c r="G511" s="7"/>
      <c r="AA511"/>
      <c r="AB511"/>
      <c r="AC511"/>
      <c r="AD511"/>
      <c r="AE511"/>
      <c r="AF511"/>
    </row>
    <row r="512" spans="7:32">
      <c r="G512" s="7"/>
      <c r="AA512"/>
      <c r="AB512"/>
      <c r="AC512"/>
      <c r="AD512"/>
      <c r="AE512"/>
      <c r="AF512"/>
    </row>
    <row r="513" spans="7:32">
      <c r="G513" s="7"/>
      <c r="AA513"/>
      <c r="AB513"/>
      <c r="AC513"/>
      <c r="AD513"/>
      <c r="AE513"/>
      <c r="AF513"/>
    </row>
    <row r="514" spans="7:32">
      <c r="G514" s="7"/>
      <c r="AA514"/>
      <c r="AB514"/>
      <c r="AC514"/>
      <c r="AD514"/>
      <c r="AE514"/>
      <c r="AF514"/>
    </row>
    <row r="515" spans="7:32">
      <c r="G515" s="7"/>
      <c r="AA515"/>
      <c r="AB515"/>
      <c r="AC515"/>
      <c r="AD515"/>
      <c r="AE515"/>
      <c r="AF515"/>
    </row>
    <row r="516" spans="7:32">
      <c r="G516" s="7"/>
      <c r="AA516"/>
      <c r="AB516"/>
      <c r="AC516"/>
      <c r="AD516"/>
      <c r="AE516"/>
      <c r="AF516"/>
    </row>
    <row r="517" spans="7:32">
      <c r="G517" s="7"/>
      <c r="AA517"/>
      <c r="AB517"/>
      <c r="AC517"/>
      <c r="AD517"/>
      <c r="AE517"/>
      <c r="AF517"/>
    </row>
    <row r="518" spans="7:32">
      <c r="G518" s="7"/>
      <c r="AA518"/>
      <c r="AB518"/>
      <c r="AC518"/>
      <c r="AD518"/>
      <c r="AE518"/>
      <c r="AF518"/>
    </row>
    <row r="519" spans="7:32">
      <c r="G519" s="7"/>
      <c r="AA519"/>
      <c r="AB519"/>
      <c r="AC519"/>
      <c r="AD519"/>
      <c r="AE519"/>
      <c r="AF519"/>
    </row>
    <row r="520" spans="7:32">
      <c r="G520" s="7"/>
      <c r="AA520"/>
      <c r="AB520"/>
      <c r="AC520"/>
      <c r="AD520"/>
      <c r="AE520"/>
      <c r="AF520"/>
    </row>
    <row r="521" spans="7:32">
      <c r="G521" s="7"/>
      <c r="AA521"/>
      <c r="AB521"/>
      <c r="AC521"/>
      <c r="AD521"/>
      <c r="AE521"/>
      <c r="AF521"/>
    </row>
    <row r="522" spans="7:32">
      <c r="G522" s="7"/>
      <c r="AA522"/>
      <c r="AB522"/>
      <c r="AC522"/>
      <c r="AD522"/>
      <c r="AE522"/>
      <c r="AF522"/>
    </row>
    <row r="523" spans="7:32">
      <c r="G523" s="7"/>
      <c r="AA523"/>
      <c r="AB523"/>
      <c r="AC523"/>
      <c r="AD523"/>
      <c r="AE523"/>
      <c r="AF523"/>
    </row>
    <row r="524" spans="7:32">
      <c r="G524" s="7"/>
      <c r="AA524"/>
      <c r="AB524"/>
      <c r="AC524"/>
      <c r="AD524"/>
      <c r="AE524"/>
      <c r="AF524"/>
    </row>
    <row r="525" spans="7:32">
      <c r="G525" s="7"/>
      <c r="AA525"/>
      <c r="AB525"/>
      <c r="AC525"/>
      <c r="AD525"/>
      <c r="AE525"/>
      <c r="AF525"/>
    </row>
    <row r="526" spans="7:32">
      <c r="G526" s="7"/>
      <c r="AA526"/>
      <c r="AB526"/>
      <c r="AC526"/>
      <c r="AD526"/>
      <c r="AE526"/>
      <c r="AF526"/>
    </row>
    <row r="527" spans="7:32">
      <c r="G527" s="7"/>
      <c r="AA527"/>
      <c r="AB527"/>
      <c r="AC527"/>
      <c r="AD527"/>
      <c r="AE527"/>
      <c r="AF527"/>
    </row>
    <row r="528" spans="7:32">
      <c r="G528" s="7"/>
      <c r="AA528"/>
      <c r="AB528"/>
      <c r="AC528"/>
      <c r="AD528"/>
      <c r="AE528"/>
      <c r="AF528"/>
    </row>
    <row r="529" spans="7:32">
      <c r="G529" s="7"/>
      <c r="AA529"/>
      <c r="AB529"/>
      <c r="AC529"/>
      <c r="AD529"/>
      <c r="AE529"/>
      <c r="AF529"/>
    </row>
    <row r="530" spans="7:32">
      <c r="G530" s="7"/>
      <c r="AA530"/>
      <c r="AB530"/>
      <c r="AC530"/>
      <c r="AD530"/>
      <c r="AE530"/>
      <c r="AF530"/>
    </row>
    <row r="531" spans="7:32">
      <c r="G531" s="7"/>
      <c r="AA531"/>
      <c r="AB531"/>
      <c r="AC531"/>
      <c r="AD531"/>
      <c r="AE531"/>
      <c r="AF531"/>
    </row>
    <row r="532" spans="7:32">
      <c r="G532" s="7"/>
      <c r="AA532"/>
      <c r="AB532"/>
      <c r="AC532"/>
      <c r="AD532"/>
      <c r="AE532"/>
      <c r="AF532"/>
    </row>
    <row r="533" spans="7:32">
      <c r="G533" s="7"/>
      <c r="AA533"/>
      <c r="AB533"/>
      <c r="AC533"/>
      <c r="AD533"/>
      <c r="AE533"/>
      <c r="AF533"/>
    </row>
    <row r="534" spans="7:32">
      <c r="G534" s="7"/>
      <c r="AA534"/>
      <c r="AB534"/>
      <c r="AC534"/>
      <c r="AD534"/>
      <c r="AE534"/>
      <c r="AF534"/>
    </row>
    <row r="535" spans="7:32">
      <c r="G535" s="7"/>
      <c r="AA535"/>
      <c r="AB535"/>
      <c r="AC535"/>
      <c r="AD535"/>
      <c r="AE535"/>
      <c r="AF535"/>
    </row>
    <row r="536" spans="7:32">
      <c r="G536" s="7"/>
      <c r="AA536"/>
      <c r="AB536"/>
      <c r="AC536"/>
      <c r="AD536"/>
      <c r="AE536"/>
      <c r="AF536"/>
    </row>
    <row r="537" spans="7:32">
      <c r="G537" s="7"/>
      <c r="AA537"/>
      <c r="AB537"/>
      <c r="AC537"/>
      <c r="AD537"/>
      <c r="AE537"/>
      <c r="AF537"/>
    </row>
    <row r="538" spans="7:32">
      <c r="G538" s="7"/>
      <c r="AA538"/>
      <c r="AB538"/>
      <c r="AC538"/>
      <c r="AD538"/>
      <c r="AE538"/>
      <c r="AF538"/>
    </row>
    <row r="539" spans="7:32">
      <c r="G539" s="7"/>
      <c r="AA539"/>
      <c r="AB539"/>
      <c r="AC539"/>
      <c r="AD539"/>
      <c r="AE539"/>
      <c r="AF539"/>
    </row>
    <row r="540" spans="7:32">
      <c r="G540" s="7"/>
      <c r="AA540"/>
      <c r="AB540"/>
      <c r="AC540"/>
      <c r="AD540"/>
      <c r="AE540"/>
      <c r="AF540"/>
    </row>
    <row r="541" spans="7:32">
      <c r="G541" s="7"/>
      <c r="AA541"/>
      <c r="AB541"/>
      <c r="AC541"/>
      <c r="AD541"/>
      <c r="AE541"/>
      <c r="AF541"/>
    </row>
    <row r="542" spans="7:32">
      <c r="G542" s="7"/>
      <c r="AA542"/>
      <c r="AB542"/>
      <c r="AC542"/>
      <c r="AD542"/>
      <c r="AE542"/>
      <c r="AF542"/>
    </row>
    <row r="543" spans="7:32">
      <c r="G543" s="7"/>
      <c r="AA543"/>
      <c r="AB543"/>
      <c r="AC543"/>
      <c r="AD543"/>
      <c r="AE543"/>
      <c r="AF543"/>
    </row>
    <row r="544" spans="7:32">
      <c r="G544" s="7"/>
      <c r="AA544"/>
      <c r="AB544"/>
      <c r="AC544"/>
      <c r="AD544"/>
      <c r="AE544"/>
      <c r="AF544"/>
    </row>
    <row r="545" spans="7:32">
      <c r="G545" s="7"/>
      <c r="AA545"/>
      <c r="AB545"/>
      <c r="AC545"/>
      <c r="AD545"/>
      <c r="AE545"/>
      <c r="AF545"/>
    </row>
    <row r="546" spans="7:32">
      <c r="G546" s="7"/>
      <c r="AA546"/>
      <c r="AB546"/>
      <c r="AC546"/>
      <c r="AD546"/>
      <c r="AE546"/>
      <c r="AF546"/>
    </row>
    <row r="547" spans="7:32">
      <c r="G547" s="7"/>
      <c r="AA547"/>
      <c r="AB547"/>
      <c r="AC547"/>
      <c r="AD547"/>
      <c r="AE547"/>
      <c r="AF547"/>
    </row>
    <row r="548" spans="7:32">
      <c r="G548" s="7"/>
      <c r="AA548"/>
      <c r="AB548"/>
      <c r="AC548"/>
      <c r="AD548"/>
      <c r="AE548"/>
      <c r="AF548"/>
    </row>
    <row r="549" spans="7:32">
      <c r="G549" s="7"/>
      <c r="AA549"/>
      <c r="AB549"/>
      <c r="AC549"/>
      <c r="AD549"/>
      <c r="AE549"/>
      <c r="AF549"/>
    </row>
    <row r="550" spans="7:32">
      <c r="G550" s="7"/>
      <c r="AA550"/>
      <c r="AB550"/>
      <c r="AC550"/>
      <c r="AD550"/>
      <c r="AE550"/>
      <c r="AF550"/>
    </row>
    <row r="551" spans="7:32">
      <c r="G551" s="7"/>
      <c r="AA551"/>
      <c r="AB551"/>
      <c r="AC551"/>
      <c r="AD551"/>
      <c r="AE551"/>
      <c r="AF551"/>
    </row>
    <row r="552" spans="7:32">
      <c r="G552" s="7"/>
      <c r="AA552"/>
      <c r="AB552"/>
      <c r="AC552"/>
      <c r="AD552"/>
      <c r="AE552"/>
      <c r="AF552"/>
    </row>
    <row r="553" spans="7:32">
      <c r="G553" s="7"/>
      <c r="AA553"/>
      <c r="AB553"/>
      <c r="AC553"/>
      <c r="AD553"/>
      <c r="AE553"/>
      <c r="AF553"/>
    </row>
    <row r="554" spans="7:32">
      <c r="G554" s="7"/>
      <c r="AA554"/>
      <c r="AB554"/>
      <c r="AC554"/>
      <c r="AD554"/>
      <c r="AE554"/>
      <c r="AF554"/>
    </row>
    <row r="555" spans="7:32">
      <c r="G555" s="7"/>
      <c r="AA555"/>
      <c r="AB555"/>
      <c r="AC555"/>
      <c r="AD555"/>
      <c r="AE555"/>
      <c r="AF555"/>
    </row>
    <row r="556" spans="7:32">
      <c r="G556" s="7"/>
      <c r="AA556"/>
      <c r="AB556"/>
      <c r="AC556"/>
      <c r="AD556"/>
      <c r="AE556"/>
      <c r="AF556"/>
    </row>
    <row r="557" spans="7:32">
      <c r="G557" s="7"/>
      <c r="AA557"/>
      <c r="AB557"/>
      <c r="AC557"/>
      <c r="AD557"/>
      <c r="AE557"/>
      <c r="AF557"/>
    </row>
    <row r="558" spans="7:32">
      <c r="G558" s="7"/>
      <c r="AA558"/>
      <c r="AB558"/>
      <c r="AC558"/>
      <c r="AD558"/>
      <c r="AE558"/>
      <c r="AF558"/>
    </row>
    <row r="559" spans="7:32">
      <c r="G559" s="7"/>
      <c r="AA559"/>
      <c r="AB559"/>
      <c r="AC559"/>
      <c r="AD559"/>
      <c r="AE559"/>
      <c r="AF559"/>
    </row>
    <row r="560" spans="7:32">
      <c r="G560" s="7"/>
      <c r="AA560"/>
      <c r="AB560"/>
      <c r="AC560"/>
      <c r="AD560"/>
      <c r="AE560"/>
      <c r="AF560"/>
    </row>
    <row r="561" spans="7:32">
      <c r="G561" s="7"/>
      <c r="AA561"/>
      <c r="AB561"/>
      <c r="AC561"/>
      <c r="AD561"/>
      <c r="AE561"/>
      <c r="AF561"/>
    </row>
    <row r="562" spans="7:32">
      <c r="G562" s="7"/>
      <c r="AA562"/>
      <c r="AB562"/>
      <c r="AC562"/>
      <c r="AD562"/>
      <c r="AE562"/>
      <c r="AF562"/>
    </row>
    <row r="563" spans="7:32">
      <c r="G563" s="7"/>
      <c r="AA563"/>
      <c r="AB563"/>
      <c r="AC563"/>
      <c r="AD563"/>
      <c r="AE563"/>
      <c r="AF563"/>
    </row>
    <row r="564" spans="7:32">
      <c r="G564" s="7"/>
      <c r="AA564"/>
      <c r="AB564"/>
      <c r="AC564"/>
      <c r="AD564"/>
      <c r="AE564"/>
      <c r="AF564"/>
    </row>
    <row r="565" spans="7:32">
      <c r="G565" s="7"/>
      <c r="AA565"/>
      <c r="AB565"/>
      <c r="AC565"/>
      <c r="AD565"/>
      <c r="AE565"/>
      <c r="AF565"/>
    </row>
    <row r="566" spans="7:32">
      <c r="G566" s="7"/>
      <c r="AA566"/>
      <c r="AB566"/>
      <c r="AC566"/>
      <c r="AD566"/>
      <c r="AE566"/>
      <c r="AF566"/>
    </row>
    <row r="567" spans="7:32">
      <c r="G567" s="7"/>
      <c r="AA567"/>
      <c r="AB567"/>
      <c r="AC567"/>
      <c r="AD567"/>
      <c r="AE567"/>
      <c r="AF567"/>
    </row>
    <row r="568" spans="7:32">
      <c r="G568" s="7"/>
      <c r="AA568"/>
      <c r="AB568"/>
      <c r="AC568"/>
      <c r="AD568"/>
      <c r="AE568"/>
      <c r="AF568"/>
    </row>
    <row r="569" spans="7:32">
      <c r="G569" s="7"/>
      <c r="AA569"/>
      <c r="AB569"/>
      <c r="AC569"/>
      <c r="AD569"/>
      <c r="AE569"/>
      <c r="AF569"/>
    </row>
    <row r="570" spans="7:32">
      <c r="G570" s="7"/>
      <c r="AA570"/>
      <c r="AB570"/>
      <c r="AC570"/>
      <c r="AD570"/>
      <c r="AE570"/>
      <c r="AF570"/>
    </row>
    <row r="571" spans="7:32">
      <c r="G571" s="7"/>
      <c r="AA571"/>
      <c r="AB571"/>
      <c r="AC571"/>
      <c r="AD571"/>
      <c r="AE571"/>
      <c r="AF571"/>
    </row>
    <row r="572" spans="7:32">
      <c r="G572" s="7"/>
      <c r="AA572"/>
      <c r="AB572"/>
      <c r="AC572"/>
      <c r="AD572"/>
      <c r="AE572"/>
      <c r="AF572"/>
    </row>
    <row r="573" spans="7:32">
      <c r="G573" s="7"/>
      <c r="AA573"/>
      <c r="AB573"/>
      <c r="AC573"/>
      <c r="AD573"/>
      <c r="AE573"/>
      <c r="AF573"/>
    </row>
    <row r="574" spans="7:32">
      <c r="G574" s="7"/>
      <c r="AA574"/>
      <c r="AB574"/>
      <c r="AC574"/>
      <c r="AD574"/>
      <c r="AE574"/>
      <c r="AF574"/>
    </row>
  </sheetData>
  <mergeCells count="1">
    <mergeCell ref="A1:A3"/>
  </mergeCells>
  <conditionalFormatting sqref="D3:AU3">
    <cfRule type="cellIs" dxfId="39" priority="1" operator="equal">
      <formula>#REF!</formula>
    </cfRule>
    <cfRule type="cellIs" dxfId="38" priority="2" operator="equal">
      <formula>#REF!</formula>
    </cfRule>
    <cfRule type="cellIs" dxfId="37" priority="3" operator="equal">
      <formula>#REF!</formula>
    </cfRule>
    <cfRule type="cellIs" dxfId="36" priority="4" operator="equal">
      <formula>#REF!</formula>
    </cfRule>
  </conditionalFormatting>
  <conditionalFormatting sqref="G3:AU3">
    <cfRule type="cellIs" dxfId="35" priority="5" operator="equal">
      <formula>#REF!</formula>
    </cfRule>
    <cfRule type="cellIs" dxfId="34" priority="6" operator="equal">
      <formula>#REF!</formula>
    </cfRule>
    <cfRule type="cellIs" dxfId="33" priority="7" operator="equal">
      <formula>#REF!</formula>
    </cfRule>
    <cfRule type="cellIs" dxfId="32" priority="8"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031CB-AC71-40AF-B3D6-6FC617CA1C3D}">
  <sheetPr>
    <tabColor theme="6" tint="-0.249977111117893"/>
    <pageSetUpPr fitToPage="1"/>
  </sheetPr>
  <dimension ref="A1:G109"/>
  <sheetViews>
    <sheetView showGridLines="0" zoomScaleNormal="100" zoomScaleSheetLayoutView="90" workbookViewId="0">
      <selection activeCell="A21" sqref="A21"/>
    </sheetView>
  </sheetViews>
  <sheetFormatPr defaultColWidth="8.85546875" defaultRowHeight="23.25" customHeight="1"/>
  <cols>
    <col min="1" max="1" width="36.5703125" style="7" bestFit="1" customWidth="1"/>
    <col min="2" max="2" width="22.140625" style="7" bestFit="1" customWidth="1"/>
    <col min="3" max="3" width="33.85546875" style="7" bestFit="1" customWidth="1"/>
    <col min="4" max="4" width="11.5703125" style="7" bestFit="1" customWidth="1"/>
    <col min="5" max="5" width="18.140625" style="7" bestFit="1" customWidth="1"/>
    <col min="6" max="6" width="2.85546875" style="7" bestFit="1" customWidth="1"/>
    <col min="7" max="7" width="10.5703125" style="7" bestFit="1" customWidth="1"/>
    <col min="8" max="8" width="24.5703125" style="7" customWidth="1"/>
    <col min="9" max="9" width="32.42578125" style="7" customWidth="1"/>
    <col min="10" max="10" width="20.140625" style="7" customWidth="1"/>
    <col min="11" max="16384" width="8.85546875" style="7"/>
  </cols>
  <sheetData>
    <row r="1" spans="1:6" ht="16.5" thickBot="1">
      <c r="A1" s="1668" t="s">
        <v>108</v>
      </c>
      <c r="B1" s="1669"/>
      <c r="C1" s="1669"/>
      <c r="D1" s="1670" t="str">
        <f>'Development Program'!B8</f>
        <v>Chinook Condos</v>
      </c>
      <c r="E1" s="1670"/>
    </row>
    <row r="2" spans="1:6" ht="12.75">
      <c r="A2" s="8"/>
      <c r="B2" s="9"/>
      <c r="C2" s="9"/>
      <c r="D2" s="434">
        <v>0</v>
      </c>
      <c r="E2" s="213" t="s">
        <v>109</v>
      </c>
    </row>
    <row r="3" spans="1:6" ht="12.75">
      <c r="A3" s="10" t="s">
        <v>110</v>
      </c>
      <c r="B3" s="11" t="s">
        <v>111</v>
      </c>
      <c r="C3" s="11" t="s">
        <v>230</v>
      </c>
      <c r="D3" s="11" t="s">
        <v>112</v>
      </c>
      <c r="E3" s="12" t="s">
        <v>113</v>
      </c>
    </row>
    <row r="4" spans="1:6" ht="12.75">
      <c r="A4" s="219" t="s">
        <v>114</v>
      </c>
      <c r="B4" s="356">
        <v>0</v>
      </c>
      <c r="C4" s="356">
        <v>1000</v>
      </c>
      <c r="D4" s="357">
        <v>7</v>
      </c>
      <c r="E4" s="218">
        <f>12*B4*C4*D4</f>
        <v>0</v>
      </c>
    </row>
    <row r="5" spans="1:6" ht="12.75" hidden="1">
      <c r="A5" s="214"/>
      <c r="B5" s="356"/>
      <c r="C5" s="356"/>
      <c r="D5" s="357"/>
      <c r="E5" s="218"/>
    </row>
    <row r="6" spans="1:6" ht="12.75" hidden="1">
      <c r="A6" s="219"/>
      <c r="B6" s="358"/>
      <c r="C6" s="358"/>
      <c r="D6" s="357"/>
      <c r="E6" s="218"/>
    </row>
    <row r="7" spans="1:6" ht="12.75" hidden="1">
      <c r="A7" s="219"/>
      <c r="B7" s="356"/>
      <c r="C7" s="356"/>
      <c r="D7" s="357"/>
      <c r="E7" s="218"/>
    </row>
    <row r="8" spans="1:6" ht="12.75" hidden="1">
      <c r="A8" s="219"/>
      <c r="B8" s="216"/>
      <c r="C8" s="216"/>
      <c r="D8" s="221"/>
      <c r="E8" s="218"/>
    </row>
    <row r="9" spans="1:6" ht="13.5" thickBot="1">
      <c r="A9" s="219"/>
      <c r="B9" s="216"/>
      <c r="C9" s="216"/>
      <c r="D9" s="221"/>
      <c r="E9" s="222"/>
    </row>
    <row r="10" spans="1:6" ht="14.25" thickTop="1" thickBot="1">
      <c r="A10" s="13" t="s">
        <v>115</v>
      </c>
      <c r="B10" s="14">
        <f>SUM(B4:B9)</f>
        <v>0</v>
      </c>
      <c r="C10" s="15">
        <v>1</v>
      </c>
      <c r="D10" s="16"/>
      <c r="E10" s="223">
        <f>SUM(E4:E9)</f>
        <v>0</v>
      </c>
    </row>
    <row r="11" spans="1:6" ht="14.25" thickTop="1" thickBot="1">
      <c r="A11" s="17" t="s">
        <v>116</v>
      </c>
      <c r="B11" s="18"/>
      <c r="C11" s="19">
        <f>IF(B10=0,0,C10/B10)</f>
        <v>0</v>
      </c>
      <c r="D11" s="20">
        <f>(E10/12)/C10</f>
        <v>0</v>
      </c>
      <c r="E11" s="21"/>
    </row>
    <row r="12" spans="1:6" ht="12.75">
      <c r="A12" s="22"/>
      <c r="B12" s="23"/>
      <c r="C12" s="24"/>
      <c r="D12" s="25"/>
    </row>
    <row r="13" spans="1:6" ht="12.75">
      <c r="A13" s="10" t="s">
        <v>117</v>
      </c>
      <c r="B13" s="11" t="s">
        <v>118</v>
      </c>
      <c r="C13" s="11" t="s">
        <v>119</v>
      </c>
      <c r="D13" s="11" t="s">
        <v>113</v>
      </c>
    </row>
    <row r="14" spans="1:6" ht="21" customHeight="1">
      <c r="A14" s="224" t="s">
        <v>1</v>
      </c>
      <c r="B14" s="444">
        <v>6000</v>
      </c>
      <c r="C14" s="445">
        <f>Assumptions!I8</f>
        <v>25</v>
      </c>
      <c r="D14" s="226">
        <f>B14*C14</f>
        <v>150000</v>
      </c>
    </row>
    <row r="15" spans="1:6" ht="13.5" thickBot="1">
      <c r="A15" s="227" t="s">
        <v>0</v>
      </c>
      <c r="B15" s="446">
        <v>6000</v>
      </c>
      <c r="C15" s="447">
        <f>Assumptions!I8</f>
        <v>25</v>
      </c>
      <c r="D15" s="229">
        <f>B15*C15</f>
        <v>150000</v>
      </c>
      <c r="F15" s="7">
        <f>10000/1000</f>
        <v>10</v>
      </c>
    </row>
    <row r="16" spans="1:6" ht="14.25" thickTop="1" thickBot="1">
      <c r="A16" s="26" t="s">
        <v>120</v>
      </c>
      <c r="B16" s="27">
        <f>SUM(B14:B15)</f>
        <v>12000</v>
      </c>
      <c r="C16" s="28">
        <f>IF(B16=0,0,D16/B16)</f>
        <v>25</v>
      </c>
      <c r="D16" s="29">
        <f>SUM(D14:D15)</f>
        <v>300000</v>
      </c>
    </row>
    <row r="17" spans="1:5" ht="12.75">
      <c r="A17" s="233" t="s">
        <v>121</v>
      </c>
      <c r="B17" s="231"/>
    </row>
    <row r="18" spans="1:5" ht="12.75">
      <c r="A18" s="197" t="s">
        <v>122</v>
      </c>
      <c r="B18" s="418">
        <v>0</v>
      </c>
      <c r="C18" s="31"/>
      <c r="D18" s="32"/>
    </row>
    <row r="19" spans="1:5" ht="13.5" thickBot="1">
      <c r="A19" s="200" t="s">
        <v>123</v>
      </c>
      <c r="B19" s="418">
        <v>40</v>
      </c>
      <c r="C19" s="31"/>
      <c r="D19" s="32"/>
    </row>
    <row r="20" spans="1:5" ht="14.25" thickTop="1" thickBot="1">
      <c r="A20" s="33" t="s">
        <v>124</v>
      </c>
      <c r="B20" s="34">
        <f>SUM(B18:B19)</f>
        <v>40</v>
      </c>
      <c r="C20" s="31"/>
      <c r="D20" s="32"/>
    </row>
    <row r="21" spans="1:5" ht="12.75">
      <c r="A21" s="233" t="s">
        <v>125</v>
      </c>
      <c r="B21" s="435" t="str">
        <f>D1</f>
        <v>Chinook Condos</v>
      </c>
      <c r="C21" s="35"/>
      <c r="D21" s="35"/>
      <c r="E21" s="35"/>
    </row>
    <row r="22" spans="1:5" ht="12.75">
      <c r="A22" s="234" t="s">
        <v>126</v>
      </c>
      <c r="B22" s="235">
        <f>'Development Program'!D8</f>
        <v>369140</v>
      </c>
      <c r="C22" s="36"/>
      <c r="D22" s="37"/>
      <c r="E22" s="35"/>
    </row>
    <row r="23" spans="1:5" ht="12.75">
      <c r="A23" s="234" t="s">
        <v>127</v>
      </c>
      <c r="B23" s="235">
        <f>B16</f>
        <v>12000</v>
      </c>
      <c r="C23" s="36"/>
      <c r="D23" s="37"/>
      <c r="E23" s="35"/>
    </row>
    <row r="24" spans="1:5" ht="12.75">
      <c r="A24" s="236">
        <f>Assumptions!L27</f>
        <v>400</v>
      </c>
      <c r="B24" s="235">
        <f>B20*A24</f>
        <v>16000</v>
      </c>
      <c r="C24" s="140" t="s">
        <v>242</v>
      </c>
      <c r="D24" s="37"/>
      <c r="E24" s="35"/>
    </row>
    <row r="25" spans="1:5" ht="12.75">
      <c r="A25" s="359">
        <v>0.1</v>
      </c>
      <c r="B25" s="235">
        <f>(1+A25)*(B23)</f>
        <v>13200.000000000002</v>
      </c>
      <c r="C25" s="36"/>
      <c r="D25" s="37"/>
      <c r="E25" s="35"/>
    </row>
    <row r="26" spans="1:5" ht="13.5" thickBot="1">
      <c r="A26" s="360">
        <v>2</v>
      </c>
      <c r="B26" s="237">
        <f>B25/A26</f>
        <v>6600.0000000000009</v>
      </c>
      <c r="C26" s="36"/>
      <c r="D26" s="37"/>
      <c r="E26" s="35"/>
    </row>
    <row r="27" spans="1:5" ht="15" customHeight="1" thickBot="1">
      <c r="A27" s="1671" t="s">
        <v>128</v>
      </c>
      <c r="B27" s="1672"/>
      <c r="C27" s="1673" t="str">
        <f>D1</f>
        <v>Chinook Condos</v>
      </c>
      <c r="D27" s="1674"/>
      <c r="E27" s="35"/>
    </row>
    <row r="28" spans="1:5" ht="14.45" customHeight="1" thickBot="1">
      <c r="A28" s="238" t="s">
        <v>129</v>
      </c>
      <c r="B28" s="239" t="s">
        <v>130</v>
      </c>
      <c r="C28" s="239" t="s">
        <v>131</v>
      </c>
      <c r="D28" s="240" t="s">
        <v>132</v>
      </c>
      <c r="E28" s="35"/>
    </row>
    <row r="29" spans="1:5" ht="31.35" hidden="1" customHeight="1">
      <c r="A29" s="241" t="s">
        <v>133</v>
      </c>
      <c r="B29" s="242">
        <f>IF(D29=0,0,D29/B10)</f>
        <v>0</v>
      </c>
      <c r="C29" s="243">
        <f>IF(D29=0,0,D29/C10)</f>
        <v>0</v>
      </c>
      <c r="D29" s="38">
        <f>E10</f>
        <v>0</v>
      </c>
      <c r="E29" s="35"/>
    </row>
    <row r="30" spans="1:5" ht="12.75">
      <c r="A30" s="244" t="str">
        <f>A16</f>
        <v>Total Commercial</v>
      </c>
      <c r="B30" s="1666" t="s">
        <v>134</v>
      </c>
      <c r="C30" s="1667"/>
      <c r="D30" s="39">
        <f>D16</f>
        <v>300000</v>
      </c>
      <c r="E30" s="35"/>
    </row>
    <row r="31" spans="1:5" ht="12.75">
      <c r="A31" s="245"/>
      <c r="B31" s="1654" t="s">
        <v>135</v>
      </c>
      <c r="C31" s="1654"/>
      <c r="D31" s="246">
        <f>SUM(D29:D30)</f>
        <v>300000</v>
      </c>
      <c r="E31" s="35"/>
    </row>
    <row r="32" spans="1:5" ht="12.75">
      <c r="A32" s="247" t="s">
        <v>136</v>
      </c>
      <c r="B32" s="246" t="s">
        <v>238</v>
      </c>
      <c r="C32" s="246"/>
      <c r="D32" s="246"/>
      <c r="E32" s="35"/>
    </row>
    <row r="33" spans="1:5" ht="12.75">
      <c r="A33" s="245" t="s">
        <v>239</v>
      </c>
      <c r="B33" s="248">
        <f>Assumptions!L37</f>
        <v>0</v>
      </c>
      <c r="C33" s="249"/>
      <c r="D33" s="248">
        <f>B33*B20*12</f>
        <v>0</v>
      </c>
      <c r="E33" s="35"/>
    </row>
    <row r="34" spans="1:5" ht="12.75">
      <c r="A34" s="245" t="s">
        <v>138</v>
      </c>
      <c r="B34" s="248"/>
      <c r="C34" s="249"/>
      <c r="D34" s="248">
        <f>Assumptions!I15*D31</f>
        <v>15000</v>
      </c>
      <c r="E34" s="35"/>
    </row>
    <row r="35" spans="1:5" ht="13.5" thickBot="1">
      <c r="A35" s="40" t="s">
        <v>139</v>
      </c>
      <c r="B35" s="1664"/>
      <c r="C35" s="1665"/>
      <c r="D35" s="41">
        <f>SUM(D33:D34)</f>
        <v>15000</v>
      </c>
      <c r="E35" s="35"/>
    </row>
    <row r="36" spans="1:5" ht="14.25" thickTop="1" thickBot="1">
      <c r="A36" s="42">
        <v>0.05</v>
      </c>
      <c r="B36" s="1637"/>
      <c r="C36" s="1679"/>
      <c r="D36" s="43">
        <f>-A36*D31</f>
        <v>-15000</v>
      </c>
      <c r="E36" s="35"/>
    </row>
    <row r="37" spans="1:5" ht="14.25" thickTop="1" thickBot="1">
      <c r="A37" s="250" t="s">
        <v>140</v>
      </c>
      <c r="B37" s="44"/>
      <c r="C37" s="251"/>
      <c r="D37" s="45">
        <f>D31+D35+D36</f>
        <v>300000</v>
      </c>
      <c r="E37" s="35"/>
    </row>
    <row r="38" spans="1:5" ht="12.75">
      <c r="A38" s="10" t="s">
        <v>141</v>
      </c>
      <c r="B38" s="11" t="s">
        <v>130</v>
      </c>
      <c r="C38" s="11" t="s">
        <v>142</v>
      </c>
      <c r="D38" s="46" t="s">
        <v>132</v>
      </c>
      <c r="E38" s="35"/>
    </row>
    <row r="39" spans="1:5" ht="13.5" thickBot="1">
      <c r="A39" s="47" t="s">
        <v>143</v>
      </c>
      <c r="B39" s="48"/>
      <c r="C39" s="48"/>
      <c r="D39" s="48" t="e">
        <f>-Assumptions!#REF!*D31</f>
        <v>#REF!</v>
      </c>
      <c r="E39" s="35"/>
    </row>
    <row r="40" spans="1:5" ht="13.5" thickBot="1">
      <c r="A40" s="252" t="s">
        <v>144</v>
      </c>
      <c r="B40" s="253"/>
      <c r="C40" s="254"/>
      <c r="D40" s="253" t="e">
        <f>D37+D39</f>
        <v>#REF!</v>
      </c>
      <c r="E40" s="35"/>
    </row>
    <row r="41" spans="1:5" ht="13.5" thickBot="1">
      <c r="A41" s="255" t="s">
        <v>145</v>
      </c>
      <c r="B41" s="49" t="s">
        <v>146</v>
      </c>
      <c r="C41" s="50">
        <f>Assumptions!L8</f>
        <v>0.06</v>
      </c>
      <c r="D41" s="256" t="e">
        <f>D40/C41</f>
        <v>#REF!</v>
      </c>
      <c r="E41" s="35"/>
    </row>
    <row r="42" spans="1:5" ht="13.5" thickBot="1">
      <c r="A42" s="1682" t="s">
        <v>147</v>
      </c>
      <c r="B42" s="1683"/>
      <c r="C42" s="1684" t="str">
        <f>D1</f>
        <v>Chinook Condos</v>
      </c>
      <c r="D42" s="1685"/>
    </row>
    <row r="43" spans="1:5" ht="13.5" thickBot="1">
      <c r="A43" s="233"/>
      <c r="B43" s="51" t="s">
        <v>148</v>
      </c>
      <c r="C43" s="51" t="s">
        <v>149</v>
      </c>
      <c r="D43" s="51" t="s">
        <v>142</v>
      </c>
    </row>
    <row r="44" spans="1:5" ht="12.75">
      <c r="A44" s="172" t="s">
        <v>150</v>
      </c>
      <c r="B44" s="361">
        <f>Assumptions!I26</f>
        <v>105</v>
      </c>
      <c r="C44" s="257">
        <f>B44*(C10+B16)</f>
        <v>1260105</v>
      </c>
      <c r="D44" s="436">
        <f>C44/B$23</f>
        <v>105.00875000000001</v>
      </c>
    </row>
    <row r="45" spans="1:5" ht="12.75">
      <c r="A45" s="52" t="s">
        <v>151</v>
      </c>
      <c r="B45" s="362">
        <f>Assumptions!L31</f>
        <v>10000</v>
      </c>
      <c r="C45" s="53">
        <f>B20*B45</f>
        <v>400000</v>
      </c>
      <c r="D45" s="436">
        <f t="shared" ref="D45:D64" si="0">C45/B$23</f>
        <v>33.333333333333336</v>
      </c>
    </row>
    <row r="46" spans="1:5" ht="12.75">
      <c r="A46" s="52" t="s">
        <v>19</v>
      </c>
      <c r="B46" s="363">
        <v>0.1</v>
      </c>
      <c r="C46" s="53">
        <f>B46*C44</f>
        <v>126010.5</v>
      </c>
      <c r="D46" s="436">
        <f t="shared" si="0"/>
        <v>10.500875000000001</v>
      </c>
    </row>
    <row r="47" spans="1:5" ht="12.75">
      <c r="A47" s="52" t="s">
        <v>5</v>
      </c>
      <c r="B47" s="258" t="s">
        <v>24</v>
      </c>
      <c r="C47" s="53">
        <v>0</v>
      </c>
      <c r="D47" s="436"/>
    </row>
    <row r="48" spans="1:5" ht="25.5">
      <c r="A48" s="52" t="s">
        <v>152</v>
      </c>
      <c r="B48" s="259" t="s">
        <v>213</v>
      </c>
      <c r="C48" s="364">
        <v>700000</v>
      </c>
      <c r="D48" s="436">
        <f t="shared" si="0"/>
        <v>58.333333333333336</v>
      </c>
    </row>
    <row r="49" spans="1:7" ht="12.75">
      <c r="A49" s="52" t="s">
        <v>20</v>
      </c>
      <c r="B49" s="437">
        <v>20</v>
      </c>
      <c r="C49" s="53">
        <f>B23*B49</f>
        <v>240000</v>
      </c>
      <c r="D49" s="436">
        <f t="shared" si="0"/>
        <v>20</v>
      </c>
    </row>
    <row r="50" spans="1:7" ht="23.25" customHeight="1">
      <c r="A50" s="52" t="s">
        <v>154</v>
      </c>
      <c r="B50" s="365" t="s">
        <v>155</v>
      </c>
      <c r="C50" s="53">
        <f>'Development Program'!I20</f>
        <v>3500000</v>
      </c>
      <c r="D50" s="436">
        <f t="shared" si="0"/>
        <v>291.66666666666669</v>
      </c>
    </row>
    <row r="51" spans="1:7" ht="12.75">
      <c r="A51" s="197" t="s">
        <v>23</v>
      </c>
      <c r="B51" s="261" t="s">
        <v>24</v>
      </c>
      <c r="C51" s="366">
        <v>400000</v>
      </c>
      <c r="D51" s="436">
        <f t="shared" si="0"/>
        <v>33.333333333333336</v>
      </c>
    </row>
    <row r="52" spans="1:7" ht="12.75">
      <c r="A52" s="197" t="s">
        <v>25</v>
      </c>
      <c r="B52" s="261" t="s">
        <v>24</v>
      </c>
      <c r="C52" s="366">
        <v>40000</v>
      </c>
      <c r="D52" s="436">
        <f t="shared" si="0"/>
        <v>3.3333333333333335</v>
      </c>
      <c r="E52" s="54"/>
    </row>
    <row r="53" spans="1:7" ht="49.5" customHeight="1">
      <c r="A53" s="197" t="s">
        <v>26</v>
      </c>
      <c r="B53" s="367">
        <v>0.04</v>
      </c>
      <c r="C53" s="262">
        <f>B53*(C44+C46)</f>
        <v>55444.62</v>
      </c>
      <c r="D53" s="436">
        <f t="shared" si="0"/>
        <v>4.6203850000000006</v>
      </c>
    </row>
    <row r="54" spans="1:7" ht="22.5" customHeight="1">
      <c r="A54" s="197" t="s">
        <v>27</v>
      </c>
      <c r="B54" s="368">
        <v>0.03</v>
      </c>
      <c r="C54" s="263">
        <f>B54*SUM(C44:C53)</f>
        <v>201646.80359999998</v>
      </c>
      <c r="D54" s="436">
        <f t="shared" si="0"/>
        <v>16.803900299999999</v>
      </c>
    </row>
    <row r="55" spans="1:7" ht="12.75">
      <c r="A55" s="197" t="s">
        <v>28</v>
      </c>
      <c r="B55" s="367">
        <v>0.02</v>
      </c>
      <c r="C55" s="262">
        <f>B55*(C44+C46)</f>
        <v>27722.31</v>
      </c>
      <c r="D55" s="436">
        <f t="shared" si="0"/>
        <v>2.3101925000000003</v>
      </c>
    </row>
    <row r="56" spans="1:7" ht="26.25" customHeight="1">
      <c r="A56" s="197" t="s">
        <v>156</v>
      </c>
      <c r="B56" s="264" t="s">
        <v>24</v>
      </c>
      <c r="C56" s="366">
        <v>300000</v>
      </c>
      <c r="D56" s="436">
        <f t="shared" si="0"/>
        <v>25</v>
      </c>
    </row>
    <row r="57" spans="1:7" ht="12.75">
      <c r="A57" s="197" t="s">
        <v>30</v>
      </c>
      <c r="B57" s="438">
        <v>5</v>
      </c>
      <c r="C57" s="262">
        <f>B57*B16</f>
        <v>60000</v>
      </c>
      <c r="D57" s="436">
        <f t="shared" si="0"/>
        <v>5</v>
      </c>
    </row>
    <row r="58" spans="1:7" ht="12.75">
      <c r="A58" s="197" t="s">
        <v>31</v>
      </c>
      <c r="B58" s="261" t="s">
        <v>24</v>
      </c>
      <c r="C58" s="366">
        <v>800000</v>
      </c>
      <c r="D58" s="436">
        <f t="shared" si="0"/>
        <v>66.666666666666671</v>
      </c>
    </row>
    <row r="59" spans="1:7" ht="12.75">
      <c r="A59" s="197" t="s">
        <v>32</v>
      </c>
      <c r="B59" s="369">
        <v>6</v>
      </c>
      <c r="C59" s="262" t="e">
        <f>-B59*(D39/12)</f>
        <v>#REF!</v>
      </c>
      <c r="D59" s="436" t="e">
        <f t="shared" si="0"/>
        <v>#REF!</v>
      </c>
    </row>
    <row r="60" spans="1:7" ht="12.75">
      <c r="A60" s="197" t="s">
        <v>157</v>
      </c>
      <c r="B60" s="55">
        <v>75</v>
      </c>
      <c r="C60" s="262">
        <f>B16*B60</f>
        <v>900000</v>
      </c>
      <c r="D60" s="436">
        <f t="shared" si="0"/>
        <v>75</v>
      </c>
    </row>
    <row r="61" spans="1:7" ht="27" customHeight="1">
      <c r="A61" s="197" t="s">
        <v>158</v>
      </c>
      <c r="B61" s="370">
        <v>0.06</v>
      </c>
      <c r="C61" s="263">
        <f>B61*D16*5</f>
        <v>90000</v>
      </c>
      <c r="D61" s="436">
        <f t="shared" si="0"/>
        <v>7.5</v>
      </c>
    </row>
    <row r="62" spans="1:7" ht="27" customHeight="1">
      <c r="A62" s="197" t="s">
        <v>35</v>
      </c>
      <c r="B62" s="371">
        <v>1.4999999999999999E-2</v>
      </c>
      <c r="C62" s="263">
        <v>89850</v>
      </c>
      <c r="D62" s="436">
        <f t="shared" si="0"/>
        <v>7.4874999999999998</v>
      </c>
      <c r="E62" s="1680" t="s">
        <v>214</v>
      </c>
      <c r="F62" s="1681"/>
      <c r="G62" s="56" t="e">
        <f>B62*B75</f>
        <v>#REF!</v>
      </c>
    </row>
    <row r="63" spans="1:7" ht="12.75">
      <c r="A63" s="265" t="s">
        <v>36</v>
      </c>
      <c r="B63" s="372">
        <v>7.0000000000000007E-2</v>
      </c>
      <c r="C63" s="263">
        <v>419300</v>
      </c>
      <c r="D63" s="436">
        <f t="shared" si="0"/>
        <v>34.94166666666667</v>
      </c>
      <c r="E63" s="1680" t="s">
        <v>214</v>
      </c>
      <c r="F63" s="1681"/>
      <c r="G63" s="57" t="e">
        <f>B63*B75</f>
        <v>#REF!</v>
      </c>
    </row>
    <row r="64" spans="1:7" ht="13.5" thickBot="1">
      <c r="A64" s="200" t="s">
        <v>159</v>
      </c>
      <c r="B64" s="266" t="s">
        <v>24</v>
      </c>
      <c r="C64" s="373">
        <v>500000</v>
      </c>
      <c r="D64" s="436">
        <f t="shared" si="0"/>
        <v>41.666666666666664</v>
      </c>
    </row>
    <row r="65" spans="1:4" ht="14.25" thickTop="1" thickBot="1">
      <c r="A65" s="268" t="s">
        <v>160</v>
      </c>
      <c r="B65" s="269"/>
      <c r="C65" s="58" t="e">
        <f>SUM(C44:C64)</f>
        <v>#REF!</v>
      </c>
      <c r="D65" s="58" t="e">
        <f>C65/B23</f>
        <v>#REF!</v>
      </c>
    </row>
    <row r="66" spans="1:4" ht="12.75">
      <c r="A66" s="270" t="s">
        <v>161</v>
      </c>
      <c r="B66" s="271" t="e">
        <f>D40/C65</f>
        <v>#REF!</v>
      </c>
    </row>
    <row r="67" spans="1:4" ht="12.75">
      <c r="A67" s="272" t="s">
        <v>162</v>
      </c>
      <c r="B67" s="273" t="e">
        <f>(D41/C65)-1</f>
        <v>#REF!</v>
      </c>
      <c r="C67" s="59"/>
      <c r="D67" s="60"/>
    </row>
    <row r="68" spans="1:4" ht="13.5" thickBot="1">
      <c r="A68" s="274">
        <v>0.2</v>
      </c>
      <c r="B68" s="275" t="e">
        <f>(D41/(1+A68))</f>
        <v>#REF!</v>
      </c>
    </row>
    <row r="69" spans="1:4" ht="13.5" thickBot="1">
      <c r="A69" s="374">
        <v>0.2</v>
      </c>
      <c r="B69" s="275" t="e">
        <f>ROUND((D41/(1+A69))-C65,-3)</f>
        <v>#REF!</v>
      </c>
      <c r="C69" s="61" t="s">
        <v>163</v>
      </c>
    </row>
    <row r="70" spans="1:4" ht="13.5" thickBot="1">
      <c r="A70" s="62"/>
      <c r="B70" s="63"/>
    </row>
    <row r="71" spans="1:4" ht="15" customHeight="1" thickBot="1">
      <c r="A71" s="1686" t="s">
        <v>164</v>
      </c>
      <c r="B71" s="1687"/>
      <c r="C71" s="439" t="str">
        <f>D1</f>
        <v>Chinook Condos</v>
      </c>
    </row>
    <row r="72" spans="1:4" ht="13.5" thickBot="1">
      <c r="A72" s="277"/>
      <c r="B72" s="278" t="s">
        <v>165</v>
      </c>
      <c r="C72" s="279" t="s">
        <v>240</v>
      </c>
    </row>
    <row r="73" spans="1:4" ht="12.75">
      <c r="A73" s="64" t="s">
        <v>166</v>
      </c>
      <c r="B73" s="65" t="e">
        <f>IF(B69&lt;0,B69,0)</f>
        <v>#REF!</v>
      </c>
      <c r="C73" s="223" t="e">
        <f>B73/B23</f>
        <v>#REF!</v>
      </c>
    </row>
    <row r="74" spans="1:4" ht="12.75">
      <c r="A74" s="66" t="s">
        <v>167</v>
      </c>
      <c r="B74" s="65" t="e">
        <f>C65+B73</f>
        <v>#REF!</v>
      </c>
      <c r="C74" s="223" t="e">
        <f>B74/B$23</f>
        <v>#REF!</v>
      </c>
    </row>
    <row r="75" spans="1:4" ht="12.75">
      <c r="A75" s="375">
        <f>Assumptions!L18</f>
        <v>0.6</v>
      </c>
      <c r="B75" s="67" t="e">
        <f>ROUND(A75*C65,-3)</f>
        <v>#REF!</v>
      </c>
      <c r="C75" s="223" t="e">
        <f t="shared" ref="C75:C77" si="1">B75/B$23</f>
        <v>#REF!</v>
      </c>
    </row>
    <row r="76" spans="1:4" ht="24" customHeight="1" thickBot="1">
      <c r="A76" s="281">
        <f>1-A75</f>
        <v>0.4</v>
      </c>
      <c r="B76" s="67" t="e">
        <f>ROUND(A76*C65,-3)</f>
        <v>#REF!</v>
      </c>
      <c r="C76" s="223" t="e">
        <f t="shared" si="1"/>
        <v>#REF!</v>
      </c>
      <c r="D76" s="60"/>
    </row>
    <row r="77" spans="1:4" ht="35.450000000000003" customHeight="1" thickTop="1">
      <c r="A77" s="86" t="s">
        <v>168</v>
      </c>
      <c r="B77" s="376" t="e">
        <f>B75+B76</f>
        <v>#REF!</v>
      </c>
      <c r="C77" s="223" t="e">
        <f t="shared" si="1"/>
        <v>#REF!</v>
      </c>
    </row>
    <row r="78" spans="1:4" ht="13.5" thickBot="1">
      <c r="A78" s="283"/>
      <c r="B78" s="155"/>
      <c r="C78" s="284"/>
    </row>
    <row r="79" spans="1:4" ht="39" customHeight="1" thickBot="1">
      <c r="A79" s="1688" t="s">
        <v>169</v>
      </c>
      <c r="B79" s="1689"/>
      <c r="C79" s="276" t="str">
        <f>D1</f>
        <v>Chinook Condos</v>
      </c>
    </row>
    <row r="80" spans="1:4" ht="48" customHeight="1" thickBot="1">
      <c r="A80" s="68"/>
      <c r="B80" s="285" t="s">
        <v>170</v>
      </c>
      <c r="C80" s="285"/>
    </row>
    <row r="81" spans="1:5" ht="36.75" customHeight="1">
      <c r="A81" s="286" t="s">
        <v>171</v>
      </c>
      <c r="B81" s="288" t="e">
        <f>ROUND(D41,-2)</f>
        <v>#REF!</v>
      </c>
      <c r="C81" s="288"/>
    </row>
    <row r="82" spans="1:5" ht="29.25" customHeight="1" thickBot="1">
      <c r="A82" s="377">
        <v>0.02</v>
      </c>
      <c r="B82" s="378" t="e">
        <f>(-ROUND(A82*B81,-2))</f>
        <v>#REF!</v>
      </c>
      <c r="C82" s="290"/>
    </row>
    <row r="83" spans="1:5" ht="37.5" customHeight="1" thickTop="1" thickBot="1">
      <c r="A83" s="291" t="s">
        <v>172</v>
      </c>
      <c r="B83" s="69" t="e">
        <f>B81+B82</f>
        <v>#REF!</v>
      </c>
      <c r="C83" s="69"/>
      <c r="E83" s="70"/>
    </row>
    <row r="84" spans="1:5" ht="29.25" customHeight="1">
      <c r="A84" s="286" t="s">
        <v>173</v>
      </c>
      <c r="B84" s="288" t="e">
        <f>-B75</f>
        <v>#REF!</v>
      </c>
      <c r="C84" s="288"/>
    </row>
    <row r="85" spans="1:5" ht="13.5" thickBot="1">
      <c r="A85" s="292" t="s">
        <v>174</v>
      </c>
      <c r="B85" s="290" t="e">
        <f>-B76</f>
        <v>#REF!</v>
      </c>
      <c r="C85" s="290"/>
    </row>
    <row r="86" spans="1:5" ht="14.25" thickTop="1" thickBot="1">
      <c r="A86" s="87" t="s">
        <v>175</v>
      </c>
      <c r="B86" s="71" t="e">
        <f>ROUND(B83+B84+B85,-2)</f>
        <v>#REF!</v>
      </c>
      <c r="C86" s="71"/>
      <c r="D86" s="72"/>
    </row>
    <row r="87" spans="1:5" ht="13.5" thickBot="1">
      <c r="A87" s="1657" t="s">
        <v>241</v>
      </c>
      <c r="B87" s="1675"/>
      <c r="C87" s="1658"/>
    </row>
    <row r="88" spans="1:5" ht="12.75">
      <c r="A88" s="294" t="s">
        <v>177</v>
      </c>
      <c r="B88" s="295" t="e">
        <f>(B81)/B$23</f>
        <v>#REF!</v>
      </c>
      <c r="C88" s="295"/>
    </row>
    <row r="89" spans="1:5" ht="23.25" customHeight="1" thickBot="1">
      <c r="A89" s="296" t="s">
        <v>178</v>
      </c>
      <c r="B89" s="295" t="e">
        <f>(B83)/B$23</f>
        <v>#REF!</v>
      </c>
      <c r="C89" s="297"/>
    </row>
    <row r="90" spans="1:5" ht="14.45" hidden="1" customHeight="1">
      <c r="A90" s="1676" t="s">
        <v>179</v>
      </c>
      <c r="B90" s="1677"/>
      <c r="C90" s="1678"/>
    </row>
    <row r="91" spans="1:5" ht="13.5" thickBot="1">
      <c r="A91" s="283"/>
      <c r="B91" s="73"/>
      <c r="C91" s="73"/>
    </row>
    <row r="92" spans="1:5" ht="29.25" customHeight="1">
      <c r="A92" s="74"/>
      <c r="B92" s="285" t="s">
        <v>170</v>
      </c>
      <c r="C92" s="285"/>
    </row>
    <row r="93" spans="1:5" ht="12.75">
      <c r="A93" s="298" t="s">
        <v>180</v>
      </c>
      <c r="B93" s="299" t="e">
        <f>(B86+B76)/B76</f>
        <v>#REF!</v>
      </c>
      <c r="C93" s="299"/>
    </row>
    <row r="94" spans="1:5" ht="23.25" customHeight="1">
      <c r="A94" s="300" t="s">
        <v>181</v>
      </c>
      <c r="B94" s="115" t="e">
        <f>'F Draw'!B38</f>
        <v>#REF!</v>
      </c>
      <c r="C94" s="115"/>
      <c r="D94" s="75"/>
    </row>
    <row r="95" spans="1:5" ht="23.25" customHeight="1">
      <c r="A95" s="298" t="s">
        <v>182</v>
      </c>
      <c r="B95" s="301" t="e">
        <f>D40/B75</f>
        <v>#REF!</v>
      </c>
      <c r="C95" s="301"/>
    </row>
    <row r="96" spans="1:5" ht="23.25" customHeight="1">
      <c r="A96" s="298" t="s">
        <v>183</v>
      </c>
      <c r="B96" s="302">
        <f>C41</f>
        <v>0.06</v>
      </c>
      <c r="C96" s="302"/>
    </row>
    <row r="103" spans="1:4" ht="23.25" hidden="1" customHeight="1" thickBot="1"/>
    <row r="109" spans="1:4" ht="23.25" customHeight="1">
      <c r="A109" s="116"/>
      <c r="B109" s="116"/>
      <c r="C109" s="116"/>
      <c r="D109" s="32"/>
    </row>
  </sheetData>
  <mergeCells count="16">
    <mergeCell ref="A87:C87"/>
    <mergeCell ref="A90:C90"/>
    <mergeCell ref="B36:C36"/>
    <mergeCell ref="E62:F62"/>
    <mergeCell ref="E63:F63"/>
    <mergeCell ref="A42:B42"/>
    <mergeCell ref="C42:D42"/>
    <mergeCell ref="A71:B71"/>
    <mergeCell ref="A79:B79"/>
    <mergeCell ref="B35:C35"/>
    <mergeCell ref="B30:C30"/>
    <mergeCell ref="B31:C31"/>
    <mergeCell ref="A1:C1"/>
    <mergeCell ref="D1:E1"/>
    <mergeCell ref="A27:B27"/>
    <mergeCell ref="C27:D27"/>
  </mergeCells>
  <printOptions horizontalCentered="1" verticalCentered="1"/>
  <pageMargins left="0.7" right="0.7" top="0.75" bottom="0.75" header="0.3" footer="0.3"/>
  <pageSetup fitToHeight="0" orientation="landscape" horizontalDpi="4294967292" verticalDpi="4294967292" r:id="rId1"/>
  <headerFooter>
    <oddHeader>&amp;C&amp;"Times New Roman Bold,Bold"&amp;14&amp;K000000INVESTOR SHEET</oddHeader>
    <oddFooter>&amp;CPage &amp;P of &amp;N</oddFooter>
  </headerFooter>
  <rowBreaks count="3" manualBreakCount="3">
    <brk id="35" max="8" man="1"/>
    <brk id="53" max="8" man="1"/>
    <brk id="83" max="8"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460A6-D78B-4825-AA1E-88D18D808DB5}">
  <sheetPr>
    <tabColor rgb="FF0070C0"/>
  </sheetPr>
  <dimension ref="A1:BW598"/>
  <sheetViews>
    <sheetView zoomScaleNormal="100" zoomScalePageLayoutView="125" workbookViewId="0">
      <pane xSplit="1" ySplit="3" topLeftCell="B4" activePane="bottomRight" state="frozen"/>
      <selection pane="topRight" activeCell="B1" sqref="B1"/>
      <selection pane="bottomLeft" activeCell="A4" sqref="A4"/>
      <selection pane="bottomRight" sqref="A1:XFD1048576"/>
    </sheetView>
  </sheetViews>
  <sheetFormatPr defaultColWidth="8.85546875" defaultRowHeight="15"/>
  <cols>
    <col min="1" max="1" width="38.5703125" style="7" bestFit="1" customWidth="1"/>
    <col min="2" max="2" width="14.5703125" style="7" customWidth="1"/>
    <col min="3" max="3" width="17.5703125" style="7" customWidth="1"/>
    <col min="4" max="4" width="11" style="7" bestFit="1" customWidth="1"/>
    <col min="5" max="5" width="15.42578125" style="7" bestFit="1" customWidth="1"/>
    <col min="6" max="6" width="17.5703125" style="7" customWidth="1"/>
    <col min="7" max="7" width="11.85546875" style="89" customWidth="1"/>
    <col min="8" max="15" width="10.5703125" style="7" bestFit="1" customWidth="1"/>
    <col min="16" max="16" width="19.42578125" style="7" customWidth="1"/>
    <col min="17" max="17" width="18.42578125" style="7" customWidth="1"/>
    <col min="18" max="21" width="10.5703125" style="7" bestFit="1" customWidth="1"/>
    <col min="22" max="22" width="13.5703125" style="7" customWidth="1"/>
    <col min="23" max="23" width="14.42578125" style="7" customWidth="1"/>
    <col min="24" max="27" width="16.5703125" style="7" customWidth="1"/>
    <col min="28" max="28" width="16.5703125" style="90" customWidth="1"/>
    <col min="29" max="30" width="16.5703125" style="7" hidden="1" customWidth="1"/>
    <col min="31" max="31" width="16.5703125" style="90" hidden="1" customWidth="1"/>
    <col min="32" max="46" width="16.5703125" style="7" hidden="1" customWidth="1"/>
    <col min="47" max="47" width="16.5703125" style="91" hidden="1" customWidth="1"/>
    <col min="48" max="48" width="17" style="7" bestFit="1" customWidth="1"/>
    <col min="49" max="49" width="15.5703125" style="7" customWidth="1"/>
    <col min="50" max="50" width="19.140625" style="7" customWidth="1"/>
    <col min="51" max="73" width="17" customWidth="1"/>
    <col min="74" max="74" width="16.5703125" customWidth="1"/>
    <col min="75" max="75" width="17.85546875" bestFit="1" customWidth="1"/>
    <col min="76" max="76" width="9.5703125" style="7" bestFit="1" customWidth="1"/>
    <col min="77" max="77" width="11.85546875" style="7" bestFit="1" customWidth="1"/>
    <col min="78" max="79" width="9.5703125" style="7" bestFit="1" customWidth="1"/>
    <col min="80" max="16384" width="8.85546875" style="7"/>
  </cols>
  <sheetData>
    <row r="1" spans="1:50" ht="15.75" thickBot="1">
      <c r="A1" s="1588"/>
      <c r="B1" s="156" t="s">
        <v>184</v>
      </c>
      <c r="C1" s="144" t="str">
        <f>'Development Program'!D23</f>
        <v>Pre-Development</v>
      </c>
      <c r="D1" s="144" t="str">
        <f>'Development Program'!E23</f>
        <v>Demolition</v>
      </c>
      <c r="E1" s="144" t="str">
        <f>'Development Program'!F23</f>
        <v>Construction</v>
      </c>
      <c r="F1" s="145" t="str">
        <f>'Development Program'!G23</f>
        <v>Close-out</v>
      </c>
      <c r="G1" s="7"/>
      <c r="AB1" s="7"/>
      <c r="AE1" s="7"/>
      <c r="AU1" s="7"/>
    </row>
    <row r="2" spans="1:50" ht="15.75" thickBot="1">
      <c r="A2" s="1575"/>
      <c r="B2" s="303" t="s">
        <v>185</v>
      </c>
      <c r="C2" s="305" t="str">
        <f>'Development Program'!D28</f>
        <v>01/1/28 to 12/31/28</v>
      </c>
      <c r="D2" s="305" t="str">
        <f>'Development Program'!E28</f>
        <v>None</v>
      </c>
      <c r="E2" s="305" t="str">
        <f>'Development Program'!F28</f>
        <v>1/1/29 to 12/31/30</v>
      </c>
      <c r="F2" s="305" t="str">
        <f>'Development Program'!G28</f>
        <v>1/1/31 to 6/30/31</v>
      </c>
      <c r="G2" s="7"/>
      <c r="P2" s="193" t="s">
        <v>243</v>
      </c>
      <c r="Q2" s="194" t="s">
        <v>232</v>
      </c>
      <c r="X2" s="193" t="s">
        <v>233</v>
      </c>
      <c r="Y2" s="193" t="s">
        <v>234</v>
      </c>
      <c r="AB2" s="193" t="s">
        <v>235</v>
      </c>
      <c r="AE2" s="7"/>
      <c r="AU2" s="7"/>
      <c r="AV2" s="1690" t="s">
        <v>191</v>
      </c>
      <c r="AW2" s="1690"/>
      <c r="AX2" s="1690"/>
    </row>
    <row r="3" spans="1:50" ht="15.75" thickBot="1">
      <c r="A3" s="1576"/>
      <c r="B3" s="92" t="s">
        <v>62</v>
      </c>
      <c r="C3" s="146">
        <v>45658</v>
      </c>
      <c r="D3" s="147">
        <f>EOMONTH(C3,3)</f>
        <v>45777</v>
      </c>
      <c r="E3" s="147">
        <f t="shared" ref="E3:AU3" si="0">EOMONTH(D3,3)</f>
        <v>45869</v>
      </c>
      <c r="F3" s="147">
        <f t="shared" si="0"/>
        <v>45961</v>
      </c>
      <c r="G3" s="188">
        <f t="shared" si="0"/>
        <v>46053</v>
      </c>
      <c r="H3" s="188">
        <f t="shared" si="0"/>
        <v>46142</v>
      </c>
      <c r="I3" s="188">
        <f t="shared" si="0"/>
        <v>46234</v>
      </c>
      <c r="J3" s="188">
        <f t="shared" si="0"/>
        <v>46326</v>
      </c>
      <c r="K3" s="188">
        <f t="shared" si="0"/>
        <v>46418</v>
      </c>
      <c r="L3" s="188">
        <f t="shared" si="0"/>
        <v>46507</v>
      </c>
      <c r="M3" s="188">
        <f t="shared" si="0"/>
        <v>46599</v>
      </c>
      <c r="N3" s="188">
        <f t="shared" si="0"/>
        <v>46691</v>
      </c>
      <c r="O3" s="188">
        <f t="shared" si="0"/>
        <v>46783</v>
      </c>
      <c r="P3" s="188">
        <f t="shared" si="0"/>
        <v>46873</v>
      </c>
      <c r="Q3" s="188">
        <f t="shared" si="0"/>
        <v>46965</v>
      </c>
      <c r="R3" s="188">
        <f t="shared" si="0"/>
        <v>47057</v>
      </c>
      <c r="S3" s="188">
        <f t="shared" si="0"/>
        <v>47149</v>
      </c>
      <c r="T3" s="188">
        <f t="shared" si="0"/>
        <v>47238</v>
      </c>
      <c r="U3" s="188">
        <f t="shared" si="0"/>
        <v>47330</v>
      </c>
      <c r="V3" s="188">
        <f t="shared" si="0"/>
        <v>47422</v>
      </c>
      <c r="W3" s="188">
        <f t="shared" si="0"/>
        <v>47514</v>
      </c>
      <c r="X3" s="188">
        <f t="shared" si="0"/>
        <v>47603</v>
      </c>
      <c r="Y3" s="188">
        <f t="shared" si="0"/>
        <v>47695</v>
      </c>
      <c r="Z3" s="188">
        <f t="shared" si="0"/>
        <v>47787</v>
      </c>
      <c r="AA3" s="188">
        <f t="shared" si="0"/>
        <v>47879</v>
      </c>
      <c r="AB3" s="188">
        <f t="shared" si="0"/>
        <v>47968</v>
      </c>
      <c r="AC3" s="188">
        <f t="shared" si="0"/>
        <v>48060</v>
      </c>
      <c r="AD3" s="188">
        <f t="shared" si="0"/>
        <v>48152</v>
      </c>
      <c r="AE3" s="188">
        <f t="shared" si="0"/>
        <v>48244</v>
      </c>
      <c r="AF3" s="188">
        <f t="shared" si="0"/>
        <v>48334</v>
      </c>
      <c r="AG3" s="188">
        <f t="shared" si="0"/>
        <v>48426</v>
      </c>
      <c r="AH3" s="188">
        <f t="shared" si="0"/>
        <v>48518</v>
      </c>
      <c r="AI3" s="188">
        <f t="shared" si="0"/>
        <v>48610</v>
      </c>
      <c r="AJ3" s="188">
        <f t="shared" si="0"/>
        <v>48699</v>
      </c>
      <c r="AK3" s="188">
        <f t="shared" si="0"/>
        <v>48791</v>
      </c>
      <c r="AL3" s="188">
        <f t="shared" si="0"/>
        <v>48883</v>
      </c>
      <c r="AM3" s="188">
        <f t="shared" si="0"/>
        <v>48975</v>
      </c>
      <c r="AN3" s="188">
        <f t="shared" si="0"/>
        <v>49064</v>
      </c>
      <c r="AO3" s="188">
        <f t="shared" si="0"/>
        <v>49156</v>
      </c>
      <c r="AP3" s="188">
        <f t="shared" si="0"/>
        <v>49248</v>
      </c>
      <c r="AQ3" s="188">
        <f t="shared" si="0"/>
        <v>49340</v>
      </c>
      <c r="AR3" s="188">
        <f t="shared" si="0"/>
        <v>49429</v>
      </c>
      <c r="AS3" s="188">
        <f t="shared" si="0"/>
        <v>49521</v>
      </c>
      <c r="AT3" s="188">
        <f t="shared" si="0"/>
        <v>49613</v>
      </c>
      <c r="AU3" s="188">
        <f t="shared" si="0"/>
        <v>49705</v>
      </c>
      <c r="AV3" s="306" t="s">
        <v>192</v>
      </c>
      <c r="AW3" s="307" t="s">
        <v>193</v>
      </c>
      <c r="AX3" s="306"/>
    </row>
    <row r="4" spans="1:50" ht="15.75" thickBot="1">
      <c r="A4" s="308" t="s">
        <v>194</v>
      </c>
      <c r="B4" s="309">
        <v>1</v>
      </c>
      <c r="C4" s="181">
        <v>0</v>
      </c>
      <c r="D4" s="181">
        <v>0</v>
      </c>
      <c r="E4" s="181">
        <v>0</v>
      </c>
      <c r="F4" s="181">
        <f t="shared" ref="F4:G4" si="1">E4</f>
        <v>0</v>
      </c>
      <c r="G4" s="180">
        <f t="shared" si="1"/>
        <v>0</v>
      </c>
      <c r="H4" s="180"/>
      <c r="I4" s="180"/>
      <c r="J4" s="180"/>
      <c r="K4" s="180"/>
      <c r="L4" s="180"/>
      <c r="M4" s="180"/>
      <c r="N4" s="180"/>
      <c r="O4" s="180"/>
      <c r="P4" s="180"/>
      <c r="Q4" s="180">
        <v>0.1</v>
      </c>
      <c r="R4" s="180">
        <v>0.1</v>
      </c>
      <c r="S4" s="180">
        <v>0.1</v>
      </c>
      <c r="T4" s="180">
        <v>0.15</v>
      </c>
      <c r="U4" s="180">
        <v>0.15</v>
      </c>
      <c r="V4" s="180">
        <v>0.15</v>
      </c>
      <c r="W4" s="180">
        <v>0.15</v>
      </c>
      <c r="X4" s="180">
        <v>0.1</v>
      </c>
      <c r="Y4" s="180">
        <v>0</v>
      </c>
      <c r="Z4" s="180">
        <v>0</v>
      </c>
      <c r="AA4" s="180">
        <v>0</v>
      </c>
      <c r="AB4" s="180"/>
      <c r="AC4" s="180"/>
      <c r="AD4" s="180"/>
      <c r="AE4" s="180"/>
      <c r="AF4" s="180"/>
      <c r="AG4" s="180">
        <v>0</v>
      </c>
      <c r="AH4" s="180"/>
      <c r="AI4" s="180"/>
      <c r="AJ4" s="180"/>
      <c r="AK4" s="180"/>
      <c r="AL4" s="180"/>
      <c r="AM4" s="180"/>
      <c r="AN4" s="180"/>
      <c r="AO4" s="180"/>
      <c r="AP4" s="180"/>
      <c r="AQ4" s="180"/>
      <c r="AR4" s="180"/>
      <c r="AS4" s="180"/>
      <c r="AT4" s="180"/>
      <c r="AU4" s="180"/>
      <c r="AV4" s="310">
        <f t="shared" ref="AV4:AV25" si="2">SUM(C4:AU4)</f>
        <v>1.0000000000000002</v>
      </c>
      <c r="AW4" s="311"/>
      <c r="AX4" s="159" t="s">
        <v>195</v>
      </c>
    </row>
    <row r="5" spans="1:50">
      <c r="A5" s="312" t="str">
        <f>'G Financial'!A44</f>
        <v>Hard Costs for Construction</v>
      </c>
      <c r="B5" s="409">
        <f>'G Financial'!C44</f>
        <v>1260105</v>
      </c>
      <c r="C5" s="314">
        <f t="shared" ref="C5:AB5" si="3">$B$5*C4</f>
        <v>0</v>
      </c>
      <c r="D5" s="314">
        <f t="shared" si="3"/>
        <v>0</v>
      </c>
      <c r="E5" s="314">
        <f t="shared" si="3"/>
        <v>0</v>
      </c>
      <c r="F5" s="314">
        <f t="shared" si="3"/>
        <v>0</v>
      </c>
      <c r="G5" s="314">
        <f t="shared" si="3"/>
        <v>0</v>
      </c>
      <c r="H5" s="314">
        <f t="shared" si="3"/>
        <v>0</v>
      </c>
      <c r="I5" s="314">
        <f t="shared" si="3"/>
        <v>0</v>
      </c>
      <c r="J5" s="314">
        <f t="shared" si="3"/>
        <v>0</v>
      </c>
      <c r="K5" s="314">
        <f t="shared" si="3"/>
        <v>0</v>
      </c>
      <c r="L5" s="314">
        <f t="shared" si="3"/>
        <v>0</v>
      </c>
      <c r="M5" s="314">
        <f t="shared" si="3"/>
        <v>0</v>
      </c>
      <c r="N5" s="314">
        <f t="shared" si="3"/>
        <v>0</v>
      </c>
      <c r="O5" s="314">
        <f t="shared" si="3"/>
        <v>0</v>
      </c>
      <c r="P5" s="314">
        <f t="shared" si="3"/>
        <v>0</v>
      </c>
      <c r="Q5" s="314">
        <f t="shared" si="3"/>
        <v>126010.5</v>
      </c>
      <c r="R5" s="314">
        <f t="shared" si="3"/>
        <v>126010.5</v>
      </c>
      <c r="S5" s="314">
        <f t="shared" si="3"/>
        <v>126010.5</v>
      </c>
      <c r="T5" s="314">
        <f t="shared" si="3"/>
        <v>189015.75</v>
      </c>
      <c r="U5" s="314">
        <f t="shared" si="3"/>
        <v>189015.75</v>
      </c>
      <c r="V5" s="314">
        <f t="shared" si="3"/>
        <v>189015.75</v>
      </c>
      <c r="W5" s="314">
        <f t="shared" si="3"/>
        <v>189015.75</v>
      </c>
      <c r="X5" s="314">
        <f t="shared" si="3"/>
        <v>126010.5</v>
      </c>
      <c r="Y5" s="314">
        <f t="shared" si="3"/>
        <v>0</v>
      </c>
      <c r="Z5" s="314">
        <f t="shared" si="3"/>
        <v>0</v>
      </c>
      <c r="AA5" s="314">
        <f t="shared" si="3"/>
        <v>0</v>
      </c>
      <c r="AB5" s="314">
        <f t="shared" si="3"/>
        <v>0</v>
      </c>
      <c r="AC5" s="314"/>
      <c r="AD5" s="314"/>
      <c r="AE5" s="314"/>
      <c r="AF5" s="314"/>
      <c r="AG5" s="314"/>
      <c r="AH5" s="314"/>
      <c r="AI5" s="314"/>
      <c r="AJ5" s="314"/>
      <c r="AK5" s="314"/>
      <c r="AL5" s="314"/>
      <c r="AM5" s="314"/>
      <c r="AN5" s="314"/>
      <c r="AO5" s="314"/>
      <c r="AP5" s="314"/>
      <c r="AQ5" s="314"/>
      <c r="AR5" s="314"/>
      <c r="AS5" s="314"/>
      <c r="AT5" s="314"/>
      <c r="AU5" s="314"/>
      <c r="AV5" s="315">
        <f t="shared" si="2"/>
        <v>1260105</v>
      </c>
      <c r="AW5" s="315">
        <f t="shared" ref="AW5:AW25" si="4">B5</f>
        <v>1260105</v>
      </c>
      <c r="AX5" s="441">
        <f>AW5-AV5</f>
        <v>0</v>
      </c>
    </row>
    <row r="6" spans="1:50">
      <c r="A6" s="312" t="str">
        <f>'G Financial'!A45</f>
        <v>Parking stalls</v>
      </c>
      <c r="B6" s="409">
        <f>'G Financial'!C45</f>
        <v>400000</v>
      </c>
      <c r="C6" s="314">
        <f>$B$6*C4</f>
        <v>0</v>
      </c>
      <c r="D6" s="314">
        <f t="shared" ref="D6:AB6" si="5">$B$6*D4</f>
        <v>0</v>
      </c>
      <c r="E6" s="314">
        <f t="shared" si="5"/>
        <v>0</v>
      </c>
      <c r="F6" s="314">
        <f t="shared" si="5"/>
        <v>0</v>
      </c>
      <c r="G6" s="314">
        <f t="shared" si="5"/>
        <v>0</v>
      </c>
      <c r="H6" s="314">
        <f t="shared" si="5"/>
        <v>0</v>
      </c>
      <c r="I6" s="314">
        <f t="shared" si="5"/>
        <v>0</v>
      </c>
      <c r="J6" s="314">
        <f t="shared" si="5"/>
        <v>0</v>
      </c>
      <c r="K6" s="314">
        <f t="shared" si="5"/>
        <v>0</v>
      </c>
      <c r="L6" s="314">
        <f t="shared" si="5"/>
        <v>0</v>
      </c>
      <c r="M6" s="314">
        <f t="shared" si="5"/>
        <v>0</v>
      </c>
      <c r="N6" s="314">
        <f t="shared" si="5"/>
        <v>0</v>
      </c>
      <c r="O6" s="314">
        <f t="shared" si="5"/>
        <v>0</v>
      </c>
      <c r="P6" s="314">
        <f t="shared" si="5"/>
        <v>0</v>
      </c>
      <c r="Q6" s="314">
        <f t="shared" si="5"/>
        <v>40000</v>
      </c>
      <c r="R6" s="314">
        <f t="shared" si="5"/>
        <v>40000</v>
      </c>
      <c r="S6" s="314">
        <f t="shared" si="5"/>
        <v>40000</v>
      </c>
      <c r="T6" s="314">
        <f t="shared" si="5"/>
        <v>60000</v>
      </c>
      <c r="U6" s="314">
        <f t="shared" si="5"/>
        <v>60000</v>
      </c>
      <c r="V6" s="314">
        <f t="shared" si="5"/>
        <v>60000</v>
      </c>
      <c r="W6" s="314">
        <f t="shared" si="5"/>
        <v>60000</v>
      </c>
      <c r="X6" s="314">
        <f t="shared" si="5"/>
        <v>40000</v>
      </c>
      <c r="Y6" s="314">
        <f t="shared" si="5"/>
        <v>0</v>
      </c>
      <c r="Z6" s="314">
        <f t="shared" si="5"/>
        <v>0</v>
      </c>
      <c r="AA6" s="314">
        <f t="shared" si="5"/>
        <v>0</v>
      </c>
      <c r="AB6" s="314">
        <f t="shared" si="5"/>
        <v>0</v>
      </c>
      <c r="AC6" s="314"/>
      <c r="AD6" s="314"/>
      <c r="AE6" s="314"/>
      <c r="AF6" s="314"/>
      <c r="AG6" s="314"/>
      <c r="AH6" s="314"/>
      <c r="AI6" s="314"/>
      <c r="AJ6" s="314"/>
      <c r="AK6" s="314"/>
      <c r="AL6" s="314"/>
      <c r="AM6" s="314"/>
      <c r="AN6" s="314"/>
      <c r="AO6" s="314"/>
      <c r="AP6" s="314"/>
      <c r="AQ6" s="314"/>
      <c r="AR6" s="314"/>
      <c r="AS6" s="314"/>
      <c r="AT6" s="314"/>
      <c r="AU6" s="314"/>
      <c r="AV6" s="315">
        <f t="shared" si="2"/>
        <v>400000</v>
      </c>
      <c r="AW6" s="315">
        <f t="shared" si="4"/>
        <v>400000</v>
      </c>
      <c r="AX6" s="441">
        <f t="shared" ref="AX6:AX25" si="6">AW6-AV6</f>
        <v>0</v>
      </c>
    </row>
    <row r="7" spans="1:50">
      <c r="A7" s="312" t="str">
        <f>'G Financial'!A46</f>
        <v>Hard Cost Contingency</v>
      </c>
      <c r="B7" s="409">
        <f>'G Financial'!C46</f>
        <v>126010.5</v>
      </c>
      <c r="C7" s="314">
        <f t="shared" ref="C7:Q7" si="7">$B7*C$4</f>
        <v>0</v>
      </c>
      <c r="D7" s="314">
        <f t="shared" si="7"/>
        <v>0</v>
      </c>
      <c r="E7" s="314">
        <f t="shared" si="7"/>
        <v>0</v>
      </c>
      <c r="F7" s="314">
        <f t="shared" si="7"/>
        <v>0</v>
      </c>
      <c r="G7" s="314">
        <f t="shared" si="7"/>
        <v>0</v>
      </c>
      <c r="H7" s="314">
        <f t="shared" si="7"/>
        <v>0</v>
      </c>
      <c r="I7" s="314">
        <f t="shared" si="7"/>
        <v>0</v>
      </c>
      <c r="J7" s="314">
        <f t="shared" si="7"/>
        <v>0</v>
      </c>
      <c r="K7" s="314">
        <f t="shared" si="7"/>
        <v>0</v>
      </c>
      <c r="L7" s="314">
        <f t="shared" si="7"/>
        <v>0</v>
      </c>
      <c r="M7" s="314">
        <f t="shared" si="7"/>
        <v>0</v>
      </c>
      <c r="N7" s="314">
        <f t="shared" si="7"/>
        <v>0</v>
      </c>
      <c r="O7" s="314">
        <f t="shared" si="7"/>
        <v>0</v>
      </c>
      <c r="P7" s="314">
        <f t="shared" si="7"/>
        <v>0</v>
      </c>
      <c r="Q7" s="314">
        <f t="shared" si="7"/>
        <v>12601.050000000001</v>
      </c>
      <c r="R7" s="314">
        <f>$B7*R$4</f>
        <v>12601.050000000001</v>
      </c>
      <c r="S7" s="314">
        <f t="shared" ref="S7:AB7" si="8">$B7*S$4</f>
        <v>12601.050000000001</v>
      </c>
      <c r="T7" s="314">
        <f t="shared" si="8"/>
        <v>18901.575000000001</v>
      </c>
      <c r="U7" s="314">
        <f t="shared" si="8"/>
        <v>18901.575000000001</v>
      </c>
      <c r="V7" s="314">
        <f t="shared" si="8"/>
        <v>18901.575000000001</v>
      </c>
      <c r="W7" s="314">
        <f t="shared" si="8"/>
        <v>18901.575000000001</v>
      </c>
      <c r="X7" s="314">
        <f t="shared" si="8"/>
        <v>12601.050000000001</v>
      </c>
      <c r="Y7" s="314">
        <f t="shared" si="8"/>
        <v>0</v>
      </c>
      <c r="Z7" s="314">
        <f t="shared" si="8"/>
        <v>0</v>
      </c>
      <c r="AA7" s="314">
        <f t="shared" si="8"/>
        <v>0</v>
      </c>
      <c r="AB7" s="314">
        <f t="shared" si="8"/>
        <v>0</v>
      </c>
      <c r="AC7" s="314"/>
      <c r="AD7" s="314"/>
      <c r="AE7" s="314"/>
      <c r="AF7" s="314"/>
      <c r="AG7" s="314"/>
      <c r="AH7" s="314"/>
      <c r="AI7" s="314"/>
      <c r="AJ7" s="314"/>
      <c r="AK7" s="314"/>
      <c r="AL7" s="314"/>
      <c r="AM7" s="314"/>
      <c r="AN7" s="314"/>
      <c r="AO7" s="314"/>
      <c r="AP7" s="314"/>
      <c r="AQ7" s="314"/>
      <c r="AR7" s="314"/>
      <c r="AS7" s="314"/>
      <c r="AT7" s="314"/>
      <c r="AU7" s="314"/>
      <c r="AV7" s="315">
        <f t="shared" si="2"/>
        <v>126010.5</v>
      </c>
      <c r="AW7" s="315">
        <f t="shared" si="4"/>
        <v>126010.5</v>
      </c>
      <c r="AX7" s="441">
        <f t="shared" si="6"/>
        <v>0</v>
      </c>
    </row>
    <row r="8" spans="1:50">
      <c r="A8" s="312" t="str">
        <f>'G Financial'!A47</f>
        <v>Demolition</v>
      </c>
      <c r="B8" s="409">
        <f>'G Financial'!C47</f>
        <v>0</v>
      </c>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5">
        <f t="shared" si="2"/>
        <v>0</v>
      </c>
      <c r="AW8" s="315">
        <f t="shared" si="4"/>
        <v>0</v>
      </c>
      <c r="AX8" s="441">
        <f t="shared" si="6"/>
        <v>0</v>
      </c>
    </row>
    <row r="9" spans="1:50">
      <c r="A9" s="312" t="str">
        <f>'G Financial'!A48</f>
        <v>LAND</v>
      </c>
      <c r="B9" s="409">
        <f>'G Financial'!C48</f>
        <v>700000</v>
      </c>
      <c r="C9" s="318"/>
      <c r="D9" s="314"/>
      <c r="E9" s="314">
        <v>70000</v>
      </c>
      <c r="F9" s="314"/>
      <c r="G9" s="317"/>
      <c r="H9" s="317"/>
      <c r="I9" s="317"/>
      <c r="J9" s="318"/>
      <c r="K9" s="314"/>
      <c r="L9" s="314"/>
      <c r="M9" s="318"/>
      <c r="N9" s="314"/>
      <c r="O9" s="314"/>
      <c r="P9" s="314"/>
      <c r="Q9" s="318">
        <f>$B9-$E9</f>
        <v>630000</v>
      </c>
      <c r="R9" s="314"/>
      <c r="S9" s="314"/>
      <c r="T9" s="314"/>
      <c r="U9" s="314"/>
      <c r="V9" s="314"/>
      <c r="W9" s="314"/>
      <c r="X9" s="314"/>
      <c r="Y9" s="314"/>
      <c r="Z9" s="314"/>
      <c r="AA9" s="314"/>
      <c r="AB9" s="314"/>
      <c r="AC9" s="316"/>
      <c r="AD9" s="316"/>
      <c r="AE9" s="380"/>
      <c r="AF9" s="380"/>
      <c r="AG9" s="380"/>
      <c r="AH9" s="380"/>
      <c r="AI9" s="380"/>
      <c r="AJ9" s="380"/>
      <c r="AK9" s="380"/>
      <c r="AL9" s="380"/>
      <c r="AM9" s="380"/>
      <c r="AN9" s="380"/>
      <c r="AO9" s="380"/>
      <c r="AP9" s="380"/>
      <c r="AQ9" s="380"/>
      <c r="AR9" s="380"/>
      <c r="AS9" s="380"/>
      <c r="AT9" s="380"/>
      <c r="AU9" s="380"/>
      <c r="AV9" s="315">
        <f t="shared" si="2"/>
        <v>700000</v>
      </c>
      <c r="AW9" s="315">
        <f t="shared" si="4"/>
        <v>700000</v>
      </c>
      <c r="AX9" s="441">
        <f t="shared" si="6"/>
        <v>0</v>
      </c>
    </row>
    <row r="10" spans="1:50">
      <c r="A10" s="312" t="str">
        <f>'G Financial'!A49</f>
        <v>Municipal Fees and Allowances</v>
      </c>
      <c r="B10" s="409">
        <f>'G Financial'!C49</f>
        <v>240000</v>
      </c>
      <c r="C10" s="318"/>
      <c r="D10" s="314"/>
      <c r="E10" s="314"/>
      <c r="F10" s="314"/>
      <c r="G10" s="314"/>
      <c r="H10" s="317"/>
      <c r="I10" s="314"/>
      <c r="J10" s="314"/>
      <c r="K10" s="314"/>
      <c r="L10" s="314"/>
      <c r="M10" s="314"/>
      <c r="N10" s="314"/>
      <c r="O10" s="314"/>
      <c r="P10" s="314"/>
      <c r="Q10" s="314">
        <f>B10</f>
        <v>240000</v>
      </c>
      <c r="R10" s="316"/>
      <c r="S10" s="183"/>
      <c r="T10" s="316"/>
      <c r="U10" s="316"/>
      <c r="V10" s="316"/>
      <c r="W10" s="316"/>
      <c r="X10" s="316"/>
      <c r="Y10" s="316"/>
      <c r="Z10" s="316"/>
      <c r="AA10" s="316"/>
      <c r="AB10" s="316"/>
      <c r="AC10" s="316"/>
      <c r="AD10" s="316"/>
      <c r="AE10" s="380"/>
      <c r="AF10" s="380"/>
      <c r="AG10" s="380"/>
      <c r="AH10" s="380"/>
      <c r="AI10" s="380"/>
      <c r="AJ10" s="380"/>
      <c r="AK10" s="380"/>
      <c r="AL10" s="380"/>
      <c r="AM10" s="380"/>
      <c r="AN10" s="380"/>
      <c r="AO10" s="380"/>
      <c r="AP10" s="380"/>
      <c r="AQ10" s="380"/>
      <c r="AR10" s="380"/>
      <c r="AS10" s="380"/>
      <c r="AT10" s="380"/>
      <c r="AU10" s="380"/>
      <c r="AV10" s="315">
        <f t="shared" si="2"/>
        <v>240000</v>
      </c>
      <c r="AW10" s="315">
        <f t="shared" si="4"/>
        <v>240000</v>
      </c>
      <c r="AX10" s="441">
        <f t="shared" si="6"/>
        <v>0</v>
      </c>
    </row>
    <row r="11" spans="1:50">
      <c r="A11" s="312" t="str">
        <f>'G Financial'!A50</f>
        <v>Infrastructure allocation</v>
      </c>
      <c r="B11" s="409">
        <f>'G Financial'!C50</f>
        <v>3500000</v>
      </c>
      <c r="C11" s="318"/>
      <c r="D11" s="314"/>
      <c r="E11" s="314"/>
      <c r="F11" s="314"/>
      <c r="G11" s="314"/>
      <c r="H11" s="314"/>
      <c r="I11" s="314"/>
      <c r="J11" s="314"/>
      <c r="K11" s="314"/>
      <c r="L11" s="314"/>
      <c r="M11" s="314"/>
      <c r="N11" s="314"/>
      <c r="O11" s="314"/>
      <c r="P11" s="314"/>
      <c r="Q11" s="314"/>
      <c r="R11" s="316"/>
      <c r="S11" s="183"/>
      <c r="T11" s="316"/>
      <c r="U11" s="316"/>
      <c r="V11" s="316"/>
      <c r="W11" s="316"/>
      <c r="X11" s="316"/>
      <c r="Y11" s="316"/>
      <c r="Z11" s="316"/>
      <c r="AA11" s="316"/>
      <c r="AB11" s="316"/>
      <c r="AC11" s="316"/>
      <c r="AD11" s="316"/>
      <c r="AE11" s="380"/>
      <c r="AF11" s="380"/>
      <c r="AG11" s="380"/>
      <c r="AH11" s="380"/>
      <c r="AI11" s="380"/>
      <c r="AJ11" s="380"/>
      <c r="AK11" s="380"/>
      <c r="AL11" s="380"/>
      <c r="AM11" s="380"/>
      <c r="AN11" s="380"/>
      <c r="AO11" s="380"/>
      <c r="AP11" s="380"/>
      <c r="AQ11" s="380"/>
      <c r="AR11" s="380"/>
      <c r="AS11" s="380"/>
      <c r="AT11" s="380"/>
      <c r="AU11" s="380"/>
      <c r="AV11" s="315">
        <f t="shared" si="2"/>
        <v>0</v>
      </c>
      <c r="AW11" s="315">
        <f t="shared" si="4"/>
        <v>3500000</v>
      </c>
      <c r="AX11" s="441">
        <f t="shared" si="6"/>
        <v>3500000</v>
      </c>
    </row>
    <row r="12" spans="1:50">
      <c r="A12" s="312" t="str">
        <f>'G Financial'!A51</f>
        <v>Legal</v>
      </c>
      <c r="B12" s="409">
        <f>'G Financial'!C51</f>
        <v>400000</v>
      </c>
      <c r="C12" s="318"/>
      <c r="D12" s="318"/>
      <c r="E12" s="318">
        <f t="shared" ref="E12:G12" si="9">0.05*$B12</f>
        <v>20000</v>
      </c>
      <c r="F12" s="318">
        <f t="shared" si="9"/>
        <v>20000</v>
      </c>
      <c r="G12" s="318">
        <f t="shared" si="9"/>
        <v>20000</v>
      </c>
      <c r="H12" s="318">
        <f>0.05*$B12</f>
        <v>20000</v>
      </c>
      <c r="I12" s="318">
        <f>0.05*$B12</f>
        <v>20000</v>
      </c>
      <c r="J12" s="318">
        <f>0.05*$B12</f>
        <v>20000</v>
      </c>
      <c r="K12" s="318">
        <f t="shared" ref="K12:P12" si="10">0.1*$B12</f>
        <v>40000</v>
      </c>
      <c r="L12" s="318">
        <f t="shared" si="10"/>
        <v>40000</v>
      </c>
      <c r="M12" s="318">
        <f t="shared" si="10"/>
        <v>40000</v>
      </c>
      <c r="N12" s="318">
        <f t="shared" si="10"/>
        <v>40000</v>
      </c>
      <c r="O12" s="318">
        <f t="shared" si="10"/>
        <v>40000</v>
      </c>
      <c r="P12" s="318">
        <f t="shared" si="10"/>
        <v>40000</v>
      </c>
      <c r="Q12" s="314">
        <v>40000</v>
      </c>
      <c r="R12" s="316"/>
      <c r="S12" s="316"/>
      <c r="T12" s="316"/>
      <c r="U12" s="316"/>
      <c r="V12" s="316"/>
      <c r="W12" s="316"/>
      <c r="X12" s="316"/>
      <c r="Y12" s="316"/>
      <c r="Z12" s="316"/>
      <c r="AA12" s="316"/>
      <c r="AB12" s="316"/>
      <c r="AC12" s="316"/>
      <c r="AD12" s="316"/>
      <c r="AE12" s="316"/>
      <c r="AF12" s="316"/>
      <c r="AG12" s="316"/>
      <c r="AH12" s="316"/>
      <c r="AI12" s="316"/>
      <c r="AJ12" s="316"/>
      <c r="AK12" s="316"/>
      <c r="AL12" s="316"/>
      <c r="AM12" s="316"/>
      <c r="AN12" s="316"/>
      <c r="AO12" s="316"/>
      <c r="AP12" s="316"/>
      <c r="AQ12" s="316"/>
      <c r="AR12" s="316"/>
      <c r="AS12" s="316"/>
      <c r="AT12" s="316"/>
      <c r="AU12" s="316"/>
      <c r="AV12" s="315">
        <f t="shared" si="2"/>
        <v>400000</v>
      </c>
      <c r="AW12" s="315">
        <f t="shared" si="4"/>
        <v>400000</v>
      </c>
      <c r="AX12" s="441">
        <f t="shared" si="6"/>
        <v>0</v>
      </c>
    </row>
    <row r="13" spans="1:50">
      <c r="A13" s="312" t="str">
        <f>'G Financial'!A52</f>
        <v>Land Closing Costs/commissions</v>
      </c>
      <c r="B13" s="409">
        <f>'G Financial'!C52</f>
        <v>40000</v>
      </c>
      <c r="C13" s="318"/>
      <c r="D13" s="314"/>
      <c r="E13" s="314"/>
      <c r="F13" s="314"/>
      <c r="G13" s="182"/>
      <c r="H13" s="314"/>
      <c r="I13" s="182"/>
      <c r="J13" s="314"/>
      <c r="K13" s="314"/>
      <c r="L13" s="314"/>
      <c r="M13" s="182"/>
      <c r="N13" s="314"/>
      <c r="O13" s="314"/>
      <c r="P13" s="314"/>
      <c r="Q13" s="314">
        <f>$B13</f>
        <v>40000</v>
      </c>
      <c r="R13" s="314"/>
      <c r="S13" s="314"/>
      <c r="T13" s="314"/>
      <c r="U13" s="314"/>
      <c r="V13" s="314"/>
      <c r="W13" s="314"/>
      <c r="X13" s="314"/>
      <c r="Y13" s="314"/>
      <c r="Z13" s="314"/>
      <c r="AA13" s="314"/>
      <c r="AB13" s="314"/>
      <c r="AC13" s="314"/>
      <c r="AD13" s="314"/>
      <c r="AE13" s="317"/>
      <c r="AF13" s="317"/>
      <c r="AG13" s="317"/>
      <c r="AH13" s="317"/>
      <c r="AI13" s="317"/>
      <c r="AJ13" s="317"/>
      <c r="AK13" s="317"/>
      <c r="AL13" s="317"/>
      <c r="AM13" s="317"/>
      <c r="AN13" s="317"/>
      <c r="AO13" s="317"/>
      <c r="AP13" s="317"/>
      <c r="AQ13" s="317"/>
      <c r="AR13" s="317"/>
      <c r="AS13" s="317"/>
      <c r="AT13" s="317"/>
      <c r="AU13" s="317"/>
      <c r="AV13" s="315">
        <f t="shared" si="2"/>
        <v>40000</v>
      </c>
      <c r="AW13" s="315">
        <f t="shared" si="4"/>
        <v>40000</v>
      </c>
      <c r="AX13" s="441">
        <f t="shared" si="6"/>
        <v>0</v>
      </c>
    </row>
    <row r="14" spans="1:50">
      <c r="A14" s="312" t="str">
        <f>'G Financial'!A53</f>
        <v xml:space="preserve">Design </v>
      </c>
      <c r="B14" s="409">
        <f>'G Financial'!C53</f>
        <v>55444.62</v>
      </c>
      <c r="C14" s="314"/>
      <c r="D14" s="314"/>
      <c r="E14" s="314">
        <f t="shared" ref="E14:N14" si="11">$B14/10</f>
        <v>5544.4620000000004</v>
      </c>
      <c r="F14" s="314">
        <f t="shared" si="11"/>
        <v>5544.4620000000004</v>
      </c>
      <c r="G14" s="314">
        <f t="shared" si="11"/>
        <v>5544.4620000000004</v>
      </c>
      <c r="H14" s="314">
        <f t="shared" si="11"/>
        <v>5544.4620000000004</v>
      </c>
      <c r="I14" s="314">
        <f t="shared" si="11"/>
        <v>5544.4620000000004</v>
      </c>
      <c r="J14" s="314">
        <f t="shared" si="11"/>
        <v>5544.4620000000004</v>
      </c>
      <c r="K14" s="314">
        <f t="shared" si="11"/>
        <v>5544.4620000000004</v>
      </c>
      <c r="L14" s="314">
        <f t="shared" si="11"/>
        <v>5544.4620000000004</v>
      </c>
      <c r="M14" s="314">
        <f t="shared" si="11"/>
        <v>5544.4620000000004</v>
      </c>
      <c r="N14" s="314">
        <f t="shared" si="11"/>
        <v>5544.4620000000004</v>
      </c>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5">
        <f t="shared" si="2"/>
        <v>55444.62</v>
      </c>
      <c r="AW14" s="315">
        <f t="shared" si="4"/>
        <v>55444.62</v>
      </c>
      <c r="AX14" s="441">
        <f t="shared" si="6"/>
        <v>0</v>
      </c>
    </row>
    <row r="15" spans="1:50">
      <c r="A15" s="312" t="str">
        <f>'G Financial'!A54</f>
        <v>Developer Fee</v>
      </c>
      <c r="B15" s="409">
        <f>'G Financial'!C54</f>
        <v>201646.80359999998</v>
      </c>
      <c r="C15" s="314">
        <f>$B15*C$4</f>
        <v>0</v>
      </c>
      <c r="D15" s="314">
        <f t="shared" ref="D15:G15" si="12">$B15*D4</f>
        <v>0</v>
      </c>
      <c r="E15" s="314">
        <f t="shared" si="12"/>
        <v>0</v>
      </c>
      <c r="F15" s="314">
        <f t="shared" si="12"/>
        <v>0</v>
      </c>
      <c r="G15" s="314">
        <f t="shared" si="12"/>
        <v>0</v>
      </c>
      <c r="H15" s="314"/>
      <c r="I15" s="314"/>
      <c r="J15" s="314"/>
      <c r="K15" s="314"/>
      <c r="L15" s="314"/>
      <c r="M15" s="314"/>
      <c r="N15" s="314"/>
      <c r="O15" s="314"/>
      <c r="P15" s="314"/>
      <c r="Q15" s="314">
        <f t="shared" ref="Q15:W16" si="13">Q$4*$B15</f>
        <v>20164.680359999998</v>
      </c>
      <c r="R15" s="314">
        <f t="shared" si="13"/>
        <v>20164.680359999998</v>
      </c>
      <c r="S15" s="314">
        <f t="shared" si="13"/>
        <v>20164.680359999998</v>
      </c>
      <c r="T15" s="314">
        <f t="shared" si="13"/>
        <v>30247.020539999998</v>
      </c>
      <c r="U15" s="314">
        <f t="shared" si="13"/>
        <v>30247.020539999998</v>
      </c>
      <c r="V15" s="314">
        <f t="shared" si="13"/>
        <v>30247.020539999998</v>
      </c>
      <c r="W15" s="314">
        <f t="shared" si="13"/>
        <v>30247.020539999998</v>
      </c>
      <c r="X15" s="314">
        <f>X$4*$B15</f>
        <v>20164.680359999998</v>
      </c>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5">
        <f t="shared" si="2"/>
        <v>201646.80359999998</v>
      </c>
      <c r="AW15" s="315">
        <f t="shared" si="4"/>
        <v>201646.80359999998</v>
      </c>
      <c r="AX15" s="441">
        <f t="shared" si="6"/>
        <v>0</v>
      </c>
    </row>
    <row r="16" spans="1:50">
      <c r="A16" s="312" t="str">
        <f>'G Financial'!A55</f>
        <v>Construction Management Fee</v>
      </c>
      <c r="B16" s="409">
        <f>'G Financial'!C55</f>
        <v>27722.31</v>
      </c>
      <c r="C16" s="314">
        <f>$B16*C$4</f>
        <v>0</v>
      </c>
      <c r="D16" s="314">
        <f t="shared" ref="D16:G16" si="14">$B16*D$4</f>
        <v>0</v>
      </c>
      <c r="E16" s="314">
        <f t="shared" si="14"/>
        <v>0</v>
      </c>
      <c r="F16" s="314">
        <f t="shared" si="14"/>
        <v>0</v>
      </c>
      <c r="G16" s="314">
        <f t="shared" si="14"/>
        <v>0</v>
      </c>
      <c r="H16" s="314"/>
      <c r="I16" s="314"/>
      <c r="J16" s="314"/>
      <c r="K16" s="314"/>
      <c r="L16" s="314"/>
      <c r="M16" s="314"/>
      <c r="N16" s="314"/>
      <c r="O16" s="314"/>
      <c r="P16" s="314"/>
      <c r="Q16" s="314">
        <f t="shared" si="13"/>
        <v>2772.2310000000002</v>
      </c>
      <c r="R16" s="314">
        <f t="shared" si="13"/>
        <v>2772.2310000000002</v>
      </c>
      <c r="S16" s="314">
        <f t="shared" si="13"/>
        <v>2772.2310000000002</v>
      </c>
      <c r="T16" s="314">
        <f t="shared" si="13"/>
        <v>4158.3464999999997</v>
      </c>
      <c r="U16" s="314">
        <f t="shared" si="13"/>
        <v>4158.3464999999997</v>
      </c>
      <c r="V16" s="314">
        <f t="shared" si="13"/>
        <v>4158.3464999999997</v>
      </c>
      <c r="W16" s="314">
        <f t="shared" si="13"/>
        <v>4158.3464999999997</v>
      </c>
      <c r="X16" s="314">
        <f>X$4*$B16</f>
        <v>2772.2310000000002</v>
      </c>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5">
        <f t="shared" si="2"/>
        <v>27722.309999999998</v>
      </c>
      <c r="AW16" s="315">
        <f t="shared" si="4"/>
        <v>27722.31</v>
      </c>
      <c r="AX16" s="441">
        <f t="shared" si="6"/>
        <v>0</v>
      </c>
    </row>
    <row r="17" spans="1:50">
      <c r="A17" s="312" t="str">
        <f>'G Financial'!A56</f>
        <v>Taxes</v>
      </c>
      <c r="B17" s="409">
        <f>'G Financial'!C56</f>
        <v>300000</v>
      </c>
      <c r="C17" s="318"/>
      <c r="D17" s="314"/>
      <c r="E17" s="314"/>
      <c r="F17" s="314">
        <f>0.15*$B17</f>
        <v>45000</v>
      </c>
      <c r="G17" s="317"/>
      <c r="H17" s="314"/>
      <c r="I17" s="314"/>
      <c r="J17" s="314">
        <f>0.1*$B17</f>
        <v>30000</v>
      </c>
      <c r="K17" s="314"/>
      <c r="L17" s="182"/>
      <c r="M17" s="314"/>
      <c r="N17" s="314">
        <f>0.1*$B17</f>
        <v>30000</v>
      </c>
      <c r="O17" s="314"/>
      <c r="P17" s="314"/>
      <c r="Q17" s="182"/>
      <c r="R17" s="314">
        <f>0.15*$B17</f>
        <v>45000</v>
      </c>
      <c r="S17" s="182"/>
      <c r="T17" s="314"/>
      <c r="U17" s="314"/>
      <c r="V17" s="314">
        <f>0.2*$B17</f>
        <v>60000</v>
      </c>
      <c r="W17" s="314"/>
      <c r="X17" s="182"/>
      <c r="Y17" s="314"/>
      <c r="Z17" s="314">
        <f>0.3*$B17</f>
        <v>90000</v>
      </c>
      <c r="AA17" s="314"/>
      <c r="AB17" s="314"/>
      <c r="AC17" s="314"/>
      <c r="AD17" s="314"/>
      <c r="AE17" s="182"/>
      <c r="AF17" s="314"/>
      <c r="AG17" s="196"/>
      <c r="AH17" s="196"/>
      <c r="AI17" s="196"/>
      <c r="AJ17" s="196"/>
      <c r="AK17" s="196"/>
      <c r="AL17" s="196"/>
      <c r="AM17" s="196"/>
      <c r="AN17" s="196"/>
      <c r="AO17" s="196"/>
      <c r="AP17" s="196"/>
      <c r="AQ17" s="196"/>
      <c r="AR17" s="196"/>
      <c r="AS17" s="182"/>
      <c r="AT17" s="314"/>
      <c r="AU17" s="317"/>
      <c r="AV17" s="315">
        <f t="shared" si="2"/>
        <v>300000</v>
      </c>
      <c r="AW17" s="315">
        <f t="shared" si="4"/>
        <v>300000</v>
      </c>
      <c r="AX17" s="441">
        <f t="shared" si="6"/>
        <v>0</v>
      </c>
    </row>
    <row r="18" spans="1:50">
      <c r="A18" s="312" t="str">
        <f>'G Financial'!A57</f>
        <v>Insurance</v>
      </c>
      <c r="B18" s="409">
        <f>'G Financial'!C57</f>
        <v>60000</v>
      </c>
      <c r="C18" s="318"/>
      <c r="D18" s="314"/>
      <c r="E18" s="314">
        <f>0.3*$B18</f>
        <v>18000</v>
      </c>
      <c r="F18" s="314">
        <f>0.3*$B18</f>
        <v>18000</v>
      </c>
      <c r="G18" s="314"/>
      <c r="H18" s="314"/>
      <c r="I18" s="314"/>
      <c r="J18" s="314"/>
      <c r="K18" s="314"/>
      <c r="L18" s="318">
        <f>$B18-SUM(C18:K18)</f>
        <v>24000</v>
      </c>
      <c r="M18" s="314"/>
      <c r="N18" s="314"/>
      <c r="O18" s="314"/>
      <c r="P18" s="314"/>
      <c r="Q18" s="314"/>
      <c r="R18" s="314"/>
      <c r="S18" s="314"/>
      <c r="T18" s="182"/>
      <c r="U18" s="314"/>
      <c r="V18" s="314"/>
      <c r="W18" s="314"/>
      <c r="X18" s="314"/>
      <c r="Y18" s="314"/>
      <c r="Z18" s="314"/>
      <c r="AA18" s="314"/>
      <c r="AB18" s="314"/>
      <c r="AC18" s="314"/>
      <c r="AD18" s="314"/>
      <c r="AE18" s="314"/>
      <c r="AF18" s="323"/>
      <c r="AG18" s="323"/>
      <c r="AH18" s="323"/>
      <c r="AI18" s="323"/>
      <c r="AJ18" s="323"/>
      <c r="AK18" s="323"/>
      <c r="AL18" s="323"/>
      <c r="AM18" s="323"/>
      <c r="AN18" s="323"/>
      <c r="AO18" s="323"/>
      <c r="AP18" s="323"/>
      <c r="AQ18" s="323"/>
      <c r="AR18" s="323"/>
      <c r="AS18" s="314"/>
      <c r="AT18" s="314"/>
      <c r="AU18" s="314"/>
      <c r="AV18" s="315">
        <f t="shared" si="2"/>
        <v>60000</v>
      </c>
      <c r="AW18" s="315">
        <f t="shared" si="4"/>
        <v>60000</v>
      </c>
      <c r="AX18" s="441">
        <f t="shared" si="6"/>
        <v>0</v>
      </c>
    </row>
    <row r="19" spans="1:50">
      <c r="A19" s="312" t="str">
        <f>'G Financial'!A58</f>
        <v>Marketing, FFE and Preleasing</v>
      </c>
      <c r="B19" s="409">
        <f>'G Financial'!C58</f>
        <v>800000</v>
      </c>
      <c r="C19" s="318"/>
      <c r="D19" s="314"/>
      <c r="E19" s="314"/>
      <c r="F19" s="314"/>
      <c r="G19" s="314"/>
      <c r="H19" s="314"/>
      <c r="I19" s="314"/>
      <c r="J19" s="314"/>
      <c r="K19" s="314"/>
      <c r="L19" s="314"/>
      <c r="M19" s="314"/>
      <c r="N19" s="314"/>
      <c r="O19" s="314"/>
      <c r="P19" s="314"/>
      <c r="Q19" s="314"/>
      <c r="R19" s="314"/>
      <c r="S19" s="314"/>
      <c r="T19" s="314"/>
      <c r="U19" s="314"/>
      <c r="V19" s="314">
        <f>$B19/3</f>
        <v>266666.66666666669</v>
      </c>
      <c r="W19" s="314">
        <f>$B19/3</f>
        <v>266666.66666666669</v>
      </c>
      <c r="X19" s="314">
        <f>$B19/3</f>
        <v>266666.66666666669</v>
      </c>
      <c r="Y19" s="323"/>
      <c r="Z19" s="323"/>
      <c r="AA19" s="323"/>
      <c r="AB19" s="317"/>
      <c r="AC19" s="317"/>
      <c r="AD19" s="317"/>
      <c r="AE19" s="314"/>
      <c r="AF19" s="191"/>
      <c r="AG19" s="191"/>
      <c r="AH19" s="191"/>
      <c r="AI19" s="191"/>
      <c r="AJ19" s="191"/>
      <c r="AK19" s="191"/>
      <c r="AL19" s="191"/>
      <c r="AM19" s="191"/>
      <c r="AN19" s="191"/>
      <c r="AO19" s="191"/>
      <c r="AP19" s="191"/>
      <c r="AQ19" s="191"/>
      <c r="AR19" s="191"/>
      <c r="AS19" s="182"/>
      <c r="AT19" s="182"/>
      <c r="AU19" s="323"/>
      <c r="AV19" s="315">
        <f t="shared" si="2"/>
        <v>800000</v>
      </c>
      <c r="AW19" s="315">
        <f t="shared" si="4"/>
        <v>800000</v>
      </c>
      <c r="AX19" s="441">
        <f t="shared" si="6"/>
        <v>0</v>
      </c>
    </row>
    <row r="20" spans="1:50">
      <c r="A20" s="312" t="str">
        <f>'G Financial'!A59</f>
        <v>Operating Deficit</v>
      </c>
      <c r="B20" s="409" t="e">
        <f>'G Financial'!C59</f>
        <v>#REF!</v>
      </c>
      <c r="C20" s="318"/>
      <c r="D20" s="314"/>
      <c r="E20" s="314"/>
      <c r="F20" s="314"/>
      <c r="G20" s="314"/>
      <c r="H20" s="314"/>
      <c r="I20" s="314"/>
      <c r="J20" s="314"/>
      <c r="K20" s="314"/>
      <c r="L20" s="314"/>
      <c r="M20" s="314"/>
      <c r="N20" s="314"/>
      <c r="O20" s="314"/>
      <c r="P20" s="314"/>
      <c r="Q20" s="314"/>
      <c r="R20" s="314"/>
      <c r="S20" s="314"/>
      <c r="T20" s="314"/>
      <c r="U20" s="314"/>
      <c r="V20" s="314"/>
      <c r="W20" s="314"/>
      <c r="X20" s="314"/>
      <c r="Y20" s="314" t="e">
        <f>$B20/4</f>
        <v>#REF!</v>
      </c>
      <c r="Z20" s="314" t="e">
        <f t="shared" ref="Z20:AB20" si="15">$B20/4</f>
        <v>#REF!</v>
      </c>
      <c r="AA20" s="314" t="e">
        <f t="shared" si="15"/>
        <v>#REF!</v>
      </c>
      <c r="AB20" s="314" t="e">
        <f t="shared" si="15"/>
        <v>#REF!</v>
      </c>
      <c r="AC20" s="317"/>
      <c r="AD20" s="317"/>
      <c r="AE20" s="314"/>
      <c r="AF20" s="318"/>
      <c r="AG20" s="318"/>
      <c r="AH20" s="318"/>
      <c r="AI20" s="318"/>
      <c r="AJ20" s="318"/>
      <c r="AK20" s="318"/>
      <c r="AL20" s="318"/>
      <c r="AM20" s="318"/>
      <c r="AN20" s="318"/>
      <c r="AO20" s="318"/>
      <c r="AP20" s="318"/>
      <c r="AQ20" s="318"/>
      <c r="AR20" s="318"/>
      <c r="AS20" s="323"/>
      <c r="AT20" s="448"/>
      <c r="AU20" s="448"/>
      <c r="AV20" s="315" t="e">
        <f t="shared" si="2"/>
        <v>#REF!</v>
      </c>
      <c r="AW20" s="315" t="e">
        <f t="shared" si="4"/>
        <v>#REF!</v>
      </c>
      <c r="AX20" s="441" t="e">
        <f t="shared" si="6"/>
        <v>#REF!</v>
      </c>
    </row>
    <row r="21" spans="1:50">
      <c r="A21" s="312" t="str">
        <f>'G Financial'!A60</f>
        <v>Retail Tenant Improvements</v>
      </c>
      <c r="B21" s="409">
        <f>'G Financial'!C60</f>
        <v>900000</v>
      </c>
      <c r="C21" s="318"/>
      <c r="D21" s="314"/>
      <c r="E21" s="314"/>
      <c r="F21" s="314"/>
      <c r="G21" s="314"/>
      <c r="H21" s="314"/>
      <c r="I21" s="314"/>
      <c r="J21" s="314"/>
      <c r="K21" s="314"/>
      <c r="L21" s="314"/>
      <c r="M21" s="314"/>
      <c r="N21" s="314"/>
      <c r="O21" s="314"/>
      <c r="P21" s="314"/>
      <c r="Q21" s="314"/>
      <c r="R21" s="314"/>
      <c r="S21" s="314"/>
      <c r="T21" s="314"/>
      <c r="U21" s="314"/>
      <c r="V21" s="314">
        <f>$B21/3</f>
        <v>300000</v>
      </c>
      <c r="W21" s="314">
        <f t="shared" ref="W21:X21" si="16">$B21/3</f>
        <v>300000</v>
      </c>
      <c r="X21" s="314">
        <f t="shared" si="16"/>
        <v>300000</v>
      </c>
      <c r="Y21" s="314"/>
      <c r="Z21" s="314"/>
      <c r="AA21" s="317"/>
      <c r="AB21" s="317"/>
      <c r="AC21" s="318"/>
      <c r="AD21" s="317"/>
      <c r="AE21" s="314"/>
      <c r="AF21" s="323"/>
      <c r="AG21" s="323"/>
      <c r="AH21" s="323"/>
      <c r="AI21" s="323"/>
      <c r="AJ21" s="323"/>
      <c r="AK21" s="323"/>
      <c r="AL21" s="323"/>
      <c r="AM21" s="323"/>
      <c r="AN21" s="323"/>
      <c r="AO21" s="323"/>
      <c r="AP21" s="323"/>
      <c r="AQ21" s="323"/>
      <c r="AR21" s="323"/>
      <c r="AS21" s="323"/>
      <c r="AT21" s="323"/>
      <c r="AU21" s="323"/>
      <c r="AV21" s="315">
        <f t="shared" si="2"/>
        <v>900000</v>
      </c>
      <c r="AW21" s="315">
        <f t="shared" si="4"/>
        <v>900000</v>
      </c>
      <c r="AX21" s="441">
        <f t="shared" si="6"/>
        <v>0</v>
      </c>
    </row>
    <row r="22" spans="1:50">
      <c r="A22" s="312" t="str">
        <f>'G Financial'!A61</f>
        <v>Retail brokerage</v>
      </c>
      <c r="B22" s="409">
        <f>'G Financial'!C61</f>
        <v>90000</v>
      </c>
      <c r="C22" s="318"/>
      <c r="D22" s="314"/>
      <c r="E22" s="314"/>
      <c r="F22" s="314"/>
      <c r="G22" s="314"/>
      <c r="H22" s="314"/>
      <c r="I22" s="314"/>
      <c r="J22" s="314"/>
      <c r="K22" s="314"/>
      <c r="L22" s="314"/>
      <c r="M22" s="314"/>
      <c r="N22" s="314"/>
      <c r="O22" s="314"/>
      <c r="P22" s="314"/>
      <c r="Q22" s="314"/>
      <c r="R22" s="314"/>
      <c r="S22" s="314"/>
      <c r="T22" s="314"/>
      <c r="U22" s="314"/>
      <c r="V22" s="314"/>
      <c r="W22" s="314"/>
      <c r="X22" s="314">
        <f>$B22/3</f>
        <v>30000</v>
      </c>
      <c r="Y22" s="314">
        <f t="shared" ref="Y22:Z22" si="17">$B22/3</f>
        <v>30000</v>
      </c>
      <c r="Z22" s="314">
        <f t="shared" si="17"/>
        <v>30000</v>
      </c>
      <c r="AA22" s="314"/>
      <c r="AB22" s="314"/>
      <c r="AC22" s="314"/>
      <c r="AD22" s="314"/>
      <c r="AE22" s="314"/>
      <c r="AF22" s="323"/>
      <c r="AG22" s="323"/>
      <c r="AH22" s="323"/>
      <c r="AI22" s="323"/>
      <c r="AJ22" s="323"/>
      <c r="AK22" s="323"/>
      <c r="AL22" s="323"/>
      <c r="AM22" s="323"/>
      <c r="AN22" s="323"/>
      <c r="AO22" s="323"/>
      <c r="AP22" s="323"/>
      <c r="AQ22" s="323"/>
      <c r="AR22" s="323"/>
      <c r="AS22" s="314"/>
      <c r="AT22" s="314"/>
      <c r="AU22" s="314"/>
      <c r="AV22" s="315">
        <f t="shared" si="2"/>
        <v>90000</v>
      </c>
      <c r="AW22" s="315">
        <f t="shared" si="4"/>
        <v>90000</v>
      </c>
      <c r="AX22" s="441">
        <f t="shared" si="6"/>
        <v>0</v>
      </c>
    </row>
    <row r="23" spans="1:50">
      <c r="A23" s="312" t="str">
        <f>'G Financial'!A62</f>
        <v>Construction Loan Origination</v>
      </c>
      <c r="B23" s="409">
        <f>'G Financial'!C62</f>
        <v>89850</v>
      </c>
      <c r="C23" s="314">
        <f>$B$23*C4</f>
        <v>0</v>
      </c>
      <c r="D23" s="314">
        <f>$B$23*D4</f>
        <v>0</v>
      </c>
      <c r="E23" s="314">
        <v>0</v>
      </c>
      <c r="F23" s="314">
        <v>0</v>
      </c>
      <c r="G23" s="314">
        <v>0</v>
      </c>
      <c r="H23" s="314">
        <v>0</v>
      </c>
      <c r="I23" s="314">
        <v>0</v>
      </c>
      <c r="J23" s="314">
        <v>0</v>
      </c>
      <c r="K23" s="314"/>
      <c r="L23" s="314">
        <v>0</v>
      </c>
      <c r="M23" s="182"/>
      <c r="N23" s="314">
        <v>0</v>
      </c>
      <c r="O23" s="314">
        <v>0</v>
      </c>
      <c r="P23" s="314">
        <f>$B23</f>
        <v>89850</v>
      </c>
      <c r="Q23" s="314"/>
      <c r="R23" s="314"/>
      <c r="S23" s="314"/>
      <c r="T23" s="314"/>
      <c r="U23" s="314"/>
      <c r="V23" s="314"/>
      <c r="W23" s="182"/>
      <c r="X23" s="314"/>
      <c r="Y23" s="314"/>
      <c r="Z23" s="314"/>
      <c r="AA23" s="314"/>
      <c r="AB23" s="314"/>
      <c r="AC23" s="314"/>
      <c r="AD23" s="314"/>
      <c r="AE23" s="314"/>
      <c r="AF23" s="323"/>
      <c r="AG23" s="323"/>
      <c r="AH23" s="323"/>
      <c r="AI23" s="323"/>
      <c r="AJ23" s="323"/>
      <c r="AK23" s="323"/>
      <c r="AL23" s="323"/>
      <c r="AM23" s="323"/>
      <c r="AN23" s="323"/>
      <c r="AO23" s="323"/>
      <c r="AP23" s="323"/>
      <c r="AQ23" s="323"/>
      <c r="AR23" s="323"/>
      <c r="AS23" s="314"/>
      <c r="AT23" s="314"/>
      <c r="AU23" s="314"/>
      <c r="AV23" s="315">
        <f t="shared" si="2"/>
        <v>89850</v>
      </c>
      <c r="AW23" s="315">
        <f t="shared" si="4"/>
        <v>89850</v>
      </c>
      <c r="AX23" s="441">
        <f t="shared" si="6"/>
        <v>0</v>
      </c>
    </row>
    <row r="24" spans="1:50">
      <c r="A24" s="312" t="str">
        <f>'G Financial'!A63</f>
        <v>Construction Interest</v>
      </c>
      <c r="B24" s="409">
        <f>'G Financial'!C63</f>
        <v>419300</v>
      </c>
      <c r="C24" s="325"/>
      <c r="D24" s="314"/>
      <c r="E24" s="314"/>
      <c r="F24" s="314"/>
      <c r="G24" s="314"/>
      <c r="H24" s="314"/>
      <c r="I24" s="314"/>
      <c r="J24" s="314"/>
      <c r="K24" s="314"/>
      <c r="L24" s="314"/>
      <c r="M24" s="314"/>
      <c r="N24" s="314"/>
      <c r="O24" s="314"/>
      <c r="P24" s="314"/>
      <c r="Q24" s="314"/>
      <c r="R24" s="314"/>
      <c r="S24" s="314"/>
      <c r="T24" s="314"/>
      <c r="U24" s="314">
        <f t="shared" ref="U24:W24" si="18">0.1*$B24</f>
        <v>41930</v>
      </c>
      <c r="V24" s="314">
        <f t="shared" si="18"/>
        <v>41930</v>
      </c>
      <c r="W24" s="314">
        <f t="shared" si="18"/>
        <v>41930</v>
      </c>
      <c r="X24" s="314">
        <f>0.1*$B24</f>
        <v>41930</v>
      </c>
      <c r="Y24" s="314">
        <f>0.15*$B24</f>
        <v>62895</v>
      </c>
      <c r="Z24" s="314">
        <f t="shared" ref="Z24:AA24" si="19">0.15*$B24</f>
        <v>62895</v>
      </c>
      <c r="AA24" s="314">
        <f t="shared" si="19"/>
        <v>62895</v>
      </c>
      <c r="AB24" s="314">
        <f>0.15*$B24</f>
        <v>62895</v>
      </c>
      <c r="AC24" s="314"/>
      <c r="AD24" s="314"/>
      <c r="AE24" s="314"/>
      <c r="AF24" s="314"/>
      <c r="AG24" s="314"/>
      <c r="AH24" s="314"/>
      <c r="AI24" s="314"/>
      <c r="AJ24" s="314"/>
      <c r="AK24" s="314"/>
      <c r="AL24" s="314"/>
      <c r="AM24" s="314"/>
      <c r="AN24" s="314"/>
      <c r="AO24" s="314"/>
      <c r="AP24" s="314"/>
      <c r="AQ24" s="314"/>
      <c r="AR24" s="314"/>
      <c r="AS24" s="314"/>
      <c r="AT24" s="314"/>
      <c r="AU24" s="314"/>
      <c r="AV24" s="315">
        <f t="shared" si="2"/>
        <v>419300</v>
      </c>
      <c r="AW24" s="315">
        <f t="shared" si="4"/>
        <v>419300</v>
      </c>
      <c r="AX24" s="441">
        <f t="shared" si="6"/>
        <v>0</v>
      </c>
    </row>
    <row r="25" spans="1:50" ht="26.25" customHeight="1" thickBot="1">
      <c r="A25" s="393" t="str">
        <f>'G Financial'!A64</f>
        <v>Additional Contingency</v>
      </c>
      <c r="B25" s="328">
        <f>'G Financial'!C64</f>
        <v>500000</v>
      </c>
      <c r="C25" s="327">
        <v>0</v>
      </c>
      <c r="D25" s="327">
        <v>0</v>
      </c>
      <c r="E25" s="327">
        <v>0</v>
      </c>
      <c r="F25" s="327"/>
      <c r="G25" s="327">
        <v>0</v>
      </c>
      <c r="H25" s="327">
        <v>0</v>
      </c>
      <c r="I25" s="327">
        <v>0</v>
      </c>
      <c r="J25" s="327">
        <v>0</v>
      </c>
      <c r="K25" s="327">
        <v>0</v>
      </c>
      <c r="L25" s="327"/>
      <c r="M25" s="327"/>
      <c r="N25" s="327"/>
      <c r="O25" s="327"/>
      <c r="P25" s="327"/>
      <c r="Q25" s="327">
        <f t="shared" ref="Q25:W25" si="20">$B25*Q4</f>
        <v>50000</v>
      </c>
      <c r="R25" s="327">
        <f t="shared" si="20"/>
        <v>50000</v>
      </c>
      <c r="S25" s="327">
        <f t="shared" si="20"/>
        <v>50000</v>
      </c>
      <c r="T25" s="327">
        <f t="shared" si="20"/>
        <v>75000</v>
      </c>
      <c r="U25" s="327">
        <f t="shared" si="20"/>
        <v>75000</v>
      </c>
      <c r="V25" s="327">
        <f t="shared" si="20"/>
        <v>75000</v>
      </c>
      <c r="W25" s="327">
        <f t="shared" si="20"/>
        <v>75000</v>
      </c>
      <c r="X25" s="327">
        <f>$B25*X4</f>
        <v>50000</v>
      </c>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8">
        <f t="shared" si="2"/>
        <v>500000</v>
      </c>
      <c r="AW25" s="328">
        <f t="shared" si="4"/>
        <v>500000</v>
      </c>
      <c r="AX25" s="441">
        <f t="shared" si="6"/>
        <v>0</v>
      </c>
    </row>
    <row r="26" spans="1:50" ht="16.5" thickTop="1" thickBot="1">
      <c r="A26" s="123">
        <f>'King Condominiums Financial '!B78</f>
        <v>0.65</v>
      </c>
      <c r="B26" s="124" t="e">
        <f t="shared" ref="B26:AB26" si="21">SUM(B5:B25)</f>
        <v>#REF!</v>
      </c>
      <c r="C26" s="99">
        <f t="shared" si="21"/>
        <v>0</v>
      </c>
      <c r="D26" s="99">
        <f t="shared" si="21"/>
        <v>0</v>
      </c>
      <c r="E26" s="99">
        <f t="shared" si="21"/>
        <v>113544.462</v>
      </c>
      <c r="F26" s="99">
        <f t="shared" si="21"/>
        <v>88544.462</v>
      </c>
      <c r="G26" s="99">
        <f t="shared" si="21"/>
        <v>25544.462</v>
      </c>
      <c r="H26" s="99">
        <f t="shared" si="21"/>
        <v>25544.462</v>
      </c>
      <c r="I26" s="99">
        <f t="shared" si="21"/>
        <v>25544.462</v>
      </c>
      <c r="J26" s="99">
        <f t="shared" si="21"/>
        <v>55544.462</v>
      </c>
      <c r="K26" s="99">
        <f t="shared" si="21"/>
        <v>45544.462</v>
      </c>
      <c r="L26" s="99">
        <f t="shared" si="21"/>
        <v>69544.462</v>
      </c>
      <c r="M26" s="99">
        <f t="shared" si="21"/>
        <v>45544.462</v>
      </c>
      <c r="N26" s="99">
        <f t="shared" si="21"/>
        <v>75544.462</v>
      </c>
      <c r="O26" s="99">
        <f t="shared" si="21"/>
        <v>40000</v>
      </c>
      <c r="P26" s="99">
        <f t="shared" si="21"/>
        <v>129850</v>
      </c>
      <c r="Q26" s="99">
        <f t="shared" si="21"/>
        <v>1201548.4613599998</v>
      </c>
      <c r="R26" s="99">
        <f t="shared" si="21"/>
        <v>296548.46135999996</v>
      </c>
      <c r="S26" s="99">
        <f t="shared" si="21"/>
        <v>251548.46135999999</v>
      </c>
      <c r="T26" s="99">
        <f t="shared" si="21"/>
        <v>377322.69203999999</v>
      </c>
      <c r="U26" s="99">
        <f t="shared" si="21"/>
        <v>419252.69203999999</v>
      </c>
      <c r="V26" s="99">
        <f t="shared" si="21"/>
        <v>1045919.3587066666</v>
      </c>
      <c r="W26" s="99">
        <f t="shared" si="21"/>
        <v>985919.35870666662</v>
      </c>
      <c r="X26" s="99">
        <f t="shared" si="21"/>
        <v>890145.1280266667</v>
      </c>
      <c r="Y26" s="99" t="e">
        <f t="shared" si="21"/>
        <v>#REF!</v>
      </c>
      <c r="Z26" s="99" t="e">
        <f t="shared" si="21"/>
        <v>#REF!</v>
      </c>
      <c r="AA26" s="99" t="e">
        <f t="shared" si="21"/>
        <v>#REF!</v>
      </c>
      <c r="AB26" s="99" t="e">
        <f t="shared" si="21"/>
        <v>#REF!</v>
      </c>
      <c r="AC26" s="99"/>
      <c r="AD26" s="99"/>
      <c r="AE26" s="99"/>
      <c r="AF26" s="99"/>
      <c r="AG26" s="99"/>
      <c r="AH26" s="99"/>
      <c r="AI26" s="99"/>
      <c r="AJ26" s="99"/>
      <c r="AK26" s="99"/>
      <c r="AL26" s="99"/>
      <c r="AM26" s="99"/>
      <c r="AN26" s="99"/>
      <c r="AO26" s="99"/>
      <c r="AP26" s="99"/>
      <c r="AQ26" s="99"/>
      <c r="AR26" s="99"/>
      <c r="AS26" s="99"/>
      <c r="AT26" s="99"/>
      <c r="AU26" s="99"/>
      <c r="AV26" s="96" t="e">
        <f>SUM(AV5:AV25)</f>
        <v>#REF!</v>
      </c>
      <c r="AW26" s="95" t="e">
        <f>SUM(AW5:AW25)</f>
        <v>#REF!</v>
      </c>
      <c r="AX26" s="95"/>
    </row>
    <row r="27" spans="1:50">
      <c r="A27" s="97" t="s">
        <v>196</v>
      </c>
      <c r="B27" s="125">
        <f>'G Financial'!B63</f>
        <v>7.0000000000000007E-2</v>
      </c>
      <c r="C27" s="126"/>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9"/>
      <c r="AW27" s="126"/>
      <c r="AX27" s="95"/>
    </row>
    <row r="28" spans="1:50" ht="15.75" thickBot="1">
      <c r="A28" s="329" t="s">
        <v>197</v>
      </c>
      <c r="B28" s="410" t="e">
        <f>B26+B27</f>
        <v>#REF!</v>
      </c>
      <c r="C28" s="411"/>
      <c r="D28" s="342"/>
      <c r="E28" s="342"/>
      <c r="F28" s="342"/>
      <c r="G28" s="342"/>
      <c r="H28" s="342"/>
      <c r="I28" s="342"/>
      <c r="J28" s="342"/>
      <c r="K28" s="342"/>
      <c r="L28" s="342"/>
      <c r="M28" s="342"/>
      <c r="N28" s="342"/>
      <c r="O28" s="342"/>
      <c r="P28" s="342"/>
      <c r="Q28" s="342"/>
      <c r="R28" s="342"/>
      <c r="S28" s="342"/>
      <c r="T28" s="342"/>
      <c r="U28" s="342"/>
      <c r="V28" s="342"/>
      <c r="W28" s="342"/>
      <c r="X28" s="342"/>
      <c r="Y28" s="342"/>
      <c r="Z28" s="340"/>
      <c r="AA28" s="340"/>
      <c r="AB28" s="340"/>
      <c r="AC28" s="340"/>
      <c r="AD28" s="340"/>
      <c r="AE28" s="340"/>
      <c r="AF28" s="340"/>
      <c r="AG28" s="340"/>
      <c r="AH28" s="340"/>
      <c r="AI28" s="340"/>
      <c r="AJ28" s="340"/>
      <c r="AK28" s="340"/>
      <c r="AL28" s="340"/>
      <c r="AM28" s="340"/>
      <c r="AN28" s="340"/>
      <c r="AO28" s="340"/>
      <c r="AP28" s="340"/>
      <c r="AQ28" s="340"/>
      <c r="AR28" s="340"/>
      <c r="AS28" s="340"/>
      <c r="AT28" s="342"/>
      <c r="AU28" s="342"/>
      <c r="AV28" s="342"/>
      <c r="AW28" s="411"/>
      <c r="AX28" s="331"/>
    </row>
    <row r="29" spans="1:50">
      <c r="A29" s="104" t="s">
        <v>198</v>
      </c>
      <c r="B29" s="105" t="e">
        <f>SUM(C29:AV29)</f>
        <v>#REF!</v>
      </c>
      <c r="C29" s="315">
        <f>C26</f>
        <v>0</v>
      </c>
      <c r="D29" s="315" t="e">
        <f t="shared" ref="D29:AB29" si="22">IF(C30+D26&lt;=$B$30,D26,($B$30-C30))</f>
        <v>#REF!</v>
      </c>
      <c r="E29" s="315" t="e">
        <f t="shared" si="22"/>
        <v>#REF!</v>
      </c>
      <c r="F29" s="315" t="e">
        <f t="shared" si="22"/>
        <v>#REF!</v>
      </c>
      <c r="G29" s="315" t="e">
        <f t="shared" si="22"/>
        <v>#REF!</v>
      </c>
      <c r="H29" s="315" t="e">
        <f t="shared" si="22"/>
        <v>#REF!</v>
      </c>
      <c r="I29" s="315" t="e">
        <f t="shared" si="22"/>
        <v>#REF!</v>
      </c>
      <c r="J29" s="315" t="e">
        <f t="shared" si="22"/>
        <v>#REF!</v>
      </c>
      <c r="K29" s="315" t="e">
        <f t="shared" si="22"/>
        <v>#REF!</v>
      </c>
      <c r="L29" s="315" t="e">
        <f t="shared" si="22"/>
        <v>#REF!</v>
      </c>
      <c r="M29" s="315" t="e">
        <f t="shared" si="22"/>
        <v>#REF!</v>
      </c>
      <c r="N29" s="315" t="e">
        <f t="shared" si="22"/>
        <v>#REF!</v>
      </c>
      <c r="O29" s="315" t="e">
        <f t="shared" si="22"/>
        <v>#REF!</v>
      </c>
      <c r="P29" s="315" t="e">
        <f t="shared" si="22"/>
        <v>#REF!</v>
      </c>
      <c r="Q29" s="315" t="e">
        <f t="shared" si="22"/>
        <v>#REF!</v>
      </c>
      <c r="R29" s="315" t="e">
        <f t="shared" si="22"/>
        <v>#REF!</v>
      </c>
      <c r="S29" s="315" t="e">
        <f t="shared" si="22"/>
        <v>#REF!</v>
      </c>
      <c r="T29" s="315" t="e">
        <f t="shared" si="22"/>
        <v>#REF!</v>
      </c>
      <c r="U29" s="315" t="e">
        <f t="shared" si="22"/>
        <v>#REF!</v>
      </c>
      <c r="V29" s="315" t="e">
        <f t="shared" si="22"/>
        <v>#REF!</v>
      </c>
      <c r="W29" s="315" t="e">
        <f t="shared" si="22"/>
        <v>#REF!</v>
      </c>
      <c r="X29" s="315" t="e">
        <f t="shared" si="22"/>
        <v>#REF!</v>
      </c>
      <c r="Y29" s="315" t="e">
        <f t="shared" si="22"/>
        <v>#REF!</v>
      </c>
      <c r="Z29" s="315" t="e">
        <f t="shared" si="22"/>
        <v>#REF!</v>
      </c>
      <c r="AA29" s="315" t="e">
        <f t="shared" si="22"/>
        <v>#REF!</v>
      </c>
      <c r="AB29" s="315" t="e">
        <f t="shared" si="22"/>
        <v>#REF!</v>
      </c>
      <c r="AC29" s="315"/>
      <c r="AD29" s="315"/>
      <c r="AE29" s="315"/>
      <c r="AF29" s="315"/>
      <c r="AG29" s="315"/>
      <c r="AH29" s="315"/>
      <c r="AI29" s="315"/>
      <c r="AJ29" s="315"/>
      <c r="AK29" s="315"/>
      <c r="AL29" s="315"/>
      <c r="AM29" s="315"/>
      <c r="AN29" s="315"/>
      <c r="AO29" s="315"/>
      <c r="AP29" s="315"/>
      <c r="AQ29" s="315"/>
      <c r="AR29" s="315"/>
      <c r="AS29" s="315"/>
      <c r="AT29" s="315"/>
      <c r="AU29" s="315"/>
      <c r="AV29" s="336"/>
      <c r="AW29" s="335"/>
      <c r="AX29" s="334"/>
    </row>
    <row r="30" spans="1:50" ht="15.75" thickBot="1">
      <c r="A30" s="312" t="s">
        <v>199</v>
      </c>
      <c r="B30" s="101" t="e">
        <f>'G Financial'!B76</f>
        <v>#REF!</v>
      </c>
      <c r="C30" s="315">
        <f>C29</f>
        <v>0</v>
      </c>
      <c r="D30" s="315" t="e">
        <f>IF(SUM($C$29:D29)&lt;=$B30,SUM($C$29:D29),0)</f>
        <v>#REF!</v>
      </c>
      <c r="E30" s="315" t="e">
        <f>IF(SUM($C$29:E29)&lt;=$B30,SUM($C$29:E29),0)</f>
        <v>#REF!</v>
      </c>
      <c r="F30" s="315" t="e">
        <f>IF(SUM($C$29:F29)&lt;=$B30,SUM($C$29:F29),0)</f>
        <v>#REF!</v>
      </c>
      <c r="G30" s="315" t="e">
        <f>IF(SUM($C$29:G29)&lt;=$B30,SUM($C$29:G29),0)</f>
        <v>#REF!</v>
      </c>
      <c r="H30" s="315" t="e">
        <f>IF(SUM($C$29:H29)&lt;=$B30,SUM($C$29:H29),0)</f>
        <v>#REF!</v>
      </c>
      <c r="I30" s="315" t="e">
        <f>IF(SUM($C$29:I29)&lt;=$B30,SUM($C$29:I29),0)</f>
        <v>#REF!</v>
      </c>
      <c r="J30" s="315" t="e">
        <f>IF(SUM($C$29:J29)&lt;=$B30,SUM($C$29:J29),0)</f>
        <v>#REF!</v>
      </c>
      <c r="K30" s="315" t="e">
        <f>IF(SUM($C$29:K29)&lt;=$B30,SUM($C$29:K29),0)</f>
        <v>#REF!</v>
      </c>
      <c r="L30" s="315" t="e">
        <f>IF(SUM($C$29:L29)&lt;=$B30,SUM($C$29:L29),0)</f>
        <v>#REF!</v>
      </c>
      <c r="M30" s="315" t="e">
        <f>IF(SUM($C$29:M29)&lt;=$B30,SUM($C$29:M29),0)</f>
        <v>#REF!</v>
      </c>
      <c r="N30" s="315" t="e">
        <f>IF(SUM($C$29:N29)&lt;=$B30,SUM($C$29:N29),0)</f>
        <v>#REF!</v>
      </c>
      <c r="O30" s="315" t="e">
        <f>IF(SUM($C$29:O29)&lt;=$B30,SUM($C$29:O29),0)</f>
        <v>#REF!</v>
      </c>
      <c r="P30" s="315" t="e">
        <f>IF(SUM($C$29:P29)&lt;=$B30,SUM($C$29:P29),0)</f>
        <v>#REF!</v>
      </c>
      <c r="Q30" s="315" t="e">
        <f>IF(SUM($C$29:Q29)&lt;=$B30,SUM($C$29:Q29),0)</f>
        <v>#REF!</v>
      </c>
      <c r="R30" s="315" t="e">
        <f>IF(SUM($C$29:R29)&lt;=$B30,SUM($C$29:R29),0)</f>
        <v>#REF!</v>
      </c>
      <c r="S30" s="315" t="e">
        <f>IF(SUM($C$29:S29)&lt;=$B30,SUM($C$29:S29),0)</f>
        <v>#REF!</v>
      </c>
      <c r="T30" s="315" t="e">
        <f>IF(SUM($C$29:T29)&lt;=$B30,SUM($C$29:T29),0)</f>
        <v>#REF!</v>
      </c>
      <c r="U30" s="315" t="e">
        <f>IF(SUM($C$29:U29)&lt;=$B30,SUM($C$29:U29),0)</f>
        <v>#REF!</v>
      </c>
      <c r="V30" s="315" t="e">
        <f>IF(SUM($C$29:V29)&lt;=$B30,SUM($C$29:V29),0)</f>
        <v>#REF!</v>
      </c>
      <c r="W30" s="315" t="e">
        <f>IF(SUM($C$29:W29)&lt;=$B30,SUM($C$29:W29),0)</f>
        <v>#REF!</v>
      </c>
      <c r="X30" s="315" t="e">
        <f>IF(SUM($C$29:X29)&lt;=$B30,SUM($C$29:X29),0)</f>
        <v>#REF!</v>
      </c>
      <c r="Y30" s="315" t="e">
        <f>IF(SUM($C$29:Y29)&lt;=$B30,SUM($C$29:Y29),0)</f>
        <v>#REF!</v>
      </c>
      <c r="Z30" s="315" t="e">
        <f>IF(SUM($C$29:Z29)&lt;=$B30,SUM($C$29:Z29),0)</f>
        <v>#REF!</v>
      </c>
      <c r="AA30" s="315" t="e">
        <f>IF(SUM($C$29:AA29)&lt;=$B30,SUM($C$29:AA29),0)</f>
        <v>#REF!</v>
      </c>
      <c r="AB30" s="315" t="e">
        <f>IF(SUM($C$29:AB29)&lt;=$B30,SUM($C$29:AB29),0)</f>
        <v>#REF!</v>
      </c>
      <c r="AC30" s="315"/>
      <c r="AD30" s="315"/>
      <c r="AE30" s="315"/>
      <c r="AF30" s="315"/>
      <c r="AG30" s="315"/>
      <c r="AH30" s="315"/>
      <c r="AI30" s="315"/>
      <c r="AJ30" s="315"/>
      <c r="AK30" s="315"/>
      <c r="AL30" s="315"/>
      <c r="AM30" s="315"/>
      <c r="AN30" s="315"/>
      <c r="AO30" s="315"/>
      <c r="AP30" s="315"/>
      <c r="AQ30" s="315"/>
      <c r="AR30" s="315"/>
      <c r="AS30" s="315"/>
      <c r="AT30" s="315"/>
      <c r="AU30" s="315"/>
      <c r="AV30" s="336"/>
      <c r="AW30" s="335"/>
      <c r="AX30" s="334"/>
    </row>
    <row r="31" spans="1:50">
      <c r="A31" s="102" t="s">
        <v>200</v>
      </c>
      <c r="B31" s="103" t="e">
        <f>'G Financial'!B75</f>
        <v>#REF!</v>
      </c>
      <c r="C31" s="335"/>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5"/>
      <c r="AX31" s="334"/>
    </row>
    <row r="32" spans="1:50" ht="15.75" thickBot="1">
      <c r="A32" s="337" t="s">
        <v>201</v>
      </c>
      <c r="B32" s="338" t="e">
        <f>PMT(0.045,30,(B31))</f>
        <v>#REF!</v>
      </c>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6"/>
      <c r="AW32" s="335"/>
      <c r="AX32" s="334"/>
    </row>
    <row r="33" spans="1:50">
      <c r="A33" s="104" t="s">
        <v>202</v>
      </c>
      <c r="B33" s="105">
        <f>SUM(C33:AV33)</f>
        <v>0</v>
      </c>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199"/>
      <c r="AT33" s="199"/>
      <c r="AU33" s="199"/>
      <c r="AV33" s="340"/>
      <c r="AW33" s="342"/>
      <c r="AX33" s="334"/>
    </row>
    <row r="34" spans="1:50">
      <c r="A34" s="339" t="s">
        <v>203</v>
      </c>
      <c r="B34" s="10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199"/>
      <c r="AT34" s="199"/>
      <c r="AU34" s="199"/>
      <c r="AV34" s="340"/>
      <c r="AW34" s="342"/>
      <c r="AX34" s="334"/>
    </row>
    <row r="35" spans="1:50" ht="15.75" thickBot="1">
      <c r="A35" s="332" t="s">
        <v>204</v>
      </c>
      <c r="B35" s="333" t="e">
        <f>'G Financial'!B83+'G Financial'!B84</f>
        <v>#REF!</v>
      </c>
      <c r="C35" s="413"/>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341"/>
      <c r="AV35" s="342"/>
      <c r="AW35" s="342"/>
      <c r="AX35" s="347"/>
    </row>
    <row r="36" spans="1:50">
      <c r="A36" s="332" t="s">
        <v>205</v>
      </c>
      <c r="B36" s="176" t="e">
        <f>SUM(C36:AU36)</f>
        <v>#REF!</v>
      </c>
      <c r="C36" s="315">
        <f t="shared" ref="C36:AA36" si="23">-C29</f>
        <v>0</v>
      </c>
      <c r="D36" s="315" t="e">
        <f t="shared" si="23"/>
        <v>#REF!</v>
      </c>
      <c r="E36" s="315" t="e">
        <f t="shared" si="23"/>
        <v>#REF!</v>
      </c>
      <c r="F36" s="315" t="e">
        <f t="shared" si="23"/>
        <v>#REF!</v>
      </c>
      <c r="G36" s="315" t="e">
        <f t="shared" si="23"/>
        <v>#REF!</v>
      </c>
      <c r="H36" s="315" t="e">
        <f t="shared" si="23"/>
        <v>#REF!</v>
      </c>
      <c r="I36" s="315" t="e">
        <f t="shared" si="23"/>
        <v>#REF!</v>
      </c>
      <c r="J36" s="315" t="e">
        <f t="shared" si="23"/>
        <v>#REF!</v>
      </c>
      <c r="K36" s="315" t="e">
        <f t="shared" si="23"/>
        <v>#REF!</v>
      </c>
      <c r="L36" s="315" t="e">
        <f t="shared" si="23"/>
        <v>#REF!</v>
      </c>
      <c r="M36" s="315" t="e">
        <f t="shared" si="23"/>
        <v>#REF!</v>
      </c>
      <c r="N36" s="315" t="e">
        <f t="shared" si="23"/>
        <v>#REF!</v>
      </c>
      <c r="O36" s="315" t="e">
        <f t="shared" si="23"/>
        <v>#REF!</v>
      </c>
      <c r="P36" s="315" t="e">
        <f t="shared" si="23"/>
        <v>#REF!</v>
      </c>
      <c r="Q36" s="315" t="e">
        <f t="shared" si="23"/>
        <v>#REF!</v>
      </c>
      <c r="R36" s="315" t="e">
        <f t="shared" si="23"/>
        <v>#REF!</v>
      </c>
      <c r="S36" s="315" t="e">
        <f t="shared" si="23"/>
        <v>#REF!</v>
      </c>
      <c r="T36" s="315" t="e">
        <f t="shared" si="23"/>
        <v>#REF!</v>
      </c>
      <c r="U36" s="315" t="e">
        <f t="shared" si="23"/>
        <v>#REF!</v>
      </c>
      <c r="V36" s="315" t="e">
        <f t="shared" si="23"/>
        <v>#REF!</v>
      </c>
      <c r="W36" s="315" t="e">
        <f t="shared" si="23"/>
        <v>#REF!</v>
      </c>
      <c r="X36" s="315" t="e">
        <f t="shared" si="23"/>
        <v>#REF!</v>
      </c>
      <c r="Y36" s="315" t="e">
        <f t="shared" si="23"/>
        <v>#REF!</v>
      </c>
      <c r="Z36" s="315" t="e">
        <f t="shared" si="23"/>
        <v>#REF!</v>
      </c>
      <c r="AA36" s="315" t="e">
        <f t="shared" si="23"/>
        <v>#REF!</v>
      </c>
      <c r="AB36" s="347" t="e">
        <f>B35</f>
        <v>#REF!</v>
      </c>
      <c r="AC36" s="315"/>
      <c r="AD36" s="315"/>
      <c r="AE36" s="315"/>
      <c r="AF36" s="315"/>
      <c r="AG36" s="315"/>
      <c r="AH36" s="315"/>
      <c r="AI36" s="315"/>
      <c r="AJ36" s="315"/>
      <c r="AK36" s="315"/>
      <c r="AL36" s="315"/>
      <c r="AM36" s="315"/>
      <c r="AN36" s="315"/>
      <c r="AO36" s="315"/>
      <c r="AP36" s="315"/>
      <c r="AQ36" s="315"/>
      <c r="AR36" s="315"/>
      <c r="AS36" s="199"/>
      <c r="AT36" s="199"/>
      <c r="AU36" s="177"/>
      <c r="AV36" s="342"/>
      <c r="AW36" s="342"/>
      <c r="AX36" s="315"/>
    </row>
    <row r="37" spans="1:50">
      <c r="A37" s="332" t="s">
        <v>229</v>
      </c>
      <c r="B37" s="174" t="e">
        <f>IF(B36&lt;0,0,IRR(C36:AU36))</f>
        <v>#REF!</v>
      </c>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111"/>
      <c r="AV37" s="342"/>
      <c r="AW37" s="342"/>
      <c r="AX37" s="349"/>
    </row>
    <row r="38" spans="1:50">
      <c r="A38" s="322" t="s">
        <v>207</v>
      </c>
      <c r="B38" s="350" t="e">
        <f>POWER((1+B37),4)-1</f>
        <v>#REF!</v>
      </c>
      <c r="C38" s="342"/>
      <c r="D38" s="342"/>
      <c r="E38" s="351"/>
      <c r="F38" s="351"/>
      <c r="G38" s="351"/>
      <c r="H38" s="351"/>
      <c r="I38" s="351"/>
      <c r="J38" s="351"/>
      <c r="K38" s="351"/>
      <c r="L38" s="351"/>
      <c r="M38" s="351"/>
      <c r="N38" s="351"/>
      <c r="O38" s="351"/>
      <c r="P38" s="352"/>
      <c r="Q38" s="351"/>
      <c r="R38" s="351"/>
      <c r="S38" s="351"/>
      <c r="T38" s="351"/>
      <c r="U38" s="351"/>
      <c r="V38" s="352"/>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88"/>
      <c r="AV38" s="342"/>
      <c r="AW38" s="351"/>
      <c r="AX38" s="353"/>
    </row>
    <row r="39" spans="1:50">
      <c r="A39" s="354" t="s">
        <v>208</v>
      </c>
      <c r="B39" s="106"/>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106"/>
      <c r="AV39" s="342"/>
      <c r="AW39" s="342"/>
      <c r="AX39" s="322"/>
    </row>
    <row r="40" spans="1:50">
      <c r="A40" s="332" t="s">
        <v>209</v>
      </c>
      <c r="B40" s="139" t="e">
        <f>'G Financial'!B83-B27</f>
        <v>#REF!</v>
      </c>
      <c r="C40" s="342"/>
      <c r="D40" s="342"/>
      <c r="E40" s="342"/>
      <c r="F40" s="342"/>
      <c r="G40" s="342"/>
      <c r="H40" s="342"/>
      <c r="I40" s="342"/>
      <c r="J40" s="342"/>
      <c r="K40" s="342"/>
      <c r="L40" s="342"/>
      <c r="M40" s="336"/>
      <c r="N40" s="342"/>
      <c r="O40" s="342"/>
      <c r="P40" s="342"/>
      <c r="Q40" s="342"/>
      <c r="R40" s="342"/>
      <c r="S40" s="336"/>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106"/>
      <c r="AV40" s="322"/>
      <c r="AW40" s="342"/>
      <c r="AX40" s="322"/>
    </row>
    <row r="41" spans="1:50">
      <c r="A41" s="332" t="s">
        <v>210</v>
      </c>
      <c r="B41" s="176" t="e">
        <f>SUM(C41:AU41)</f>
        <v>#REF!</v>
      </c>
      <c r="C41" s="315">
        <f>-C26</f>
        <v>0</v>
      </c>
      <c r="D41" s="315">
        <f t="shared" ref="D41:AA41" si="24">-D26</f>
        <v>0</v>
      </c>
      <c r="E41" s="315">
        <f t="shared" si="24"/>
        <v>-113544.462</v>
      </c>
      <c r="F41" s="315">
        <f t="shared" si="24"/>
        <v>-88544.462</v>
      </c>
      <c r="G41" s="315">
        <f t="shared" si="24"/>
        <v>-25544.462</v>
      </c>
      <c r="H41" s="315">
        <f t="shared" si="24"/>
        <v>-25544.462</v>
      </c>
      <c r="I41" s="315">
        <f t="shared" si="24"/>
        <v>-25544.462</v>
      </c>
      <c r="J41" s="315">
        <f t="shared" si="24"/>
        <v>-55544.462</v>
      </c>
      <c r="K41" s="315">
        <f t="shared" si="24"/>
        <v>-45544.462</v>
      </c>
      <c r="L41" s="315">
        <f t="shared" si="24"/>
        <v>-69544.462</v>
      </c>
      <c r="M41" s="315">
        <f t="shared" si="24"/>
        <v>-45544.462</v>
      </c>
      <c r="N41" s="315">
        <f t="shared" si="24"/>
        <v>-75544.462</v>
      </c>
      <c r="O41" s="315">
        <f t="shared" si="24"/>
        <v>-40000</v>
      </c>
      <c r="P41" s="315">
        <f t="shared" si="24"/>
        <v>-129850</v>
      </c>
      <c r="Q41" s="315">
        <f t="shared" si="24"/>
        <v>-1201548.4613599998</v>
      </c>
      <c r="R41" s="315">
        <f t="shared" si="24"/>
        <v>-296548.46135999996</v>
      </c>
      <c r="S41" s="315">
        <f t="shared" si="24"/>
        <v>-251548.46135999999</v>
      </c>
      <c r="T41" s="315">
        <f t="shared" si="24"/>
        <v>-377322.69203999999</v>
      </c>
      <c r="U41" s="315">
        <f t="shared" si="24"/>
        <v>-419252.69203999999</v>
      </c>
      <c r="V41" s="315">
        <f t="shared" si="24"/>
        <v>-1045919.3587066666</v>
      </c>
      <c r="W41" s="315">
        <f t="shared" si="24"/>
        <v>-985919.35870666662</v>
      </c>
      <c r="X41" s="315">
        <f t="shared" si="24"/>
        <v>-890145.1280266667</v>
      </c>
      <c r="Y41" s="315" t="e">
        <f t="shared" si="24"/>
        <v>#REF!</v>
      </c>
      <c r="Z41" s="315" t="e">
        <f t="shared" si="24"/>
        <v>#REF!</v>
      </c>
      <c r="AA41" s="315" t="e">
        <f t="shared" si="24"/>
        <v>#REF!</v>
      </c>
      <c r="AB41" s="347" t="e">
        <f>B40-AB26</f>
        <v>#REF!</v>
      </c>
      <c r="AC41" s="315"/>
      <c r="AD41" s="315"/>
      <c r="AE41" s="315"/>
      <c r="AF41" s="315"/>
      <c r="AG41" s="315"/>
      <c r="AH41" s="315"/>
      <c r="AI41" s="315"/>
      <c r="AJ41" s="315"/>
      <c r="AK41" s="315"/>
      <c r="AL41" s="315"/>
      <c r="AM41" s="315"/>
      <c r="AN41" s="315"/>
      <c r="AO41" s="315"/>
      <c r="AP41" s="315"/>
      <c r="AQ41" s="315"/>
      <c r="AR41" s="315"/>
      <c r="AS41" s="315" t="e">
        <f t="shared" ref="AS41:AU41" si="25">IF(AS30&gt;=$B$30,-(AS26+AS36),AS36)</f>
        <v>#REF!</v>
      </c>
      <c r="AT41" s="315" t="e">
        <f t="shared" si="25"/>
        <v>#REF!</v>
      </c>
      <c r="AU41" s="334" t="e">
        <f t="shared" si="25"/>
        <v>#REF!</v>
      </c>
      <c r="AV41" s="322"/>
      <c r="AW41" s="322"/>
      <c r="AX41" s="322"/>
    </row>
    <row r="42" spans="1:50">
      <c r="A42" s="332" t="s">
        <v>211</v>
      </c>
      <c r="B42" s="174" t="e">
        <f>IF(B41&lt;0,0,IRR(C41:AU41))</f>
        <v>#REF!</v>
      </c>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342"/>
      <c r="AO42" s="342"/>
      <c r="AP42" s="342"/>
      <c r="AQ42" s="342"/>
      <c r="AR42" s="342"/>
      <c r="AS42" s="342"/>
      <c r="AT42" s="342"/>
      <c r="AU42" s="106"/>
      <c r="AV42" s="342"/>
      <c r="AW42" s="342"/>
      <c r="AX42" s="322"/>
    </row>
    <row r="43" spans="1:50">
      <c r="A43" s="322" t="s">
        <v>212</v>
      </c>
      <c r="B43" s="350" t="e">
        <f>POWER((1+B42),4)-1</f>
        <v>#REF!</v>
      </c>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106"/>
      <c r="AV43" s="342"/>
      <c r="AW43" s="342"/>
      <c r="AX43" s="322"/>
    </row>
    <row r="44" spans="1:50">
      <c r="G44" s="7"/>
      <c r="AB44" s="7"/>
      <c r="AE44" s="7"/>
      <c r="AU44" s="7"/>
    </row>
    <row r="45" spans="1:50">
      <c r="G45" s="7"/>
      <c r="AB45" s="7"/>
      <c r="AE45" s="7"/>
      <c r="AU45" s="7"/>
    </row>
    <row r="46" spans="1:50">
      <c r="G46" s="7"/>
      <c r="AB46" s="7"/>
      <c r="AE46" s="7"/>
      <c r="AU46" s="7"/>
    </row>
    <row r="47" spans="1:50">
      <c r="G47" s="7"/>
      <c r="AB47" s="7"/>
      <c r="AE47" s="7"/>
      <c r="AU47" s="7"/>
    </row>
    <row r="48" spans="1:50">
      <c r="G48" s="7"/>
      <c r="AB48" s="7"/>
      <c r="AE48" s="7"/>
      <c r="AU48" s="7"/>
    </row>
    <row r="49" spans="7:47">
      <c r="G49" s="7"/>
      <c r="AB49" s="7"/>
      <c r="AE49" s="7"/>
      <c r="AU49" s="7"/>
    </row>
    <row r="50" spans="7:47">
      <c r="G50" s="7"/>
      <c r="AB50" s="7"/>
      <c r="AE50" s="7"/>
      <c r="AU50" s="7"/>
    </row>
    <row r="51" spans="7:47">
      <c r="G51" s="7"/>
    </row>
    <row r="52" spans="7:47">
      <c r="G52" s="7"/>
    </row>
    <row r="53" spans="7:47">
      <c r="G53" s="7"/>
    </row>
    <row r="54" spans="7:47">
      <c r="G54" s="7"/>
    </row>
    <row r="55" spans="7:47">
      <c r="G55" s="7"/>
    </row>
    <row r="56" spans="7:47">
      <c r="G56" s="7"/>
    </row>
    <row r="57" spans="7:47">
      <c r="G57" s="7"/>
    </row>
    <row r="58" spans="7:47">
      <c r="G58" s="7"/>
    </row>
    <row r="59" spans="7:47">
      <c r="G59" s="7"/>
    </row>
    <row r="60" spans="7:47">
      <c r="G60" s="7"/>
    </row>
    <row r="61" spans="7:47">
      <c r="G61" s="7"/>
    </row>
    <row r="62" spans="7:47">
      <c r="G62" s="7"/>
    </row>
    <row r="63" spans="7:47">
      <c r="G63" s="7"/>
    </row>
    <row r="64" spans="7:47">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sheetData>
  <mergeCells count="2">
    <mergeCell ref="A1:A3"/>
    <mergeCell ref="AV2:AX2"/>
  </mergeCells>
  <conditionalFormatting sqref="D3:AU3">
    <cfRule type="cellIs" dxfId="31" priority="1" operator="equal">
      <formula>#REF!</formula>
    </cfRule>
    <cfRule type="cellIs" dxfId="30" priority="2" operator="equal">
      <formula>#REF!</formula>
    </cfRule>
    <cfRule type="cellIs" dxfId="29" priority="3" operator="equal">
      <formula>#REF!</formula>
    </cfRule>
    <cfRule type="cellIs" dxfId="28" priority="4" operator="equal">
      <formula>#REF!</formula>
    </cfRule>
  </conditionalFormatting>
  <conditionalFormatting sqref="G3:AX3">
    <cfRule type="cellIs" dxfId="27" priority="5" operator="equal">
      <formula>#REF!</formula>
    </cfRule>
    <cfRule type="cellIs" dxfId="26" priority="6" operator="equal">
      <formula>#REF!</formula>
    </cfRule>
    <cfRule type="cellIs" dxfId="25" priority="7" operator="equal">
      <formula>#REF!</formula>
    </cfRule>
    <cfRule type="cellIs" dxfId="24" priority="8" operator="equal">
      <formula>#REF!</formula>
    </cfRule>
  </conditionalFormatting>
  <conditionalFormatting sqref="T4:AU4">
    <cfRule type="cellIs" dxfId="23" priority="13" operator="equal">
      <formula>#REF!</formula>
    </cfRule>
    <cfRule type="cellIs" dxfId="22" priority="14" operator="equal">
      <formula>#REF!</formula>
    </cfRule>
    <cfRule type="cellIs" dxfId="21" priority="15" operator="equal">
      <formula>#REF!</formula>
    </cfRule>
    <cfRule type="cellIs" dxfId="20" priority="16" operator="equal">
      <formula>#REF!</formula>
    </cfRule>
  </conditionalFormatting>
  <conditionalFormatting sqref="Y4:AC4">
    <cfRule type="cellIs" dxfId="19" priority="9" operator="equal">
      <formula>#REF!</formula>
    </cfRule>
    <cfRule type="cellIs" dxfId="18" priority="10" operator="equal">
      <formula>#REF!</formula>
    </cfRule>
    <cfRule type="cellIs" dxfId="17" priority="11" operator="equal">
      <formula>#REF!</formula>
    </cfRule>
    <cfRule type="cellIs" dxfId="16" priority="12"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BBFD2-1689-4AD9-AC1F-76F5ECD3E0B8}">
  <sheetPr>
    <tabColor rgb="FF0070C0"/>
  </sheetPr>
  <dimension ref="A1:AX598"/>
  <sheetViews>
    <sheetView zoomScaleNormal="100" zoomScalePageLayoutView="125" workbookViewId="0">
      <pane xSplit="1" ySplit="3" topLeftCell="B21" activePane="bottomRight" state="frozen"/>
      <selection pane="topRight" activeCell="B1" sqref="B1"/>
      <selection pane="bottomLeft" activeCell="A4" sqref="A4"/>
      <selection pane="bottomRight" activeCell="A36" sqref="A36:XFD36"/>
    </sheetView>
  </sheetViews>
  <sheetFormatPr defaultColWidth="8.85546875" defaultRowHeight="12.75"/>
  <cols>
    <col min="1" max="1" width="38.5703125" style="7" bestFit="1" customWidth="1"/>
    <col min="2" max="2" width="16.85546875" style="7" customWidth="1"/>
    <col min="3" max="3" width="18.85546875" style="7" customWidth="1"/>
    <col min="4" max="4" width="11.5703125" style="7" customWidth="1"/>
    <col min="5" max="5" width="17.85546875" style="7" customWidth="1"/>
    <col min="6" max="6" width="16.85546875" style="7" customWidth="1"/>
    <col min="7" max="7" width="10.5703125" style="89" bestFit="1" customWidth="1"/>
    <col min="8" max="15" width="11.5703125" style="7" bestFit="1" customWidth="1"/>
    <col min="16" max="16" width="21.42578125" style="7" customWidth="1"/>
    <col min="17" max="17" width="19.140625" style="7" customWidth="1"/>
    <col min="18" max="27" width="11.5703125" style="7" bestFit="1" customWidth="1"/>
    <col min="28" max="28" width="11.5703125" style="90" bestFit="1" customWidth="1"/>
    <col min="29" max="30" width="11.5703125" style="7" bestFit="1" customWidth="1"/>
    <col min="31" max="31" width="12.42578125" style="90" customWidth="1"/>
    <col min="32" max="32" width="17" style="7" customWidth="1"/>
    <col min="33" max="33" width="18.140625" style="7" customWidth="1"/>
    <col min="34" max="34" width="11.5703125" style="7" bestFit="1" customWidth="1"/>
    <col min="35" max="35" width="11.5703125" style="91" bestFit="1" customWidth="1"/>
    <col min="36" max="36" width="13.85546875" style="7" customWidth="1"/>
    <col min="37" max="37" width="12.140625" style="7" hidden="1" customWidth="1"/>
    <col min="38" max="43" width="11.5703125" style="7" hidden="1" customWidth="1"/>
    <col min="44" max="44" width="19.85546875" style="7" hidden="1" customWidth="1"/>
    <col min="45" max="47" width="11.5703125" style="7" hidden="1" customWidth="1"/>
    <col min="48" max="48" width="17" style="7" bestFit="1" customWidth="1"/>
    <col min="49" max="49" width="12.5703125" style="7" bestFit="1" customWidth="1"/>
    <col min="50" max="50" width="17.85546875" style="7" customWidth="1"/>
    <col min="51" max="51" width="9.5703125" style="7" bestFit="1" customWidth="1"/>
    <col min="52" max="52" width="11.85546875" style="7" bestFit="1" customWidth="1"/>
    <col min="53" max="54" width="9.5703125" style="7" bestFit="1" customWidth="1"/>
    <col min="55" max="16384" width="8.85546875" style="7"/>
  </cols>
  <sheetData>
    <row r="1" spans="1:50" ht="13.5" thickBot="1">
      <c r="A1" s="1588" t="str">
        <f>'Development Program'!B27</f>
        <v>4th Street Site</v>
      </c>
      <c r="B1" s="156" t="s">
        <v>184</v>
      </c>
      <c r="C1" s="144" t="str">
        <f>'Development Program'!D23</f>
        <v>Pre-Development</v>
      </c>
      <c r="D1" s="144" t="str">
        <f>'Development Program'!E23</f>
        <v>Demolition</v>
      </c>
      <c r="E1" s="144" t="str">
        <f>'Development Program'!F23</f>
        <v>Construction</v>
      </c>
      <c r="F1" s="145" t="str">
        <f>'Development Program'!G23</f>
        <v>Close-out</v>
      </c>
      <c r="G1" s="7"/>
      <c r="AB1" s="7"/>
      <c r="AE1" s="7"/>
      <c r="AI1" s="7"/>
    </row>
    <row r="2" spans="1:50" ht="13.5" thickBot="1">
      <c r="A2" s="1575"/>
      <c r="B2" s="303" t="s">
        <v>185</v>
      </c>
      <c r="C2" s="305" t="str">
        <f>'Development Program'!D27</f>
        <v>01/1/28 to 12/31/28</v>
      </c>
      <c r="D2" s="305" t="str">
        <f>'Development Program'!E27</f>
        <v>1/1/29 to 6/30/29</v>
      </c>
      <c r="E2" s="305" t="str">
        <f>'Development Program'!F27</f>
        <v>7/1/29 to 6/30/31</v>
      </c>
      <c r="F2" s="305" t="str">
        <f>'Development Program'!G27</f>
        <v>7/1/31 to 12/31/31</v>
      </c>
      <c r="G2" s="7"/>
      <c r="P2" s="193" t="s">
        <v>186</v>
      </c>
      <c r="Q2" s="194" t="s">
        <v>187</v>
      </c>
      <c r="AB2" s="7"/>
      <c r="AE2" s="7"/>
      <c r="AF2" s="193" t="s">
        <v>217</v>
      </c>
      <c r="AG2" s="194" t="s">
        <v>218</v>
      </c>
      <c r="AI2" s="7"/>
      <c r="AJ2" s="193" t="s">
        <v>219</v>
      </c>
      <c r="AV2" s="1690" t="s">
        <v>191</v>
      </c>
      <c r="AW2" s="1690"/>
      <c r="AX2" s="1690"/>
    </row>
    <row r="3" spans="1:50" ht="13.5" thickBot="1">
      <c r="A3" s="1576"/>
      <c r="B3" s="92" t="s">
        <v>62</v>
      </c>
      <c r="C3" s="146">
        <v>45658</v>
      </c>
      <c r="D3" s="147">
        <f>EOMONTH(C3,3)</f>
        <v>45777</v>
      </c>
      <c r="E3" s="147">
        <f t="shared" ref="E3:AJ3" si="0">EOMONTH(D3,3)</f>
        <v>45869</v>
      </c>
      <c r="F3" s="147">
        <f t="shared" si="0"/>
        <v>45961</v>
      </c>
      <c r="G3" s="188">
        <f t="shared" si="0"/>
        <v>46053</v>
      </c>
      <c r="H3" s="188">
        <f t="shared" si="0"/>
        <v>46142</v>
      </c>
      <c r="I3" s="188">
        <f t="shared" si="0"/>
        <v>46234</v>
      </c>
      <c r="J3" s="188">
        <f t="shared" si="0"/>
        <v>46326</v>
      </c>
      <c r="K3" s="188">
        <f t="shared" si="0"/>
        <v>46418</v>
      </c>
      <c r="L3" s="188">
        <f t="shared" si="0"/>
        <v>46507</v>
      </c>
      <c r="M3" s="188">
        <f t="shared" si="0"/>
        <v>46599</v>
      </c>
      <c r="N3" s="188">
        <f t="shared" si="0"/>
        <v>46691</v>
      </c>
      <c r="O3" s="188">
        <f t="shared" si="0"/>
        <v>46783</v>
      </c>
      <c r="P3" s="188">
        <f t="shared" si="0"/>
        <v>46873</v>
      </c>
      <c r="Q3" s="188">
        <f t="shared" si="0"/>
        <v>46965</v>
      </c>
      <c r="R3" s="188">
        <f t="shared" si="0"/>
        <v>47057</v>
      </c>
      <c r="S3" s="188">
        <f t="shared" si="0"/>
        <v>47149</v>
      </c>
      <c r="T3" s="188">
        <f t="shared" si="0"/>
        <v>47238</v>
      </c>
      <c r="U3" s="188">
        <f t="shared" si="0"/>
        <v>47330</v>
      </c>
      <c r="V3" s="188">
        <f t="shared" si="0"/>
        <v>47422</v>
      </c>
      <c r="W3" s="188">
        <f t="shared" si="0"/>
        <v>47514</v>
      </c>
      <c r="X3" s="188">
        <f t="shared" si="0"/>
        <v>47603</v>
      </c>
      <c r="Y3" s="188">
        <f t="shared" si="0"/>
        <v>47695</v>
      </c>
      <c r="Z3" s="188">
        <f t="shared" si="0"/>
        <v>47787</v>
      </c>
      <c r="AA3" s="188">
        <f t="shared" si="0"/>
        <v>47879</v>
      </c>
      <c r="AB3" s="188">
        <f t="shared" si="0"/>
        <v>47968</v>
      </c>
      <c r="AC3" s="188">
        <f t="shared" si="0"/>
        <v>48060</v>
      </c>
      <c r="AD3" s="188">
        <f t="shared" si="0"/>
        <v>48152</v>
      </c>
      <c r="AE3" s="188">
        <f t="shared" si="0"/>
        <v>48244</v>
      </c>
      <c r="AF3" s="188">
        <f t="shared" si="0"/>
        <v>48334</v>
      </c>
      <c r="AG3" s="188">
        <f t="shared" si="0"/>
        <v>48426</v>
      </c>
      <c r="AH3" s="188">
        <f t="shared" si="0"/>
        <v>48518</v>
      </c>
      <c r="AI3" s="188">
        <f t="shared" si="0"/>
        <v>48610</v>
      </c>
      <c r="AJ3" s="188">
        <f t="shared" si="0"/>
        <v>48699</v>
      </c>
      <c r="AK3" s="188">
        <f t="shared" ref="AK3" si="1">EOMONTH(AJ3,3)</f>
        <v>48791</v>
      </c>
      <c r="AL3" s="188">
        <f t="shared" ref="AL3" si="2">EOMONTH(AK3,3)</f>
        <v>48883</v>
      </c>
      <c r="AM3" s="188">
        <f t="shared" ref="AM3" si="3">EOMONTH(AL3,3)</f>
        <v>48975</v>
      </c>
      <c r="AN3" s="188">
        <f t="shared" ref="AN3" si="4">EOMONTH(AM3,3)</f>
        <v>49064</v>
      </c>
      <c r="AO3" s="188">
        <f t="shared" ref="AO3" si="5">EOMONTH(AN3,3)</f>
        <v>49156</v>
      </c>
      <c r="AP3" s="188">
        <f t="shared" ref="AP3" si="6">EOMONTH(AO3,3)</f>
        <v>49248</v>
      </c>
      <c r="AQ3" s="188">
        <f t="shared" ref="AQ3" si="7">EOMONTH(AP3,3)</f>
        <v>49340</v>
      </c>
      <c r="AR3" s="188">
        <f t="shared" ref="AR3" si="8">EOMONTH(AQ3,3)</f>
        <v>49429</v>
      </c>
      <c r="AS3" s="188">
        <f t="shared" ref="AS3" si="9">EOMONTH(AR3,3)</f>
        <v>49521</v>
      </c>
      <c r="AT3" s="188">
        <f t="shared" ref="AT3" si="10">EOMONTH(AS3,3)</f>
        <v>49613</v>
      </c>
      <c r="AU3" s="188">
        <f t="shared" ref="AU3" si="11">EOMONTH(AT3,3)</f>
        <v>49705</v>
      </c>
      <c r="AV3" s="306" t="s">
        <v>192</v>
      </c>
      <c r="AW3" s="307" t="s">
        <v>193</v>
      </c>
      <c r="AX3" s="307"/>
    </row>
    <row r="4" spans="1:50" ht="13.5" thickBot="1">
      <c r="A4" s="308" t="s">
        <v>194</v>
      </c>
      <c r="B4" s="309">
        <v>1</v>
      </c>
      <c r="C4" s="181">
        <v>0</v>
      </c>
      <c r="D4" s="181">
        <v>0</v>
      </c>
      <c r="E4" s="181">
        <v>0</v>
      </c>
      <c r="F4" s="181">
        <f t="shared" ref="F4:G4" si="12">E4</f>
        <v>0</v>
      </c>
      <c r="G4" s="180">
        <f t="shared" si="12"/>
        <v>0</v>
      </c>
      <c r="H4" s="180">
        <f t="shared" ref="H4" si="13">G4</f>
        <v>0</v>
      </c>
      <c r="I4" s="180">
        <f t="shared" ref="I4" si="14">H4</f>
        <v>0</v>
      </c>
      <c r="J4" s="180">
        <f t="shared" ref="J4" si="15">I4</f>
        <v>0</v>
      </c>
      <c r="K4" s="180">
        <f t="shared" ref="K4" si="16">J4</f>
        <v>0</v>
      </c>
      <c r="L4" s="180">
        <f t="shared" ref="L4" si="17">K4</f>
        <v>0</v>
      </c>
      <c r="M4" s="180">
        <f t="shared" ref="M4" si="18">L4</f>
        <v>0</v>
      </c>
      <c r="N4" s="180">
        <f t="shared" ref="N4" si="19">M4</f>
        <v>0</v>
      </c>
      <c r="O4" s="180">
        <f t="shared" ref="O4" si="20">N4</f>
        <v>0</v>
      </c>
      <c r="P4" s="180">
        <f t="shared" ref="P4" si="21">O4</f>
        <v>0</v>
      </c>
      <c r="Q4" s="180">
        <v>0.05</v>
      </c>
      <c r="R4" s="180">
        <v>0.05</v>
      </c>
      <c r="S4" s="180">
        <v>0.05</v>
      </c>
      <c r="T4" s="180">
        <v>0.05</v>
      </c>
      <c r="U4" s="180">
        <v>0.08</v>
      </c>
      <c r="V4" s="180">
        <v>0.08</v>
      </c>
      <c r="W4" s="180">
        <v>0.08</v>
      </c>
      <c r="X4" s="180">
        <v>0.08</v>
      </c>
      <c r="Y4" s="180">
        <v>0.08</v>
      </c>
      <c r="Z4" s="180">
        <v>0.08</v>
      </c>
      <c r="AA4" s="180">
        <v>0.08</v>
      </c>
      <c r="AB4" s="180">
        <v>0.08</v>
      </c>
      <c r="AC4" s="180">
        <v>0.04</v>
      </c>
      <c r="AD4" s="180">
        <v>0.04</v>
      </c>
      <c r="AE4" s="180">
        <v>0.04</v>
      </c>
      <c r="AF4" s="180">
        <v>0.04</v>
      </c>
      <c r="AG4" s="180">
        <v>0</v>
      </c>
      <c r="AH4" s="180">
        <v>0</v>
      </c>
      <c r="AI4" s="180">
        <v>0</v>
      </c>
      <c r="AJ4" s="180">
        <v>0</v>
      </c>
      <c r="AK4" s="180"/>
      <c r="AL4" s="180"/>
      <c r="AM4" s="180"/>
      <c r="AN4" s="180"/>
      <c r="AO4" s="180"/>
      <c r="AP4" s="180"/>
      <c r="AQ4" s="180"/>
      <c r="AR4" s="180"/>
      <c r="AS4" s="180"/>
      <c r="AT4" s="180"/>
      <c r="AU4" s="180"/>
      <c r="AV4" s="310">
        <f t="shared" ref="AV4:AV25" si="22">SUM(C4:AU4)</f>
        <v>1</v>
      </c>
      <c r="AW4" s="310"/>
      <c r="AX4" s="159" t="s">
        <v>195</v>
      </c>
    </row>
    <row r="5" spans="1:50">
      <c r="A5" s="312" t="str">
        <f>'F Financial'!A44</f>
        <v>Hard Costs for Construction</v>
      </c>
      <c r="B5" s="409">
        <f>'F Financial'!C44</f>
        <v>36750000</v>
      </c>
      <c r="C5" s="314">
        <f t="shared" ref="C5:AJ5" si="23">$B$5*C4</f>
        <v>0</v>
      </c>
      <c r="D5" s="314">
        <f t="shared" si="23"/>
        <v>0</v>
      </c>
      <c r="E5" s="314">
        <f t="shared" si="23"/>
        <v>0</v>
      </c>
      <c r="F5" s="314">
        <f t="shared" si="23"/>
        <v>0</v>
      </c>
      <c r="G5" s="314">
        <f t="shared" si="23"/>
        <v>0</v>
      </c>
      <c r="H5" s="314">
        <f t="shared" si="23"/>
        <v>0</v>
      </c>
      <c r="I5" s="314">
        <f t="shared" si="23"/>
        <v>0</v>
      </c>
      <c r="J5" s="314">
        <f t="shared" si="23"/>
        <v>0</v>
      </c>
      <c r="K5" s="314">
        <f t="shared" si="23"/>
        <v>0</v>
      </c>
      <c r="L5" s="314">
        <f t="shared" si="23"/>
        <v>0</v>
      </c>
      <c r="M5" s="314">
        <f t="shared" si="23"/>
        <v>0</v>
      </c>
      <c r="N5" s="314">
        <f t="shared" si="23"/>
        <v>0</v>
      </c>
      <c r="O5" s="314">
        <f t="shared" si="23"/>
        <v>0</v>
      </c>
      <c r="P5" s="314">
        <f t="shared" si="23"/>
        <v>0</v>
      </c>
      <c r="Q5" s="314">
        <f t="shared" si="23"/>
        <v>1837500</v>
      </c>
      <c r="R5" s="314">
        <f t="shared" si="23"/>
        <v>1837500</v>
      </c>
      <c r="S5" s="314">
        <f t="shared" si="23"/>
        <v>1837500</v>
      </c>
      <c r="T5" s="314">
        <f t="shared" si="23"/>
        <v>1837500</v>
      </c>
      <c r="U5" s="314">
        <f t="shared" si="23"/>
        <v>2940000</v>
      </c>
      <c r="V5" s="314">
        <f t="shared" si="23"/>
        <v>2940000</v>
      </c>
      <c r="W5" s="314">
        <f t="shared" si="23"/>
        <v>2940000</v>
      </c>
      <c r="X5" s="314">
        <f t="shared" si="23"/>
        <v>2940000</v>
      </c>
      <c r="Y5" s="314">
        <f t="shared" si="23"/>
        <v>2940000</v>
      </c>
      <c r="Z5" s="314">
        <f t="shared" si="23"/>
        <v>2940000</v>
      </c>
      <c r="AA5" s="314">
        <f t="shared" si="23"/>
        <v>2940000</v>
      </c>
      <c r="AB5" s="314">
        <f t="shared" si="23"/>
        <v>2940000</v>
      </c>
      <c r="AC5" s="314">
        <f t="shared" si="23"/>
        <v>1470000</v>
      </c>
      <c r="AD5" s="314">
        <f t="shared" si="23"/>
        <v>1470000</v>
      </c>
      <c r="AE5" s="314">
        <f t="shared" si="23"/>
        <v>1470000</v>
      </c>
      <c r="AF5" s="314">
        <f t="shared" si="23"/>
        <v>1470000</v>
      </c>
      <c r="AG5" s="314">
        <f t="shared" si="23"/>
        <v>0</v>
      </c>
      <c r="AH5" s="314">
        <f t="shared" si="23"/>
        <v>0</v>
      </c>
      <c r="AI5" s="314">
        <f t="shared" si="23"/>
        <v>0</v>
      </c>
      <c r="AJ5" s="314">
        <f t="shared" si="23"/>
        <v>0</v>
      </c>
      <c r="AK5" s="314"/>
      <c r="AL5" s="314"/>
      <c r="AM5" s="314"/>
      <c r="AN5" s="314"/>
      <c r="AO5" s="314"/>
      <c r="AP5" s="314"/>
      <c r="AQ5" s="314"/>
      <c r="AR5" s="314"/>
      <c r="AS5" s="314"/>
      <c r="AT5" s="314"/>
      <c r="AU5" s="314"/>
      <c r="AV5" s="321">
        <f t="shared" si="22"/>
        <v>36750000</v>
      </c>
      <c r="AW5" s="321">
        <f>B5</f>
        <v>36750000</v>
      </c>
      <c r="AX5" s="441">
        <f>AW5-AV5</f>
        <v>0</v>
      </c>
    </row>
    <row r="6" spans="1:50">
      <c r="A6" s="312" t="str">
        <f>'F Financial'!A45</f>
        <v>Parking stalls</v>
      </c>
      <c r="B6" s="409" t="e">
        <f>'F Financial'!C45</f>
        <v>#REF!</v>
      </c>
      <c r="C6" s="314" t="e">
        <f>$B$6*C4</f>
        <v>#REF!</v>
      </c>
      <c r="D6" s="314" t="e">
        <f t="shared" ref="D6:AJ6" si="24">$B$6*D4</f>
        <v>#REF!</v>
      </c>
      <c r="E6" s="314" t="e">
        <f t="shared" si="24"/>
        <v>#REF!</v>
      </c>
      <c r="F6" s="314" t="e">
        <f t="shared" si="24"/>
        <v>#REF!</v>
      </c>
      <c r="G6" s="314" t="e">
        <f t="shared" si="24"/>
        <v>#REF!</v>
      </c>
      <c r="H6" s="314" t="e">
        <f t="shared" si="24"/>
        <v>#REF!</v>
      </c>
      <c r="I6" s="314" t="e">
        <f t="shared" si="24"/>
        <v>#REF!</v>
      </c>
      <c r="J6" s="314" t="e">
        <f t="shared" si="24"/>
        <v>#REF!</v>
      </c>
      <c r="K6" s="314" t="e">
        <f t="shared" si="24"/>
        <v>#REF!</v>
      </c>
      <c r="L6" s="314" t="e">
        <f t="shared" si="24"/>
        <v>#REF!</v>
      </c>
      <c r="M6" s="314" t="e">
        <f t="shared" si="24"/>
        <v>#REF!</v>
      </c>
      <c r="N6" s="314" t="e">
        <f t="shared" si="24"/>
        <v>#REF!</v>
      </c>
      <c r="O6" s="314" t="e">
        <f t="shared" si="24"/>
        <v>#REF!</v>
      </c>
      <c r="P6" s="314" t="e">
        <f t="shared" si="24"/>
        <v>#REF!</v>
      </c>
      <c r="Q6" s="314" t="e">
        <f t="shared" si="24"/>
        <v>#REF!</v>
      </c>
      <c r="R6" s="314" t="e">
        <f t="shared" si="24"/>
        <v>#REF!</v>
      </c>
      <c r="S6" s="314" t="e">
        <f t="shared" si="24"/>
        <v>#REF!</v>
      </c>
      <c r="T6" s="314" t="e">
        <f t="shared" si="24"/>
        <v>#REF!</v>
      </c>
      <c r="U6" s="314" t="e">
        <f t="shared" si="24"/>
        <v>#REF!</v>
      </c>
      <c r="V6" s="314" t="e">
        <f t="shared" si="24"/>
        <v>#REF!</v>
      </c>
      <c r="W6" s="314" t="e">
        <f t="shared" si="24"/>
        <v>#REF!</v>
      </c>
      <c r="X6" s="314" t="e">
        <f t="shared" si="24"/>
        <v>#REF!</v>
      </c>
      <c r="Y6" s="314" t="e">
        <f t="shared" si="24"/>
        <v>#REF!</v>
      </c>
      <c r="Z6" s="314" t="e">
        <f t="shared" si="24"/>
        <v>#REF!</v>
      </c>
      <c r="AA6" s="314" t="e">
        <f t="shared" si="24"/>
        <v>#REF!</v>
      </c>
      <c r="AB6" s="314" t="e">
        <f t="shared" si="24"/>
        <v>#REF!</v>
      </c>
      <c r="AC6" s="314" t="e">
        <f t="shared" si="24"/>
        <v>#REF!</v>
      </c>
      <c r="AD6" s="314" t="e">
        <f t="shared" si="24"/>
        <v>#REF!</v>
      </c>
      <c r="AE6" s="314" t="e">
        <f t="shared" si="24"/>
        <v>#REF!</v>
      </c>
      <c r="AF6" s="314" t="e">
        <f t="shared" si="24"/>
        <v>#REF!</v>
      </c>
      <c r="AG6" s="314" t="e">
        <f t="shared" si="24"/>
        <v>#REF!</v>
      </c>
      <c r="AH6" s="314" t="e">
        <f t="shared" si="24"/>
        <v>#REF!</v>
      </c>
      <c r="AI6" s="314" t="e">
        <f t="shared" si="24"/>
        <v>#REF!</v>
      </c>
      <c r="AJ6" s="314" t="e">
        <f t="shared" si="24"/>
        <v>#REF!</v>
      </c>
      <c r="AK6" s="314"/>
      <c r="AL6" s="314"/>
      <c r="AM6" s="314"/>
      <c r="AN6" s="314"/>
      <c r="AO6" s="314"/>
      <c r="AP6" s="314"/>
      <c r="AQ6" s="314"/>
      <c r="AR6" s="314"/>
      <c r="AS6" s="314"/>
      <c r="AT6" s="314"/>
      <c r="AU6" s="314"/>
      <c r="AV6" s="321" t="e">
        <f t="shared" si="22"/>
        <v>#REF!</v>
      </c>
      <c r="AW6" s="321" t="e">
        <f>B6</f>
        <v>#REF!</v>
      </c>
      <c r="AX6" s="441" t="e">
        <f t="shared" ref="AX6:AX25" si="25">AW6-AV6</f>
        <v>#REF!</v>
      </c>
    </row>
    <row r="7" spans="1:50">
      <c r="A7" s="312" t="str">
        <f>'F Financial'!A46</f>
        <v>Hard Cost Contingency</v>
      </c>
      <c r="B7" s="409">
        <f>'F Financial'!C46</f>
        <v>3675000</v>
      </c>
      <c r="C7" s="314">
        <f t="shared" ref="C7:Q7" si="26">$B7*C$4</f>
        <v>0</v>
      </c>
      <c r="D7" s="314">
        <f t="shared" si="26"/>
        <v>0</v>
      </c>
      <c r="E7" s="314">
        <f t="shared" si="26"/>
        <v>0</v>
      </c>
      <c r="F7" s="314">
        <f t="shared" si="26"/>
        <v>0</v>
      </c>
      <c r="G7" s="314">
        <f t="shared" si="26"/>
        <v>0</v>
      </c>
      <c r="H7" s="314">
        <f t="shared" si="26"/>
        <v>0</v>
      </c>
      <c r="I7" s="314">
        <f t="shared" si="26"/>
        <v>0</v>
      </c>
      <c r="J7" s="314">
        <f t="shared" si="26"/>
        <v>0</v>
      </c>
      <c r="K7" s="314">
        <f t="shared" si="26"/>
        <v>0</v>
      </c>
      <c r="L7" s="314">
        <f t="shared" si="26"/>
        <v>0</v>
      </c>
      <c r="M7" s="314">
        <f t="shared" si="26"/>
        <v>0</v>
      </c>
      <c r="N7" s="314">
        <f t="shared" si="26"/>
        <v>0</v>
      </c>
      <c r="O7" s="314">
        <f t="shared" si="26"/>
        <v>0</v>
      </c>
      <c r="P7" s="314">
        <f t="shared" si="26"/>
        <v>0</v>
      </c>
      <c r="Q7" s="314">
        <f t="shared" si="26"/>
        <v>183750</v>
      </c>
      <c r="R7" s="314">
        <f>$B7*R$4</f>
        <v>183750</v>
      </c>
      <c r="S7" s="314">
        <f t="shared" ref="S7:AJ7" si="27">$B7*S$4</f>
        <v>183750</v>
      </c>
      <c r="T7" s="314">
        <f t="shared" si="27"/>
        <v>183750</v>
      </c>
      <c r="U7" s="314">
        <f t="shared" si="27"/>
        <v>294000</v>
      </c>
      <c r="V7" s="314">
        <f t="shared" si="27"/>
        <v>294000</v>
      </c>
      <c r="W7" s="314">
        <f t="shared" si="27"/>
        <v>294000</v>
      </c>
      <c r="X7" s="314">
        <f t="shared" si="27"/>
        <v>294000</v>
      </c>
      <c r="Y7" s="314">
        <f t="shared" si="27"/>
        <v>294000</v>
      </c>
      <c r="Z7" s="314">
        <f t="shared" si="27"/>
        <v>294000</v>
      </c>
      <c r="AA7" s="314">
        <f t="shared" si="27"/>
        <v>294000</v>
      </c>
      <c r="AB7" s="314">
        <f t="shared" si="27"/>
        <v>294000</v>
      </c>
      <c r="AC7" s="314">
        <f t="shared" si="27"/>
        <v>147000</v>
      </c>
      <c r="AD7" s="314">
        <f t="shared" si="27"/>
        <v>147000</v>
      </c>
      <c r="AE7" s="314">
        <f t="shared" si="27"/>
        <v>147000</v>
      </c>
      <c r="AF7" s="314">
        <f t="shared" si="27"/>
        <v>147000</v>
      </c>
      <c r="AG7" s="314">
        <f t="shared" si="27"/>
        <v>0</v>
      </c>
      <c r="AH7" s="314">
        <f t="shared" si="27"/>
        <v>0</v>
      </c>
      <c r="AI7" s="314">
        <f t="shared" si="27"/>
        <v>0</v>
      </c>
      <c r="AJ7" s="314">
        <f t="shared" si="27"/>
        <v>0</v>
      </c>
      <c r="AK7" s="314"/>
      <c r="AL7" s="314"/>
      <c r="AM7" s="314"/>
      <c r="AN7" s="314"/>
      <c r="AO7" s="314"/>
      <c r="AP7" s="314"/>
      <c r="AQ7" s="314"/>
      <c r="AR7" s="314"/>
      <c r="AS7" s="314"/>
      <c r="AT7" s="314"/>
      <c r="AU7" s="314"/>
      <c r="AV7" s="321">
        <f t="shared" si="22"/>
        <v>3675000</v>
      </c>
      <c r="AW7" s="321">
        <f>B7</f>
        <v>3675000</v>
      </c>
      <c r="AX7" s="441">
        <f t="shared" si="25"/>
        <v>0</v>
      </c>
    </row>
    <row r="8" spans="1:50">
      <c r="A8" s="312" t="str">
        <f>'F Financial'!A47</f>
        <v>Demolition</v>
      </c>
      <c r="B8" s="409">
        <f>'F Financial'!C47</f>
        <v>0</v>
      </c>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21">
        <f t="shared" si="22"/>
        <v>0</v>
      </c>
      <c r="AW8" s="321">
        <f>B8</f>
        <v>0</v>
      </c>
      <c r="AX8" s="441">
        <f t="shared" si="25"/>
        <v>0</v>
      </c>
    </row>
    <row r="9" spans="1:50">
      <c r="A9" s="312" t="str">
        <f>'F Financial'!A48</f>
        <v>LAND</v>
      </c>
      <c r="B9" s="409">
        <f>'F Financial'!C48</f>
        <v>5000000</v>
      </c>
      <c r="C9" s="318"/>
      <c r="D9" s="316"/>
      <c r="E9" s="314">
        <v>400000</v>
      </c>
      <c r="F9" s="316"/>
      <c r="G9" s="380"/>
      <c r="H9" s="317"/>
      <c r="I9" s="380"/>
      <c r="J9" s="319"/>
      <c r="K9" s="316"/>
      <c r="L9" s="316"/>
      <c r="M9" s="319"/>
      <c r="N9" s="316"/>
      <c r="O9" s="316"/>
      <c r="P9" s="316"/>
      <c r="Q9" s="318">
        <f>$B9-$E9</f>
        <v>4600000</v>
      </c>
      <c r="R9" s="316"/>
      <c r="S9" s="316"/>
      <c r="T9" s="316"/>
      <c r="U9" s="316"/>
      <c r="V9" s="316"/>
      <c r="W9" s="316"/>
      <c r="X9" s="316"/>
      <c r="Y9" s="316"/>
      <c r="Z9" s="316"/>
      <c r="AA9" s="316"/>
      <c r="AB9" s="316"/>
      <c r="AC9" s="316"/>
      <c r="AD9" s="316"/>
      <c r="AE9" s="317"/>
      <c r="AF9" s="317">
        <v>0</v>
      </c>
      <c r="AG9" s="380">
        <v>0</v>
      </c>
      <c r="AH9" s="380">
        <v>0</v>
      </c>
      <c r="AI9" s="380">
        <v>0</v>
      </c>
      <c r="AJ9" s="380">
        <v>0</v>
      </c>
      <c r="AK9" s="380"/>
      <c r="AL9" s="380"/>
      <c r="AM9" s="380"/>
      <c r="AN9" s="380"/>
      <c r="AO9" s="380"/>
      <c r="AP9" s="380"/>
      <c r="AQ9" s="380"/>
      <c r="AR9" s="380"/>
      <c r="AS9" s="380"/>
      <c r="AT9" s="380"/>
      <c r="AU9" s="380"/>
      <c r="AV9" s="321">
        <f t="shared" si="22"/>
        <v>5000000</v>
      </c>
      <c r="AW9" s="321">
        <f t="shared" ref="AW9:AW25" si="28">B9</f>
        <v>5000000</v>
      </c>
      <c r="AX9" s="441">
        <f t="shared" si="25"/>
        <v>0</v>
      </c>
    </row>
    <row r="10" spans="1:50">
      <c r="A10" s="312" t="str">
        <f>'F Financial'!A49</f>
        <v>Municipal Fees and Allowances</v>
      </c>
      <c r="B10" s="409">
        <f>'F Financial'!C49</f>
        <v>3000000</v>
      </c>
      <c r="C10" s="319"/>
      <c r="D10" s="316"/>
      <c r="E10" s="316"/>
      <c r="F10" s="316"/>
      <c r="G10" s="316"/>
      <c r="H10" s="317"/>
      <c r="I10" s="316"/>
      <c r="J10" s="316"/>
      <c r="K10" s="316"/>
      <c r="L10" s="316"/>
      <c r="M10" s="316"/>
      <c r="N10" s="316"/>
      <c r="O10" s="316"/>
      <c r="P10" s="316"/>
      <c r="Q10" s="314">
        <f>$B10</f>
        <v>3000000</v>
      </c>
      <c r="R10" s="316"/>
      <c r="S10" s="183"/>
      <c r="T10" s="316"/>
      <c r="U10" s="316"/>
      <c r="V10" s="316"/>
      <c r="W10" s="316"/>
      <c r="X10" s="316"/>
      <c r="Y10" s="316"/>
      <c r="Z10" s="316"/>
      <c r="AA10" s="316"/>
      <c r="AB10" s="316"/>
      <c r="AC10" s="316"/>
      <c r="AD10" s="316"/>
      <c r="AE10" s="317"/>
      <c r="AF10" s="317"/>
      <c r="AG10" s="380"/>
      <c r="AH10" s="380"/>
      <c r="AI10" s="380"/>
      <c r="AJ10" s="380"/>
      <c r="AK10" s="381"/>
      <c r="AL10" s="382"/>
      <c r="AM10" s="380"/>
      <c r="AN10" s="380"/>
      <c r="AO10" s="380"/>
      <c r="AP10" s="381"/>
      <c r="AQ10" s="380"/>
      <c r="AR10" s="380"/>
      <c r="AS10" s="380"/>
      <c r="AT10" s="381"/>
      <c r="AU10" s="381"/>
      <c r="AV10" s="321">
        <f t="shared" si="22"/>
        <v>3000000</v>
      </c>
      <c r="AW10" s="321">
        <f t="shared" si="28"/>
        <v>3000000</v>
      </c>
      <c r="AX10" s="441">
        <f t="shared" si="25"/>
        <v>0</v>
      </c>
    </row>
    <row r="11" spans="1:50">
      <c r="A11" s="312" t="str">
        <f>'F Financial'!A50</f>
        <v>Infrastructure allocation</v>
      </c>
      <c r="B11" s="409">
        <f>'F Financial'!C50</f>
        <v>1000000</v>
      </c>
      <c r="C11" s="319"/>
      <c r="D11" s="316"/>
      <c r="E11" s="316"/>
      <c r="F11" s="316"/>
      <c r="G11" s="316"/>
      <c r="H11" s="316"/>
      <c r="I11" s="316"/>
      <c r="J11" s="316"/>
      <c r="K11" s="316"/>
      <c r="L11" s="316"/>
      <c r="M11" s="316"/>
      <c r="N11" s="316"/>
      <c r="O11" s="316"/>
      <c r="P11" s="316"/>
      <c r="Q11" s="316"/>
      <c r="R11" s="316"/>
      <c r="S11" s="183"/>
      <c r="T11" s="316"/>
      <c r="U11" s="316"/>
      <c r="V11" s="316"/>
      <c r="W11" s="316"/>
      <c r="X11" s="316"/>
      <c r="Y11" s="316"/>
      <c r="Z11" s="316"/>
      <c r="AA11" s="316"/>
      <c r="AB11" s="316"/>
      <c r="AC11" s="316"/>
      <c r="AD11" s="316"/>
      <c r="AE11" s="314">
        <f>$B11/2</f>
        <v>500000</v>
      </c>
      <c r="AF11" s="314">
        <f>$B11/2</f>
        <v>500000</v>
      </c>
      <c r="AG11" s="380"/>
      <c r="AH11" s="380"/>
      <c r="AI11" s="380"/>
      <c r="AJ11" s="380"/>
      <c r="AK11" s="381"/>
      <c r="AL11" s="382"/>
      <c r="AM11" s="380"/>
      <c r="AN11" s="380"/>
      <c r="AO11" s="380"/>
      <c r="AP11" s="381"/>
      <c r="AQ11" s="380"/>
      <c r="AR11" s="383"/>
      <c r="AS11" s="380"/>
      <c r="AT11" s="381"/>
      <c r="AU11" s="381"/>
      <c r="AV11" s="321">
        <f t="shared" si="22"/>
        <v>1000000</v>
      </c>
      <c r="AW11" s="321">
        <f t="shared" si="28"/>
        <v>1000000</v>
      </c>
      <c r="AX11" s="441">
        <f t="shared" si="25"/>
        <v>0</v>
      </c>
    </row>
    <row r="12" spans="1:50">
      <c r="A12" s="312" t="str">
        <f>'F Financial'!A51</f>
        <v>Legal</v>
      </c>
      <c r="B12" s="409">
        <f>'F Financial'!C51</f>
        <v>400000</v>
      </c>
      <c r="C12" s="318"/>
      <c r="D12" s="318"/>
      <c r="E12" s="318">
        <v>25000</v>
      </c>
      <c r="F12" s="318">
        <v>25000</v>
      </c>
      <c r="G12" s="318">
        <v>25000</v>
      </c>
      <c r="H12" s="318">
        <v>25000</v>
      </c>
      <c r="I12" s="318">
        <v>25000</v>
      </c>
      <c r="J12" s="318">
        <v>25000</v>
      </c>
      <c r="K12" s="318">
        <v>50000</v>
      </c>
      <c r="L12" s="318">
        <v>50000</v>
      </c>
      <c r="M12" s="318">
        <v>50000</v>
      </c>
      <c r="N12" s="318">
        <v>50000</v>
      </c>
      <c r="O12" s="318">
        <v>50000</v>
      </c>
      <c r="P12" s="316"/>
      <c r="Q12" s="316"/>
      <c r="R12" s="316"/>
      <c r="S12" s="316"/>
      <c r="T12" s="316"/>
      <c r="U12" s="316"/>
      <c r="V12" s="316"/>
      <c r="W12" s="316"/>
      <c r="X12" s="316"/>
      <c r="Y12" s="316"/>
      <c r="Z12" s="316"/>
      <c r="AA12" s="316"/>
      <c r="AB12" s="316"/>
      <c r="AC12" s="316"/>
      <c r="AD12" s="316"/>
      <c r="AE12" s="316"/>
      <c r="AF12" s="316"/>
      <c r="AG12" s="316"/>
      <c r="AH12" s="316"/>
      <c r="AI12" s="316"/>
      <c r="AJ12" s="316"/>
      <c r="AK12" s="384"/>
      <c r="AL12" s="385"/>
      <c r="AM12" s="316"/>
      <c r="AN12" s="316"/>
      <c r="AO12" s="316"/>
      <c r="AP12" s="384"/>
      <c r="AQ12" s="316"/>
      <c r="AR12" s="316"/>
      <c r="AS12" s="424"/>
      <c r="AT12" s="384"/>
      <c r="AU12" s="384"/>
      <c r="AV12" s="321">
        <f t="shared" si="22"/>
        <v>400000</v>
      </c>
      <c r="AW12" s="321">
        <f t="shared" si="28"/>
        <v>400000</v>
      </c>
      <c r="AX12" s="441">
        <f t="shared" si="25"/>
        <v>0</v>
      </c>
    </row>
    <row r="13" spans="1:50">
      <c r="A13" s="312" t="str">
        <f>'F Financial'!A52</f>
        <v>Land Closing Costs/commissions</v>
      </c>
      <c r="B13" s="409">
        <f>'F Financial'!C52</f>
        <v>300000</v>
      </c>
      <c r="C13" s="318"/>
      <c r="D13" s="314"/>
      <c r="E13" s="314"/>
      <c r="F13" s="314"/>
      <c r="G13" s="182"/>
      <c r="H13" s="314">
        <f>B13</f>
        <v>300000</v>
      </c>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7"/>
      <c r="AF13" s="317"/>
      <c r="AG13" s="317"/>
      <c r="AH13" s="317"/>
      <c r="AI13" s="317"/>
      <c r="AJ13" s="317"/>
      <c r="AK13" s="386"/>
      <c r="AL13" s="387"/>
      <c r="AM13" s="317"/>
      <c r="AN13" s="317"/>
      <c r="AO13" s="317"/>
      <c r="AP13" s="386"/>
      <c r="AQ13" s="317"/>
      <c r="AR13" s="317"/>
      <c r="AS13" s="317"/>
      <c r="AT13" s="386"/>
      <c r="AU13" s="386"/>
      <c r="AV13" s="321">
        <f t="shared" si="22"/>
        <v>300000</v>
      </c>
      <c r="AW13" s="321">
        <f t="shared" si="28"/>
        <v>300000</v>
      </c>
      <c r="AX13" s="441">
        <f t="shared" si="25"/>
        <v>0</v>
      </c>
    </row>
    <row r="14" spans="1:50">
      <c r="A14" s="312" t="str">
        <f>'F Financial'!A53</f>
        <v xml:space="preserve">Design </v>
      </c>
      <c r="B14" s="409">
        <f>'F Financial'!C53</f>
        <v>1617000</v>
      </c>
      <c r="C14" s="314"/>
      <c r="D14" s="314"/>
      <c r="E14" s="314">
        <f t="shared" ref="E14:K14" si="29">$B14/10</f>
        <v>161700</v>
      </c>
      <c r="F14" s="314">
        <f t="shared" si="29"/>
        <v>161700</v>
      </c>
      <c r="G14" s="314">
        <f t="shared" si="29"/>
        <v>161700</v>
      </c>
      <c r="H14" s="314">
        <f t="shared" si="29"/>
        <v>161700</v>
      </c>
      <c r="I14" s="314">
        <f t="shared" si="29"/>
        <v>161700</v>
      </c>
      <c r="J14" s="314">
        <f t="shared" si="29"/>
        <v>161700</v>
      </c>
      <c r="K14" s="314">
        <f t="shared" si="29"/>
        <v>161700</v>
      </c>
      <c r="L14" s="314">
        <f>($B14-SUM($C14:$K14))/10</f>
        <v>48510</v>
      </c>
      <c r="M14" s="314">
        <f t="shared" ref="M14:U14" si="30">($B14-SUM($C14:$K14))/10</f>
        <v>48510</v>
      </c>
      <c r="N14" s="314">
        <f t="shared" si="30"/>
        <v>48510</v>
      </c>
      <c r="O14" s="314">
        <f t="shared" si="30"/>
        <v>48510</v>
      </c>
      <c r="P14" s="314">
        <f t="shared" si="30"/>
        <v>48510</v>
      </c>
      <c r="Q14" s="314">
        <f t="shared" si="30"/>
        <v>48510</v>
      </c>
      <c r="R14" s="314">
        <f t="shared" si="30"/>
        <v>48510</v>
      </c>
      <c r="S14" s="314">
        <f t="shared" si="30"/>
        <v>48510</v>
      </c>
      <c r="T14" s="314">
        <f t="shared" si="30"/>
        <v>48510</v>
      </c>
      <c r="U14" s="314">
        <f t="shared" si="30"/>
        <v>48510</v>
      </c>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7"/>
      <c r="AR14" s="317"/>
      <c r="AS14" s="317"/>
      <c r="AT14" s="386"/>
      <c r="AU14" s="386"/>
      <c r="AV14" s="321">
        <f t="shared" si="22"/>
        <v>1617000</v>
      </c>
      <c r="AW14" s="321">
        <f t="shared" si="28"/>
        <v>1617000</v>
      </c>
      <c r="AX14" s="441">
        <f t="shared" si="25"/>
        <v>0</v>
      </c>
    </row>
    <row r="15" spans="1:50">
      <c r="A15" s="312" t="str">
        <f>'F Financial'!A54</f>
        <v>Developer Fee</v>
      </c>
      <c r="B15" s="409" t="e">
        <f>'F Financial'!C54</f>
        <v>#REF!</v>
      </c>
      <c r="C15" s="314" t="e">
        <f>$B15*C$4</f>
        <v>#REF!</v>
      </c>
      <c r="D15" s="314" t="e">
        <f t="shared" ref="D15:G15" si="31">$B15*D4</f>
        <v>#REF!</v>
      </c>
      <c r="E15" s="314" t="e">
        <f t="shared" si="31"/>
        <v>#REF!</v>
      </c>
      <c r="F15" s="314" t="e">
        <f t="shared" si="31"/>
        <v>#REF!</v>
      </c>
      <c r="G15" s="314" t="e">
        <f t="shared" si="31"/>
        <v>#REF!</v>
      </c>
      <c r="H15" s="314">
        <v>0</v>
      </c>
      <c r="I15" s="314">
        <v>0</v>
      </c>
      <c r="J15" s="314">
        <v>0</v>
      </c>
      <c r="K15" s="314">
        <v>0</v>
      </c>
      <c r="L15" s="314">
        <v>0</v>
      </c>
      <c r="M15" s="314">
        <v>0</v>
      </c>
      <c r="N15" s="314">
        <v>0</v>
      </c>
      <c r="O15" s="314">
        <v>0</v>
      </c>
      <c r="P15" s="314">
        <v>0</v>
      </c>
      <c r="Q15" s="314" t="e">
        <f t="shared" ref="Q15:AE15" si="32">$B15*Q4</f>
        <v>#REF!</v>
      </c>
      <c r="R15" s="314" t="e">
        <f t="shared" si="32"/>
        <v>#REF!</v>
      </c>
      <c r="S15" s="314" t="e">
        <f t="shared" si="32"/>
        <v>#REF!</v>
      </c>
      <c r="T15" s="314" t="e">
        <f t="shared" si="32"/>
        <v>#REF!</v>
      </c>
      <c r="U15" s="314" t="e">
        <f t="shared" si="32"/>
        <v>#REF!</v>
      </c>
      <c r="V15" s="314" t="e">
        <f t="shared" si="32"/>
        <v>#REF!</v>
      </c>
      <c r="W15" s="314" t="e">
        <f t="shared" si="32"/>
        <v>#REF!</v>
      </c>
      <c r="X15" s="314" t="e">
        <f t="shared" si="32"/>
        <v>#REF!</v>
      </c>
      <c r="Y15" s="314" t="e">
        <f t="shared" si="32"/>
        <v>#REF!</v>
      </c>
      <c r="Z15" s="314" t="e">
        <f t="shared" si="32"/>
        <v>#REF!</v>
      </c>
      <c r="AA15" s="314" t="e">
        <f t="shared" si="32"/>
        <v>#REF!</v>
      </c>
      <c r="AB15" s="314" t="e">
        <f t="shared" si="32"/>
        <v>#REF!</v>
      </c>
      <c r="AC15" s="314" t="e">
        <f t="shared" si="32"/>
        <v>#REF!</v>
      </c>
      <c r="AD15" s="314" t="e">
        <f t="shared" si="32"/>
        <v>#REF!</v>
      </c>
      <c r="AE15" s="314" t="e">
        <f t="shared" si="32"/>
        <v>#REF!</v>
      </c>
      <c r="AF15" s="314" t="e">
        <f>$B15*AF4</f>
        <v>#REF!</v>
      </c>
      <c r="AG15" s="314"/>
      <c r="AH15" s="314"/>
      <c r="AI15" s="314"/>
      <c r="AJ15" s="314"/>
      <c r="AK15" s="314"/>
      <c r="AL15" s="314"/>
      <c r="AM15" s="314"/>
      <c r="AN15" s="314"/>
      <c r="AO15" s="314"/>
      <c r="AP15" s="314"/>
      <c r="AQ15" s="314"/>
      <c r="AR15" s="314"/>
      <c r="AS15" s="314"/>
      <c r="AT15" s="388"/>
      <c r="AU15" s="388"/>
      <c r="AV15" s="321" t="e">
        <f t="shared" si="22"/>
        <v>#REF!</v>
      </c>
      <c r="AW15" s="321" t="e">
        <f t="shared" si="28"/>
        <v>#REF!</v>
      </c>
      <c r="AX15" s="441" t="e">
        <f t="shared" si="25"/>
        <v>#REF!</v>
      </c>
    </row>
    <row r="16" spans="1:50">
      <c r="A16" s="312" t="str">
        <f>'F Financial'!A55</f>
        <v>Construction Management Fee</v>
      </c>
      <c r="B16" s="409">
        <f>'F Financial'!C55</f>
        <v>808500</v>
      </c>
      <c r="C16" s="314">
        <f>$B16*C$4</f>
        <v>0</v>
      </c>
      <c r="D16" s="314">
        <f t="shared" ref="D16:G16" si="33">$B16*D$4</f>
        <v>0</v>
      </c>
      <c r="E16" s="314">
        <f t="shared" si="33"/>
        <v>0</v>
      </c>
      <c r="F16" s="314">
        <f t="shared" si="33"/>
        <v>0</v>
      </c>
      <c r="G16" s="314">
        <f t="shared" si="33"/>
        <v>0</v>
      </c>
      <c r="H16" s="314">
        <v>0</v>
      </c>
      <c r="I16" s="314">
        <v>0</v>
      </c>
      <c r="J16" s="314">
        <v>0</v>
      </c>
      <c r="K16" s="314">
        <v>0</v>
      </c>
      <c r="L16" s="314">
        <v>0</v>
      </c>
      <c r="M16" s="314">
        <v>0</v>
      </c>
      <c r="N16" s="314">
        <v>0</v>
      </c>
      <c r="O16" s="314">
        <v>0</v>
      </c>
      <c r="P16" s="314">
        <v>0</v>
      </c>
      <c r="Q16" s="314">
        <f t="shared" ref="Q16:AE16" si="34">$B16*Q4</f>
        <v>40425</v>
      </c>
      <c r="R16" s="314">
        <f t="shared" si="34"/>
        <v>40425</v>
      </c>
      <c r="S16" s="314">
        <f t="shared" si="34"/>
        <v>40425</v>
      </c>
      <c r="T16" s="314">
        <f t="shared" si="34"/>
        <v>40425</v>
      </c>
      <c r="U16" s="314">
        <f t="shared" si="34"/>
        <v>64680</v>
      </c>
      <c r="V16" s="314">
        <f t="shared" si="34"/>
        <v>64680</v>
      </c>
      <c r="W16" s="314">
        <f t="shared" si="34"/>
        <v>64680</v>
      </c>
      <c r="X16" s="314">
        <f t="shared" si="34"/>
        <v>64680</v>
      </c>
      <c r="Y16" s="314">
        <f t="shared" si="34"/>
        <v>64680</v>
      </c>
      <c r="Z16" s="314">
        <f t="shared" si="34"/>
        <v>64680</v>
      </c>
      <c r="AA16" s="314">
        <f t="shared" si="34"/>
        <v>64680</v>
      </c>
      <c r="AB16" s="314">
        <f t="shared" si="34"/>
        <v>64680</v>
      </c>
      <c r="AC16" s="314">
        <f t="shared" si="34"/>
        <v>32340</v>
      </c>
      <c r="AD16" s="314">
        <f t="shared" si="34"/>
        <v>32340</v>
      </c>
      <c r="AE16" s="314">
        <f t="shared" si="34"/>
        <v>32340</v>
      </c>
      <c r="AF16" s="314">
        <f>$B16*AF4</f>
        <v>32340</v>
      </c>
      <c r="AG16" s="314"/>
      <c r="AH16" s="314"/>
      <c r="AI16" s="314"/>
      <c r="AJ16" s="314"/>
      <c r="AK16" s="314"/>
      <c r="AL16" s="314"/>
      <c r="AM16" s="314"/>
      <c r="AN16" s="314"/>
      <c r="AO16" s="314"/>
      <c r="AP16" s="314"/>
      <c r="AQ16" s="314"/>
      <c r="AR16" s="314"/>
      <c r="AS16" s="314"/>
      <c r="AT16" s="388"/>
      <c r="AU16" s="388"/>
      <c r="AV16" s="321">
        <f t="shared" si="22"/>
        <v>808500</v>
      </c>
      <c r="AW16" s="321">
        <f t="shared" si="28"/>
        <v>808500</v>
      </c>
      <c r="AX16" s="441">
        <f t="shared" si="25"/>
        <v>0</v>
      </c>
    </row>
    <row r="17" spans="1:50">
      <c r="A17" s="312" t="str">
        <f>'F Financial'!A56</f>
        <v>Taxes</v>
      </c>
      <c r="B17" s="409">
        <f>'F Financial'!C56</f>
        <v>250000</v>
      </c>
      <c r="C17" s="318"/>
      <c r="D17" s="314"/>
      <c r="E17" s="314"/>
      <c r="F17" s="314">
        <v>100000</v>
      </c>
      <c r="G17" s="317"/>
      <c r="H17" s="314"/>
      <c r="I17" s="314"/>
      <c r="J17" s="316"/>
      <c r="K17" s="314"/>
      <c r="L17" s="182"/>
      <c r="M17" s="314"/>
      <c r="N17" s="314">
        <v>400000</v>
      </c>
      <c r="O17" s="314"/>
      <c r="P17" s="314"/>
      <c r="Q17" s="182"/>
      <c r="R17" s="314">
        <v>400000</v>
      </c>
      <c r="S17" s="182"/>
      <c r="T17" s="314"/>
      <c r="U17" s="314"/>
      <c r="V17" s="314"/>
      <c r="W17" s="314"/>
      <c r="X17" s="182"/>
      <c r="Y17" s="314"/>
      <c r="Z17" s="314">
        <v>500000</v>
      </c>
      <c r="AA17" s="314"/>
      <c r="AB17" s="314"/>
      <c r="AC17" s="314"/>
      <c r="AD17" s="314">
        <v>600000</v>
      </c>
      <c r="AE17" s="182"/>
      <c r="AF17" s="314"/>
      <c r="AG17" s="182"/>
      <c r="AH17" s="314"/>
      <c r="AI17" s="317"/>
      <c r="AJ17" s="314"/>
      <c r="AK17" s="314"/>
      <c r="AL17" s="314"/>
      <c r="AM17" s="314"/>
      <c r="AN17" s="314"/>
      <c r="AO17" s="314"/>
      <c r="AP17" s="388"/>
      <c r="AQ17" s="314"/>
      <c r="AR17" s="314"/>
      <c r="AS17" s="314"/>
      <c r="AT17" s="388"/>
      <c r="AU17" s="388"/>
      <c r="AV17" s="321">
        <f t="shared" si="22"/>
        <v>2000000</v>
      </c>
      <c r="AW17" s="321">
        <f t="shared" si="28"/>
        <v>250000</v>
      </c>
      <c r="AX17" s="441">
        <f t="shared" si="25"/>
        <v>-1750000</v>
      </c>
    </row>
    <row r="18" spans="1:50">
      <c r="A18" s="312" t="str">
        <f>'F Financial'!A57</f>
        <v>Insurance</v>
      </c>
      <c r="B18" s="409">
        <f>'F Financial'!C57</f>
        <v>900000</v>
      </c>
      <c r="C18" s="318"/>
      <c r="D18" s="314"/>
      <c r="E18" s="314"/>
      <c r="F18" s="314"/>
      <c r="G18" s="314"/>
      <c r="H18" s="314"/>
      <c r="I18" s="314"/>
      <c r="J18" s="314"/>
      <c r="K18" s="314"/>
      <c r="L18" s="318"/>
      <c r="M18" s="314"/>
      <c r="N18" s="314"/>
      <c r="O18" s="314">
        <v>10000</v>
      </c>
      <c r="P18" s="314">
        <v>10000</v>
      </c>
      <c r="Q18" s="314">
        <f>$B18-SUM(C18:P18)</f>
        <v>880000</v>
      </c>
      <c r="R18" s="314"/>
      <c r="S18" s="314"/>
      <c r="T18" s="182"/>
      <c r="U18" s="314"/>
      <c r="V18" s="314">
        <f>$B18-SUM(C18:U18)</f>
        <v>0</v>
      </c>
      <c r="W18" s="314"/>
      <c r="X18" s="314"/>
      <c r="Y18" s="314"/>
      <c r="Z18" s="314"/>
      <c r="AA18" s="314"/>
      <c r="AB18" s="314"/>
      <c r="AC18" s="314"/>
      <c r="AD18" s="314"/>
      <c r="AE18" s="314"/>
      <c r="AF18" s="314"/>
      <c r="AG18" s="314"/>
      <c r="AH18" s="314"/>
      <c r="AI18" s="314"/>
      <c r="AJ18" s="314"/>
      <c r="AK18" s="388"/>
      <c r="AL18" s="389"/>
      <c r="AM18" s="314"/>
      <c r="AN18" s="314"/>
      <c r="AO18" s="314"/>
      <c r="AP18" s="388"/>
      <c r="AQ18" s="314"/>
      <c r="AR18" s="314"/>
      <c r="AS18" s="314"/>
      <c r="AT18" s="388"/>
      <c r="AU18" s="388"/>
      <c r="AV18" s="321">
        <f t="shared" si="22"/>
        <v>900000</v>
      </c>
      <c r="AW18" s="321">
        <f t="shared" si="28"/>
        <v>900000</v>
      </c>
      <c r="AX18" s="441">
        <f t="shared" si="25"/>
        <v>0</v>
      </c>
    </row>
    <row r="19" spans="1:50">
      <c r="A19" s="312" t="str">
        <f>'F Financial'!A58</f>
        <v>Marketing, FFE and Preleasing</v>
      </c>
      <c r="B19" s="409">
        <f>'F Financial'!C58</f>
        <v>800000</v>
      </c>
      <c r="C19" s="318"/>
      <c r="D19" s="314"/>
      <c r="E19" s="314"/>
      <c r="F19" s="314"/>
      <c r="G19" s="314"/>
      <c r="H19" s="314"/>
      <c r="I19" s="314"/>
      <c r="J19" s="314"/>
      <c r="K19" s="314"/>
      <c r="L19" s="314"/>
      <c r="M19" s="314"/>
      <c r="N19" s="314"/>
      <c r="O19" s="314"/>
      <c r="P19" s="314"/>
      <c r="Q19" s="314"/>
      <c r="R19" s="314"/>
      <c r="S19" s="314"/>
      <c r="T19" s="314"/>
      <c r="U19" s="314"/>
      <c r="V19" s="314"/>
      <c r="W19" s="314"/>
      <c r="X19" s="323"/>
      <c r="Y19" s="323"/>
      <c r="Z19" s="323"/>
      <c r="AA19" s="323"/>
      <c r="AB19" s="317"/>
      <c r="AC19" s="323">
        <f t="shared" ref="AC19:AE19" si="35">$B19/4</f>
        <v>200000</v>
      </c>
      <c r="AD19" s="323">
        <f t="shared" si="35"/>
        <v>200000</v>
      </c>
      <c r="AE19" s="323">
        <f t="shared" si="35"/>
        <v>200000</v>
      </c>
      <c r="AF19" s="323">
        <f>$B19/4</f>
        <v>200000</v>
      </c>
      <c r="AG19" s="317"/>
      <c r="AH19" s="317"/>
      <c r="AI19" s="317"/>
      <c r="AJ19" s="323"/>
      <c r="AK19" s="323"/>
      <c r="AL19" s="323"/>
      <c r="AM19" s="317"/>
      <c r="AN19" s="317"/>
      <c r="AO19" s="317"/>
      <c r="AP19" s="386"/>
      <c r="AQ19" s="317"/>
      <c r="AR19" s="317"/>
      <c r="AS19" s="317"/>
      <c r="AT19" s="386"/>
      <c r="AU19" s="386"/>
      <c r="AV19" s="321">
        <f t="shared" si="22"/>
        <v>800000</v>
      </c>
      <c r="AW19" s="321">
        <f t="shared" si="28"/>
        <v>800000</v>
      </c>
      <c r="AX19" s="441">
        <f t="shared" si="25"/>
        <v>0</v>
      </c>
    </row>
    <row r="20" spans="1:50">
      <c r="A20" s="312" t="str">
        <f>'F Financial'!A59</f>
        <v>Operating Deficit</v>
      </c>
      <c r="B20" s="409">
        <f>'F Financial'!C59</f>
        <v>1237500</v>
      </c>
      <c r="C20" s="318"/>
      <c r="D20" s="314"/>
      <c r="E20" s="314"/>
      <c r="F20" s="314"/>
      <c r="G20" s="314"/>
      <c r="H20" s="314"/>
      <c r="I20" s="314"/>
      <c r="J20" s="314"/>
      <c r="K20" s="314"/>
      <c r="L20" s="314"/>
      <c r="M20" s="314"/>
      <c r="N20" s="314"/>
      <c r="O20" s="314"/>
      <c r="P20" s="314"/>
      <c r="Q20" s="314"/>
      <c r="R20" s="314"/>
      <c r="S20" s="314"/>
      <c r="T20" s="314"/>
      <c r="U20" s="314"/>
      <c r="V20" s="314"/>
      <c r="W20" s="314"/>
      <c r="X20" s="314"/>
      <c r="Y20" s="314"/>
      <c r="Z20" s="391"/>
      <c r="AA20" s="391"/>
      <c r="AB20" s="391"/>
      <c r="AC20" s="317"/>
      <c r="AD20" s="317"/>
      <c r="AE20" s="314"/>
      <c r="AF20" s="323"/>
      <c r="AG20" s="323">
        <f>$B20/4</f>
        <v>309375</v>
      </c>
      <c r="AH20" s="323">
        <f t="shared" ref="AH20:AJ20" si="36">$B20/4</f>
        <v>309375</v>
      </c>
      <c r="AI20" s="323">
        <f t="shared" si="36"/>
        <v>309375</v>
      </c>
      <c r="AJ20" s="323">
        <f t="shared" si="36"/>
        <v>309375</v>
      </c>
      <c r="AK20" s="189"/>
      <c r="AL20" s="189"/>
      <c r="AM20" s="189"/>
      <c r="AN20" s="189"/>
      <c r="AO20" s="189"/>
      <c r="AP20" s="189"/>
      <c r="AQ20" s="317"/>
      <c r="AR20" s="318"/>
      <c r="AS20" s="323"/>
      <c r="AT20" s="323"/>
      <c r="AU20" s="323"/>
      <c r="AV20" s="321">
        <f t="shared" si="22"/>
        <v>1237500</v>
      </c>
      <c r="AW20" s="321">
        <f t="shared" si="28"/>
        <v>1237500</v>
      </c>
      <c r="AX20" s="441">
        <f t="shared" si="25"/>
        <v>0</v>
      </c>
    </row>
    <row r="21" spans="1:50">
      <c r="A21" s="312" t="str">
        <f>'F Financial'!A60</f>
        <v>Retail Tenant Improvements</v>
      </c>
      <c r="B21" s="409">
        <f>'F Financial'!C60</f>
        <v>11250000</v>
      </c>
      <c r="C21" s="318"/>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7"/>
      <c r="AB21" s="317"/>
      <c r="AC21" s="323">
        <f t="shared" ref="AC21:AE21" si="37">$B21/4</f>
        <v>2812500</v>
      </c>
      <c r="AD21" s="323">
        <f t="shared" si="37"/>
        <v>2812500</v>
      </c>
      <c r="AE21" s="323">
        <f t="shared" si="37"/>
        <v>2812500</v>
      </c>
      <c r="AF21" s="323">
        <f>$B21/4</f>
        <v>2812500</v>
      </c>
      <c r="AG21" s="323"/>
      <c r="AH21" s="323"/>
      <c r="AI21" s="323"/>
      <c r="AJ21" s="391"/>
      <c r="AK21" s="392"/>
      <c r="AL21" s="387"/>
      <c r="AM21" s="317"/>
      <c r="AN21" s="317"/>
      <c r="AO21" s="317"/>
      <c r="AP21" s="386"/>
      <c r="AQ21" s="317"/>
      <c r="AR21" s="317"/>
      <c r="AS21" s="317"/>
      <c r="AT21" s="386"/>
      <c r="AU21" s="386"/>
      <c r="AV21" s="321">
        <f t="shared" si="22"/>
        <v>11250000</v>
      </c>
      <c r="AW21" s="321">
        <f t="shared" si="28"/>
        <v>11250000</v>
      </c>
      <c r="AX21" s="441">
        <f t="shared" si="25"/>
        <v>0</v>
      </c>
    </row>
    <row r="22" spans="1:50">
      <c r="A22" s="312" t="str">
        <f>'F Financial'!A61</f>
        <v>Retail brokerage</v>
      </c>
      <c r="B22" s="409">
        <f>'F Financial'!C61</f>
        <v>2475000</v>
      </c>
      <c r="C22" s="318"/>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23">
        <f>$B22/4</f>
        <v>618750</v>
      </c>
      <c r="AG22" s="323">
        <f t="shared" ref="AG22:AI22" si="38">$B22/4</f>
        <v>618750</v>
      </c>
      <c r="AH22" s="323">
        <f t="shared" si="38"/>
        <v>618750</v>
      </c>
      <c r="AI22" s="323">
        <f t="shared" si="38"/>
        <v>618750</v>
      </c>
      <c r="AJ22" s="314"/>
      <c r="AK22" s="388"/>
      <c r="AL22" s="387"/>
      <c r="AM22" s="317"/>
      <c r="AN22" s="314"/>
      <c r="AO22" s="314"/>
      <c r="AP22" s="388"/>
      <c r="AQ22" s="314"/>
      <c r="AR22" s="314"/>
      <c r="AS22" s="314"/>
      <c r="AT22" s="388"/>
      <c r="AU22" s="388"/>
      <c r="AV22" s="321">
        <f t="shared" si="22"/>
        <v>2475000</v>
      </c>
      <c r="AW22" s="321">
        <f t="shared" si="28"/>
        <v>2475000</v>
      </c>
      <c r="AX22" s="441">
        <f t="shared" si="25"/>
        <v>0</v>
      </c>
    </row>
    <row r="23" spans="1:50">
      <c r="A23" s="312" t="str">
        <f>'F Financial'!A62</f>
        <v>Construction Loan Origination</v>
      </c>
      <c r="B23" s="409">
        <f>'F Financial'!C62</f>
        <v>1006000</v>
      </c>
      <c r="C23" s="314">
        <f>$B$23*C4</f>
        <v>0</v>
      </c>
      <c r="D23" s="314">
        <f>$B$23*D4</f>
        <v>0</v>
      </c>
      <c r="E23" s="314">
        <v>0</v>
      </c>
      <c r="F23" s="314">
        <v>0</v>
      </c>
      <c r="G23" s="314">
        <v>0</v>
      </c>
      <c r="H23" s="314">
        <v>0</v>
      </c>
      <c r="I23" s="314">
        <v>0</v>
      </c>
      <c r="J23" s="314">
        <v>0</v>
      </c>
      <c r="K23" s="314"/>
      <c r="L23" s="314">
        <v>0</v>
      </c>
      <c r="M23" s="182"/>
      <c r="N23" s="314">
        <v>0</v>
      </c>
      <c r="O23" s="314">
        <v>0</v>
      </c>
      <c r="P23" s="314">
        <f>$B23</f>
        <v>1006000</v>
      </c>
      <c r="Q23" s="314"/>
      <c r="R23" s="314"/>
      <c r="S23" s="314"/>
      <c r="T23" s="314"/>
      <c r="U23" s="314"/>
      <c r="V23" s="314"/>
      <c r="W23" s="182"/>
      <c r="X23" s="314"/>
      <c r="Y23" s="314"/>
      <c r="Z23" s="314"/>
      <c r="AA23" s="314"/>
      <c r="AB23" s="314"/>
      <c r="AC23" s="314"/>
      <c r="AD23" s="314"/>
      <c r="AE23" s="314"/>
      <c r="AF23" s="314"/>
      <c r="AG23" s="314"/>
      <c r="AH23" s="314"/>
      <c r="AI23" s="314"/>
      <c r="AJ23" s="314"/>
      <c r="AK23" s="388"/>
      <c r="AL23" s="389"/>
      <c r="AM23" s="314"/>
      <c r="AN23" s="314"/>
      <c r="AO23" s="314"/>
      <c r="AP23" s="388"/>
      <c r="AQ23" s="314"/>
      <c r="AR23" s="314"/>
      <c r="AS23" s="314"/>
      <c r="AT23" s="388"/>
      <c r="AU23" s="388"/>
      <c r="AV23" s="321">
        <f t="shared" si="22"/>
        <v>1006000</v>
      </c>
      <c r="AW23" s="321">
        <f t="shared" si="28"/>
        <v>1006000</v>
      </c>
      <c r="AX23" s="441">
        <f t="shared" si="25"/>
        <v>0</v>
      </c>
    </row>
    <row r="24" spans="1:50">
      <c r="A24" s="312" t="str">
        <f>'F Financial'!A63</f>
        <v>Construction Interest</v>
      </c>
      <c r="B24" s="409">
        <f>'F Financial'!C63</f>
        <v>4695000</v>
      </c>
      <c r="C24" s="325"/>
      <c r="D24" s="314"/>
      <c r="E24" s="314"/>
      <c r="F24" s="314"/>
      <c r="G24" s="314"/>
      <c r="H24" s="314"/>
      <c r="I24" s="314"/>
      <c r="J24" s="314"/>
      <c r="K24" s="314"/>
      <c r="L24" s="314"/>
      <c r="M24" s="314"/>
      <c r="N24" s="314"/>
      <c r="O24" s="314"/>
      <c r="P24" s="314"/>
      <c r="Q24" s="314"/>
      <c r="R24" s="314"/>
      <c r="S24" s="314"/>
      <c r="T24" s="314"/>
      <c r="U24" s="314"/>
      <c r="V24" s="314"/>
      <c r="W24" s="314"/>
      <c r="X24" s="314">
        <f>$B24*0.01</f>
        <v>46950</v>
      </c>
      <c r="Y24" s="314">
        <f>$B24*0.03</f>
        <v>140850</v>
      </c>
      <c r="Z24" s="314">
        <f t="shared" ref="Z24" si="39">$B24*0.05</f>
        <v>234750</v>
      </c>
      <c r="AA24" s="314">
        <f>$B24*0.06</f>
        <v>281700</v>
      </c>
      <c r="AB24" s="314">
        <f t="shared" ref="AB24" si="40">$B24*0.08</f>
        <v>375600</v>
      </c>
      <c r="AC24" s="314">
        <f>$B24*0.08</f>
        <v>375600</v>
      </c>
      <c r="AD24" s="314">
        <f>$B24*0.09</f>
        <v>422550</v>
      </c>
      <c r="AE24" s="314">
        <f>$B24*0.09</f>
        <v>422550</v>
      </c>
      <c r="AF24" s="314">
        <f t="shared" ref="AF24:AI24" si="41">$B24*0.1</f>
        <v>469500</v>
      </c>
      <c r="AG24" s="314">
        <f t="shared" si="41"/>
        <v>469500</v>
      </c>
      <c r="AH24" s="314">
        <f t="shared" si="41"/>
        <v>469500</v>
      </c>
      <c r="AI24" s="314">
        <f t="shared" si="41"/>
        <v>469500</v>
      </c>
      <c r="AJ24" s="314">
        <f>$B24*0.11</f>
        <v>516450</v>
      </c>
      <c r="AK24" s="314"/>
      <c r="AL24" s="314"/>
      <c r="AM24" s="314"/>
      <c r="AN24" s="314"/>
      <c r="AO24" s="314"/>
      <c r="AP24" s="314"/>
      <c r="AQ24" s="314"/>
      <c r="AR24" s="314"/>
      <c r="AS24" s="182"/>
      <c r="AT24" s="314"/>
      <c r="AU24" s="314"/>
      <c r="AV24" s="321">
        <f t="shared" si="22"/>
        <v>4695000</v>
      </c>
      <c r="AW24" s="321">
        <f t="shared" si="28"/>
        <v>4695000</v>
      </c>
      <c r="AX24" s="441">
        <f t="shared" si="25"/>
        <v>0</v>
      </c>
    </row>
    <row r="25" spans="1:50" ht="26.25" customHeight="1" thickBot="1">
      <c r="A25" s="393" t="str">
        <f>'F Financial'!A64</f>
        <v>Additional Contingency</v>
      </c>
      <c r="B25" s="328">
        <f>'F Financial'!C64</f>
        <v>2000000</v>
      </c>
      <c r="C25" s="327">
        <v>0</v>
      </c>
      <c r="D25" s="327">
        <v>0</v>
      </c>
      <c r="E25" s="327">
        <v>0</v>
      </c>
      <c r="F25" s="327"/>
      <c r="G25" s="327">
        <v>0</v>
      </c>
      <c r="H25" s="327">
        <v>0</v>
      </c>
      <c r="I25" s="327">
        <v>0</v>
      </c>
      <c r="J25" s="327">
        <v>0</v>
      </c>
      <c r="K25" s="327">
        <v>0</v>
      </c>
      <c r="L25" s="327"/>
      <c r="M25" s="327"/>
      <c r="N25" s="327"/>
      <c r="O25" s="327"/>
      <c r="P25" s="327"/>
      <c r="Q25" s="327">
        <f t="shared" ref="Q25:AE25" si="42">$B25*Q4</f>
        <v>100000</v>
      </c>
      <c r="R25" s="327">
        <f t="shared" si="42"/>
        <v>100000</v>
      </c>
      <c r="S25" s="327">
        <f t="shared" si="42"/>
        <v>100000</v>
      </c>
      <c r="T25" s="327">
        <f t="shared" si="42"/>
        <v>100000</v>
      </c>
      <c r="U25" s="327">
        <f t="shared" si="42"/>
        <v>160000</v>
      </c>
      <c r="V25" s="327">
        <f t="shared" si="42"/>
        <v>160000</v>
      </c>
      <c r="W25" s="327">
        <f t="shared" si="42"/>
        <v>160000</v>
      </c>
      <c r="X25" s="327">
        <f t="shared" si="42"/>
        <v>160000</v>
      </c>
      <c r="Y25" s="327">
        <f t="shared" si="42"/>
        <v>160000</v>
      </c>
      <c r="Z25" s="327">
        <f t="shared" si="42"/>
        <v>160000</v>
      </c>
      <c r="AA25" s="327">
        <f t="shared" si="42"/>
        <v>160000</v>
      </c>
      <c r="AB25" s="327">
        <f t="shared" si="42"/>
        <v>160000</v>
      </c>
      <c r="AC25" s="327">
        <f t="shared" si="42"/>
        <v>80000</v>
      </c>
      <c r="AD25" s="327">
        <f t="shared" si="42"/>
        <v>80000</v>
      </c>
      <c r="AE25" s="327">
        <f t="shared" si="42"/>
        <v>80000</v>
      </c>
      <c r="AF25" s="327">
        <f>$B25*AF4</f>
        <v>80000</v>
      </c>
      <c r="AG25" s="327"/>
      <c r="AH25" s="327"/>
      <c r="AI25" s="327"/>
      <c r="AJ25" s="327"/>
      <c r="AK25" s="327"/>
      <c r="AL25" s="327"/>
      <c r="AM25" s="394"/>
      <c r="AN25" s="394"/>
      <c r="AO25" s="394"/>
      <c r="AP25" s="394"/>
      <c r="AQ25" s="395"/>
      <c r="AR25" s="395"/>
      <c r="AS25" s="427"/>
      <c r="AT25" s="192"/>
      <c r="AU25" s="192"/>
      <c r="AV25" s="442">
        <f t="shared" si="22"/>
        <v>2000000</v>
      </c>
      <c r="AW25" s="321">
        <f t="shared" si="28"/>
        <v>2000000</v>
      </c>
      <c r="AX25" s="441">
        <f t="shared" si="25"/>
        <v>0</v>
      </c>
    </row>
    <row r="26" spans="1:50" ht="14.25" thickTop="1" thickBot="1">
      <c r="A26" s="117">
        <f>'King Condominiums Financial '!B78</f>
        <v>0.65</v>
      </c>
      <c r="B26" s="118" t="e">
        <f t="shared" ref="B26:AJ26" si="43">SUM(B5:B25)</f>
        <v>#REF!</v>
      </c>
      <c r="C26" s="114" t="e">
        <f t="shared" si="43"/>
        <v>#REF!</v>
      </c>
      <c r="D26" s="114" t="e">
        <f t="shared" si="43"/>
        <v>#REF!</v>
      </c>
      <c r="E26" s="114" t="e">
        <f t="shared" si="43"/>
        <v>#REF!</v>
      </c>
      <c r="F26" s="114" t="e">
        <f t="shared" si="43"/>
        <v>#REF!</v>
      </c>
      <c r="G26" s="114" t="e">
        <f t="shared" si="43"/>
        <v>#REF!</v>
      </c>
      <c r="H26" s="114" t="e">
        <f t="shared" si="43"/>
        <v>#REF!</v>
      </c>
      <c r="I26" s="114" t="e">
        <f t="shared" si="43"/>
        <v>#REF!</v>
      </c>
      <c r="J26" s="114" t="e">
        <f t="shared" si="43"/>
        <v>#REF!</v>
      </c>
      <c r="K26" s="114" t="e">
        <f t="shared" si="43"/>
        <v>#REF!</v>
      </c>
      <c r="L26" s="114" t="e">
        <f t="shared" si="43"/>
        <v>#REF!</v>
      </c>
      <c r="M26" s="114" t="e">
        <f t="shared" si="43"/>
        <v>#REF!</v>
      </c>
      <c r="N26" s="114" t="e">
        <f t="shared" si="43"/>
        <v>#REF!</v>
      </c>
      <c r="O26" s="114" t="e">
        <f t="shared" si="43"/>
        <v>#REF!</v>
      </c>
      <c r="P26" s="114" t="e">
        <f t="shared" si="43"/>
        <v>#REF!</v>
      </c>
      <c r="Q26" s="114" t="e">
        <f t="shared" si="43"/>
        <v>#REF!</v>
      </c>
      <c r="R26" s="114" t="e">
        <f t="shared" si="43"/>
        <v>#REF!</v>
      </c>
      <c r="S26" s="114" t="e">
        <f t="shared" si="43"/>
        <v>#REF!</v>
      </c>
      <c r="T26" s="114" t="e">
        <f t="shared" si="43"/>
        <v>#REF!</v>
      </c>
      <c r="U26" s="114" t="e">
        <f t="shared" si="43"/>
        <v>#REF!</v>
      </c>
      <c r="V26" s="114" t="e">
        <f t="shared" si="43"/>
        <v>#REF!</v>
      </c>
      <c r="W26" s="114" t="e">
        <f t="shared" si="43"/>
        <v>#REF!</v>
      </c>
      <c r="X26" s="114" t="e">
        <f t="shared" si="43"/>
        <v>#REF!</v>
      </c>
      <c r="Y26" s="114" t="e">
        <f t="shared" si="43"/>
        <v>#REF!</v>
      </c>
      <c r="Z26" s="114" t="e">
        <f t="shared" si="43"/>
        <v>#REF!</v>
      </c>
      <c r="AA26" s="114" t="e">
        <f t="shared" si="43"/>
        <v>#REF!</v>
      </c>
      <c r="AB26" s="114" t="e">
        <f t="shared" si="43"/>
        <v>#REF!</v>
      </c>
      <c r="AC26" s="114" t="e">
        <f t="shared" si="43"/>
        <v>#REF!</v>
      </c>
      <c r="AD26" s="114" t="e">
        <f t="shared" si="43"/>
        <v>#REF!</v>
      </c>
      <c r="AE26" s="114" t="e">
        <f t="shared" si="43"/>
        <v>#REF!</v>
      </c>
      <c r="AF26" s="114" t="e">
        <f t="shared" si="43"/>
        <v>#REF!</v>
      </c>
      <c r="AG26" s="114" t="e">
        <f t="shared" si="43"/>
        <v>#REF!</v>
      </c>
      <c r="AH26" s="114" t="e">
        <f t="shared" si="43"/>
        <v>#REF!</v>
      </c>
      <c r="AI26" s="114" t="e">
        <f t="shared" si="43"/>
        <v>#REF!</v>
      </c>
      <c r="AJ26" s="114" t="e">
        <f t="shared" si="43"/>
        <v>#REF!</v>
      </c>
      <c r="AK26" s="114"/>
      <c r="AL26" s="114"/>
      <c r="AM26" s="114"/>
      <c r="AN26" s="114"/>
      <c r="AO26" s="114"/>
      <c r="AP26" s="114"/>
      <c r="AQ26" s="114"/>
      <c r="AR26" s="119"/>
      <c r="AS26" s="120"/>
      <c r="AT26" s="121"/>
      <c r="AU26" s="121"/>
      <c r="AV26" s="122" t="e">
        <f>SUM(AV5:AV25)</f>
        <v>#REF!</v>
      </c>
      <c r="AW26" s="100" t="e">
        <f>SUM(AW5:AW25)</f>
        <v>#REF!</v>
      </c>
      <c r="AX26" s="95"/>
    </row>
    <row r="27" spans="1:50">
      <c r="A27" s="97" t="s">
        <v>196</v>
      </c>
      <c r="B27" s="125" t="e">
        <f>'F Financial'!B73</f>
        <v>#REF!</v>
      </c>
      <c r="C27" s="443"/>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96"/>
      <c r="AW27" s="348"/>
      <c r="AX27" s="95"/>
    </row>
    <row r="28" spans="1:50" ht="13.5" thickBot="1">
      <c r="A28" s="329" t="s">
        <v>197</v>
      </c>
      <c r="B28" s="410" t="e">
        <f>B26+B27</f>
        <v>#REF!</v>
      </c>
      <c r="C28" s="411"/>
      <c r="D28" s="342"/>
      <c r="E28" s="342"/>
      <c r="F28" s="342"/>
      <c r="G28" s="342"/>
      <c r="H28" s="342"/>
      <c r="I28" s="342"/>
      <c r="J28" s="342"/>
      <c r="K28" s="342"/>
      <c r="L28" s="342"/>
      <c r="M28" s="342"/>
      <c r="N28" s="342"/>
      <c r="O28" s="342"/>
      <c r="P28" s="342"/>
      <c r="Q28" s="342"/>
      <c r="R28" s="342"/>
      <c r="S28" s="342"/>
      <c r="T28" s="342"/>
      <c r="U28" s="342"/>
      <c r="V28" s="342"/>
      <c r="W28" s="342"/>
      <c r="X28" s="342"/>
      <c r="Y28" s="342"/>
      <c r="Z28" s="340"/>
      <c r="AA28" s="340"/>
      <c r="AB28" s="340"/>
      <c r="AC28" s="340"/>
      <c r="AD28" s="340"/>
      <c r="AE28" s="340"/>
      <c r="AF28" s="340"/>
      <c r="AG28" s="340"/>
      <c r="AH28" s="342"/>
      <c r="AI28" s="342"/>
      <c r="AJ28" s="342"/>
      <c r="AK28" s="342"/>
      <c r="AL28" s="342"/>
      <c r="AM28" s="342"/>
      <c r="AN28" s="342"/>
      <c r="AO28" s="342"/>
      <c r="AP28" s="342"/>
      <c r="AQ28" s="342"/>
      <c r="AR28" s="342"/>
      <c r="AS28" s="342"/>
      <c r="AT28" s="342"/>
      <c r="AU28" s="342"/>
      <c r="AV28" s="342"/>
      <c r="AW28" s="342"/>
      <c r="AX28" s="331"/>
    </row>
    <row r="29" spans="1:50">
      <c r="A29" s="332" t="s">
        <v>198</v>
      </c>
      <c r="B29" s="333" t="e">
        <f>SUM(C29:AS29)</f>
        <v>#REF!</v>
      </c>
      <c r="C29" s="315" t="e">
        <f>C26</f>
        <v>#REF!</v>
      </c>
      <c r="D29" s="315" t="e">
        <f t="shared" ref="D29:AJ29" si="44">IF(C30+D26&lt;=$B$30,D26,($B$30-C30))</f>
        <v>#REF!</v>
      </c>
      <c r="E29" s="315" t="e">
        <f t="shared" si="44"/>
        <v>#REF!</v>
      </c>
      <c r="F29" s="315" t="e">
        <f t="shared" si="44"/>
        <v>#REF!</v>
      </c>
      <c r="G29" s="315" t="e">
        <f t="shared" si="44"/>
        <v>#REF!</v>
      </c>
      <c r="H29" s="315" t="e">
        <f t="shared" si="44"/>
        <v>#REF!</v>
      </c>
      <c r="I29" s="315" t="e">
        <f t="shared" si="44"/>
        <v>#REF!</v>
      </c>
      <c r="J29" s="315" t="e">
        <f t="shared" si="44"/>
        <v>#REF!</v>
      </c>
      <c r="K29" s="315" t="e">
        <f t="shared" si="44"/>
        <v>#REF!</v>
      </c>
      <c r="L29" s="315" t="e">
        <f t="shared" si="44"/>
        <v>#REF!</v>
      </c>
      <c r="M29" s="315" t="e">
        <f t="shared" si="44"/>
        <v>#REF!</v>
      </c>
      <c r="N29" s="315" t="e">
        <f t="shared" si="44"/>
        <v>#REF!</v>
      </c>
      <c r="O29" s="315" t="e">
        <f t="shared" si="44"/>
        <v>#REF!</v>
      </c>
      <c r="P29" s="315" t="e">
        <f t="shared" si="44"/>
        <v>#REF!</v>
      </c>
      <c r="Q29" s="315" t="e">
        <f t="shared" si="44"/>
        <v>#REF!</v>
      </c>
      <c r="R29" s="315" t="e">
        <f t="shared" si="44"/>
        <v>#REF!</v>
      </c>
      <c r="S29" s="315" t="e">
        <f t="shared" si="44"/>
        <v>#REF!</v>
      </c>
      <c r="T29" s="315" t="e">
        <f t="shared" si="44"/>
        <v>#REF!</v>
      </c>
      <c r="U29" s="315" t="e">
        <f t="shared" si="44"/>
        <v>#REF!</v>
      </c>
      <c r="V29" s="315" t="e">
        <f t="shared" si="44"/>
        <v>#REF!</v>
      </c>
      <c r="W29" s="315" t="e">
        <f t="shared" si="44"/>
        <v>#REF!</v>
      </c>
      <c r="X29" s="315" t="e">
        <f t="shared" si="44"/>
        <v>#REF!</v>
      </c>
      <c r="Y29" s="315" t="e">
        <f t="shared" si="44"/>
        <v>#REF!</v>
      </c>
      <c r="Z29" s="315" t="e">
        <f t="shared" si="44"/>
        <v>#REF!</v>
      </c>
      <c r="AA29" s="315" t="e">
        <f t="shared" si="44"/>
        <v>#REF!</v>
      </c>
      <c r="AB29" s="315" t="e">
        <f t="shared" si="44"/>
        <v>#REF!</v>
      </c>
      <c r="AC29" s="315" t="e">
        <f t="shared" si="44"/>
        <v>#REF!</v>
      </c>
      <c r="AD29" s="315" t="e">
        <f t="shared" si="44"/>
        <v>#REF!</v>
      </c>
      <c r="AE29" s="315" t="e">
        <f t="shared" si="44"/>
        <v>#REF!</v>
      </c>
      <c r="AF29" s="315" t="e">
        <f t="shared" si="44"/>
        <v>#REF!</v>
      </c>
      <c r="AG29" s="315" t="e">
        <f t="shared" si="44"/>
        <v>#REF!</v>
      </c>
      <c r="AH29" s="315" t="e">
        <f t="shared" si="44"/>
        <v>#REF!</v>
      </c>
      <c r="AI29" s="315" t="e">
        <f t="shared" si="44"/>
        <v>#REF!</v>
      </c>
      <c r="AJ29" s="315" t="e">
        <f t="shared" si="44"/>
        <v>#REF!</v>
      </c>
      <c r="AK29" s="315"/>
      <c r="AL29" s="315"/>
      <c r="AM29" s="315"/>
      <c r="AN29" s="315"/>
      <c r="AO29" s="315"/>
      <c r="AP29" s="315"/>
      <c r="AQ29" s="315"/>
      <c r="AR29" s="315"/>
      <c r="AS29" s="315"/>
      <c r="AT29" s="315"/>
      <c r="AU29" s="315"/>
      <c r="AV29" s="334"/>
      <c r="AW29" s="334"/>
      <c r="AX29" s="334"/>
    </row>
    <row r="30" spans="1:50" ht="13.5" thickBot="1">
      <c r="A30" s="312" t="s">
        <v>199</v>
      </c>
      <c r="B30" s="101" t="e">
        <f>'F Financial'!B76</f>
        <v>#REF!</v>
      </c>
      <c r="C30" s="315" t="e">
        <f>C29</f>
        <v>#REF!</v>
      </c>
      <c r="D30" s="315" t="e">
        <f>IF(SUM($C$29:D29)&lt;=$B30,SUM($C$29:D29),0)</f>
        <v>#REF!</v>
      </c>
      <c r="E30" s="315" t="e">
        <f>IF(SUM($C$29:E29)&lt;=$B30,SUM($C$29:E29),0)</f>
        <v>#REF!</v>
      </c>
      <c r="F30" s="315" t="e">
        <f>IF(SUM($C$29:F29)&lt;=$B30,SUM($C$29:F29),0)</f>
        <v>#REF!</v>
      </c>
      <c r="G30" s="315" t="e">
        <f>IF(SUM($C$29:G29)&lt;=$B30,SUM($C$29:G29),0)</f>
        <v>#REF!</v>
      </c>
      <c r="H30" s="315" t="e">
        <f>IF(SUM($C$29:H29)&lt;=$B30,SUM($C$29:H29),0)</f>
        <v>#REF!</v>
      </c>
      <c r="I30" s="315" t="e">
        <f>IF(SUM($C$29:I29)&lt;=$B30,SUM($C$29:I29),0)</f>
        <v>#REF!</v>
      </c>
      <c r="J30" s="315" t="e">
        <f>IF(SUM($C$29:J29)&lt;=$B30,SUM($C$29:J29),0)</f>
        <v>#REF!</v>
      </c>
      <c r="K30" s="315" t="e">
        <f>IF(SUM($C$29:K29)&lt;=$B30,SUM($C$29:K29),0)</f>
        <v>#REF!</v>
      </c>
      <c r="L30" s="315" t="e">
        <f>IF(SUM($C$29:L29)&lt;=$B30,SUM($C$29:L29),0)</f>
        <v>#REF!</v>
      </c>
      <c r="M30" s="315" t="e">
        <f>IF(SUM($C$29:M29)&lt;=$B30,SUM($C$29:M29),0)</f>
        <v>#REF!</v>
      </c>
      <c r="N30" s="315" t="e">
        <f>IF(SUM($C$29:N29)&lt;=$B30,SUM($C$29:N29),0)</f>
        <v>#REF!</v>
      </c>
      <c r="O30" s="315" t="e">
        <f>IF(SUM($C$29:O29)&lt;=$B30,SUM($C$29:O29),0)</f>
        <v>#REF!</v>
      </c>
      <c r="P30" s="315" t="e">
        <f>IF(SUM($C$29:P29)&lt;=$B30,SUM($C$29:P29),0)</f>
        <v>#REF!</v>
      </c>
      <c r="Q30" s="315" t="e">
        <f>IF(SUM($C$29:Q29)&lt;=$B30,SUM($C$29:Q29),0)</f>
        <v>#REF!</v>
      </c>
      <c r="R30" s="315" t="e">
        <f>IF(SUM($C$29:R29)&lt;=$B30,SUM($C$29:R29),0)</f>
        <v>#REF!</v>
      </c>
      <c r="S30" s="315" t="e">
        <f>IF(SUM($C$29:S29)&lt;=$B30,SUM($C$29:S29),0)</f>
        <v>#REF!</v>
      </c>
      <c r="T30" s="315" t="e">
        <f>IF(SUM($C$29:T29)&lt;=$B30,SUM($C$29:T29),0)</f>
        <v>#REF!</v>
      </c>
      <c r="U30" s="315" t="e">
        <f>IF(SUM($C$29:U29)&lt;=$B30,SUM($C$29:U29),0)</f>
        <v>#REF!</v>
      </c>
      <c r="V30" s="315" t="e">
        <f>IF(SUM($C$29:V29)&lt;=$B30,SUM($C$29:V29),0)</f>
        <v>#REF!</v>
      </c>
      <c r="W30" s="315" t="e">
        <f>IF(SUM($C$29:W29)&lt;=$B30,SUM($C$29:W29),0)</f>
        <v>#REF!</v>
      </c>
      <c r="X30" s="315" t="e">
        <f>IF(SUM($C$29:X29)&lt;=$B30,SUM($C$29:X29),0)</f>
        <v>#REF!</v>
      </c>
      <c r="Y30" s="315" t="e">
        <f>IF(SUM($C$29:Y29)&lt;=$B30,SUM($C$29:Y29),0)</f>
        <v>#REF!</v>
      </c>
      <c r="Z30" s="315" t="e">
        <f>IF(SUM($C$29:Z29)&lt;=$B30,SUM($C$29:Z29),0)</f>
        <v>#REF!</v>
      </c>
      <c r="AA30" s="315" t="e">
        <f>IF(SUM($C$29:AA29)&lt;=$B30,SUM($C$29:AA29),0)</f>
        <v>#REF!</v>
      </c>
      <c r="AB30" s="315" t="e">
        <f>IF(SUM($C$29:AB29)&lt;=$B30,SUM($C$29:AB29),0)</f>
        <v>#REF!</v>
      </c>
      <c r="AC30" s="315" t="e">
        <f>IF(SUM($C$29:AC29)&lt;=$B30,SUM($C$29:AC29),0)</f>
        <v>#REF!</v>
      </c>
      <c r="AD30" s="315" t="e">
        <f>IF(SUM($C$29:AD29)&lt;=$B30,SUM($C$29:AD29),0)</f>
        <v>#REF!</v>
      </c>
      <c r="AE30" s="315" t="e">
        <f>IF(SUM($C$29:AE29)&lt;=$B30,SUM($C$29:AE29),0)</f>
        <v>#REF!</v>
      </c>
      <c r="AF30" s="315" t="e">
        <f>IF(SUM($C$29:AF29)&lt;=$B30,SUM($C$29:AF29),0)</f>
        <v>#REF!</v>
      </c>
      <c r="AG30" s="315" t="e">
        <f>IF(SUM($C$29:AG29)&lt;=$B30,SUM($C$29:AG29),0)</f>
        <v>#REF!</v>
      </c>
      <c r="AH30" s="315" t="e">
        <f>IF(SUM($C$29:AH29)&lt;=$B30,SUM($C$29:AH29),0)</f>
        <v>#REF!</v>
      </c>
      <c r="AI30" s="315" t="e">
        <f>IF(SUM($C$29:AI29)&lt;=$B30,SUM($C$29:AI29),0)</f>
        <v>#REF!</v>
      </c>
      <c r="AJ30" s="315" t="e">
        <f>IF(SUM($C$29:AJ29)&lt;=$B30,SUM($C$29:AJ29),0)</f>
        <v>#REF!</v>
      </c>
      <c r="AK30" s="315"/>
      <c r="AL30" s="315"/>
      <c r="AM30" s="315"/>
      <c r="AN30" s="315"/>
      <c r="AO30" s="315"/>
      <c r="AP30" s="315"/>
      <c r="AQ30" s="315"/>
      <c r="AR30" s="315"/>
      <c r="AS30" s="315"/>
      <c r="AT30" s="315"/>
      <c r="AU30" s="315"/>
      <c r="AV30" s="334"/>
      <c r="AW30" s="334"/>
      <c r="AX30" s="334"/>
    </row>
    <row r="31" spans="1:50">
      <c r="A31" s="102" t="s">
        <v>200</v>
      </c>
      <c r="B31" s="103" t="e">
        <f>'F Financial'!B75</f>
        <v>#REF!</v>
      </c>
      <c r="C31" s="335"/>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5"/>
      <c r="AW31" s="335"/>
      <c r="AX31" s="334"/>
    </row>
    <row r="32" spans="1:50" ht="13.5" thickBot="1">
      <c r="A32" s="337" t="s">
        <v>201</v>
      </c>
      <c r="B32" s="338" t="e">
        <f>PMT(0.045,30,(B31))</f>
        <v>#REF!</v>
      </c>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5"/>
      <c r="AW32" s="335"/>
      <c r="AX32" s="334"/>
    </row>
    <row r="33" spans="1:50">
      <c r="A33" s="104" t="s">
        <v>202</v>
      </c>
      <c r="B33" s="105">
        <f>SUM(C33:AV33)</f>
        <v>0</v>
      </c>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199"/>
      <c r="AT33" s="199"/>
      <c r="AU33" s="199"/>
      <c r="AV33" s="340"/>
      <c r="AW33" s="335"/>
      <c r="AX33" s="334"/>
    </row>
    <row r="34" spans="1:50">
      <c r="A34" s="339" t="s">
        <v>203</v>
      </c>
      <c r="B34" s="10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199"/>
      <c r="AT34" s="199"/>
      <c r="AU34" s="199"/>
      <c r="AV34" s="340"/>
      <c r="AW34" s="336"/>
      <c r="AX34" s="334"/>
    </row>
    <row r="35" spans="1:50">
      <c r="A35" s="332" t="s">
        <v>204</v>
      </c>
      <c r="B35" s="333" t="e">
        <f>'F Financial'!B83+'F Financial'!B84</f>
        <v>#REF!</v>
      </c>
      <c r="C35" s="340"/>
      <c r="D35" s="341"/>
      <c r="E35" s="341"/>
      <c r="F35" s="341"/>
      <c r="G35" s="341"/>
      <c r="H35" s="341"/>
      <c r="I35" s="341"/>
      <c r="J35" s="341"/>
      <c r="K35" s="341"/>
      <c r="L35" s="341"/>
      <c r="M35" s="341"/>
      <c r="N35" s="341"/>
      <c r="O35" s="341"/>
      <c r="P35" s="341"/>
      <c r="Q35" s="341"/>
      <c r="R35" s="341"/>
      <c r="S35" s="341"/>
      <c r="T35" s="341"/>
      <c r="U35" s="341"/>
      <c r="V35" s="341"/>
      <c r="W35" s="341"/>
      <c r="X35" s="341"/>
      <c r="Y35" s="341"/>
      <c r="Z35" s="341"/>
      <c r="AA35" s="341"/>
      <c r="AB35" s="341"/>
      <c r="AC35" s="341"/>
      <c r="AD35" s="341"/>
      <c r="AE35" s="341"/>
      <c r="AF35" s="341"/>
      <c r="AG35" s="398"/>
      <c r="AH35" s="341"/>
      <c r="AI35" s="341"/>
      <c r="AJ35" s="341"/>
      <c r="AK35" s="341"/>
      <c r="AL35" s="341"/>
      <c r="AM35" s="341"/>
      <c r="AN35" s="341"/>
      <c r="AO35" s="341"/>
      <c r="AP35" s="341"/>
      <c r="AQ35" s="341"/>
      <c r="AR35" s="341"/>
      <c r="AS35" s="341"/>
      <c r="AT35" s="341"/>
      <c r="AU35" s="341"/>
      <c r="AV35" s="342"/>
      <c r="AW35" s="343"/>
      <c r="AX35" s="344"/>
    </row>
    <row r="36" spans="1:50">
      <c r="A36" s="332" t="s">
        <v>205</v>
      </c>
      <c r="B36" s="176" t="e">
        <f>SUM(C36:AU36)</f>
        <v>#REF!</v>
      </c>
      <c r="C36" s="345" t="e">
        <f t="shared" ref="C36:AI36" si="45">-C29</f>
        <v>#REF!</v>
      </c>
      <c r="D36" s="345" t="e">
        <f t="shared" si="45"/>
        <v>#REF!</v>
      </c>
      <c r="E36" s="345" t="e">
        <f t="shared" si="45"/>
        <v>#REF!</v>
      </c>
      <c r="F36" s="345" t="e">
        <f t="shared" si="45"/>
        <v>#REF!</v>
      </c>
      <c r="G36" s="345" t="e">
        <f t="shared" si="45"/>
        <v>#REF!</v>
      </c>
      <c r="H36" s="345" t="e">
        <f t="shared" si="45"/>
        <v>#REF!</v>
      </c>
      <c r="I36" s="345" t="e">
        <f t="shared" si="45"/>
        <v>#REF!</v>
      </c>
      <c r="J36" s="345" t="e">
        <f t="shared" si="45"/>
        <v>#REF!</v>
      </c>
      <c r="K36" s="345" t="e">
        <f t="shared" si="45"/>
        <v>#REF!</v>
      </c>
      <c r="L36" s="345" t="e">
        <f t="shared" si="45"/>
        <v>#REF!</v>
      </c>
      <c r="M36" s="345" t="e">
        <f t="shared" si="45"/>
        <v>#REF!</v>
      </c>
      <c r="N36" s="345" t="e">
        <f t="shared" si="45"/>
        <v>#REF!</v>
      </c>
      <c r="O36" s="345" t="e">
        <f t="shared" si="45"/>
        <v>#REF!</v>
      </c>
      <c r="P36" s="345" t="e">
        <f t="shared" si="45"/>
        <v>#REF!</v>
      </c>
      <c r="Q36" s="345" t="e">
        <f t="shared" si="45"/>
        <v>#REF!</v>
      </c>
      <c r="R36" s="345" t="e">
        <f t="shared" si="45"/>
        <v>#REF!</v>
      </c>
      <c r="S36" s="345" t="e">
        <f t="shared" si="45"/>
        <v>#REF!</v>
      </c>
      <c r="T36" s="345" t="e">
        <f t="shared" si="45"/>
        <v>#REF!</v>
      </c>
      <c r="U36" s="345" t="e">
        <f t="shared" si="45"/>
        <v>#REF!</v>
      </c>
      <c r="V36" s="345" t="e">
        <f t="shared" si="45"/>
        <v>#REF!</v>
      </c>
      <c r="W36" s="345" t="e">
        <f t="shared" si="45"/>
        <v>#REF!</v>
      </c>
      <c r="X36" s="345" t="e">
        <f t="shared" si="45"/>
        <v>#REF!</v>
      </c>
      <c r="Y36" s="345" t="e">
        <f t="shared" si="45"/>
        <v>#REF!</v>
      </c>
      <c r="Z36" s="345" t="e">
        <f t="shared" si="45"/>
        <v>#REF!</v>
      </c>
      <c r="AA36" s="345" t="e">
        <f t="shared" si="45"/>
        <v>#REF!</v>
      </c>
      <c r="AB36" s="345" t="e">
        <f t="shared" si="45"/>
        <v>#REF!</v>
      </c>
      <c r="AC36" s="345" t="e">
        <f t="shared" si="45"/>
        <v>#REF!</v>
      </c>
      <c r="AD36" s="345" t="e">
        <f t="shared" si="45"/>
        <v>#REF!</v>
      </c>
      <c r="AE36" s="345" t="e">
        <f t="shared" si="45"/>
        <v>#REF!</v>
      </c>
      <c r="AF36" s="345" t="e">
        <f t="shared" si="45"/>
        <v>#REF!</v>
      </c>
      <c r="AG36" s="345" t="e">
        <f t="shared" si="45"/>
        <v>#REF!</v>
      </c>
      <c r="AH36" s="345" t="e">
        <f t="shared" si="45"/>
        <v>#REF!</v>
      </c>
      <c r="AI36" s="345" t="e">
        <f t="shared" si="45"/>
        <v>#REF!</v>
      </c>
      <c r="AJ36" s="110" t="e">
        <f>B35</f>
        <v>#REF!</v>
      </c>
      <c r="AK36" s="107"/>
      <c r="AL36" s="108"/>
      <c r="AM36" s="108"/>
      <c r="AN36" s="108"/>
      <c r="AO36" s="108"/>
      <c r="AP36" s="108"/>
      <c r="AQ36" s="108"/>
      <c r="AR36" s="108"/>
      <c r="AS36" s="109"/>
      <c r="AT36" s="109"/>
      <c r="AU36" s="109"/>
      <c r="AV36" s="322"/>
      <c r="AW36" s="315"/>
      <c r="AX36" s="315"/>
    </row>
    <row r="37" spans="1:50">
      <c r="A37" s="332" t="s">
        <v>229</v>
      </c>
      <c r="B37" s="174" t="e">
        <f>IF(B36&lt;0,0,IRR(C36:AIU36))</f>
        <v>#REF!</v>
      </c>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111"/>
      <c r="AL37" s="111"/>
      <c r="AM37" s="111"/>
      <c r="AN37" s="111"/>
      <c r="AO37" s="111"/>
      <c r="AP37" s="111"/>
      <c r="AQ37" s="111"/>
      <c r="AR37" s="111"/>
      <c r="AS37" s="111"/>
      <c r="AT37" s="111"/>
      <c r="AU37" s="111"/>
      <c r="AV37" s="342"/>
      <c r="AW37" s="348"/>
      <c r="AX37" s="349"/>
    </row>
    <row r="38" spans="1:50">
      <c r="A38" s="322" t="s">
        <v>207</v>
      </c>
      <c r="B38" s="175" t="e">
        <f>POWER((1+B37),4)-1</f>
        <v>#REF!</v>
      </c>
      <c r="C38" s="342"/>
      <c r="D38" s="342"/>
      <c r="E38" s="351"/>
      <c r="F38" s="351"/>
      <c r="G38" s="351"/>
      <c r="H38" s="351"/>
      <c r="I38" s="351"/>
      <c r="J38" s="351"/>
      <c r="K38" s="351"/>
      <c r="L38" s="351"/>
      <c r="M38" s="351"/>
      <c r="N38" s="351"/>
      <c r="O38" s="351"/>
      <c r="P38" s="352"/>
      <c r="Q38" s="351"/>
      <c r="R38" s="351"/>
      <c r="S38" s="351"/>
      <c r="T38" s="351"/>
      <c r="U38" s="351"/>
      <c r="V38" s="352"/>
      <c r="W38" s="351"/>
      <c r="X38" s="351"/>
      <c r="Y38" s="351"/>
      <c r="Z38" s="351"/>
      <c r="AA38" s="351"/>
      <c r="AB38" s="351"/>
      <c r="AC38" s="351"/>
      <c r="AD38" s="351"/>
      <c r="AE38" s="351"/>
      <c r="AF38" s="351"/>
      <c r="AG38" s="351"/>
      <c r="AH38" s="351"/>
      <c r="AI38" s="351"/>
      <c r="AJ38" s="351"/>
      <c r="AK38" s="88"/>
      <c r="AL38" s="88"/>
      <c r="AM38" s="88"/>
      <c r="AN38" s="88"/>
      <c r="AO38" s="88"/>
      <c r="AP38" s="88"/>
      <c r="AQ38" s="88"/>
      <c r="AR38" s="112"/>
      <c r="AS38" s="112"/>
      <c r="AT38" s="88"/>
      <c r="AU38" s="88"/>
      <c r="AV38" s="351"/>
      <c r="AW38" s="351"/>
      <c r="AX38" s="353"/>
    </row>
    <row r="39" spans="1:50">
      <c r="A39" s="354" t="s">
        <v>208</v>
      </c>
      <c r="B39" s="106"/>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106"/>
      <c r="AL39" s="106"/>
      <c r="AM39" s="106"/>
      <c r="AN39" s="106"/>
      <c r="AO39" s="106"/>
      <c r="AP39" s="106"/>
      <c r="AQ39" s="106"/>
      <c r="AR39" s="106"/>
      <c r="AS39" s="106"/>
      <c r="AT39" s="106"/>
      <c r="AU39" s="106"/>
      <c r="AV39" s="342"/>
      <c r="AW39" s="351"/>
      <c r="AX39" s="322"/>
    </row>
    <row r="40" spans="1:50">
      <c r="A40" s="332" t="s">
        <v>209</v>
      </c>
      <c r="B40" s="176" t="e">
        <f>'F Financial'!B83-B27</f>
        <v>#REF!</v>
      </c>
      <c r="C40" s="342"/>
      <c r="D40" s="342"/>
      <c r="E40" s="342"/>
      <c r="F40" s="342"/>
      <c r="G40" s="342"/>
      <c r="H40" s="342"/>
      <c r="I40" s="342"/>
      <c r="J40" s="342"/>
      <c r="K40" s="342"/>
      <c r="L40" s="342"/>
      <c r="M40" s="336"/>
      <c r="N40" s="342"/>
      <c r="O40" s="342"/>
      <c r="P40" s="342"/>
      <c r="Q40" s="342"/>
      <c r="R40" s="342"/>
      <c r="S40" s="336"/>
      <c r="T40" s="342"/>
      <c r="U40" s="342"/>
      <c r="V40" s="342"/>
      <c r="W40" s="342"/>
      <c r="X40" s="342"/>
      <c r="Y40" s="342"/>
      <c r="Z40" s="342"/>
      <c r="AA40" s="342"/>
      <c r="AB40" s="342"/>
      <c r="AC40" s="342"/>
      <c r="AD40" s="342"/>
      <c r="AE40" s="342"/>
      <c r="AF40" s="342"/>
      <c r="AG40" s="342"/>
      <c r="AH40" s="342"/>
      <c r="AI40" s="342"/>
      <c r="AJ40" s="342"/>
      <c r="AK40" s="106"/>
      <c r="AL40" s="106"/>
      <c r="AM40" s="106"/>
      <c r="AN40" s="106"/>
      <c r="AO40" s="106"/>
      <c r="AP40" s="106"/>
      <c r="AQ40" s="106"/>
      <c r="AR40" s="106"/>
      <c r="AS40" s="106"/>
      <c r="AT40" s="106"/>
      <c r="AU40" s="106"/>
      <c r="AV40" s="342"/>
      <c r="AW40" s="342"/>
      <c r="AX40" s="322"/>
    </row>
    <row r="41" spans="1:50">
      <c r="A41" s="332" t="s">
        <v>210</v>
      </c>
      <c r="B41" s="176" t="e">
        <f>SUM(C41:AU41)</f>
        <v>#REF!</v>
      </c>
      <c r="C41" s="315" t="e">
        <f>-C26</f>
        <v>#REF!</v>
      </c>
      <c r="D41" s="315" t="e">
        <f t="shared" ref="D41:AI41" si="46">-D26</f>
        <v>#REF!</v>
      </c>
      <c r="E41" s="315" t="e">
        <f t="shared" si="46"/>
        <v>#REF!</v>
      </c>
      <c r="F41" s="315" t="e">
        <f t="shared" si="46"/>
        <v>#REF!</v>
      </c>
      <c r="G41" s="315" t="e">
        <f t="shared" si="46"/>
        <v>#REF!</v>
      </c>
      <c r="H41" s="315" t="e">
        <f t="shared" si="46"/>
        <v>#REF!</v>
      </c>
      <c r="I41" s="315" t="e">
        <f t="shared" si="46"/>
        <v>#REF!</v>
      </c>
      <c r="J41" s="315" t="e">
        <f t="shared" si="46"/>
        <v>#REF!</v>
      </c>
      <c r="K41" s="315" t="e">
        <f t="shared" si="46"/>
        <v>#REF!</v>
      </c>
      <c r="L41" s="315" t="e">
        <f t="shared" si="46"/>
        <v>#REF!</v>
      </c>
      <c r="M41" s="315" t="e">
        <f t="shared" si="46"/>
        <v>#REF!</v>
      </c>
      <c r="N41" s="315" t="e">
        <f t="shared" si="46"/>
        <v>#REF!</v>
      </c>
      <c r="O41" s="315" t="e">
        <f t="shared" si="46"/>
        <v>#REF!</v>
      </c>
      <c r="P41" s="315" t="e">
        <f t="shared" si="46"/>
        <v>#REF!</v>
      </c>
      <c r="Q41" s="315" t="e">
        <f t="shared" si="46"/>
        <v>#REF!</v>
      </c>
      <c r="R41" s="315" t="e">
        <f t="shared" si="46"/>
        <v>#REF!</v>
      </c>
      <c r="S41" s="315" t="e">
        <f t="shared" si="46"/>
        <v>#REF!</v>
      </c>
      <c r="T41" s="315" t="e">
        <f t="shared" si="46"/>
        <v>#REF!</v>
      </c>
      <c r="U41" s="315" t="e">
        <f t="shared" si="46"/>
        <v>#REF!</v>
      </c>
      <c r="V41" s="315" t="e">
        <f t="shared" si="46"/>
        <v>#REF!</v>
      </c>
      <c r="W41" s="315" t="e">
        <f t="shared" si="46"/>
        <v>#REF!</v>
      </c>
      <c r="X41" s="315" t="e">
        <f t="shared" si="46"/>
        <v>#REF!</v>
      </c>
      <c r="Y41" s="315" t="e">
        <f t="shared" si="46"/>
        <v>#REF!</v>
      </c>
      <c r="Z41" s="315" t="e">
        <f t="shared" si="46"/>
        <v>#REF!</v>
      </c>
      <c r="AA41" s="315" t="e">
        <f t="shared" si="46"/>
        <v>#REF!</v>
      </c>
      <c r="AB41" s="315" t="e">
        <f t="shared" si="46"/>
        <v>#REF!</v>
      </c>
      <c r="AC41" s="315" t="e">
        <f t="shared" si="46"/>
        <v>#REF!</v>
      </c>
      <c r="AD41" s="315" t="e">
        <f t="shared" si="46"/>
        <v>#REF!</v>
      </c>
      <c r="AE41" s="315" t="e">
        <f t="shared" si="46"/>
        <v>#REF!</v>
      </c>
      <c r="AF41" s="315" t="e">
        <f t="shared" si="46"/>
        <v>#REF!</v>
      </c>
      <c r="AG41" s="315" t="e">
        <f t="shared" si="46"/>
        <v>#REF!</v>
      </c>
      <c r="AH41" s="315" t="e">
        <f t="shared" si="46"/>
        <v>#REF!</v>
      </c>
      <c r="AI41" s="315" t="e">
        <f t="shared" si="46"/>
        <v>#REF!</v>
      </c>
      <c r="AJ41" s="349" t="e">
        <f>B40-AJ26</f>
        <v>#REF!</v>
      </c>
      <c r="AK41" s="334"/>
      <c r="AL41" s="315"/>
      <c r="AM41" s="315"/>
      <c r="AN41" s="315"/>
      <c r="AO41" s="315"/>
      <c r="AP41" s="315"/>
      <c r="AQ41" s="315"/>
      <c r="AR41" s="315"/>
      <c r="AS41" s="315"/>
      <c r="AT41" s="315"/>
      <c r="AU41" s="315"/>
      <c r="AV41" s="322"/>
      <c r="AW41" s="322"/>
      <c r="AX41" s="322"/>
    </row>
    <row r="42" spans="1:50">
      <c r="A42" s="332" t="s">
        <v>211</v>
      </c>
      <c r="B42" s="174" t="e">
        <f>IF(B41&lt;0,0,IRR(C41:AU41))</f>
        <v>#REF!</v>
      </c>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106"/>
      <c r="AL42" s="106"/>
      <c r="AM42" s="106"/>
      <c r="AN42" s="106"/>
      <c r="AO42" s="106"/>
      <c r="AP42" s="106"/>
      <c r="AQ42" s="106"/>
      <c r="AR42" s="106"/>
      <c r="AS42" s="106"/>
      <c r="AT42" s="106"/>
      <c r="AU42" s="106"/>
      <c r="AV42" s="342"/>
      <c r="AW42" s="342"/>
      <c r="AX42" s="322"/>
    </row>
    <row r="43" spans="1:50">
      <c r="A43" s="322" t="s">
        <v>212</v>
      </c>
      <c r="B43" s="350" t="e">
        <f>POWER((1+B42),4)-1</f>
        <v>#REF!</v>
      </c>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106"/>
      <c r="AL43" s="106"/>
      <c r="AM43" s="106"/>
      <c r="AN43" s="106"/>
      <c r="AO43" s="106"/>
      <c r="AP43" s="106"/>
      <c r="AQ43" s="106"/>
      <c r="AR43" s="106"/>
      <c r="AS43" s="106"/>
      <c r="AT43" s="106"/>
      <c r="AU43" s="106"/>
      <c r="AV43" s="342"/>
      <c r="AW43" s="342"/>
      <c r="AX43" s="322"/>
    </row>
    <row r="44" spans="1:50">
      <c r="G44" s="7"/>
      <c r="AB44" s="7"/>
      <c r="AE44" s="7"/>
      <c r="AI44" s="7"/>
    </row>
    <row r="45" spans="1:50">
      <c r="G45" s="7"/>
      <c r="AB45" s="7"/>
      <c r="AE45" s="7"/>
      <c r="AI45" s="7"/>
    </row>
    <row r="46" spans="1:50">
      <c r="G46" s="7"/>
      <c r="AB46" s="7"/>
      <c r="AE46" s="7"/>
      <c r="AI46" s="7"/>
    </row>
    <row r="47" spans="1:50">
      <c r="G47" s="7"/>
      <c r="AB47" s="7"/>
      <c r="AE47" s="7"/>
      <c r="AI47" s="7"/>
    </row>
    <row r="48" spans="1:50">
      <c r="G48" s="7"/>
      <c r="AB48" s="7"/>
      <c r="AE48" s="7"/>
      <c r="AI48" s="7"/>
    </row>
    <row r="49" spans="7:35">
      <c r="G49" s="7"/>
      <c r="AB49" s="7"/>
      <c r="AE49" s="7"/>
      <c r="AI49" s="7"/>
    </row>
    <row r="50" spans="7:35">
      <c r="G50" s="7"/>
      <c r="AB50" s="7"/>
      <c r="AE50" s="7"/>
      <c r="AI50" s="7"/>
    </row>
    <row r="51" spans="7:35">
      <c r="G51" s="7"/>
    </row>
    <row r="52" spans="7:35">
      <c r="G52" s="7"/>
    </row>
    <row r="53" spans="7:35">
      <c r="G53" s="7"/>
    </row>
    <row r="54" spans="7:35">
      <c r="G54" s="7"/>
    </row>
    <row r="55" spans="7:35">
      <c r="G55" s="7"/>
    </row>
    <row r="56" spans="7:35">
      <c r="G56" s="7"/>
    </row>
    <row r="57" spans="7:35">
      <c r="G57" s="7"/>
    </row>
    <row r="58" spans="7:35">
      <c r="G58" s="7"/>
    </row>
    <row r="59" spans="7:35">
      <c r="G59" s="7"/>
    </row>
    <row r="60" spans="7:35">
      <c r="G60" s="7"/>
    </row>
    <row r="61" spans="7:35">
      <c r="G61" s="7"/>
    </row>
    <row r="62" spans="7:35">
      <c r="G62" s="7"/>
    </row>
    <row r="63" spans="7:35">
      <c r="G63" s="7"/>
    </row>
    <row r="64" spans="7:35">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sheetData>
  <mergeCells count="2">
    <mergeCell ref="A1:A3"/>
    <mergeCell ref="AV2:AX2"/>
  </mergeCells>
  <conditionalFormatting sqref="D3:AU3">
    <cfRule type="cellIs" dxfId="15" priority="1" operator="equal">
      <formula>#REF!</formula>
    </cfRule>
    <cfRule type="cellIs" dxfId="14" priority="2" operator="equal">
      <formula>#REF!</formula>
    </cfRule>
    <cfRule type="cellIs" dxfId="13" priority="3" operator="equal">
      <formula>#REF!</formula>
    </cfRule>
    <cfRule type="cellIs" dxfId="12" priority="4" operator="equal">
      <formula>#REF!</formula>
    </cfRule>
  </conditionalFormatting>
  <conditionalFormatting sqref="G3:AX3">
    <cfRule type="cellIs" dxfId="11" priority="5" operator="equal">
      <formula>#REF!</formula>
    </cfRule>
    <cfRule type="cellIs" dxfId="10" priority="6" operator="equal">
      <formula>#REF!</formula>
    </cfRule>
    <cfRule type="cellIs" dxfId="9" priority="7" operator="equal">
      <formula>#REF!</formula>
    </cfRule>
    <cfRule type="cellIs" dxfId="8" priority="8" operator="equal">
      <formula>#REF!</formula>
    </cfRule>
  </conditionalFormatting>
  <conditionalFormatting sqref="AC4">
    <cfRule type="cellIs" dxfId="7" priority="9" operator="equal">
      <formula>#REF!</formula>
    </cfRule>
    <cfRule type="cellIs" dxfId="6" priority="10" operator="equal">
      <formula>#REF!</formula>
    </cfRule>
    <cfRule type="cellIs" dxfId="5" priority="11" operator="equal">
      <formula>#REF!</formula>
    </cfRule>
    <cfRule type="cellIs" dxfId="4" priority="12" operator="equal">
      <formula>#REF!</formula>
    </cfRule>
  </conditionalFormatting>
  <conditionalFormatting sqref="AC4:AS4">
    <cfRule type="cellIs" dxfId="3" priority="13" operator="equal">
      <formula>#REF!</formula>
    </cfRule>
    <cfRule type="cellIs" dxfId="2" priority="14" operator="equal">
      <formula>#REF!</formula>
    </cfRule>
    <cfRule type="cellIs" dxfId="1" priority="15" operator="equal">
      <formula>#REF!</formula>
    </cfRule>
    <cfRule type="cellIs" dxfId="0" priority="16" operator="equal">
      <formula>#REF!</formula>
    </cfRule>
  </conditionalFormatting>
  <pageMargins left="0.7" right="0.7" top="0.75" bottom="0.75" header="0.3" footer="0.3"/>
  <pageSetup orientation="portrait" horizontalDpi="1200" verticalDpi="1200" r:id="rId1"/>
  <headerFooter>
    <oddHeader>&amp;C&amp;"Calibri,Regular"&amp;K000000OVERALL DRAW</oddHeader>
    <oddFooter>&amp;C&amp;"Calibri,Regular"&amp;K000000PAGE &amp;P OF &amp;N</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9E32-8857-402D-82B1-1BBFE64E13C1}">
  <sheetPr>
    <tabColor theme="6" tint="-0.249977111117893"/>
    <pageSetUpPr fitToPage="1"/>
  </sheetPr>
  <dimension ref="A1:G109"/>
  <sheetViews>
    <sheetView showGridLines="0" zoomScaleNormal="100" zoomScaleSheetLayoutView="90" workbookViewId="0">
      <selection activeCell="I25" sqref="I25"/>
    </sheetView>
  </sheetViews>
  <sheetFormatPr defaultColWidth="8.85546875" defaultRowHeight="23.25" customHeight="1"/>
  <cols>
    <col min="1" max="1" width="36.5703125" style="7" bestFit="1" customWidth="1"/>
    <col min="2" max="2" width="22.140625" style="7" bestFit="1" customWidth="1"/>
    <col min="3" max="3" width="22.42578125" style="7" bestFit="1" customWidth="1"/>
    <col min="4" max="4" width="11.85546875" style="7" bestFit="1" customWidth="1"/>
    <col min="5" max="5" width="18.140625" style="7" bestFit="1" customWidth="1"/>
    <col min="6" max="6" width="11.5703125" style="7" customWidth="1"/>
    <col min="7" max="7" width="13.85546875" style="7" customWidth="1"/>
    <col min="8" max="8" width="24.5703125" style="7" customWidth="1"/>
    <col min="9" max="9" width="32.42578125" style="7" customWidth="1"/>
    <col min="10" max="10" width="20.140625" style="7" customWidth="1"/>
    <col min="11" max="16384" width="8.85546875" style="7"/>
  </cols>
  <sheetData>
    <row r="1" spans="1:5" ht="16.5" thickBot="1">
      <c r="A1" s="1668" t="s">
        <v>108</v>
      </c>
      <c r="B1" s="1669"/>
      <c r="C1" s="1669"/>
      <c r="D1" s="1670" t="str">
        <f>'Development Program'!B9</f>
        <v>4th Street Site</v>
      </c>
      <c r="E1" s="1670"/>
    </row>
    <row r="2" spans="1:5" ht="12.75">
      <c r="A2" s="8"/>
      <c r="B2" s="9"/>
      <c r="C2" s="9"/>
      <c r="D2" s="434">
        <v>0</v>
      </c>
      <c r="E2" s="213" t="s">
        <v>109</v>
      </c>
    </row>
    <row r="3" spans="1:5" ht="12.75">
      <c r="A3" s="10" t="s">
        <v>110</v>
      </c>
      <c r="B3" s="11" t="s">
        <v>111</v>
      </c>
      <c r="C3" s="11" t="s">
        <v>230</v>
      </c>
      <c r="D3" s="11" t="s">
        <v>112</v>
      </c>
      <c r="E3" s="12" t="s">
        <v>113</v>
      </c>
    </row>
    <row r="4" spans="1:5" ht="12.75">
      <c r="A4" s="219" t="s">
        <v>114</v>
      </c>
      <c r="B4" s="215">
        <v>0</v>
      </c>
      <c r="C4" s="215">
        <v>1000</v>
      </c>
      <c r="D4" s="355">
        <v>7</v>
      </c>
      <c r="E4" s="218">
        <f>12*B4*C4*D4</f>
        <v>0</v>
      </c>
    </row>
    <row r="5" spans="1:5" ht="12.75" hidden="1">
      <c r="A5" s="214"/>
      <c r="B5" s="356"/>
      <c r="C5" s="356"/>
      <c r="D5" s="357"/>
      <c r="E5" s="218"/>
    </row>
    <row r="6" spans="1:5" ht="12.75" hidden="1">
      <c r="A6" s="219"/>
      <c r="B6" s="358"/>
      <c r="C6" s="358"/>
      <c r="D6" s="357"/>
      <c r="E6" s="218"/>
    </row>
    <row r="7" spans="1:5" ht="12.75" hidden="1">
      <c r="A7" s="219"/>
      <c r="B7" s="356"/>
      <c r="C7" s="356"/>
      <c r="D7" s="357"/>
      <c r="E7" s="218"/>
    </row>
    <row r="8" spans="1:5" ht="12.75" hidden="1">
      <c r="A8" s="219"/>
      <c r="B8" s="216"/>
      <c r="C8" s="216"/>
      <c r="D8" s="221"/>
      <c r="E8" s="218"/>
    </row>
    <row r="9" spans="1:5" ht="13.5" thickBot="1">
      <c r="A9" s="219"/>
      <c r="B9" s="216"/>
      <c r="C9" s="216"/>
      <c r="D9" s="221"/>
      <c r="E9" s="222"/>
    </row>
    <row r="10" spans="1:5" ht="14.25" thickTop="1" thickBot="1">
      <c r="A10" s="13" t="s">
        <v>115</v>
      </c>
      <c r="B10" s="14">
        <f>SUM(B4:B9)</f>
        <v>0</v>
      </c>
      <c r="C10" s="15">
        <f>B4*C4+B5*C5+B6*C6+B7*C7+B8*C8+B9*C9</f>
        <v>0</v>
      </c>
      <c r="D10" s="16"/>
      <c r="E10" s="223">
        <f>SUM(E4:E9)</f>
        <v>0</v>
      </c>
    </row>
    <row r="11" spans="1:5" ht="14.25" thickTop="1" thickBot="1">
      <c r="A11" s="17" t="s">
        <v>116</v>
      </c>
      <c r="B11" s="18"/>
      <c r="C11" s="19">
        <f>IF(B10=0,0,C10/B10)</f>
        <v>0</v>
      </c>
      <c r="D11" s="20" t="e">
        <f>(E10/12)/C10</f>
        <v>#DIV/0!</v>
      </c>
      <c r="E11" s="21"/>
    </row>
    <row r="12" spans="1:5" ht="12.75">
      <c r="A12" s="22"/>
      <c r="B12" s="23"/>
      <c r="C12" s="24"/>
      <c r="D12" s="25"/>
    </row>
    <row r="13" spans="1:5" ht="12.75">
      <c r="A13" s="10" t="s">
        <v>117</v>
      </c>
      <c r="B13" s="11" t="s">
        <v>118</v>
      </c>
      <c r="C13" s="11" t="s">
        <v>119</v>
      </c>
      <c r="D13" s="11" t="s">
        <v>113</v>
      </c>
    </row>
    <row r="14" spans="1:5" ht="21" customHeight="1">
      <c r="A14" s="224" t="s">
        <v>1</v>
      </c>
      <c r="B14" s="225">
        <v>0</v>
      </c>
      <c r="C14" s="403">
        <f>Assumptions!I118</f>
        <v>0</v>
      </c>
      <c r="D14" s="226">
        <f>B14*C14</f>
        <v>0</v>
      </c>
    </row>
    <row r="15" spans="1:5" ht="13.5" thickBot="1">
      <c r="A15" s="227" t="s">
        <v>0</v>
      </c>
      <c r="B15" s="228">
        <f>10*15000</f>
        <v>150000</v>
      </c>
      <c r="C15" s="404">
        <f>Assumptions!I7</f>
        <v>55</v>
      </c>
      <c r="D15" s="229">
        <f>B15*C15</f>
        <v>8250000</v>
      </c>
    </row>
    <row r="16" spans="1:5" ht="14.25" thickTop="1" thickBot="1">
      <c r="A16" s="26" t="s">
        <v>120</v>
      </c>
      <c r="B16" s="27">
        <f>SUM(B14:B15)</f>
        <v>150000</v>
      </c>
      <c r="C16" s="28">
        <f>IF(B16=0,0,D16/B16)</f>
        <v>55</v>
      </c>
      <c r="D16" s="29">
        <f>SUM(D14:D15)</f>
        <v>8250000</v>
      </c>
    </row>
    <row r="17" spans="1:5" ht="12.75">
      <c r="A17" s="233" t="s">
        <v>121</v>
      </c>
      <c r="B17" s="231"/>
    </row>
    <row r="18" spans="1:5" ht="12.75">
      <c r="A18" s="197" t="s">
        <v>122</v>
      </c>
      <c r="B18" s="232">
        <v>0</v>
      </c>
      <c r="C18" s="31"/>
      <c r="D18" s="32"/>
    </row>
    <row r="19" spans="1:5" ht="13.5" thickBot="1">
      <c r="A19" s="200" t="s">
        <v>123</v>
      </c>
      <c r="B19" s="232">
        <v>150</v>
      </c>
      <c r="C19" s="31"/>
      <c r="D19" s="32"/>
    </row>
    <row r="20" spans="1:5" ht="14.25" thickTop="1" thickBot="1">
      <c r="A20" s="33" t="s">
        <v>124</v>
      </c>
      <c r="B20" s="34">
        <f>SUM(B18:B19)</f>
        <v>150</v>
      </c>
      <c r="C20" s="31"/>
      <c r="D20" s="32"/>
    </row>
    <row r="21" spans="1:5" ht="12.75">
      <c r="A21" s="233" t="s">
        <v>125</v>
      </c>
      <c r="B21" s="435" t="str">
        <f>D1</f>
        <v>4th Street Site</v>
      </c>
      <c r="C21" s="35"/>
      <c r="D21" s="35"/>
      <c r="E21" s="35"/>
    </row>
    <row r="22" spans="1:5" ht="12.75">
      <c r="A22" s="234" t="s">
        <v>126</v>
      </c>
      <c r="B22" s="235">
        <f>'Development Program'!D9</f>
        <v>133580</v>
      </c>
      <c r="C22" s="36"/>
      <c r="D22" s="37"/>
      <c r="E22" s="35"/>
    </row>
    <row r="23" spans="1:5" ht="12.75">
      <c r="A23" s="234" t="s">
        <v>127</v>
      </c>
      <c r="B23" s="235">
        <f>B16</f>
        <v>150000</v>
      </c>
      <c r="C23" s="36"/>
      <c r="D23" s="37"/>
      <c r="E23" s="35"/>
    </row>
    <row r="24" spans="1:5" ht="12.75">
      <c r="A24" s="236" t="e">
        <f>Assumptions!#REF!</f>
        <v>#REF!</v>
      </c>
      <c r="B24" s="235" t="e">
        <f>B20*A24</f>
        <v>#REF!</v>
      </c>
      <c r="C24" s="36"/>
      <c r="D24" s="37"/>
      <c r="E24" s="35"/>
    </row>
    <row r="25" spans="1:5" ht="12.75">
      <c r="A25" s="359">
        <v>0.15</v>
      </c>
      <c r="B25" s="235" t="e">
        <f>(1+A25)*(B23+B24)</f>
        <v>#REF!</v>
      </c>
      <c r="C25" s="36"/>
      <c r="D25" s="37"/>
      <c r="E25" s="35"/>
    </row>
    <row r="26" spans="1:5" ht="13.5" thickBot="1">
      <c r="A26" s="360">
        <v>10</v>
      </c>
      <c r="B26" s="237" t="e">
        <f>B25/A26</f>
        <v>#REF!</v>
      </c>
      <c r="C26" s="36"/>
      <c r="D26" s="37"/>
      <c r="E26" s="35"/>
    </row>
    <row r="27" spans="1:5" ht="15" customHeight="1" thickBot="1">
      <c r="A27" s="1671" t="s">
        <v>128</v>
      </c>
      <c r="B27" s="1672"/>
      <c r="C27" s="1673" t="str">
        <f>D1</f>
        <v>4th Street Site</v>
      </c>
      <c r="D27" s="1674"/>
      <c r="E27" s="35"/>
    </row>
    <row r="28" spans="1:5" ht="14.45" customHeight="1" thickBot="1">
      <c r="A28" s="238" t="s">
        <v>129</v>
      </c>
      <c r="B28" s="239" t="s">
        <v>130</v>
      </c>
      <c r="C28" s="239" t="s">
        <v>131</v>
      </c>
      <c r="D28" s="240" t="s">
        <v>132</v>
      </c>
      <c r="E28" s="35"/>
    </row>
    <row r="29" spans="1:5" ht="31.35" customHeight="1">
      <c r="A29" s="241" t="s">
        <v>133</v>
      </c>
      <c r="B29" s="242">
        <f>IF(D29=0,0,D29/B10)</f>
        <v>0</v>
      </c>
      <c r="C29" s="243">
        <f>IF(D29=0,0,D29/C10)</f>
        <v>0</v>
      </c>
      <c r="D29" s="38">
        <f>E10</f>
        <v>0</v>
      </c>
      <c r="E29" s="35"/>
    </row>
    <row r="30" spans="1:5" ht="12.75">
      <c r="A30" s="244" t="str">
        <f>A16</f>
        <v>Total Commercial</v>
      </c>
      <c r="B30" s="1666" t="s">
        <v>134</v>
      </c>
      <c r="C30" s="1667"/>
      <c r="D30" s="39">
        <f>D16</f>
        <v>8250000</v>
      </c>
      <c r="E30" s="35"/>
    </row>
    <row r="31" spans="1:5" ht="12.75">
      <c r="A31" s="245"/>
      <c r="B31" s="1654" t="s">
        <v>135</v>
      </c>
      <c r="C31" s="1654"/>
      <c r="D31" s="246">
        <f>SUM(D29:D30)</f>
        <v>8250000</v>
      </c>
      <c r="E31" s="35"/>
    </row>
    <row r="32" spans="1:5" ht="12.75">
      <c r="A32" s="247" t="s">
        <v>136</v>
      </c>
      <c r="B32" s="246" t="s">
        <v>238</v>
      </c>
      <c r="C32" s="246"/>
      <c r="D32" s="246"/>
      <c r="E32" s="35"/>
    </row>
    <row r="33" spans="1:5" ht="12.75">
      <c r="A33" s="245" t="s">
        <v>239</v>
      </c>
      <c r="B33" s="248">
        <f>Assumptions!L33</f>
        <v>350</v>
      </c>
      <c r="C33" s="249"/>
      <c r="D33" s="248">
        <f>B33*B20*12</f>
        <v>630000</v>
      </c>
      <c r="E33" s="35"/>
    </row>
    <row r="34" spans="1:5" ht="12.75">
      <c r="A34" s="245" t="s">
        <v>138</v>
      </c>
      <c r="B34" s="248"/>
      <c r="C34" s="249"/>
      <c r="D34" s="248">
        <f>Assumptions!I15*D31</f>
        <v>412500</v>
      </c>
      <c r="E34" s="35"/>
    </row>
    <row r="35" spans="1:5" ht="13.5" thickBot="1">
      <c r="A35" s="40" t="s">
        <v>139</v>
      </c>
      <c r="B35" s="1664"/>
      <c r="C35" s="1665"/>
      <c r="D35" s="41">
        <f>SUM(D33:D34)</f>
        <v>1042500</v>
      </c>
      <c r="E35" s="35"/>
    </row>
    <row r="36" spans="1:5" ht="14.25" thickTop="1" thickBot="1">
      <c r="A36" s="42">
        <v>0.05</v>
      </c>
      <c r="B36" s="1637"/>
      <c r="C36" s="1679"/>
      <c r="D36" s="43">
        <f>-A36*D31</f>
        <v>-412500</v>
      </c>
      <c r="E36" s="35"/>
    </row>
    <row r="37" spans="1:5" ht="14.25" thickTop="1" thickBot="1">
      <c r="A37" s="250" t="s">
        <v>140</v>
      </c>
      <c r="B37" s="44"/>
      <c r="C37" s="251"/>
      <c r="D37" s="45">
        <f>D31+D35+D36</f>
        <v>8880000</v>
      </c>
      <c r="E37" s="35"/>
    </row>
    <row r="38" spans="1:5" ht="12.75">
      <c r="A38" s="10" t="s">
        <v>141</v>
      </c>
      <c r="B38" s="11" t="s">
        <v>130</v>
      </c>
      <c r="C38" s="11" t="s">
        <v>142</v>
      </c>
      <c r="D38" s="46" t="s">
        <v>132</v>
      </c>
      <c r="E38" s="35"/>
    </row>
    <row r="39" spans="1:5" ht="13.5" thickBot="1">
      <c r="A39" s="47" t="s">
        <v>143</v>
      </c>
      <c r="B39" s="48"/>
      <c r="C39" s="48"/>
      <c r="D39" s="48">
        <f>-0.3*D31</f>
        <v>-2475000</v>
      </c>
      <c r="E39" s="35"/>
    </row>
    <row r="40" spans="1:5" ht="13.5" thickBot="1">
      <c r="A40" s="252" t="s">
        <v>144</v>
      </c>
      <c r="B40" s="253"/>
      <c r="C40" s="254"/>
      <c r="D40" s="253">
        <f>D37+D39</f>
        <v>6405000</v>
      </c>
      <c r="E40" s="35"/>
    </row>
    <row r="41" spans="1:5" ht="13.5" thickBot="1">
      <c r="A41" s="255" t="s">
        <v>145</v>
      </c>
      <c r="B41" s="49" t="s">
        <v>146</v>
      </c>
      <c r="C41" s="50">
        <f>Assumptions!L9</f>
        <v>7.0000000000000007E-2</v>
      </c>
      <c r="D41" s="256">
        <f>D40/C41</f>
        <v>91499999.999999985</v>
      </c>
      <c r="E41" s="35"/>
    </row>
    <row r="42" spans="1:5" ht="13.5" thickBot="1">
      <c r="A42" s="1682" t="s">
        <v>147</v>
      </c>
      <c r="B42" s="1683"/>
      <c r="C42" s="1684" t="str">
        <f>D1</f>
        <v>4th Street Site</v>
      </c>
      <c r="D42" s="1685"/>
    </row>
    <row r="43" spans="1:5" ht="13.5" thickBot="1">
      <c r="A43" s="233"/>
      <c r="B43" s="51" t="s">
        <v>148</v>
      </c>
      <c r="C43" s="51" t="s">
        <v>149</v>
      </c>
      <c r="D43" s="51" t="s">
        <v>142</v>
      </c>
    </row>
    <row r="44" spans="1:5" ht="12.75">
      <c r="A44" s="172" t="s">
        <v>150</v>
      </c>
      <c r="B44" s="361">
        <f>Assumptions!I27</f>
        <v>245</v>
      </c>
      <c r="C44" s="257">
        <f>B44*(C10+B16)</f>
        <v>36750000</v>
      </c>
      <c r="D44" s="436">
        <f>C44/B$23</f>
        <v>245</v>
      </c>
    </row>
    <row r="45" spans="1:5" ht="12.75">
      <c r="A45" s="52" t="s">
        <v>151</v>
      </c>
      <c r="B45" s="362" t="e">
        <f>Assumptions!#REF!</f>
        <v>#REF!</v>
      </c>
      <c r="C45" s="53" t="e">
        <f>B20*B45</f>
        <v>#REF!</v>
      </c>
      <c r="D45" s="436" t="e">
        <f t="shared" ref="D45:D64" si="0">C45/B$23</f>
        <v>#REF!</v>
      </c>
    </row>
    <row r="46" spans="1:5" ht="12.75">
      <c r="A46" s="52" t="s">
        <v>19</v>
      </c>
      <c r="B46" s="363">
        <v>0.1</v>
      </c>
      <c r="C46" s="53">
        <f>B46*C44</f>
        <v>3675000</v>
      </c>
      <c r="D46" s="436">
        <f t="shared" si="0"/>
        <v>24.5</v>
      </c>
    </row>
    <row r="47" spans="1:5" ht="12.75">
      <c r="A47" s="52" t="s">
        <v>5</v>
      </c>
      <c r="B47" s="258" t="s">
        <v>24</v>
      </c>
      <c r="C47" s="53">
        <v>0</v>
      </c>
      <c r="D47" s="436"/>
    </row>
    <row r="48" spans="1:5" ht="25.5">
      <c r="A48" s="52" t="s">
        <v>152</v>
      </c>
      <c r="B48" s="259" t="s">
        <v>213</v>
      </c>
      <c r="C48" s="364">
        <v>5000000</v>
      </c>
      <c r="D48" s="436">
        <f t="shared" si="0"/>
        <v>33.333333333333336</v>
      </c>
    </row>
    <row r="49" spans="1:7" ht="12.75">
      <c r="A49" s="52" t="s">
        <v>20</v>
      </c>
      <c r="B49" s="437">
        <v>20</v>
      </c>
      <c r="C49" s="53">
        <f>B23*B49</f>
        <v>3000000</v>
      </c>
      <c r="D49" s="436">
        <f t="shared" si="0"/>
        <v>20</v>
      </c>
    </row>
    <row r="50" spans="1:7" ht="23.25" customHeight="1">
      <c r="A50" s="52" t="s">
        <v>154</v>
      </c>
      <c r="B50" s="365" t="s">
        <v>155</v>
      </c>
      <c r="C50" s="53">
        <f>'Development Program'!E16+'Development Program'!E17</f>
        <v>1000000</v>
      </c>
      <c r="D50" s="436">
        <f t="shared" si="0"/>
        <v>6.666666666666667</v>
      </c>
    </row>
    <row r="51" spans="1:7" ht="12.75">
      <c r="A51" s="197" t="s">
        <v>23</v>
      </c>
      <c r="B51" s="261" t="s">
        <v>24</v>
      </c>
      <c r="C51" s="366">
        <v>400000</v>
      </c>
      <c r="D51" s="436">
        <f t="shared" si="0"/>
        <v>2.6666666666666665</v>
      </c>
    </row>
    <row r="52" spans="1:7" ht="12.75">
      <c r="A52" s="197" t="s">
        <v>25</v>
      </c>
      <c r="B52" s="261" t="s">
        <v>24</v>
      </c>
      <c r="C52" s="366">
        <v>300000</v>
      </c>
      <c r="D52" s="436">
        <f t="shared" si="0"/>
        <v>2</v>
      </c>
      <c r="E52" s="54"/>
    </row>
    <row r="53" spans="1:7" ht="49.5" customHeight="1">
      <c r="A53" s="197" t="s">
        <v>26</v>
      </c>
      <c r="B53" s="367">
        <v>0.04</v>
      </c>
      <c r="C53" s="262">
        <f>B53*(C44+C46)</f>
        <v>1617000</v>
      </c>
      <c r="D53" s="436">
        <f t="shared" si="0"/>
        <v>10.78</v>
      </c>
    </row>
    <row r="54" spans="1:7" ht="22.5" customHeight="1">
      <c r="A54" s="197" t="s">
        <v>27</v>
      </c>
      <c r="B54" s="368">
        <v>0.03</v>
      </c>
      <c r="C54" s="263" t="e">
        <f>B54*SUM(C44:C53)</f>
        <v>#REF!</v>
      </c>
      <c r="D54" s="436" t="e">
        <f t="shared" si="0"/>
        <v>#REF!</v>
      </c>
    </row>
    <row r="55" spans="1:7" ht="12.75">
      <c r="A55" s="197" t="s">
        <v>28</v>
      </c>
      <c r="B55" s="367">
        <v>0.02</v>
      </c>
      <c r="C55" s="262">
        <f>B55*(C44+C46)</f>
        <v>808500</v>
      </c>
      <c r="D55" s="436">
        <f t="shared" si="0"/>
        <v>5.39</v>
      </c>
    </row>
    <row r="56" spans="1:7" ht="26.25" customHeight="1">
      <c r="A56" s="197" t="s">
        <v>156</v>
      </c>
      <c r="B56" s="264" t="s">
        <v>24</v>
      </c>
      <c r="C56" s="366">
        <f>'Development Program'!H20</f>
        <v>250000</v>
      </c>
      <c r="D56" s="436">
        <f t="shared" si="0"/>
        <v>1.6666666666666667</v>
      </c>
    </row>
    <row r="57" spans="1:7" ht="12.75">
      <c r="A57" s="197" t="s">
        <v>30</v>
      </c>
      <c r="B57" s="438">
        <v>6</v>
      </c>
      <c r="C57" s="262">
        <f>B57*B16</f>
        <v>900000</v>
      </c>
      <c r="D57" s="436">
        <f t="shared" si="0"/>
        <v>6</v>
      </c>
    </row>
    <row r="58" spans="1:7" ht="12.75">
      <c r="A58" s="197" t="s">
        <v>31</v>
      </c>
      <c r="B58" s="261" t="s">
        <v>24</v>
      </c>
      <c r="C58" s="366">
        <v>800000</v>
      </c>
      <c r="D58" s="436">
        <f t="shared" si="0"/>
        <v>5.333333333333333</v>
      </c>
    </row>
    <row r="59" spans="1:7" ht="12.75">
      <c r="A59" s="197" t="s">
        <v>32</v>
      </c>
      <c r="B59" s="369">
        <v>6</v>
      </c>
      <c r="C59" s="262">
        <f>-B59*(D39/12)</f>
        <v>1237500</v>
      </c>
      <c r="D59" s="436">
        <f t="shared" si="0"/>
        <v>8.25</v>
      </c>
    </row>
    <row r="60" spans="1:7" ht="12.75">
      <c r="A60" s="197" t="s">
        <v>157</v>
      </c>
      <c r="B60" s="55">
        <v>75</v>
      </c>
      <c r="C60" s="262">
        <f>B16*B60</f>
        <v>11250000</v>
      </c>
      <c r="D60" s="436">
        <f t="shared" si="0"/>
        <v>75</v>
      </c>
    </row>
    <row r="61" spans="1:7" ht="27" customHeight="1">
      <c r="A61" s="197" t="s">
        <v>158</v>
      </c>
      <c r="B61" s="370">
        <v>0.06</v>
      </c>
      <c r="C61" s="263">
        <f>B61*D16*5</f>
        <v>2475000</v>
      </c>
      <c r="D61" s="436">
        <f t="shared" si="0"/>
        <v>16.5</v>
      </c>
    </row>
    <row r="62" spans="1:7" ht="27" customHeight="1">
      <c r="A62" s="197" t="s">
        <v>35</v>
      </c>
      <c r="B62" s="371">
        <v>1.4999999999999999E-2</v>
      </c>
      <c r="C62" s="263">
        <v>1006000</v>
      </c>
      <c r="D62" s="436">
        <f t="shared" si="0"/>
        <v>6.706666666666667</v>
      </c>
      <c r="E62" s="1680" t="s">
        <v>214</v>
      </c>
      <c r="F62" s="1681"/>
      <c r="G62" s="56" t="e">
        <f>B62*B75</f>
        <v>#REF!</v>
      </c>
    </row>
    <row r="63" spans="1:7" ht="12.75">
      <c r="A63" s="265" t="s">
        <v>36</v>
      </c>
      <c r="B63" s="372">
        <v>7.0000000000000007E-2</v>
      </c>
      <c r="C63" s="263">
        <v>4695000</v>
      </c>
      <c r="D63" s="436">
        <f t="shared" si="0"/>
        <v>31.3</v>
      </c>
      <c r="E63" s="1680" t="s">
        <v>214</v>
      </c>
      <c r="F63" s="1681"/>
      <c r="G63" s="57" t="e">
        <f>B63*B75</f>
        <v>#REF!</v>
      </c>
    </row>
    <row r="64" spans="1:7" ht="13.5" thickBot="1">
      <c r="A64" s="200" t="s">
        <v>159</v>
      </c>
      <c r="B64" s="266" t="s">
        <v>24</v>
      </c>
      <c r="C64" s="373">
        <v>2000000</v>
      </c>
      <c r="D64" s="436">
        <f t="shared" si="0"/>
        <v>13.333333333333334</v>
      </c>
    </row>
    <row r="65" spans="1:4" ht="14.25" thickTop="1" thickBot="1">
      <c r="A65" s="268" t="s">
        <v>160</v>
      </c>
      <c r="B65" s="269"/>
      <c r="C65" s="58" t="e">
        <f>SUM(C44:C64)</f>
        <v>#REF!</v>
      </c>
      <c r="D65" s="58" t="e">
        <f>C65/B23</f>
        <v>#REF!</v>
      </c>
    </row>
    <row r="66" spans="1:4" ht="12.75">
      <c r="A66" s="270" t="s">
        <v>161</v>
      </c>
      <c r="B66" s="271" t="e">
        <f>D40/C65</f>
        <v>#REF!</v>
      </c>
    </row>
    <row r="67" spans="1:4" ht="12.75">
      <c r="A67" s="272" t="s">
        <v>162</v>
      </c>
      <c r="B67" s="273" t="e">
        <f>(D41/C65)-1</f>
        <v>#REF!</v>
      </c>
      <c r="C67" s="59"/>
      <c r="D67" s="60"/>
    </row>
    <row r="68" spans="1:4" ht="13.5" thickBot="1">
      <c r="A68" s="274">
        <v>0.3</v>
      </c>
      <c r="B68" s="275">
        <f>(D41/(1+A68))</f>
        <v>70384615.384615377</v>
      </c>
    </row>
    <row r="69" spans="1:4" ht="13.5" thickBot="1">
      <c r="A69" s="374">
        <v>0.3</v>
      </c>
      <c r="B69" s="275" t="e">
        <f>ROUND((D41/(1+A69))-C65,-3)</f>
        <v>#REF!</v>
      </c>
      <c r="C69" s="61" t="s">
        <v>163</v>
      </c>
    </row>
    <row r="70" spans="1:4" ht="13.5" thickBot="1">
      <c r="A70" s="62"/>
      <c r="B70" s="63"/>
    </row>
    <row r="71" spans="1:4" ht="15" customHeight="1" thickBot="1">
      <c r="A71" s="1686" t="s">
        <v>164</v>
      </c>
      <c r="B71" s="1687"/>
      <c r="C71" s="439" t="str">
        <f>D1</f>
        <v>4th Street Site</v>
      </c>
    </row>
    <row r="72" spans="1:4" ht="13.5" thickBot="1">
      <c r="A72" s="277"/>
      <c r="B72" s="278" t="s">
        <v>165</v>
      </c>
      <c r="C72" s="279" t="s">
        <v>240</v>
      </c>
    </row>
    <row r="73" spans="1:4" ht="12.75">
      <c r="A73" s="64" t="s">
        <v>166</v>
      </c>
      <c r="B73" s="65" t="e">
        <f>IF(B69&lt;0,B69,0)</f>
        <v>#REF!</v>
      </c>
      <c r="C73" s="223" t="e">
        <f>B73/B23</f>
        <v>#REF!</v>
      </c>
    </row>
    <row r="74" spans="1:4" ht="12.75">
      <c r="A74" s="66" t="s">
        <v>167</v>
      </c>
      <c r="B74" s="65" t="e">
        <f>C65+B73</f>
        <v>#REF!</v>
      </c>
      <c r="C74" s="223" t="e">
        <f>B74/B$23</f>
        <v>#REF!</v>
      </c>
    </row>
    <row r="75" spans="1:4" ht="12.75">
      <c r="A75" s="375">
        <f>Assumptions!L18</f>
        <v>0.6</v>
      </c>
      <c r="B75" s="67" t="e">
        <f>ROUND(A75*C65,-3)</f>
        <v>#REF!</v>
      </c>
      <c r="C75" s="223" t="e">
        <f t="shared" ref="C75:C77" si="1">B75/B$23</f>
        <v>#REF!</v>
      </c>
    </row>
    <row r="76" spans="1:4" ht="24" customHeight="1" thickBot="1">
      <c r="A76" s="281">
        <f>1-A75</f>
        <v>0.4</v>
      </c>
      <c r="B76" s="67" t="e">
        <f>ROUND(A76*C65,-3)</f>
        <v>#REF!</v>
      </c>
      <c r="C76" s="223" t="e">
        <f t="shared" si="1"/>
        <v>#REF!</v>
      </c>
      <c r="D76" s="60"/>
    </row>
    <row r="77" spans="1:4" ht="35.450000000000003" customHeight="1" thickTop="1">
      <c r="A77" s="86" t="s">
        <v>168</v>
      </c>
      <c r="B77" s="376" t="e">
        <f>B75+B76</f>
        <v>#REF!</v>
      </c>
      <c r="C77" s="223" t="e">
        <f t="shared" si="1"/>
        <v>#REF!</v>
      </c>
    </row>
    <row r="78" spans="1:4" ht="13.5" thickBot="1">
      <c r="A78" s="283"/>
      <c r="B78" s="155"/>
      <c r="C78" s="284"/>
    </row>
    <row r="79" spans="1:4" ht="39" customHeight="1" thickBot="1">
      <c r="A79" s="1688" t="s">
        <v>169</v>
      </c>
      <c r="B79" s="1689"/>
      <c r="C79" s="276" t="str">
        <f>D1</f>
        <v>4th Street Site</v>
      </c>
    </row>
    <row r="80" spans="1:4" ht="48" customHeight="1" thickBot="1">
      <c r="A80" s="68"/>
      <c r="B80" s="285" t="s">
        <v>170</v>
      </c>
      <c r="C80" s="285"/>
    </row>
    <row r="81" spans="1:5" ht="36.75" customHeight="1">
      <c r="A81" s="286" t="s">
        <v>171</v>
      </c>
      <c r="B81" s="288">
        <f>ROUND(D41,-2)</f>
        <v>91500000</v>
      </c>
      <c r="C81" s="288"/>
    </row>
    <row r="82" spans="1:5" ht="29.25" customHeight="1" thickBot="1">
      <c r="A82" s="377">
        <v>0.02</v>
      </c>
      <c r="B82" s="378">
        <f>(-ROUND(A82*B81,-2))</f>
        <v>-1830000</v>
      </c>
      <c r="C82" s="290"/>
    </row>
    <row r="83" spans="1:5" ht="37.5" customHeight="1" thickTop="1" thickBot="1">
      <c r="A83" s="291" t="s">
        <v>172</v>
      </c>
      <c r="B83" s="69">
        <f>B81+B82</f>
        <v>89670000</v>
      </c>
      <c r="C83" s="69"/>
      <c r="E83" s="70"/>
    </row>
    <row r="84" spans="1:5" ht="29.25" customHeight="1">
      <c r="A84" s="286" t="s">
        <v>173</v>
      </c>
      <c r="B84" s="288" t="e">
        <f>-B75</f>
        <v>#REF!</v>
      </c>
      <c r="C84" s="288"/>
    </row>
    <row r="85" spans="1:5" ht="13.5" thickBot="1">
      <c r="A85" s="292" t="s">
        <v>174</v>
      </c>
      <c r="B85" s="290" t="e">
        <f>-B76</f>
        <v>#REF!</v>
      </c>
      <c r="C85" s="290"/>
    </row>
    <row r="86" spans="1:5" ht="14.25" thickTop="1" thickBot="1">
      <c r="A86" s="87" t="s">
        <v>175</v>
      </c>
      <c r="B86" s="71" t="e">
        <f>ROUND(B83+B84+B85,-2)</f>
        <v>#REF!</v>
      </c>
      <c r="C86" s="71"/>
      <c r="D86" s="72"/>
    </row>
    <row r="87" spans="1:5" ht="15" customHeight="1" thickBot="1">
      <c r="A87" s="1688" t="s">
        <v>241</v>
      </c>
      <c r="B87" s="1689"/>
      <c r="C87" s="440" t="str">
        <f>D1</f>
        <v>4th Street Site</v>
      </c>
    </row>
    <row r="88" spans="1:5" ht="12.75">
      <c r="A88" s="294" t="s">
        <v>177</v>
      </c>
      <c r="B88" s="295">
        <f>(B81)/B$23</f>
        <v>610</v>
      </c>
      <c r="C88" s="295"/>
    </row>
    <row r="89" spans="1:5" ht="23.25" customHeight="1" thickBot="1">
      <c r="A89" s="296" t="s">
        <v>178</v>
      </c>
      <c r="B89" s="295">
        <f>(B83)/B$23</f>
        <v>597.79999999999995</v>
      </c>
      <c r="C89" s="297"/>
    </row>
    <row r="90" spans="1:5" ht="14.45" hidden="1" customHeight="1">
      <c r="A90" s="1676" t="s">
        <v>179</v>
      </c>
      <c r="B90" s="1677"/>
      <c r="C90" s="1678"/>
    </row>
    <row r="91" spans="1:5" ht="13.5" thickBot="1">
      <c r="A91" s="283"/>
      <c r="B91" s="73"/>
      <c r="C91" s="73"/>
    </row>
    <row r="92" spans="1:5" ht="29.25" customHeight="1">
      <c r="A92" s="74"/>
      <c r="B92" s="285" t="s">
        <v>170</v>
      </c>
      <c r="C92" s="285"/>
    </row>
    <row r="93" spans="1:5" ht="12.75">
      <c r="A93" s="298" t="s">
        <v>180</v>
      </c>
      <c r="B93" s="299" t="e">
        <f>(B86+B76)/B76</f>
        <v>#REF!</v>
      </c>
      <c r="C93" s="299"/>
    </row>
    <row r="94" spans="1:5" ht="23.25" customHeight="1">
      <c r="A94" s="300" t="s">
        <v>181</v>
      </c>
      <c r="B94" s="115" t="e">
        <f>'F Draw'!B38</f>
        <v>#REF!</v>
      </c>
      <c r="C94" s="115"/>
      <c r="D94" s="75"/>
    </row>
    <row r="95" spans="1:5" ht="23.25" customHeight="1">
      <c r="A95" s="298" t="s">
        <v>182</v>
      </c>
      <c r="B95" s="301" t="e">
        <f>D40/B75</f>
        <v>#REF!</v>
      </c>
      <c r="C95" s="301"/>
    </row>
    <row r="96" spans="1:5" ht="23.25" customHeight="1">
      <c r="A96" s="298" t="s">
        <v>183</v>
      </c>
      <c r="B96" s="302">
        <f>C41</f>
        <v>7.0000000000000007E-2</v>
      </c>
      <c r="C96" s="302"/>
    </row>
    <row r="103" spans="1:4" ht="23.25" hidden="1" customHeight="1" thickBot="1"/>
    <row r="109" spans="1:4" ht="23.25" customHeight="1">
      <c r="A109" s="116"/>
      <c r="B109" s="116"/>
      <c r="C109" s="116"/>
      <c r="D109" s="32"/>
    </row>
  </sheetData>
  <mergeCells count="16">
    <mergeCell ref="A90:C90"/>
    <mergeCell ref="B36:C36"/>
    <mergeCell ref="E62:F62"/>
    <mergeCell ref="E63:F63"/>
    <mergeCell ref="A42:B42"/>
    <mergeCell ref="C42:D42"/>
    <mergeCell ref="A71:B71"/>
    <mergeCell ref="A79:B79"/>
    <mergeCell ref="A87:B87"/>
    <mergeCell ref="B35:C35"/>
    <mergeCell ref="B30:C30"/>
    <mergeCell ref="B31:C31"/>
    <mergeCell ref="A1:C1"/>
    <mergeCell ref="D1:E1"/>
    <mergeCell ref="C27:D27"/>
    <mergeCell ref="A27:B27"/>
  </mergeCells>
  <printOptions horizontalCentered="1" verticalCentered="1"/>
  <pageMargins left="0.7" right="0.7" top="0.75" bottom="0.75" header="0.3" footer="0.3"/>
  <pageSetup fitToHeight="0" orientation="landscape" horizontalDpi="4294967292" verticalDpi="4294967292" r:id="rId1"/>
  <headerFooter>
    <oddHeader>&amp;C&amp;"Times New Roman Bold,Bold"&amp;14&amp;K000000INVESTOR SHEET</oddHeader>
    <oddFooter>&amp;CPage &amp;P of &amp;N</oddFooter>
  </headerFooter>
  <rowBreaks count="3" manualBreakCount="3">
    <brk id="35" max="8" man="1"/>
    <brk id="53" max="8" man="1"/>
    <brk id="83" max="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70B87-074F-4377-9ED5-336E2F468A7E}">
  <sheetPr>
    <tabColor rgb="FF00B0F0"/>
    <pageSetUpPr fitToPage="1"/>
  </sheetPr>
  <dimension ref="B3:R35"/>
  <sheetViews>
    <sheetView zoomScale="55" zoomScaleNormal="55" workbookViewId="0">
      <selection sqref="A1:S64"/>
    </sheetView>
  </sheetViews>
  <sheetFormatPr defaultRowHeight="15"/>
  <cols>
    <col min="1" max="1" width="6" customWidth="1"/>
    <col min="2" max="2" width="76.140625" customWidth="1"/>
    <col min="3" max="3" width="8.42578125" bestFit="1" customWidth="1"/>
    <col min="4" max="4" width="14.140625" bestFit="1" customWidth="1"/>
    <col min="5" max="5" width="11.85546875" bestFit="1" customWidth="1"/>
    <col min="6" max="6" width="9.42578125" bestFit="1" customWidth="1"/>
    <col min="7" max="7" width="8" bestFit="1" customWidth="1"/>
    <col min="8" max="9" width="8.140625" bestFit="1" customWidth="1"/>
    <col min="10" max="10" width="4.85546875" customWidth="1"/>
    <col min="11" max="11" width="53.140625" customWidth="1"/>
    <col min="12" max="12" width="26.5703125" bestFit="1" customWidth="1"/>
    <col min="13" max="13" width="26.140625" bestFit="1" customWidth="1"/>
    <col min="14" max="14" width="22.42578125" bestFit="1" customWidth="1"/>
    <col min="15" max="15" width="23.5703125" bestFit="1" customWidth="1"/>
    <col min="16" max="16" width="25.85546875" bestFit="1" customWidth="1"/>
    <col min="17" max="17" width="25.28515625" bestFit="1" customWidth="1"/>
    <col min="18" max="18" width="15.42578125" bestFit="1" customWidth="1"/>
  </cols>
  <sheetData>
    <row r="3" spans="2:18">
      <c r="B3" s="1345" t="s">
        <v>523</v>
      </c>
    </row>
    <row r="4" spans="2:18" s="2" customFormat="1" ht="15.75" thickBot="1">
      <c r="C4" s="1344"/>
      <c r="D4" s="1344"/>
      <c r="E4" s="1344"/>
      <c r="F4" s="1344"/>
      <c r="G4" s="1344"/>
      <c r="H4" s="1344"/>
      <c r="I4" s="1344"/>
    </row>
    <row r="5" spans="2:18" s="7" customFormat="1" ht="17.25">
      <c r="B5" s="1437" t="s">
        <v>43</v>
      </c>
      <c r="C5" s="1438" t="s">
        <v>524</v>
      </c>
      <c r="D5" s="1438" t="s">
        <v>528</v>
      </c>
      <c r="E5" s="1438" t="s">
        <v>543</v>
      </c>
      <c r="F5" s="1438" t="s">
        <v>6</v>
      </c>
      <c r="G5" s="1438" t="s">
        <v>525</v>
      </c>
      <c r="H5" s="1438" t="s">
        <v>526</v>
      </c>
      <c r="I5" s="1439" t="s">
        <v>527</v>
      </c>
      <c r="K5" s="1465" t="s">
        <v>554</v>
      </c>
      <c r="L5" s="1466" t="s">
        <v>540</v>
      </c>
      <c r="M5" s="1466" t="s">
        <v>546</v>
      </c>
      <c r="N5" s="1466" t="s">
        <v>555</v>
      </c>
      <c r="O5" s="1466" t="s">
        <v>605</v>
      </c>
      <c r="P5" s="1466" t="s">
        <v>547</v>
      </c>
      <c r="Q5" s="1466" t="s">
        <v>602</v>
      </c>
      <c r="R5" s="1467" t="s">
        <v>52</v>
      </c>
    </row>
    <row r="6" spans="2:18" s="7" customFormat="1" ht="12.75">
      <c r="B6" s="1440" t="str">
        <f>'Development Program'!B24</f>
        <v>King Condominiums</v>
      </c>
      <c r="C6" s="1346">
        <v>0.65</v>
      </c>
      <c r="D6" s="1441">
        <f>SUM(F6:I6)</f>
        <v>104</v>
      </c>
      <c r="E6" s="1441">
        <f>'King Condominiums Financial '!D16</f>
        <v>771.15384615384619</v>
      </c>
      <c r="F6" s="1442">
        <f>'King Condominiums Financial '!C12</f>
        <v>40</v>
      </c>
      <c r="G6" s="1442">
        <f>'King Condominiums Financial '!C13</f>
        <v>36</v>
      </c>
      <c r="H6" s="1442">
        <f>'King Condominiums Financial '!C14</f>
        <v>22</v>
      </c>
      <c r="I6" s="1443">
        <f>'King Condominiums Financial '!C15</f>
        <v>6</v>
      </c>
      <c r="K6" s="1468"/>
      <c r="L6" s="1454"/>
      <c r="M6" s="1455"/>
      <c r="N6" s="1456"/>
      <c r="O6" s="1456"/>
      <c r="P6" s="1456"/>
      <c r="Q6" s="1456"/>
      <c r="R6" s="1469"/>
    </row>
    <row r="7" spans="2:18" s="7" customFormat="1" ht="12.75">
      <c r="B7" s="1512" t="str">
        <f>'Development Program'!B26</f>
        <v>Glacier Peak Apts</v>
      </c>
      <c r="C7" s="1346">
        <v>0.5</v>
      </c>
      <c r="D7" s="1441">
        <f>SUM(F7:I7)</f>
        <v>91</v>
      </c>
      <c r="E7" s="1441">
        <f>'Glacier Peak Financial'!D20</f>
        <v>659.01639344262298</v>
      </c>
      <c r="F7" s="1442">
        <f>'Glacier Peak Financial'!C13</f>
        <v>30</v>
      </c>
      <c r="G7" s="1442">
        <f>'Glacier Peak Financial'!C15</f>
        <v>45</v>
      </c>
      <c r="H7" s="1442">
        <f>'Glacier Peak Financial'!C17</f>
        <v>12</v>
      </c>
      <c r="I7" s="1443">
        <f>'Glacier Peak Financial'!C19</f>
        <v>4</v>
      </c>
      <c r="K7" s="1470">
        <v>191605</v>
      </c>
      <c r="L7" s="795">
        <f>K7*'Glacier Peak Financial'!C21</f>
        <v>117645470</v>
      </c>
      <c r="M7" s="1457">
        <f>MIN($C$27,$D$27)</f>
        <v>0.22857735076082716</v>
      </c>
      <c r="N7" s="795">
        <f>M7*L7</f>
        <v>26891089.861612368</v>
      </c>
      <c r="O7" s="1458">
        <v>3.44E-2</v>
      </c>
      <c r="P7" s="795">
        <f>N7*O7*10</f>
        <v>9250534.912394654</v>
      </c>
      <c r="Q7" s="1459">
        <v>0.88</v>
      </c>
      <c r="R7" s="1471">
        <f>P7*Q7</f>
        <v>8140470.7229072955</v>
      </c>
    </row>
    <row r="8" spans="2:18" s="7" customFormat="1" ht="12.75">
      <c r="B8" s="1512"/>
      <c r="C8" s="1346">
        <v>0.3</v>
      </c>
      <c r="D8" s="1441">
        <f>SUM(F8:I8)</f>
        <v>31</v>
      </c>
      <c r="E8" s="1441">
        <f>E7</f>
        <v>659.01639344262298</v>
      </c>
      <c r="F8" s="1442">
        <f>'Glacier Peak Financial'!C12</f>
        <v>10</v>
      </c>
      <c r="G8" s="1442">
        <f>'Glacier Peak Financial'!C14</f>
        <v>15</v>
      </c>
      <c r="H8" s="1442">
        <f>'Glacier Peak Financial'!C16</f>
        <v>4</v>
      </c>
      <c r="I8" s="1443">
        <f>'Glacier Peak Financial'!C18</f>
        <v>2</v>
      </c>
      <c r="K8" s="1470">
        <f>K7</f>
        <v>191605</v>
      </c>
      <c r="L8" s="795">
        <f>K8*'Glacier Peak Financial'!C21</f>
        <v>117645470</v>
      </c>
      <c r="M8" s="1457">
        <f>MIN($C$27,$D$27)</f>
        <v>0.22857735076082716</v>
      </c>
      <c r="N8" s="795">
        <f>M8*L8</f>
        <v>26891089.861612368</v>
      </c>
      <c r="O8" s="1458">
        <f t="shared" ref="O8:O14" si="0">O7</f>
        <v>3.44E-2</v>
      </c>
      <c r="P8" s="795">
        <f t="shared" ref="P8:P14" si="1">N8*O8*10</f>
        <v>9250534.912394654</v>
      </c>
      <c r="Q8" s="1459">
        <f>Q7</f>
        <v>0.88</v>
      </c>
      <c r="R8" s="1471">
        <f t="shared" ref="R8:R9" si="2">P8*Q8</f>
        <v>8140470.7229072955</v>
      </c>
    </row>
    <row r="9" spans="2:18" s="7" customFormat="1" ht="12.75">
      <c r="B9" s="1444" t="str">
        <f>'Development Program'!B27</f>
        <v>4th Street Site</v>
      </c>
      <c r="C9" s="1346">
        <v>0.5</v>
      </c>
      <c r="D9" s="1441">
        <f>'4th Street Financial '!C5</f>
        <v>115</v>
      </c>
      <c r="E9" s="1441">
        <f>'4th Street Financial '!D7</f>
        <v>240</v>
      </c>
      <c r="F9" s="1515" t="s">
        <v>529</v>
      </c>
      <c r="G9" s="1515"/>
      <c r="H9" s="1515"/>
      <c r="I9" s="1516"/>
      <c r="K9" s="1470">
        <v>40573</v>
      </c>
      <c r="L9" s="795">
        <f>K9*'4th Street Financial '!C6</f>
        <v>4665895</v>
      </c>
      <c r="M9" s="1457">
        <f>MIN($C$27,$D$27)</f>
        <v>0.22857735076082716</v>
      </c>
      <c r="N9" s="795">
        <f>M9*L9</f>
        <v>1066517.9180281896</v>
      </c>
      <c r="O9" s="1458">
        <v>3.44E-2</v>
      </c>
      <c r="P9" s="795">
        <f t="shared" si="1"/>
        <v>366882.16380169726</v>
      </c>
      <c r="Q9" s="1459">
        <f>Q8</f>
        <v>0.88</v>
      </c>
      <c r="R9" s="1471">
        <f t="shared" si="2"/>
        <v>322856.3041454936</v>
      </c>
    </row>
    <row r="10" spans="2:18" s="7" customFormat="1" ht="12.75">
      <c r="B10" s="1444" t="str">
        <f>'Development Program'!B28</f>
        <v>Chinook Condos</v>
      </c>
      <c r="C10" s="1346">
        <v>0.65</v>
      </c>
      <c r="D10" s="1441">
        <f>SUM(G10:I10)</f>
        <v>39</v>
      </c>
      <c r="E10" s="1441">
        <f>'Chinook Financial'!D11</f>
        <v>1013.8461538461538</v>
      </c>
      <c r="F10" s="1445">
        <v>0</v>
      </c>
      <c r="G10" s="1442">
        <f>'Chinook Financial'!C9</f>
        <v>33</v>
      </c>
      <c r="H10" s="1442">
        <f>'Chinook Financial'!C10</f>
        <v>6</v>
      </c>
      <c r="I10" s="1443">
        <v>0</v>
      </c>
      <c r="K10" s="1468"/>
      <c r="L10" s="1454"/>
      <c r="M10" s="1455"/>
      <c r="N10" s="1454"/>
      <c r="O10" s="1454"/>
      <c r="P10" s="1454"/>
      <c r="Q10" s="1460"/>
      <c r="R10" s="1472"/>
    </row>
    <row r="11" spans="2:18" s="7" customFormat="1" ht="12.75">
      <c r="B11" s="1512" t="str">
        <f>'Development Program'!B29</f>
        <v>Baker Tower Apts</v>
      </c>
      <c r="C11" s="1346">
        <v>0.5</v>
      </c>
      <c r="D11" s="1441">
        <f>SUM(F11:I11)</f>
        <v>49</v>
      </c>
      <c r="E11" s="1441">
        <f>'Baker Tower Financial'!D20</f>
        <v>693.87755102040819</v>
      </c>
      <c r="F11" s="1442">
        <f>'Baker Tower Financial'!C13</f>
        <v>18</v>
      </c>
      <c r="G11" s="1442">
        <f>'Baker Tower Financial'!C15</f>
        <v>22</v>
      </c>
      <c r="H11" s="1442">
        <f>'Baker Tower Financial'!C17</f>
        <v>6</v>
      </c>
      <c r="I11" s="1443">
        <f>'Baker Tower Financial'!C19</f>
        <v>3</v>
      </c>
      <c r="K11" s="1470">
        <v>235835</v>
      </c>
      <c r="L11" s="795">
        <f>K11*'Baker Tower Financial'!C21</f>
        <v>114945979</v>
      </c>
      <c r="M11" s="1457">
        <f>MIN($C$27,$D$27)</f>
        <v>0.22857735076082716</v>
      </c>
      <c r="N11" s="795">
        <f>M11*L11</f>
        <v>26274047.360429674</v>
      </c>
      <c r="O11" s="1458">
        <v>3.44E-2</v>
      </c>
      <c r="P11" s="795">
        <f t="shared" si="1"/>
        <v>9038272.2919878084</v>
      </c>
      <c r="Q11" s="1459">
        <f>Q9</f>
        <v>0.88</v>
      </c>
      <c r="R11" s="1471">
        <f>P11*Q11</f>
        <v>7953679.6169492714</v>
      </c>
    </row>
    <row r="12" spans="2:18" s="7" customFormat="1" ht="12.75">
      <c r="B12" s="1512"/>
      <c r="C12" s="1346">
        <v>0.3</v>
      </c>
      <c r="D12" s="1441">
        <f>SUM(F12:I12)</f>
        <v>49</v>
      </c>
      <c r="E12" s="1441">
        <f>E11</f>
        <v>693.87755102040819</v>
      </c>
      <c r="F12" s="1442">
        <f>'Baker Tower Financial'!C12</f>
        <v>18</v>
      </c>
      <c r="G12" s="1442">
        <f>'Baker Tower Financial'!C14</f>
        <v>22</v>
      </c>
      <c r="H12" s="1442">
        <f>'Baker Tower Financial'!C16</f>
        <v>6</v>
      </c>
      <c r="I12" s="1443">
        <f>'Baker Tower Financial'!C18</f>
        <v>3</v>
      </c>
      <c r="K12" s="1470">
        <f>K11</f>
        <v>235835</v>
      </c>
      <c r="L12" s="795">
        <f>K12*'Baker Tower Financial'!C21</f>
        <v>114945979</v>
      </c>
      <c r="M12" s="1457">
        <f>MIN($C$27,$D$27)</f>
        <v>0.22857735076082716</v>
      </c>
      <c r="N12" s="795">
        <f>M12*L12</f>
        <v>26274047.360429674</v>
      </c>
      <c r="O12" s="1458">
        <f t="shared" si="0"/>
        <v>3.44E-2</v>
      </c>
      <c r="P12" s="795">
        <f t="shared" si="1"/>
        <v>9038272.2919878084</v>
      </c>
      <c r="Q12" s="1459">
        <f>Q11</f>
        <v>0.88</v>
      </c>
      <c r="R12" s="1471">
        <f t="shared" ref="R12:R14" si="3">P12*Q12</f>
        <v>7953679.6169492714</v>
      </c>
    </row>
    <row r="13" spans="2:18" s="7" customFormat="1" ht="12.75">
      <c r="B13" s="1513" t="str">
        <f>'Development Program'!B30</f>
        <v>Rainier Tower Apts</v>
      </c>
      <c r="C13" s="1346">
        <v>0.5</v>
      </c>
      <c r="D13" s="1441">
        <f>SUM(F13:I13)</f>
        <v>57</v>
      </c>
      <c r="E13" s="1441">
        <f>'Rainier Tower Financial '!D20</f>
        <v>700.88495575221236</v>
      </c>
      <c r="F13" s="1446">
        <f>'Rainier Tower Financial '!C13</f>
        <v>19</v>
      </c>
      <c r="G13" s="1446">
        <f>'Rainier Tower Financial '!C15</f>
        <v>27</v>
      </c>
      <c r="H13" s="1446">
        <f>'Rainier Tower Financial '!C17</f>
        <v>7</v>
      </c>
      <c r="I13" s="1447">
        <f>'Rainier Tower Financial '!C19</f>
        <v>4</v>
      </c>
      <c r="K13" s="1470">
        <v>272294</v>
      </c>
      <c r="L13" s="795">
        <f>K13*'Rainier Tower Financial '!C21</f>
        <v>151395464</v>
      </c>
      <c r="M13" s="1457">
        <f>MIN($C$27,$D$27)</f>
        <v>0.22857735076082716</v>
      </c>
      <c r="N13" s="795">
        <f>M13*L13</f>
        <v>34605574.078326181</v>
      </c>
      <c r="O13" s="1458">
        <f t="shared" si="0"/>
        <v>3.44E-2</v>
      </c>
      <c r="P13" s="795">
        <f t="shared" si="1"/>
        <v>11904317.482944205</v>
      </c>
      <c r="Q13" s="1459">
        <v>0.88</v>
      </c>
      <c r="R13" s="1471">
        <f t="shared" si="3"/>
        <v>10475799.384990901</v>
      </c>
    </row>
    <row r="14" spans="2:18" s="7" customFormat="1" ht="13.5" thickBot="1">
      <c r="B14" s="1514"/>
      <c r="C14" s="1448">
        <v>0.3</v>
      </c>
      <c r="D14" s="1449">
        <f>SUM(F14:I14)</f>
        <v>56</v>
      </c>
      <c r="E14" s="1449">
        <f>E13</f>
        <v>700.88495575221236</v>
      </c>
      <c r="F14" s="1450">
        <f>'Rainier Tower Financial '!C12</f>
        <v>19</v>
      </c>
      <c r="G14" s="1450">
        <f>'Rainier Tower Financial '!C14</f>
        <v>27</v>
      </c>
      <c r="H14" s="1450">
        <f>'Rainier Tower Financial '!C16</f>
        <v>7</v>
      </c>
      <c r="I14" s="1451">
        <f>'Rainier Tower Financial '!C18</f>
        <v>3</v>
      </c>
      <c r="K14" s="1473">
        <v>272294</v>
      </c>
      <c r="L14" s="1340">
        <f>K14*'Rainier Tower Financial '!C21</f>
        <v>151395464</v>
      </c>
      <c r="M14" s="1357">
        <f>MIN($C$27,$D$27)</f>
        <v>0.22857735076082716</v>
      </c>
      <c r="N14" s="1340">
        <f>M14*L14</f>
        <v>34605574.078326181</v>
      </c>
      <c r="O14" s="1358">
        <f t="shared" si="0"/>
        <v>3.44E-2</v>
      </c>
      <c r="P14" s="1340">
        <f t="shared" si="1"/>
        <v>11904317.482944205</v>
      </c>
      <c r="Q14" s="1453">
        <v>0.88</v>
      </c>
      <c r="R14" s="1474">
        <f t="shared" si="3"/>
        <v>10475799.384990901</v>
      </c>
    </row>
    <row r="15" spans="2:18" s="7" customFormat="1" ht="13.5" thickBot="1">
      <c r="B15" s="1475" t="s">
        <v>470</v>
      </c>
      <c r="C15" s="1476"/>
      <c r="D15" s="1477">
        <f>SUM(D6:D14)</f>
        <v>591</v>
      </c>
      <c r="E15" s="1477"/>
      <c r="F15" s="1477">
        <f>SUM(F6:F14)</f>
        <v>154</v>
      </c>
      <c r="G15" s="1477">
        <f>SUM(G6:G14)</f>
        <v>227</v>
      </c>
      <c r="H15" s="1477">
        <f>SUM(H6:H14)</f>
        <v>70</v>
      </c>
      <c r="I15" s="1478">
        <f>SUM(I6:I14)</f>
        <v>25</v>
      </c>
      <c r="K15" s="1461"/>
      <c r="L15" s="1462">
        <f>SUM(L6:L14)</f>
        <v>772639721</v>
      </c>
      <c r="M15" s="1463"/>
      <c r="N15" s="1462">
        <f>SUM(N6:N14)</f>
        <v>176607940.51876462</v>
      </c>
      <c r="O15" s="1462"/>
      <c r="P15" s="1462">
        <f t="shared" ref="P15:R15" si="4">SUM(P6:P14)</f>
        <v>60753131.538455032</v>
      </c>
      <c r="Q15" s="1463"/>
      <c r="R15" s="1464">
        <f t="shared" si="4"/>
        <v>53462755.753840432</v>
      </c>
    </row>
    <row r="16" spans="2:18" s="2" customFormat="1" ht="14.25">
      <c r="L16" s="1341"/>
      <c r="M16" s="76"/>
      <c r="N16" s="76"/>
      <c r="O16" s="76"/>
      <c r="P16" s="76"/>
      <c r="Q16" s="76"/>
      <c r="R16" s="76"/>
    </row>
    <row r="17" spans="2:18" s="2" customFormat="1" ht="14.25">
      <c r="B17" s="148" t="s">
        <v>551</v>
      </c>
      <c r="K17" s="795"/>
      <c r="L17" s="795"/>
      <c r="M17" s="1427"/>
      <c r="N17" s="1425"/>
      <c r="O17" s="1425"/>
      <c r="P17" s="76"/>
      <c r="Q17" s="76"/>
      <c r="R17" s="76"/>
    </row>
    <row r="18" spans="2:18" s="2" customFormat="1" ht="14.25">
      <c r="B18" s="7" t="s">
        <v>530</v>
      </c>
      <c r="K18" s="795"/>
      <c r="L18" s="795"/>
      <c r="M18" s="76"/>
      <c r="N18" s="170"/>
      <c r="Q18" s="76"/>
    </row>
    <row r="19" spans="2:18">
      <c r="B19" s="7" t="s">
        <v>531</v>
      </c>
      <c r="K19" s="986" t="s">
        <v>548</v>
      </c>
      <c r="L19" s="795"/>
      <c r="Q19" s="983"/>
    </row>
    <row r="20" spans="2:18">
      <c r="B20" s="7" t="s">
        <v>532</v>
      </c>
      <c r="E20" s="980"/>
      <c r="K20" t="s">
        <v>556</v>
      </c>
      <c r="Q20" s="983"/>
    </row>
    <row r="21" spans="2:18">
      <c r="E21" s="980"/>
      <c r="K21" t="s">
        <v>549</v>
      </c>
      <c r="Q21" s="983"/>
    </row>
    <row r="22" spans="2:18">
      <c r="E22" s="980"/>
      <c r="K22" t="s">
        <v>550</v>
      </c>
      <c r="Q22" s="983"/>
    </row>
    <row r="23" spans="2:18">
      <c r="B23" s="1345" t="s">
        <v>541</v>
      </c>
      <c r="C23" s="2"/>
      <c r="E23" s="980"/>
      <c r="K23" t="s">
        <v>606</v>
      </c>
      <c r="Q23" s="983"/>
    </row>
    <row r="24" spans="2:18">
      <c r="B24" s="1348" t="s">
        <v>542</v>
      </c>
      <c r="C24" s="1349" t="s">
        <v>373</v>
      </c>
      <c r="D24" s="1350" t="s">
        <v>486</v>
      </c>
      <c r="E24" s="980"/>
      <c r="K24" t="s">
        <v>557</v>
      </c>
      <c r="Q24" s="983"/>
    </row>
    <row r="25" spans="2:18">
      <c r="B25" s="1351" t="s">
        <v>544</v>
      </c>
      <c r="C25" s="981">
        <f>D15</f>
        <v>591</v>
      </c>
      <c r="D25" s="1352">
        <f>(D6*E6)+(D7*E7)+(D8*E8)+(D9*E9)+(D10*E10)+(D11*E11)+(D12*E12)+(D13*E13)+(D14*E14)</f>
        <v>374940</v>
      </c>
      <c r="K25" t="s">
        <v>558</v>
      </c>
      <c r="Q25" s="983"/>
    </row>
    <row r="26" spans="2:18">
      <c r="B26" s="1353" t="s">
        <v>165</v>
      </c>
      <c r="C26" s="1347">
        <v>2488</v>
      </c>
      <c r="D26" s="1354">
        <f>'King Condominiums Financial '!D17+'Glacier Peak Financial'!D21+'Chinook Financial'!D12+'4th Street Financial '!D6+'Baker Tower Financial'!D21+'Rainier Tower Financial '!D21</f>
        <v>1640320</v>
      </c>
      <c r="Q26" s="983"/>
    </row>
    <row r="27" spans="2:18">
      <c r="B27" s="1353" t="s">
        <v>545</v>
      </c>
      <c r="C27" s="1355">
        <f>C25/C26</f>
        <v>0.23754019292604503</v>
      </c>
      <c r="D27" s="1356">
        <f>D25/D26</f>
        <v>0.22857735076082716</v>
      </c>
      <c r="P27" s="1426"/>
    </row>
    <row r="28" spans="2:18">
      <c r="P28" s="1426"/>
    </row>
    <row r="29" spans="2:18">
      <c r="P29" s="1426"/>
    </row>
    <row r="30" spans="2:18">
      <c r="P30" s="1426"/>
    </row>
    <row r="31" spans="2:18">
      <c r="B31" s="1345" t="s">
        <v>552</v>
      </c>
      <c r="C31" s="1359"/>
      <c r="D31" s="1359"/>
      <c r="E31" s="1359"/>
      <c r="F31" s="1359"/>
      <c r="G31" s="1359"/>
      <c r="H31" s="1359"/>
      <c r="I31" s="1359"/>
      <c r="P31" s="1426"/>
    </row>
    <row r="32" spans="2:18">
      <c r="P32" s="1426"/>
    </row>
    <row r="33" spans="2:16">
      <c r="B33" t="s">
        <v>553</v>
      </c>
      <c r="P33" s="1426"/>
    </row>
    <row r="34" spans="2:16">
      <c r="P34" s="1426"/>
    </row>
    <row r="35" spans="2:16">
      <c r="P35" s="1426"/>
    </row>
  </sheetData>
  <mergeCells count="4">
    <mergeCell ref="B7:B8"/>
    <mergeCell ref="B11:B12"/>
    <mergeCell ref="B13:B14"/>
    <mergeCell ref="F9:I9"/>
  </mergeCells>
  <pageMargins left="0.7" right="0.7" top="0.75" bottom="0.75" header="0.3" footer="0.3"/>
  <pageSetup paperSize="3" scale="53" orientation="landscape" r:id="rId1"/>
  <ignoredErrors>
    <ignoredError sqref="E13 P8 P1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CC59E-0FFE-4AA1-AD24-513CA3AB3513}">
  <sheetPr>
    <tabColor rgb="FF00B0F0"/>
    <pageSetUpPr fitToPage="1"/>
  </sheetPr>
  <dimension ref="B3:AG55"/>
  <sheetViews>
    <sheetView topLeftCell="H1" zoomScale="70" zoomScaleNormal="70" workbookViewId="0">
      <selection sqref="A1:AG31"/>
    </sheetView>
  </sheetViews>
  <sheetFormatPr defaultRowHeight="15"/>
  <cols>
    <col min="1" max="1" width="9.140625" customWidth="1"/>
    <col min="2" max="2" width="12.85546875" customWidth="1"/>
    <col min="3" max="3" width="5" bestFit="1" customWidth="1"/>
    <col min="4" max="4" width="21.7109375" bestFit="1" customWidth="1"/>
    <col min="5" max="5" width="3.7109375" customWidth="1"/>
    <col min="6" max="6" width="16" customWidth="1"/>
    <col min="7" max="7" width="6.85546875" customWidth="1"/>
    <col min="8" max="8" width="23.5703125" bestFit="1" customWidth="1"/>
    <col min="9" max="9" width="3.7109375" customWidth="1"/>
    <col min="10" max="10" width="11.85546875" bestFit="1" customWidth="1"/>
    <col min="11" max="11" width="3" bestFit="1" customWidth="1"/>
    <col min="12" max="12" width="16.85546875" bestFit="1" customWidth="1"/>
    <col min="13" max="13" width="9.140625" customWidth="1"/>
    <col min="15" max="15" width="18.5703125" bestFit="1" customWidth="1"/>
    <col min="16" max="16" width="25" bestFit="1" customWidth="1"/>
    <col min="17" max="17" width="24.5703125" bestFit="1" customWidth="1"/>
    <col min="18" max="18" width="20.28515625" bestFit="1" customWidth="1"/>
    <col min="19" max="19" width="14.7109375" bestFit="1" customWidth="1"/>
    <col min="20" max="20" width="16.7109375" bestFit="1" customWidth="1"/>
    <col min="21" max="21" width="4.7109375" customWidth="1"/>
    <col min="22" max="22" width="16.7109375" customWidth="1"/>
    <col min="23" max="23" width="19.42578125" customWidth="1"/>
    <col min="24" max="24" width="13.7109375" bestFit="1" customWidth="1"/>
    <col min="25" max="25" width="4.7109375" customWidth="1"/>
    <col min="26" max="26" width="20.42578125" customWidth="1"/>
    <col min="27" max="27" width="19.140625" customWidth="1"/>
    <col min="28" max="28" width="14" bestFit="1" customWidth="1"/>
    <col min="29" max="29" width="4.7109375" customWidth="1"/>
    <col min="30" max="30" width="12.85546875" style="980" bestFit="1" customWidth="1"/>
    <col min="31" max="31" width="12.140625" style="980" bestFit="1" customWidth="1"/>
    <col min="32" max="32" width="15.140625" style="980" customWidth="1"/>
    <col min="33" max="33" width="18.5703125" customWidth="1"/>
  </cols>
  <sheetData>
    <row r="3" spans="2:33">
      <c r="B3" s="1213" t="s">
        <v>480</v>
      </c>
      <c r="C3" s="1210"/>
      <c r="D3" s="1210"/>
      <c r="O3" s="1213" t="s">
        <v>460</v>
      </c>
      <c r="P3" s="1213"/>
      <c r="Z3" s="1213" t="s">
        <v>484</v>
      </c>
      <c r="AA3" s="1213"/>
    </row>
    <row r="4" spans="2:33">
      <c r="W4" s="980"/>
      <c r="X4" s="980"/>
    </row>
    <row r="5" spans="2:33">
      <c r="W5" s="980"/>
    </row>
    <row r="6" spans="2:33">
      <c r="B6" s="1107" t="s">
        <v>336</v>
      </c>
      <c r="C6" s="1108"/>
      <c r="D6" s="1109"/>
      <c r="E6" s="987"/>
      <c r="F6" s="1110" t="s">
        <v>385</v>
      </c>
      <c r="G6" s="1095"/>
      <c r="H6" s="1096"/>
      <c r="I6" s="980"/>
      <c r="J6" s="980"/>
      <c r="K6" s="980"/>
      <c r="L6" s="980"/>
      <c r="O6" s="1191" t="s">
        <v>358</v>
      </c>
      <c r="P6" s="1191" t="s">
        <v>461</v>
      </c>
      <c r="Q6" s="1191" t="s">
        <v>468</v>
      </c>
      <c r="R6" s="1191" t="s">
        <v>469</v>
      </c>
      <c r="S6" s="1191" t="s">
        <v>462</v>
      </c>
      <c r="T6" s="1191" t="s">
        <v>463</v>
      </c>
      <c r="U6" s="986"/>
      <c r="V6" s="1192" t="s">
        <v>471</v>
      </c>
      <c r="W6" s="1192" t="s">
        <v>464</v>
      </c>
      <c r="X6" s="1192" t="s">
        <v>465</v>
      </c>
      <c r="Y6" s="986"/>
      <c r="Z6" s="1192" t="s">
        <v>59</v>
      </c>
      <c r="AA6" s="1192" t="s">
        <v>474</v>
      </c>
      <c r="AB6" s="1192" t="s">
        <v>476</v>
      </c>
      <c r="AC6" s="986"/>
      <c r="AD6" s="1191" t="s">
        <v>477</v>
      </c>
      <c r="AE6" s="1191" t="s">
        <v>478</v>
      </c>
      <c r="AF6" s="1191" t="s">
        <v>479</v>
      </c>
    </row>
    <row r="7" spans="2:33" ht="45">
      <c r="B7" s="1081" t="s">
        <v>426</v>
      </c>
      <c r="C7" s="1077">
        <f>'Rainier Tower Financial '!C31</f>
        <v>389.45299999999997</v>
      </c>
      <c r="D7" s="1082" t="s">
        <v>413</v>
      </c>
      <c r="E7" s="980"/>
      <c r="F7" s="1081" t="s">
        <v>426</v>
      </c>
      <c r="G7" s="1077">
        <f>'Baker Tower Financial'!C29+'Baker Tower Financial'!C30</f>
        <v>305.15300000000002</v>
      </c>
      <c r="H7" s="1082" t="s">
        <v>413</v>
      </c>
      <c r="I7" s="980"/>
      <c r="J7" s="981"/>
      <c r="K7" s="980"/>
      <c r="L7" s="980"/>
      <c r="O7" s="1190" t="str">
        <f>'Development Program'!B5</f>
        <v>King Condominiums</v>
      </c>
      <c r="P7" s="1193">
        <f ca="1">'King Condominiums Financial '!E40</f>
        <v>339912836.99474657</v>
      </c>
      <c r="Q7" s="1193">
        <f>'King Condominiums Financial '!E41</f>
        <v>1839677</v>
      </c>
      <c r="R7" s="1193">
        <f>Q7/'King Condominiums Financial '!D42</f>
        <v>30661283.333333336</v>
      </c>
      <c r="S7" s="1193">
        <v>0</v>
      </c>
      <c r="T7" s="1193">
        <v>0</v>
      </c>
      <c r="U7" s="1193"/>
      <c r="V7" s="1205">
        <f>S7+Q7</f>
        <v>1839677</v>
      </c>
      <c r="W7" s="1193">
        <f ca="1">P7+R7+T7</f>
        <v>370574120.32807988</v>
      </c>
      <c r="X7" s="1193">
        <f ca="1">W7-'Development Program'!J5</f>
        <v>0</v>
      </c>
      <c r="Y7" s="1193"/>
      <c r="Z7" s="1193">
        <f ca="1">'King Condominiums Financial '!D68</f>
        <v>264157684.52602234</v>
      </c>
      <c r="AA7" s="1193">
        <f>'King Condominiums Financial '!D47</f>
        <v>7824000</v>
      </c>
      <c r="AB7" s="1206">
        <f ca="1">AA7/Z7</f>
        <v>2.9618672703156788E-2</v>
      </c>
      <c r="AC7" s="1193"/>
      <c r="AD7" s="981">
        <f>'King Condominiums Financial '!C31+'King Condominiums Financial '!C32</f>
        <v>556801</v>
      </c>
      <c r="AE7" s="981">
        <f>'King Condominiums Financial '!C32</f>
        <v>104320</v>
      </c>
      <c r="AF7" s="1206">
        <f>AE7/AD7</f>
        <v>0.18735598535203779</v>
      </c>
      <c r="AG7" s="1691" t="s">
        <v>466</v>
      </c>
    </row>
    <row r="8" spans="2:33" ht="45">
      <c r="B8" s="1083" t="s">
        <v>423</v>
      </c>
      <c r="C8" s="1079">
        <f>'Rainier Tower Financial '!C33</f>
        <v>489.45299999999997</v>
      </c>
      <c r="D8" s="1084" t="s">
        <v>413</v>
      </c>
      <c r="E8" s="980"/>
      <c r="F8" s="1083" t="s">
        <v>420</v>
      </c>
      <c r="G8" s="1079">
        <f>'Baker Tower Financial'!C31</f>
        <v>580</v>
      </c>
      <c r="H8" s="1084" t="s">
        <v>413</v>
      </c>
      <c r="I8" s="980"/>
      <c r="J8" s="980"/>
      <c r="K8" s="980"/>
      <c r="L8" s="980"/>
      <c r="O8" s="1190" t="str">
        <f>'Development Program'!B6</f>
        <v>Yesler Hotel</v>
      </c>
      <c r="P8" s="1193">
        <v>0</v>
      </c>
      <c r="Q8" s="1193">
        <f>((1-'Yesler Financial'!D33)*'Yesler Financial'!E28)+'Yesler Financial'!E29</f>
        <v>6713410</v>
      </c>
      <c r="R8" s="1193">
        <f>Q8/'Yesler Financial'!D35</f>
        <v>89512133.333333343</v>
      </c>
      <c r="S8" s="1193">
        <f>((1-'Yesler Financial'!D33)*'Yesler Financial'!E30)</f>
        <v>223307</v>
      </c>
      <c r="T8" s="1193">
        <f>S8/'Yesler Financial'!D35</f>
        <v>2977426.666666667</v>
      </c>
      <c r="U8" s="1193"/>
      <c r="V8" s="1193">
        <f t="shared" ref="V8:V13" si="0">S8+Q8</f>
        <v>6936717</v>
      </c>
      <c r="W8" s="1193">
        <f t="shared" ref="W8:W11" si="1">P8+R8+T8</f>
        <v>92489560.000000015</v>
      </c>
      <c r="X8" s="1193">
        <f>W8-'Development Program'!J6</f>
        <v>0</v>
      </c>
      <c r="Y8" s="1193"/>
      <c r="Z8" s="1193">
        <f ca="1">'Yesler Financial'!D60</f>
        <v>60171807.342096195</v>
      </c>
      <c r="AA8" s="1193">
        <f>'Yesler Financial'!D39</f>
        <v>1380000</v>
      </c>
      <c r="AB8" s="1206">
        <f t="shared" ref="AB8:AB13" ca="1" si="2">AA8/Z8</f>
        <v>2.2934328566104945E-2</v>
      </c>
      <c r="AC8" s="1193"/>
      <c r="AD8" s="981">
        <f>'Yesler Financial'!C21+'Yesler Financial'!C22</f>
        <v>102680</v>
      </c>
      <c r="AE8" s="981">
        <f>'Yesler Financial'!C21</f>
        <v>88880</v>
      </c>
      <c r="AF8" s="1206">
        <f t="shared" ref="AF8:AF13" si="3">AE8/AD8</f>
        <v>0.8656018698870277</v>
      </c>
      <c r="AG8" s="1691" t="s">
        <v>467</v>
      </c>
    </row>
    <row r="9" spans="2:33">
      <c r="B9" s="1085" t="s">
        <v>431</v>
      </c>
      <c r="C9" s="1069">
        <f>'Rainier Tower Financial '!C32</f>
        <v>100</v>
      </c>
      <c r="D9" s="1086" t="s">
        <v>442</v>
      </c>
      <c r="E9" s="980"/>
      <c r="F9" s="1085" t="s">
        <v>418</v>
      </c>
      <c r="G9" s="1069">
        <f>K15</f>
        <v>46</v>
      </c>
      <c r="H9" s="1086" t="s">
        <v>427</v>
      </c>
      <c r="I9" s="980"/>
      <c r="J9" s="980"/>
      <c r="K9" s="980"/>
      <c r="L9" s="980"/>
      <c r="O9" s="1190" t="str">
        <f>'Development Program'!B7</f>
        <v>Glacier Peak Apts</v>
      </c>
      <c r="P9" s="1193">
        <v>0</v>
      </c>
      <c r="Q9" s="1193">
        <f>'Glacier Peak Financial'!E54-(('Glacier Peak Financial'!E47+'Glacier Peak Financial'!E48)*0.6)</f>
        <v>13402163.5</v>
      </c>
      <c r="R9" s="1193">
        <f>Q9/'Glacier Peak Financial'!D55</f>
        <v>268043270</v>
      </c>
      <c r="S9" s="1193">
        <f>('Glacier Peak Financial'!E47+'Glacier Peak Financial'!E48)*0.6</f>
        <v>992130</v>
      </c>
      <c r="T9" s="1193">
        <f>S9/'Glacier Peak Financial'!D55</f>
        <v>19842600</v>
      </c>
      <c r="U9" s="1193"/>
      <c r="V9" s="1193">
        <f t="shared" si="0"/>
        <v>14394293.5</v>
      </c>
      <c r="W9" s="1193">
        <f t="shared" si="1"/>
        <v>287885870</v>
      </c>
      <c r="X9" s="1193">
        <f>W9-'Development Program'!J7</f>
        <v>0</v>
      </c>
      <c r="Y9" s="1193"/>
      <c r="Z9" s="1193">
        <f ca="1">'Glacier Peak Financial'!D80</f>
        <v>227157537.74771696</v>
      </c>
      <c r="AA9" s="1193">
        <f>'Glacier Peak Financial'!D59</f>
        <v>10710000</v>
      </c>
      <c r="AB9" s="1206">
        <f t="shared" ca="1" si="2"/>
        <v>4.7147896152557413E-2</v>
      </c>
      <c r="AC9" s="1193"/>
      <c r="AD9" s="981">
        <f>'Glacier Peak Financial'!C35+'Glacier Peak Financial'!C36</f>
        <v>733500</v>
      </c>
      <c r="AE9" s="981">
        <f>'Glacier Peak Financial'!C36</f>
        <v>280000</v>
      </c>
      <c r="AF9" s="1206">
        <f t="shared" si="3"/>
        <v>0.38173142467620996</v>
      </c>
    </row>
    <row r="10" spans="2:33">
      <c r="B10" s="1085"/>
      <c r="C10" s="1068"/>
      <c r="D10" s="1086"/>
      <c r="E10" s="980"/>
      <c r="F10" s="1085" t="s">
        <v>418</v>
      </c>
      <c r="G10" s="1069">
        <v>79</v>
      </c>
      <c r="H10" s="1086" t="s">
        <v>428</v>
      </c>
      <c r="I10" s="980"/>
      <c r="J10" s="980"/>
      <c r="K10" s="980"/>
      <c r="L10" s="980"/>
      <c r="O10" s="1190" t="str">
        <f>'Development Program'!B8</f>
        <v>Chinook Condos</v>
      </c>
      <c r="P10" s="1193">
        <f ca="1">'Chinook Financial'!E36</f>
        <v>160435906.91524872</v>
      </c>
      <c r="Q10" s="1193">
        <f>(1-'Chinook Financial'!F48)*'Chinook Financial'!E41</f>
        <v>6421525</v>
      </c>
      <c r="R10" s="1193">
        <f>Q10/'Chinook Financial'!D50</f>
        <v>91736071.428571418</v>
      </c>
      <c r="S10" s="1193">
        <f>'Chinook Financial'!E45</f>
        <v>894480</v>
      </c>
      <c r="T10" s="1193">
        <f>S10/'Chinook Financial'!D50</f>
        <v>12778285.714285713</v>
      </c>
      <c r="U10" s="1193"/>
      <c r="V10" s="1193">
        <f t="shared" si="0"/>
        <v>7316005</v>
      </c>
      <c r="W10" s="1193">
        <f t="shared" ca="1" si="1"/>
        <v>264950264.05810586</v>
      </c>
      <c r="X10" s="1193">
        <f ca="1">W10-'Development Program'!J8</f>
        <v>47031460.714285702</v>
      </c>
      <c r="Y10" s="1193"/>
      <c r="Z10" s="1193">
        <f ca="1">'Chinook Financial'!D75</f>
        <v>168088129.91567224</v>
      </c>
      <c r="AA10" s="1193">
        <f>'Chinook Financial'!D54</f>
        <v>3747000</v>
      </c>
      <c r="AB10" s="1206">
        <f t="shared" ca="1" si="2"/>
        <v>2.2291877492359658E-2</v>
      </c>
      <c r="AC10" s="1193"/>
      <c r="AD10" s="981">
        <f>'Chinook Financial'!C27+'Chinook Financial'!C28</f>
        <v>369140</v>
      </c>
      <c r="AE10" s="981">
        <f>'Chinook Financial'!C28</f>
        <v>49960</v>
      </c>
      <c r="AF10" s="1206">
        <f t="shared" si="3"/>
        <v>0.13534160481118274</v>
      </c>
    </row>
    <row r="11" spans="2:33">
      <c r="B11" s="1085"/>
      <c r="C11" s="1068"/>
      <c r="D11" s="1086"/>
      <c r="E11" s="980"/>
      <c r="F11" s="1085" t="s">
        <v>429</v>
      </c>
      <c r="G11" s="1069">
        <v>106</v>
      </c>
      <c r="H11" s="1086" t="s">
        <v>430</v>
      </c>
      <c r="I11" s="980"/>
      <c r="J11" s="980"/>
      <c r="K11" s="980"/>
      <c r="L11" s="980"/>
      <c r="O11" s="1190" t="str">
        <f>'Development Program'!B9</f>
        <v>4th Street Site</v>
      </c>
      <c r="P11" s="1193">
        <v>0</v>
      </c>
      <c r="Q11" s="1193">
        <f>('4th Street Financial '!E33+'4th Street Financial '!E40)</f>
        <v>3152837</v>
      </c>
      <c r="R11" s="1193">
        <f>Q11/'4th Street Financial '!D42</f>
        <v>50445392</v>
      </c>
      <c r="S11" s="1193">
        <f>'4th Street Financial '!E37</f>
        <v>52500</v>
      </c>
      <c r="T11" s="1193">
        <f>S11/'4th Street Financial '!D42</f>
        <v>840000</v>
      </c>
      <c r="U11" s="1193"/>
      <c r="V11" s="1193">
        <f t="shared" si="0"/>
        <v>3205337</v>
      </c>
      <c r="W11" s="1193">
        <f t="shared" si="1"/>
        <v>51285392</v>
      </c>
      <c r="X11" s="1193">
        <f>W11-'Development Program'!J9</f>
        <v>0</v>
      </c>
      <c r="Y11" s="1193"/>
      <c r="Z11" s="1193">
        <f ca="1">'4th Street Financial '!D70</f>
        <v>46451366.224884897</v>
      </c>
      <c r="AA11" s="1193">
        <f>'4th Street Financial '!D49</f>
        <v>750000</v>
      </c>
      <c r="AB11" s="1206">
        <f t="shared" ca="1" si="2"/>
        <v>1.6145919075211408E-2</v>
      </c>
      <c r="AC11" s="1193"/>
      <c r="AD11" s="981">
        <f>'4th Street Financial '!C23+'4th Street Financial '!C24</f>
        <v>133580</v>
      </c>
      <c r="AE11" s="981">
        <f>'4th Street Financial '!C24</f>
        <v>10000</v>
      </c>
      <c r="AF11" s="1206">
        <f t="shared" si="3"/>
        <v>7.4861506213505014E-2</v>
      </c>
    </row>
    <row r="12" spans="2:33">
      <c r="B12" s="1083"/>
      <c r="C12" s="1078"/>
      <c r="D12" s="1084"/>
      <c r="E12" s="980"/>
      <c r="F12" s="1083" t="s">
        <v>431</v>
      </c>
      <c r="G12" s="1079">
        <f>G8-G7-G9-G10-G11</f>
        <v>43.84699999999998</v>
      </c>
      <c r="H12" s="1084" t="s">
        <v>442</v>
      </c>
      <c r="I12" s="980"/>
      <c r="J12" s="980"/>
      <c r="K12" s="980"/>
      <c r="L12" s="980"/>
      <c r="O12" s="1190" t="str">
        <f>'Development Program'!B10</f>
        <v>Rainier Tower Apts</v>
      </c>
      <c r="P12" s="1193">
        <v>0</v>
      </c>
      <c r="Q12" s="1193">
        <f>'Rainier Tower Financial '!E57-'Parking Analysis'!S12</f>
        <v>13382065.327499999</v>
      </c>
      <c r="R12" s="1202">
        <f>Q12/'Rainier Tower Financial '!D58</f>
        <v>267641306.54999995</v>
      </c>
      <c r="S12" s="1193">
        <f>('Rainier Tower Financial '!E49+'Rainier Tower Financial '!E50+'Rainier Tower Financial '!E51)</f>
        <v>2464802.6</v>
      </c>
      <c r="T12" s="1193">
        <f>S12/'Rainier Tower Financial '!D58</f>
        <v>49296052</v>
      </c>
      <c r="U12" s="1193"/>
      <c r="V12" s="1193">
        <f t="shared" si="0"/>
        <v>15846867.927499998</v>
      </c>
      <c r="W12" s="1193">
        <f t="shared" ref="W12:W13" si="4">P12+R12+T12</f>
        <v>316937358.54999995</v>
      </c>
      <c r="X12" s="1193">
        <f>W12-'Development Program'!J10</f>
        <v>0</v>
      </c>
      <c r="Y12" s="1193"/>
      <c r="Z12" s="1193">
        <f ca="1">'Rainier Tower Financial '!D83</f>
        <v>228628309.18860886</v>
      </c>
      <c r="AA12" s="1193">
        <f>'Rainier Tower Financial '!D63</f>
        <v>14683590</v>
      </c>
      <c r="AB12" s="1206">
        <f t="shared" ca="1" si="2"/>
        <v>6.4224723754076521E-2</v>
      </c>
      <c r="AC12" s="1193"/>
      <c r="AD12" s="981">
        <f>'Rainier Tower Financial '!C37+'Rainier Tower Financial '!C38</f>
        <v>622134.19999999995</v>
      </c>
      <c r="AE12" s="1208">
        <f>'Rainier Tower Financial '!C38</f>
        <v>155781.19999999998</v>
      </c>
      <c r="AF12" s="1206">
        <f t="shared" si="3"/>
        <v>0.25039806524058633</v>
      </c>
    </row>
    <row r="13" spans="2:33">
      <c r="B13" s="980"/>
      <c r="C13" s="980"/>
      <c r="D13" s="980"/>
      <c r="E13" s="980"/>
      <c r="F13" s="980"/>
      <c r="G13" s="980"/>
      <c r="H13" s="980"/>
      <c r="I13" s="980"/>
      <c r="J13" s="980"/>
      <c r="K13" s="980"/>
      <c r="L13" s="980"/>
      <c r="O13" s="1203" t="str">
        <f>'Development Program'!B11</f>
        <v>Baker Tower Apts</v>
      </c>
      <c r="P13" s="1204">
        <v>0</v>
      </c>
      <c r="Q13" s="1204">
        <f>'Baker Tower Financial'!E55-'Parking Analysis'!S13</f>
        <v>10519825.316249996</v>
      </c>
      <c r="R13" s="1204">
        <f>Q13/'Baker Tower Financial'!D56</f>
        <v>210396506.32499993</v>
      </c>
      <c r="S13" s="1204">
        <f>(1-'Baker Tower Financial'!F54)*('Baker Tower Financial'!E48+'Baker Tower Financial'!E49)</f>
        <v>1511188.625</v>
      </c>
      <c r="T13" s="1204">
        <f>S13/'Baker Tower Financial'!D56</f>
        <v>30223772.5</v>
      </c>
      <c r="U13" s="1193"/>
      <c r="V13" s="1204">
        <f t="shared" si="0"/>
        <v>12031013.941249996</v>
      </c>
      <c r="W13" s="1204">
        <f t="shared" si="4"/>
        <v>240620278.82499993</v>
      </c>
      <c r="X13" s="1204">
        <f>W13-'Development Program'!J11</f>
        <v>0</v>
      </c>
      <c r="Y13" s="1193"/>
      <c r="Z13" s="1204">
        <f ca="1">'Baker Tower Financial'!D81</f>
        <v>188536015.27418122</v>
      </c>
      <c r="AA13" s="1204">
        <f>'Baker Tower Financial'!D61</f>
        <v>9154590</v>
      </c>
      <c r="AB13" s="1207">
        <f t="shared" ca="1" si="2"/>
        <v>4.8556186926337681E-2</v>
      </c>
      <c r="AC13" s="1193"/>
      <c r="AD13" s="1089">
        <f>'Baker Tower Financial'!C36+'Baker Tower Financial'!C37</f>
        <v>584733</v>
      </c>
      <c r="AE13" s="1089">
        <f>'Baker Tower Financial'!C37</f>
        <v>232000</v>
      </c>
      <c r="AF13" s="1207">
        <f t="shared" si="3"/>
        <v>0.39676228295649468</v>
      </c>
    </row>
    <row r="14" spans="2:33">
      <c r="B14" s="1111" t="s">
        <v>335</v>
      </c>
      <c r="C14" s="1112"/>
      <c r="D14" s="1113"/>
      <c r="E14" s="987"/>
      <c r="F14" s="1111" t="s">
        <v>428</v>
      </c>
      <c r="G14" s="1112"/>
      <c r="H14" s="1113"/>
      <c r="I14" s="987"/>
      <c r="J14" s="1114" t="s">
        <v>269</v>
      </c>
      <c r="K14" s="1097"/>
      <c r="L14" s="1098"/>
      <c r="O14" s="1190" t="s">
        <v>470</v>
      </c>
      <c r="P14" s="1193">
        <f ca="1">SUM(P7:P13)</f>
        <v>500348743.90999532</v>
      </c>
      <c r="Q14" s="1193">
        <f t="shared" ref="Q14:X14" si="5">SUM(Q7:Q13)</f>
        <v>55431503.143749997</v>
      </c>
      <c r="R14" s="1193">
        <f t="shared" si="5"/>
        <v>1008435962.970238</v>
      </c>
      <c r="S14" s="1193">
        <f t="shared" si="5"/>
        <v>6138408.2249999996</v>
      </c>
      <c r="T14" s="1193">
        <f t="shared" si="5"/>
        <v>115958136.88095239</v>
      </c>
      <c r="U14" s="1193"/>
      <c r="V14" s="1193">
        <f t="shared" si="5"/>
        <v>61569911.368749991</v>
      </c>
      <c r="W14" s="1193">
        <f t="shared" ca="1" si="5"/>
        <v>1624742843.7611856</v>
      </c>
      <c r="X14" s="1193">
        <f t="shared" ca="1" si="5"/>
        <v>47031460.714285702</v>
      </c>
      <c r="Y14" s="1193"/>
      <c r="Z14" s="1193">
        <f ca="1">SUM(Z7:Z13)</f>
        <v>1183190850.2191827</v>
      </c>
      <c r="AA14" s="1193">
        <f>SUM(AA7:AA13)</f>
        <v>48249180</v>
      </c>
      <c r="AB14" s="1206">
        <f ca="1">AA14/Z14</f>
        <v>4.0778865041985385E-2</v>
      </c>
      <c r="AC14" s="1193"/>
      <c r="AD14" s="981">
        <f>SUM(AD7:AD13)</f>
        <v>3102568.2</v>
      </c>
      <c r="AE14" s="981">
        <f>SUM(AE7:AE13)</f>
        <v>920941.2</v>
      </c>
      <c r="AF14" s="1206">
        <f>AE14/AD14</f>
        <v>0.29683189558895107</v>
      </c>
    </row>
    <row r="15" spans="2:33">
      <c r="B15" s="1058" t="s">
        <v>416</v>
      </c>
      <c r="C15" s="1059">
        <f>'Glacier Peak Financial'!C30+'Glacier Peak Financial'!C31</f>
        <v>357</v>
      </c>
      <c r="D15" s="1060" t="s">
        <v>413</v>
      </c>
      <c r="E15" s="980"/>
      <c r="F15" s="1065" t="s">
        <v>412</v>
      </c>
      <c r="G15" s="1064">
        <f>'Chinook Financial'!C20+'Chinook Financial'!C21</f>
        <v>219.9</v>
      </c>
      <c r="H15" s="1066" t="s">
        <v>413</v>
      </c>
      <c r="I15" s="980"/>
      <c r="J15" s="1099" t="s">
        <v>421</v>
      </c>
      <c r="K15" s="1057">
        <f>'Yesler Financial'!C16</f>
        <v>46</v>
      </c>
      <c r="L15" s="1100" t="s">
        <v>413</v>
      </c>
      <c r="O15" s="1190" t="s">
        <v>473</v>
      </c>
      <c r="P15" s="1193"/>
      <c r="Q15" s="1206">
        <f>Q14/V14</f>
        <v>0.90030181807090337</v>
      </c>
      <c r="R15" s="1206"/>
      <c r="S15" s="1206">
        <f>S14/V14</f>
        <v>9.9698181929096769E-2</v>
      </c>
      <c r="T15" s="1206"/>
      <c r="U15" s="1209"/>
      <c r="V15" s="1206"/>
      <c r="W15" s="1206"/>
      <c r="X15" s="1206"/>
      <c r="Y15" s="1209"/>
      <c r="Z15" s="1206"/>
      <c r="AA15" s="1206"/>
      <c r="AB15" s="1206"/>
      <c r="AC15" s="1209"/>
    </row>
    <row r="16" spans="2:33">
      <c r="B16" s="1061" t="s">
        <v>417</v>
      </c>
      <c r="C16" s="1062">
        <f>'Glacier Peak Financial'!C32</f>
        <v>700</v>
      </c>
      <c r="D16" s="1063" t="s">
        <v>413</v>
      </c>
      <c r="E16" s="980"/>
      <c r="F16" s="1061" t="s">
        <v>420</v>
      </c>
      <c r="G16" s="1067">
        <v>95</v>
      </c>
      <c r="H16" s="1063" t="s">
        <v>413</v>
      </c>
      <c r="I16" s="980"/>
      <c r="J16" s="1101" t="s">
        <v>423</v>
      </c>
      <c r="K16" s="1102">
        <v>0</v>
      </c>
      <c r="L16" s="1103" t="s">
        <v>413</v>
      </c>
      <c r="O16" s="1190" t="s">
        <v>472</v>
      </c>
      <c r="P16" s="1206">
        <f ca="1">P14/W14</f>
        <v>0.30795565330924429</v>
      </c>
      <c r="Q16" s="1206"/>
      <c r="R16" s="1206">
        <f ca="1">R14/W14</f>
        <v>0.62067419890015774</v>
      </c>
      <c r="S16" s="1206"/>
      <c r="T16" s="1206">
        <f ca="1">T14/W14</f>
        <v>7.1370147790598054E-2</v>
      </c>
      <c r="U16" s="1209"/>
      <c r="V16" s="1206"/>
      <c r="W16" s="1206"/>
      <c r="X16" s="1206"/>
      <c r="Y16" s="1209"/>
      <c r="Z16" s="1206"/>
      <c r="AA16" s="1206"/>
      <c r="AB16" s="1206"/>
      <c r="AC16" s="1209"/>
    </row>
    <row r="17" spans="2:28">
      <c r="B17" s="1058" t="s">
        <v>418</v>
      </c>
      <c r="C17" s="1059">
        <f>C22</f>
        <v>260.8</v>
      </c>
      <c r="D17" s="1060" t="s">
        <v>419</v>
      </c>
      <c r="E17" s="980"/>
      <c r="F17" s="1065" t="s">
        <v>422</v>
      </c>
      <c r="G17" s="1064">
        <f>C18</f>
        <v>82.199999999999989</v>
      </c>
      <c r="H17" s="1066" t="s">
        <v>425</v>
      </c>
      <c r="I17" s="980"/>
      <c r="J17" s="1099" t="s">
        <v>422</v>
      </c>
      <c r="K17" s="1057">
        <f>G9</f>
        <v>46</v>
      </c>
      <c r="L17" s="1100" t="s">
        <v>424</v>
      </c>
      <c r="P17" s="1193"/>
      <c r="Q17" s="1206"/>
      <c r="R17" s="1206"/>
      <c r="S17" s="1206"/>
      <c r="T17" s="1206"/>
      <c r="U17" s="1209"/>
      <c r="V17" s="1206"/>
      <c r="W17" s="1206"/>
      <c r="X17" s="1206"/>
      <c r="Z17" s="980"/>
      <c r="AA17" s="980"/>
      <c r="AB17" s="980"/>
    </row>
    <row r="18" spans="2:28">
      <c r="B18" s="1065" t="s">
        <v>418</v>
      </c>
      <c r="C18" s="1064">
        <f>C16-C15-C17</f>
        <v>82.199999999999989</v>
      </c>
      <c r="D18" s="1066" t="s">
        <v>333</v>
      </c>
      <c r="E18" s="980"/>
      <c r="F18" s="1061" t="s">
        <v>422</v>
      </c>
      <c r="G18" s="1067">
        <f>220-141</f>
        <v>79</v>
      </c>
      <c r="H18" s="1063" t="s">
        <v>424</v>
      </c>
      <c r="I18" s="980"/>
      <c r="J18" s="1099"/>
      <c r="K18" s="1104"/>
      <c r="L18" s="1100"/>
      <c r="P18" s="1193"/>
      <c r="Q18" s="1206"/>
      <c r="R18" s="1206"/>
      <c r="S18" s="1206"/>
      <c r="T18" s="1206"/>
      <c r="U18" s="1209"/>
      <c r="V18" s="1206"/>
      <c r="W18" s="1206"/>
      <c r="X18" s="1206"/>
      <c r="Z18" s="980"/>
      <c r="AA18" s="980"/>
      <c r="AB18" s="980"/>
    </row>
    <row r="19" spans="2:28">
      <c r="B19" s="1061"/>
      <c r="C19" s="1067"/>
      <c r="D19" s="1063"/>
      <c r="E19" s="980"/>
      <c r="F19" s="980"/>
      <c r="G19" s="980"/>
      <c r="H19" s="980"/>
      <c r="I19" s="980"/>
      <c r="J19" s="1101"/>
      <c r="K19" s="1102"/>
      <c r="L19" s="1103"/>
      <c r="P19" s="1193"/>
      <c r="Q19" s="1193"/>
      <c r="R19" s="1193"/>
      <c r="S19" s="1193"/>
      <c r="T19" s="1193"/>
      <c r="U19" s="1193"/>
      <c r="V19" s="1193"/>
      <c r="W19" s="1193"/>
      <c r="X19" s="980"/>
    </row>
    <row r="20" spans="2:28">
      <c r="B20" s="980"/>
      <c r="C20" s="980"/>
      <c r="D20" s="980"/>
      <c r="E20" s="980"/>
      <c r="F20" s="1111" t="s">
        <v>443</v>
      </c>
      <c r="G20" s="1112"/>
      <c r="H20" s="1113"/>
      <c r="I20" s="980"/>
      <c r="J20" s="980"/>
      <c r="K20" s="980"/>
      <c r="L20" s="980"/>
      <c r="P20" s="1193"/>
      <c r="Q20" s="1193"/>
      <c r="R20" s="1193"/>
      <c r="S20" s="1193"/>
      <c r="T20" s="1193"/>
      <c r="U20" s="1193"/>
      <c r="V20" s="1193"/>
      <c r="W20" s="1193"/>
      <c r="X20" s="980"/>
    </row>
    <row r="21" spans="2:28">
      <c r="B21" s="1114" t="s">
        <v>603</v>
      </c>
      <c r="C21" s="1097"/>
      <c r="D21" s="1098"/>
      <c r="E21" s="980"/>
      <c r="F21" s="1065" t="s">
        <v>412</v>
      </c>
      <c r="G21" s="1064">
        <f>'4th Street Financial '!C19</f>
        <v>25</v>
      </c>
      <c r="H21" s="1066" t="s">
        <v>413</v>
      </c>
      <c r="I21" s="980"/>
      <c r="J21" s="980"/>
      <c r="K21" s="980"/>
      <c r="L21" s="980"/>
      <c r="P21" s="1193"/>
      <c r="Q21" s="1193"/>
      <c r="R21" s="1193"/>
      <c r="S21" s="1193"/>
      <c r="T21" s="1193"/>
      <c r="U21" s="1193"/>
      <c r="V21" s="1193"/>
      <c r="W21" s="1193"/>
      <c r="X21" s="980"/>
    </row>
    <row r="22" spans="2:28">
      <c r="B22" s="1106" t="s">
        <v>412</v>
      </c>
      <c r="C22" s="1080">
        <f>'King Condominiums Financial '!C26</f>
        <v>260.8</v>
      </c>
      <c r="D22" s="1105" t="s">
        <v>413</v>
      </c>
      <c r="E22" s="980"/>
      <c r="F22" s="1061" t="s">
        <v>420</v>
      </c>
      <c r="G22" s="1067">
        <v>0</v>
      </c>
      <c r="H22" s="1063" t="s">
        <v>413</v>
      </c>
      <c r="I22" s="980"/>
      <c r="J22" s="980"/>
      <c r="K22" s="980"/>
      <c r="L22" s="980"/>
      <c r="P22" s="1193"/>
      <c r="Q22" s="1193"/>
      <c r="R22" s="1193"/>
      <c r="S22" s="1193"/>
      <c r="T22" s="1193"/>
      <c r="U22" s="1193"/>
      <c r="V22" s="1193"/>
      <c r="W22" s="1193"/>
      <c r="X22" s="980"/>
    </row>
    <row r="23" spans="2:28">
      <c r="B23" s="1099" t="s">
        <v>414</v>
      </c>
      <c r="C23" s="1057">
        <f>C17</f>
        <v>260.8</v>
      </c>
      <c r="D23" s="1100" t="s">
        <v>415</v>
      </c>
      <c r="E23" s="980"/>
      <c r="F23" s="1061" t="s">
        <v>422</v>
      </c>
      <c r="G23" s="1062">
        <v>25</v>
      </c>
      <c r="H23" s="1063" t="s">
        <v>424</v>
      </c>
      <c r="I23" s="980"/>
      <c r="J23" s="980"/>
      <c r="K23" s="980"/>
      <c r="L23" s="980"/>
      <c r="P23" s="980"/>
      <c r="Q23" s="980"/>
      <c r="R23" s="980"/>
      <c r="S23" s="980"/>
      <c r="T23" s="980"/>
      <c r="U23" s="980"/>
      <c r="V23" s="980"/>
      <c r="W23" s="980"/>
      <c r="X23" s="980"/>
    </row>
    <row r="24" spans="2:28">
      <c r="B24" s="1099"/>
      <c r="C24" s="1104"/>
      <c r="D24" s="1100"/>
      <c r="E24" s="980"/>
      <c r="F24" s="980"/>
      <c r="G24" s="980"/>
      <c r="H24" s="980"/>
      <c r="I24" s="980"/>
      <c r="J24" s="980"/>
      <c r="K24" s="980"/>
      <c r="L24" s="980"/>
      <c r="P24" s="980"/>
      <c r="Q24" s="980"/>
      <c r="R24" s="980"/>
      <c r="S24" s="980"/>
      <c r="T24" s="980"/>
      <c r="U24" s="980"/>
      <c r="V24" s="980"/>
      <c r="W24" s="980"/>
      <c r="X24" s="980"/>
    </row>
    <row r="25" spans="2:28">
      <c r="B25" s="1101"/>
      <c r="C25" s="1102"/>
      <c r="D25" s="1103"/>
      <c r="E25" s="980"/>
      <c r="F25" s="980" t="s">
        <v>388</v>
      </c>
      <c r="G25" s="980"/>
      <c r="H25" s="980"/>
      <c r="I25" s="980"/>
      <c r="J25" s="980"/>
      <c r="K25" s="980"/>
      <c r="L25" s="980"/>
    </row>
    <row r="26" spans="2:28">
      <c r="B26" s="980"/>
      <c r="C26" s="980"/>
      <c r="D26" s="980"/>
      <c r="E26" s="980"/>
      <c r="F26" s="980"/>
      <c r="G26" s="980"/>
      <c r="H26" s="980"/>
      <c r="I26" s="980"/>
      <c r="J26" s="980"/>
      <c r="K26" s="980"/>
      <c r="L26" s="980"/>
    </row>
    <row r="27" spans="2:28">
      <c r="B27" s="980"/>
      <c r="C27" s="980"/>
      <c r="D27" s="980"/>
      <c r="E27" s="980"/>
      <c r="F27" s="980"/>
      <c r="G27" s="980"/>
      <c r="H27" s="980"/>
      <c r="I27" s="980"/>
      <c r="J27" s="980"/>
      <c r="K27" s="980"/>
      <c r="L27" s="980"/>
    </row>
    <row r="28" spans="2:28">
      <c r="B28" s="980"/>
      <c r="C28" s="980"/>
      <c r="D28" s="980"/>
      <c r="E28" s="980"/>
      <c r="F28" s="980"/>
      <c r="G28" s="980"/>
      <c r="H28" s="980"/>
      <c r="I28" s="980"/>
      <c r="J28" s="980"/>
      <c r="K28" s="980"/>
      <c r="L28" s="980"/>
    </row>
    <row r="29" spans="2:28">
      <c r="B29" s="1211" t="s">
        <v>481</v>
      </c>
      <c r="D29" s="987"/>
      <c r="E29" s="980"/>
      <c r="F29" s="980"/>
      <c r="G29" s="981"/>
      <c r="H29" s="980"/>
      <c r="I29" s="980"/>
      <c r="J29" s="980"/>
      <c r="K29" s="980"/>
      <c r="L29" s="980"/>
    </row>
    <row r="30" spans="2:28">
      <c r="B30" s="1212" t="s">
        <v>482</v>
      </c>
      <c r="D30" s="987"/>
      <c r="E30" s="980"/>
      <c r="F30" s="980"/>
      <c r="G30" s="980"/>
      <c r="H30" s="980"/>
      <c r="I30" s="980"/>
      <c r="J30" s="980"/>
      <c r="K30" s="980"/>
      <c r="L30" s="980"/>
    </row>
    <row r="31" spans="2:28">
      <c r="B31" s="1214" t="s">
        <v>483</v>
      </c>
      <c r="D31" s="987"/>
    </row>
    <row r="47" spans="4:8">
      <c r="D47" s="980"/>
      <c r="E47" s="980"/>
      <c r="F47" s="980"/>
      <c r="G47" s="980"/>
      <c r="H47" s="980"/>
    </row>
    <row r="48" spans="4:8">
      <c r="D48" s="980"/>
      <c r="E48" s="980"/>
      <c r="F48" s="980"/>
      <c r="G48" s="980"/>
      <c r="H48" s="980"/>
    </row>
    <row r="49" spans="2:10">
      <c r="D49" s="980"/>
      <c r="E49" s="980"/>
      <c r="F49" s="982"/>
      <c r="G49" s="1094"/>
      <c r="H49" s="1094"/>
    </row>
    <row r="50" spans="2:10">
      <c r="B50" s="7"/>
      <c r="C50" s="7"/>
      <c r="D50" s="980"/>
      <c r="E50" s="980"/>
      <c r="F50" s="982"/>
      <c r="G50" s="980"/>
      <c r="H50" s="1094"/>
    </row>
    <row r="51" spans="2:10">
      <c r="B51" s="7"/>
      <c r="C51" s="7"/>
      <c r="D51" s="980"/>
      <c r="E51" s="980"/>
      <c r="F51" s="982"/>
      <c r="G51" s="980"/>
      <c r="H51" s="980"/>
    </row>
    <row r="52" spans="2:10">
      <c r="D52" s="7"/>
      <c r="E52" s="7"/>
      <c r="F52" s="980"/>
      <c r="G52" s="980"/>
      <c r="H52" s="982"/>
      <c r="I52" s="980"/>
      <c r="J52" s="980"/>
    </row>
    <row r="53" spans="2:10">
      <c r="E53" s="7"/>
      <c r="F53" s="980"/>
      <c r="G53" s="980"/>
      <c r="H53" s="980"/>
      <c r="I53" s="980"/>
      <c r="J53" s="980"/>
    </row>
    <row r="54" spans="2:10">
      <c r="F54" s="980"/>
      <c r="G54" s="980"/>
      <c r="H54" s="980"/>
      <c r="I54" s="980"/>
      <c r="J54" s="980"/>
    </row>
    <row r="55" spans="2:10">
      <c r="F55" s="980"/>
      <c r="G55" s="980"/>
      <c r="H55" s="980"/>
      <c r="I55" s="980"/>
      <c r="J55" s="980"/>
    </row>
  </sheetData>
  <pageMargins left="0.7" right="0.7" top="0.75" bottom="0.75" header="0.3" footer="0.3"/>
  <pageSetup paperSize="3" scale="44" orientation="landscape" r:id="rId1"/>
  <ignoredErrors>
    <ignoredError sqref="S8:S1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FE95-4ED2-40C2-A093-ADB7D34F28F5}">
  <sheetPr>
    <tabColor rgb="FF00B0F0"/>
    <pageSetUpPr fitToPage="1"/>
  </sheetPr>
  <dimension ref="B2:N84"/>
  <sheetViews>
    <sheetView tabSelected="1" zoomScale="85" zoomScaleNormal="85" zoomScaleSheetLayoutView="80" workbookViewId="0">
      <selection sqref="A1:M49"/>
    </sheetView>
  </sheetViews>
  <sheetFormatPr defaultColWidth="12.140625" defaultRowHeight="12.75"/>
  <cols>
    <col min="1" max="1" width="4.140625" style="77" customWidth="1"/>
    <col min="2" max="2" width="33.140625" style="77" customWidth="1"/>
    <col min="3" max="3" width="17.28515625" style="77" customWidth="1"/>
    <col min="4" max="4" width="16.140625" style="77" customWidth="1"/>
    <col min="5" max="6" width="19.42578125" style="77" customWidth="1"/>
    <col min="7" max="7" width="5.7109375" style="77" customWidth="1"/>
    <col min="8" max="8" width="41" style="77" bestFit="1" customWidth="1"/>
    <col min="9" max="9" width="29.42578125" style="77" bestFit="1" customWidth="1"/>
    <col min="10" max="10" width="5.7109375" style="77" customWidth="1"/>
    <col min="11" max="11" width="38.85546875" style="77" bestFit="1" customWidth="1"/>
    <col min="12" max="12" width="19.5703125" style="77" customWidth="1"/>
    <col min="13" max="13" width="12.140625" style="77"/>
    <col min="14" max="14" width="20.42578125" style="77" bestFit="1" customWidth="1"/>
    <col min="15" max="16384" width="12.140625" style="77"/>
  </cols>
  <sheetData>
    <row r="2" spans="2:14">
      <c r="B2" s="77" t="s">
        <v>334</v>
      </c>
    </row>
    <row r="3" spans="2:14">
      <c r="D3" s="1523"/>
      <c r="E3" s="1523"/>
      <c r="F3" s="1523"/>
      <c r="G3" s="1523"/>
    </row>
    <row r="4" spans="2:14" ht="13.5" thickBot="1">
      <c r="C4" s="78"/>
      <c r="D4" s="79"/>
      <c r="E4" s="79"/>
      <c r="F4" s="79"/>
      <c r="G4" s="79"/>
      <c r="H4" s="79"/>
      <c r="I4" s="79"/>
    </row>
    <row r="5" spans="2:14" ht="18">
      <c r="B5" s="1517" t="s">
        <v>453</v>
      </c>
      <c r="C5" s="1518"/>
      <c r="D5" s="1518"/>
      <c r="E5" s="1518"/>
      <c r="F5" s="1519"/>
      <c r="G5" s="1252"/>
      <c r="H5" s="1517" t="s">
        <v>496</v>
      </c>
      <c r="I5" s="1519"/>
      <c r="J5" s="85"/>
      <c r="K5" s="1517" t="s">
        <v>511</v>
      </c>
      <c r="L5" s="1519"/>
      <c r="M5" s="79"/>
    </row>
    <row r="6" spans="2:14">
      <c r="B6" s="1119" t="s">
        <v>37</v>
      </c>
      <c r="C6" s="1120">
        <v>1</v>
      </c>
      <c r="D6" s="1120">
        <v>2</v>
      </c>
      <c r="E6" s="1120">
        <v>3</v>
      </c>
      <c r="F6" s="1121">
        <v>4</v>
      </c>
      <c r="G6" s="1251"/>
      <c r="H6" s="1262" t="s">
        <v>0</v>
      </c>
      <c r="I6" s="1263" t="s">
        <v>497</v>
      </c>
      <c r="J6" s="85"/>
      <c r="K6" s="1332" t="s">
        <v>517</v>
      </c>
      <c r="L6" s="1333"/>
      <c r="N6" s="81"/>
    </row>
    <row r="7" spans="2:14">
      <c r="B7" s="1122" t="s">
        <v>265</v>
      </c>
      <c r="C7" s="1123">
        <v>106920</v>
      </c>
      <c r="D7" s="1123">
        <v>127039</v>
      </c>
      <c r="E7" s="1123">
        <v>153372</v>
      </c>
      <c r="F7" s="1124">
        <v>196715</v>
      </c>
      <c r="G7" s="1251"/>
      <c r="H7" s="1255" t="s">
        <v>498</v>
      </c>
      <c r="I7" s="1256">
        <v>55</v>
      </c>
      <c r="J7" s="85"/>
      <c r="K7" s="1257" t="s">
        <v>513</v>
      </c>
      <c r="L7" s="1269">
        <v>0.05</v>
      </c>
      <c r="N7" s="81"/>
    </row>
    <row r="8" spans="2:14">
      <c r="B8" s="1520"/>
      <c r="C8" s="1521"/>
      <c r="D8" s="1521"/>
      <c r="E8" s="1521"/>
      <c r="F8" s="1522"/>
      <c r="G8" s="1251"/>
      <c r="H8" s="1257" t="s">
        <v>499</v>
      </c>
      <c r="I8" s="1256">
        <v>25</v>
      </c>
      <c r="J8" s="85"/>
      <c r="K8" s="1257" t="s">
        <v>1</v>
      </c>
      <c r="L8" s="1269">
        <v>0.06</v>
      </c>
      <c r="N8" s="82"/>
    </row>
    <row r="9" spans="2:14">
      <c r="B9" s="1128" t="s">
        <v>447</v>
      </c>
      <c r="C9" s="1140">
        <v>28800</v>
      </c>
      <c r="D9" s="1140">
        <v>32900</v>
      </c>
      <c r="E9" s="1140">
        <v>37000</v>
      </c>
      <c r="F9" s="1141">
        <v>41100</v>
      </c>
      <c r="G9" s="1251"/>
      <c r="H9" s="1255" t="s">
        <v>500</v>
      </c>
      <c r="I9" s="1256">
        <v>18</v>
      </c>
      <c r="J9" s="85"/>
      <c r="K9" s="1257" t="s">
        <v>0</v>
      </c>
      <c r="L9" s="1269">
        <v>7.0000000000000007E-2</v>
      </c>
    </row>
    <row r="10" spans="2:14">
      <c r="B10" s="1129" t="s">
        <v>450</v>
      </c>
      <c r="C10" s="1123">
        <f>0.3*C9</f>
        <v>8640</v>
      </c>
      <c r="D10" s="1123">
        <f>0.3*D9</f>
        <v>9870</v>
      </c>
      <c r="E10" s="1123">
        <f>0.3*E9</f>
        <v>11100</v>
      </c>
      <c r="F10" s="1124">
        <f>0.3*F9</f>
        <v>12330</v>
      </c>
      <c r="G10" s="1251"/>
      <c r="H10" s="1262" t="s">
        <v>1</v>
      </c>
      <c r="I10" s="1263" t="s">
        <v>9</v>
      </c>
      <c r="J10" s="85"/>
      <c r="K10" s="1257" t="s">
        <v>254</v>
      </c>
      <c r="L10" s="1269">
        <v>7.4999999999999997E-2</v>
      </c>
    </row>
    <row r="11" spans="2:14" ht="13.5" thickBot="1">
      <c r="B11" s="1130" t="s">
        <v>449</v>
      </c>
      <c r="C11" s="1131">
        <v>1728</v>
      </c>
      <c r="D11" s="1131">
        <v>2112</v>
      </c>
      <c r="E11" s="1131">
        <v>2496</v>
      </c>
      <c r="F11" s="1132">
        <v>2892</v>
      </c>
      <c r="G11" s="1251"/>
      <c r="H11" s="1255" t="s">
        <v>501</v>
      </c>
      <c r="I11" s="1258">
        <v>10</v>
      </c>
      <c r="J11" s="85"/>
      <c r="K11" s="1257" t="s">
        <v>329</v>
      </c>
      <c r="L11" s="1269">
        <v>6.25E-2</v>
      </c>
    </row>
    <row r="12" spans="2:14" ht="13.5" thickTop="1">
      <c r="B12" s="1133" t="s">
        <v>39</v>
      </c>
      <c r="C12" s="1134">
        <f>C10-C11</f>
        <v>6912</v>
      </c>
      <c r="D12" s="1134">
        <f>D10-D11</f>
        <v>7758</v>
      </c>
      <c r="E12" s="1134">
        <f>E10-E11</f>
        <v>8604</v>
      </c>
      <c r="F12" s="1135">
        <f>F10-F11</f>
        <v>9438</v>
      </c>
      <c r="G12" s="1251"/>
      <c r="H12" s="1255" t="s">
        <v>502</v>
      </c>
      <c r="I12" s="1258">
        <v>37</v>
      </c>
      <c r="J12" s="85"/>
      <c r="K12" s="1332" t="s">
        <v>518</v>
      </c>
      <c r="L12" s="1334"/>
      <c r="M12" s="462"/>
    </row>
    <row r="13" spans="2:14">
      <c r="B13" s="1136" t="s">
        <v>451</v>
      </c>
      <c r="C13" s="1137">
        <f>C12/12</f>
        <v>576</v>
      </c>
      <c r="D13" s="1137">
        <f>D12/12</f>
        <v>646.5</v>
      </c>
      <c r="E13" s="1137">
        <f>E12/12</f>
        <v>717</v>
      </c>
      <c r="F13" s="1138">
        <f>F12/12</f>
        <v>786.5</v>
      </c>
      <c r="G13" s="1251"/>
      <c r="H13" s="1264" t="s">
        <v>504</v>
      </c>
      <c r="I13" s="1265" t="s">
        <v>507</v>
      </c>
      <c r="J13" s="85"/>
      <c r="K13" s="1257" t="s">
        <v>514</v>
      </c>
      <c r="L13" s="1269">
        <v>0.03</v>
      </c>
      <c r="M13" s="462"/>
    </row>
    <row r="14" spans="2:14">
      <c r="B14" s="1125"/>
      <c r="C14" s="1126"/>
      <c r="D14" s="1126"/>
      <c r="E14" s="1126"/>
      <c r="F14" s="1127"/>
      <c r="G14" s="1251"/>
      <c r="H14" s="1261" t="s">
        <v>516</v>
      </c>
      <c r="I14" s="1279">
        <v>0.05</v>
      </c>
      <c r="J14" s="85"/>
      <c r="K14" s="1257" t="s">
        <v>515</v>
      </c>
      <c r="L14" s="1269">
        <v>0.03</v>
      </c>
      <c r="M14" s="462"/>
    </row>
    <row r="15" spans="2:14">
      <c r="B15" s="1128" t="s">
        <v>448</v>
      </c>
      <c r="C15" s="1140">
        <v>47950</v>
      </c>
      <c r="D15" s="1140">
        <v>54800</v>
      </c>
      <c r="E15" s="1140">
        <v>61650</v>
      </c>
      <c r="F15" s="1141">
        <v>68500</v>
      </c>
      <c r="G15" s="1251"/>
      <c r="H15" s="1259" t="s">
        <v>509</v>
      </c>
      <c r="I15" s="1279">
        <v>0.05</v>
      </c>
      <c r="J15" s="85"/>
      <c r="K15" s="1335" t="s">
        <v>533</v>
      </c>
      <c r="L15" s="1333"/>
    </row>
    <row r="16" spans="2:14">
      <c r="B16" s="1129" t="s">
        <v>450</v>
      </c>
      <c r="C16" s="1123">
        <f>0.3*C15</f>
        <v>14385</v>
      </c>
      <c r="D16" s="1123">
        <f>0.3*D15</f>
        <v>16440</v>
      </c>
      <c r="E16" s="1123">
        <f>0.3*E15</f>
        <v>18495</v>
      </c>
      <c r="F16" s="1124">
        <f>0.3*F15</f>
        <v>20550</v>
      </c>
      <c r="G16" s="1251"/>
      <c r="H16" s="1260" t="s">
        <v>505</v>
      </c>
      <c r="I16" s="1279">
        <v>0.6</v>
      </c>
      <c r="J16" s="85"/>
      <c r="K16" s="1257" t="s">
        <v>534</v>
      </c>
      <c r="L16" s="1336">
        <v>0.65</v>
      </c>
    </row>
    <row r="17" spans="2:13" ht="13.5" thickBot="1">
      <c r="B17" s="1130" t="s">
        <v>449</v>
      </c>
      <c r="C17" s="1131">
        <v>1728</v>
      </c>
      <c r="D17" s="1131">
        <v>2112</v>
      </c>
      <c r="E17" s="1131">
        <v>2496</v>
      </c>
      <c r="F17" s="1132">
        <v>2892</v>
      </c>
      <c r="G17" s="1251"/>
      <c r="H17" s="1260" t="s">
        <v>508</v>
      </c>
      <c r="I17" s="1279">
        <v>0.35</v>
      </c>
      <c r="J17" s="85"/>
      <c r="K17" s="1257" t="s">
        <v>0</v>
      </c>
      <c r="L17" s="1336">
        <v>0.5</v>
      </c>
    </row>
    <row r="18" spans="2:13" ht="13.5" thickTop="1">
      <c r="B18" s="1133" t="s">
        <v>39</v>
      </c>
      <c r="C18" s="1134">
        <f>C16-C17</f>
        <v>12657</v>
      </c>
      <c r="D18" s="1134">
        <f>D16-D17</f>
        <v>14328</v>
      </c>
      <c r="E18" s="1134">
        <f>E16-E17</f>
        <v>15999</v>
      </c>
      <c r="F18" s="1135">
        <f>F16-F17</f>
        <v>17658</v>
      </c>
      <c r="G18" s="1251"/>
      <c r="H18" s="1260" t="s">
        <v>506</v>
      </c>
      <c r="I18" s="1279">
        <v>0.4</v>
      </c>
      <c r="J18" s="85"/>
      <c r="K18" s="1257" t="s">
        <v>254</v>
      </c>
      <c r="L18" s="1336">
        <v>0.6</v>
      </c>
    </row>
    <row r="19" spans="2:13" ht="13.5" thickBot="1">
      <c r="B19" s="1136" t="s">
        <v>451</v>
      </c>
      <c r="C19" s="1137">
        <f>C18/12</f>
        <v>1054.75</v>
      </c>
      <c r="D19" s="1137">
        <f>D18/12</f>
        <v>1194</v>
      </c>
      <c r="E19" s="1137">
        <f>E18/12</f>
        <v>1333.25</v>
      </c>
      <c r="F19" s="1138">
        <f>F18/12</f>
        <v>1471.5</v>
      </c>
      <c r="G19" s="1251"/>
      <c r="H19" s="1266" t="s">
        <v>510</v>
      </c>
      <c r="I19" s="1280">
        <v>0.45</v>
      </c>
      <c r="J19" s="85"/>
      <c r="K19" s="1281" t="s">
        <v>329</v>
      </c>
      <c r="L19" s="1337">
        <v>0.3</v>
      </c>
      <c r="M19" s="80"/>
    </row>
    <row r="20" spans="2:13">
      <c r="B20" s="1139"/>
      <c r="C20" s="1123"/>
      <c r="D20" s="1123"/>
      <c r="E20" s="1123"/>
      <c r="F20" s="1124"/>
      <c r="G20" s="1251"/>
      <c r="H20" s="1324" t="s">
        <v>521</v>
      </c>
      <c r="I20" s="1325">
        <v>1</v>
      </c>
      <c r="J20" s="85"/>
      <c r="M20" s="80"/>
    </row>
    <row r="21" spans="2:13" ht="13.5" thickBot="1">
      <c r="B21" s="1128" t="s">
        <v>452</v>
      </c>
      <c r="C21" s="1140">
        <v>70650</v>
      </c>
      <c r="D21" s="1140">
        <v>80750</v>
      </c>
      <c r="E21" s="1140">
        <v>90850</v>
      </c>
      <c r="F21" s="1141">
        <v>100900</v>
      </c>
      <c r="G21" s="1251"/>
      <c r="H21" s="1327" t="s">
        <v>522</v>
      </c>
      <c r="I21" s="1328">
        <f>'Glacier Peak Financial'!E53+'Chinook Financial'!E48+'Baker Tower Financial'!E54+'Rainier Tower Financial '!E56</f>
        <v>-30367296.551250003</v>
      </c>
      <c r="J21" s="85"/>
      <c r="M21" s="85"/>
    </row>
    <row r="22" spans="2:13" ht="13.5" thickBot="1">
      <c r="B22" s="1129" t="s">
        <v>449</v>
      </c>
      <c r="C22" s="1123">
        <f>0.3*C21</f>
        <v>21195</v>
      </c>
      <c r="D22" s="1123">
        <f>0.3*D21</f>
        <v>24225</v>
      </c>
      <c r="E22" s="1123">
        <f>0.3*E21</f>
        <v>27255</v>
      </c>
      <c r="F22" s="1124">
        <f>0.3*F21</f>
        <v>30270</v>
      </c>
      <c r="G22" s="1251"/>
      <c r="H22" s="1220"/>
      <c r="I22" s="1220"/>
      <c r="J22" s="85"/>
      <c r="K22" s="85"/>
      <c r="L22" s="85"/>
      <c r="M22" s="84"/>
    </row>
    <row r="23" spans="2:13" ht="13.5" thickBot="1">
      <c r="B23" s="1142" t="s">
        <v>38</v>
      </c>
      <c r="C23" s="1143">
        <v>1728</v>
      </c>
      <c r="D23" s="1143">
        <v>2112</v>
      </c>
      <c r="E23" s="1143">
        <v>2496</v>
      </c>
      <c r="F23" s="1144">
        <v>2892</v>
      </c>
      <c r="G23" s="83"/>
      <c r="H23" s="1517" t="s">
        <v>512</v>
      </c>
      <c r="I23" s="1519"/>
      <c r="J23" s="85"/>
      <c r="K23" s="1524" t="s">
        <v>10</v>
      </c>
      <c r="L23" s="1525"/>
      <c r="M23" s="84"/>
    </row>
    <row r="24" spans="2:13" ht="14.25" thickTop="1" thickBot="1">
      <c r="B24" s="1133" t="s">
        <v>39</v>
      </c>
      <c r="C24" s="1134">
        <f>C22-C23</f>
        <v>19467</v>
      </c>
      <c r="D24" s="1134">
        <f>D22-D23</f>
        <v>22113</v>
      </c>
      <c r="E24" s="1134">
        <f>E22-E23</f>
        <v>24759</v>
      </c>
      <c r="F24" s="1135">
        <f>F22-F23</f>
        <v>27378</v>
      </c>
      <c r="G24" s="83"/>
      <c r="H24" s="1272" t="s">
        <v>11</v>
      </c>
      <c r="I24" s="1273" t="s">
        <v>12</v>
      </c>
      <c r="J24" s="85"/>
      <c r="K24" s="1267" t="s">
        <v>488</v>
      </c>
      <c r="L24" s="1365" t="s">
        <v>487</v>
      </c>
    </row>
    <row r="25" spans="2:13" ht="13.5" thickBot="1">
      <c r="B25" s="1145" t="s">
        <v>451</v>
      </c>
      <c r="C25" s="1146">
        <f>C24/12</f>
        <v>1622.25</v>
      </c>
      <c r="D25" s="1146">
        <f>D24/12</f>
        <v>1842.75</v>
      </c>
      <c r="E25" s="1146">
        <f>E24/12</f>
        <v>2063.25</v>
      </c>
      <c r="F25" s="1147">
        <f>F24/12</f>
        <v>2281.5</v>
      </c>
      <c r="G25" s="83"/>
      <c r="H25" s="1274" t="s">
        <v>13</v>
      </c>
      <c r="I25" s="1369">
        <v>245</v>
      </c>
      <c r="J25" s="85"/>
      <c r="K25" s="1267" t="s">
        <v>489</v>
      </c>
      <c r="L25" s="1365" t="s">
        <v>15</v>
      </c>
    </row>
    <row r="26" spans="2:13">
      <c r="B26" s="1270"/>
      <c r="C26" s="1271"/>
      <c r="D26" s="1271"/>
      <c r="E26" s="1271"/>
      <c r="F26" s="1271"/>
      <c r="G26" s="83"/>
      <c r="H26" s="1129" t="s">
        <v>14</v>
      </c>
      <c r="I26" s="1370">
        <v>105</v>
      </c>
      <c r="J26" s="85"/>
      <c r="K26" s="1267"/>
      <c r="L26" s="1365"/>
    </row>
    <row r="27" spans="2:13" ht="13.5" thickBot="1">
      <c r="B27" s="81"/>
      <c r="C27" s="81"/>
      <c r="D27" s="81"/>
      <c r="E27" s="81"/>
      <c r="F27" s="81"/>
      <c r="G27" s="83"/>
      <c r="H27" s="1275" t="s">
        <v>16</v>
      </c>
      <c r="I27" s="1371">
        <v>245</v>
      </c>
      <c r="J27" s="85"/>
      <c r="K27" s="1267" t="s">
        <v>490</v>
      </c>
      <c r="L27" s="1365">
        <v>400</v>
      </c>
    </row>
    <row r="28" spans="2:13">
      <c r="B28" s="1517" t="s">
        <v>454</v>
      </c>
      <c r="C28" s="1518"/>
      <c r="D28" s="1518"/>
      <c r="E28" s="1518"/>
      <c r="F28" s="1519"/>
      <c r="G28" s="83"/>
      <c r="H28" s="1275" t="s">
        <v>286</v>
      </c>
      <c r="I28" s="1372">
        <v>235</v>
      </c>
      <c r="J28" s="85"/>
      <c r="K28" s="1267"/>
      <c r="L28" s="1366"/>
    </row>
    <row r="29" spans="2:13">
      <c r="B29" s="1148" t="s">
        <v>221</v>
      </c>
      <c r="C29" s="1149" t="s">
        <v>6</v>
      </c>
      <c r="D29" s="1149" t="s">
        <v>362</v>
      </c>
      <c r="E29" s="1149" t="s">
        <v>7</v>
      </c>
      <c r="F29" s="1150" t="s">
        <v>8</v>
      </c>
      <c r="G29" s="83"/>
      <c r="H29" s="1275" t="s">
        <v>288</v>
      </c>
      <c r="I29" s="1371">
        <v>220</v>
      </c>
      <c r="J29" s="85"/>
      <c r="K29" s="1267" t="s">
        <v>560</v>
      </c>
      <c r="L29" s="1367">
        <v>30000</v>
      </c>
    </row>
    <row r="30" spans="2:13">
      <c r="B30" s="1148" t="s">
        <v>486</v>
      </c>
      <c r="C30" s="1149">
        <v>500</v>
      </c>
      <c r="D30" s="1149">
        <v>750</v>
      </c>
      <c r="E30" s="1248">
        <v>1100</v>
      </c>
      <c r="F30" s="1249">
        <v>1500</v>
      </c>
      <c r="G30" s="83"/>
      <c r="H30" s="1275" t="s">
        <v>287</v>
      </c>
      <c r="I30" s="1371">
        <v>80</v>
      </c>
      <c r="J30" s="85"/>
      <c r="K30" s="1267" t="s">
        <v>561</v>
      </c>
      <c r="L30" s="1367">
        <v>36000</v>
      </c>
    </row>
    <row r="31" spans="2:13">
      <c r="B31" s="1139" t="s">
        <v>447</v>
      </c>
      <c r="C31" s="1123">
        <v>720</v>
      </c>
      <c r="D31" s="1123">
        <v>771</v>
      </c>
      <c r="E31" s="1123">
        <v>925</v>
      </c>
      <c r="F31" s="1124">
        <v>1069</v>
      </c>
      <c r="G31" s="83"/>
      <c r="H31" s="1276" t="s">
        <v>17</v>
      </c>
      <c r="I31" s="1373" t="s">
        <v>18</v>
      </c>
      <c r="J31" s="85"/>
      <c r="K31" s="1267" t="s">
        <v>491</v>
      </c>
      <c r="L31" s="1367">
        <v>10000</v>
      </c>
    </row>
    <row r="32" spans="2:13">
      <c r="B32" s="1139" t="s">
        <v>448</v>
      </c>
      <c r="C32" s="1123">
        <v>1198</v>
      </c>
      <c r="D32" s="1123">
        <v>1284</v>
      </c>
      <c r="E32" s="1123">
        <v>1541</v>
      </c>
      <c r="F32" s="1124">
        <v>1781</v>
      </c>
      <c r="G32" s="83"/>
      <c r="H32" s="1129" t="s">
        <v>19</v>
      </c>
      <c r="I32" s="1374">
        <v>0.08</v>
      </c>
      <c r="J32" s="85"/>
      <c r="K32" s="1267" t="s">
        <v>495</v>
      </c>
      <c r="L32" s="1367">
        <v>325</v>
      </c>
    </row>
    <row r="33" spans="2:13" ht="13.5" thickBot="1">
      <c r="B33" s="1151" t="s">
        <v>452</v>
      </c>
      <c r="C33" s="1152">
        <v>1766</v>
      </c>
      <c r="D33" s="1152">
        <v>1893</v>
      </c>
      <c r="E33" s="1152">
        <v>2271</v>
      </c>
      <c r="F33" s="1153">
        <v>2624</v>
      </c>
      <c r="G33" s="83"/>
      <c r="H33" s="1129" t="s">
        <v>5</v>
      </c>
      <c r="I33" s="1372">
        <v>10</v>
      </c>
      <c r="J33" s="85"/>
      <c r="K33" s="1267" t="s">
        <v>494</v>
      </c>
      <c r="L33" s="1367">
        <v>350</v>
      </c>
    </row>
    <row r="34" spans="2:13">
      <c r="B34" s="1270"/>
      <c r="C34" s="1326"/>
      <c r="D34" s="1326"/>
      <c r="E34" s="1326"/>
      <c r="F34" s="1326"/>
      <c r="G34" s="83"/>
      <c r="H34" s="1129" t="s">
        <v>289</v>
      </c>
      <c r="I34" s="1375">
        <v>1500</v>
      </c>
      <c r="J34" s="85"/>
      <c r="K34" s="1282" t="s">
        <v>493</v>
      </c>
      <c r="L34" s="1367">
        <v>35</v>
      </c>
    </row>
    <row r="35" spans="2:13" ht="13.5" thickBot="1">
      <c r="B35" s="81"/>
      <c r="C35" s="82"/>
      <c r="G35" s="83"/>
      <c r="H35" s="1276" t="s">
        <v>21</v>
      </c>
      <c r="I35" s="1375" t="s">
        <v>22</v>
      </c>
      <c r="J35" s="85"/>
      <c r="K35" s="1282" t="s">
        <v>492</v>
      </c>
      <c r="L35" s="1367">
        <v>25</v>
      </c>
    </row>
    <row r="36" spans="2:13" ht="13.5" thickBot="1">
      <c r="B36" s="1517" t="s">
        <v>485</v>
      </c>
      <c r="C36" s="1518"/>
      <c r="D36" s="1518"/>
      <c r="E36" s="1518"/>
      <c r="F36" s="1519"/>
      <c r="G36" s="83"/>
      <c r="H36" s="1277" t="s">
        <v>23</v>
      </c>
      <c r="I36" s="1376" t="s">
        <v>24</v>
      </c>
      <c r="J36" s="85"/>
      <c r="K36" s="1268" t="s">
        <v>559</v>
      </c>
      <c r="L36" s="1368">
        <v>175</v>
      </c>
    </row>
    <row r="37" spans="2:13">
      <c r="B37" s="1241" t="s">
        <v>221</v>
      </c>
      <c r="C37" s="1242" t="s">
        <v>6</v>
      </c>
      <c r="D37" s="1242" t="s">
        <v>362</v>
      </c>
      <c r="E37" s="1243" t="s">
        <v>7</v>
      </c>
      <c r="F37" s="1244" t="s">
        <v>8</v>
      </c>
      <c r="G37" s="83"/>
      <c r="H37" s="1277" t="s">
        <v>25</v>
      </c>
      <c r="I37" s="1376" t="s">
        <v>24</v>
      </c>
      <c r="J37" s="85"/>
      <c r="K37" s="82"/>
      <c r="L37" s="1250"/>
    </row>
    <row r="38" spans="2:13" ht="13.5" thickBot="1">
      <c r="B38" s="1245" t="s">
        <v>265</v>
      </c>
      <c r="C38" s="1246">
        <f>C7</f>
        <v>106920</v>
      </c>
      <c r="D38" s="1246">
        <f>D7</f>
        <v>127039</v>
      </c>
      <c r="E38" s="1246">
        <f>E7</f>
        <v>153372</v>
      </c>
      <c r="F38" s="1247">
        <f>F7</f>
        <v>196715</v>
      </c>
      <c r="G38" s="83"/>
      <c r="H38" s="1277" t="s">
        <v>26</v>
      </c>
      <c r="I38" s="1377">
        <v>0.03</v>
      </c>
      <c r="J38" s="85"/>
      <c r="K38" s="1283"/>
      <c r="L38" s="80"/>
    </row>
    <row r="39" spans="2:13">
      <c r="B39" s="1230">
        <v>0.65</v>
      </c>
      <c r="C39" s="1231">
        <f>$B$39*C38</f>
        <v>69498</v>
      </c>
      <c r="D39" s="1231">
        <f>$B$39*D38</f>
        <v>82575.350000000006</v>
      </c>
      <c r="E39" s="1231">
        <f>$B$39*E38</f>
        <v>99691.8</v>
      </c>
      <c r="F39" s="1232">
        <f>$B$39*F38</f>
        <v>127864.75</v>
      </c>
      <c r="G39" s="83"/>
      <c r="H39" s="1277" t="s">
        <v>27</v>
      </c>
      <c r="I39" s="1378">
        <v>0.03</v>
      </c>
      <c r="J39" s="85"/>
      <c r="K39" s="85"/>
      <c r="L39" s="80"/>
      <c r="M39" s="80"/>
    </row>
    <row r="40" spans="2:13">
      <c r="B40" s="1221">
        <v>0.35</v>
      </c>
      <c r="C40" s="1233">
        <f>$B$40*C39</f>
        <v>24324.3</v>
      </c>
      <c r="D40" s="1233">
        <f>$B$40*D39</f>
        <v>28901.372500000001</v>
      </c>
      <c r="E40" s="1233">
        <f>$B$40*E39</f>
        <v>34892.129999999997</v>
      </c>
      <c r="F40" s="1234">
        <f>$B$40*F39</f>
        <v>44752.662499999999</v>
      </c>
      <c r="G40" s="83"/>
      <c r="H40" s="1277" t="s">
        <v>28</v>
      </c>
      <c r="I40" s="1377">
        <v>0.02</v>
      </c>
      <c r="J40" s="85"/>
      <c r="K40" s="85"/>
      <c r="L40" s="80"/>
      <c r="M40" s="80"/>
    </row>
    <row r="41" spans="2:13">
      <c r="B41" s="1226">
        <v>200</v>
      </c>
      <c r="C41" s="1233">
        <f>-12*$B$41</f>
        <v>-2400</v>
      </c>
      <c r="D41" s="1233">
        <f>-12*$B$41</f>
        <v>-2400</v>
      </c>
      <c r="E41" s="1233">
        <f>-12*$B$41</f>
        <v>-2400</v>
      </c>
      <c r="F41" s="1234">
        <f>-12*$B$41</f>
        <v>-2400</v>
      </c>
      <c r="G41" s="83"/>
      <c r="H41" s="1277" t="s">
        <v>29</v>
      </c>
      <c r="I41" s="1379" t="s">
        <v>24</v>
      </c>
      <c r="J41" s="85"/>
      <c r="K41" s="85"/>
      <c r="L41" s="85"/>
      <c r="M41" s="80"/>
    </row>
    <row r="42" spans="2:13">
      <c r="B42" s="1227">
        <v>1.6999999999999999E-3</v>
      </c>
      <c r="C42" s="1233">
        <v>-299</v>
      </c>
      <c r="D42" s="1233">
        <v>-376</v>
      </c>
      <c r="E42" s="1233">
        <v>-477</v>
      </c>
      <c r="F42" s="1234">
        <v>-643</v>
      </c>
      <c r="G42" s="83"/>
      <c r="H42" s="1277" t="s">
        <v>30</v>
      </c>
      <c r="I42" s="1380">
        <v>1</v>
      </c>
      <c r="J42" s="85"/>
      <c r="K42" s="85"/>
      <c r="L42" s="80"/>
    </row>
    <row r="43" spans="2:13">
      <c r="B43" s="1228">
        <v>350</v>
      </c>
      <c r="C43" s="1233">
        <f>-$B$43*12</f>
        <v>-4200</v>
      </c>
      <c r="D43" s="1233">
        <f>-$B$43*12</f>
        <v>-4200</v>
      </c>
      <c r="E43" s="1233">
        <f>-$B$43*12</f>
        <v>-4200</v>
      </c>
      <c r="F43" s="1234">
        <f>-$B$43*12</f>
        <v>-4200</v>
      </c>
      <c r="G43" s="83"/>
      <c r="H43" s="1277" t="s">
        <v>31</v>
      </c>
      <c r="I43" s="1380">
        <v>1</v>
      </c>
      <c r="J43" s="85"/>
      <c r="K43" s="1215"/>
      <c r="L43" s="80"/>
      <c r="M43" s="80"/>
    </row>
    <row r="44" spans="2:13" ht="13.5" thickBot="1">
      <c r="B44" s="1229">
        <v>1.2999999999999999E-2</v>
      </c>
      <c r="C44" s="1225">
        <f ca="1">-B44*C48</f>
        <v>-2284.418483125894</v>
      </c>
      <c r="D44" s="1225">
        <f ca="1">B44*D48</f>
        <v>3895.8402522484253</v>
      </c>
      <c r="E44" s="1225">
        <f ca="1">B44*E48</f>
        <v>4942.3699905450985</v>
      </c>
      <c r="F44" s="1235">
        <f ca="1">B44*F48</f>
        <v>6664.9564569885115</v>
      </c>
      <c r="G44" s="83"/>
      <c r="H44" s="1277" t="s">
        <v>32</v>
      </c>
      <c r="I44" s="1381">
        <v>6</v>
      </c>
      <c r="J44" s="85"/>
      <c r="K44" s="1329"/>
      <c r="L44" s="80"/>
      <c r="M44" s="80"/>
    </row>
    <row r="45" spans="2:13" ht="13.5" thickTop="1">
      <c r="B45" s="1222" t="s">
        <v>40</v>
      </c>
      <c r="C45" s="1236">
        <f ca="1">SUM(C40:C44)</f>
        <v>15140.881516874106</v>
      </c>
      <c r="D45" s="1236">
        <f t="shared" ref="D45:F45" ca="1" si="0">SUM(D40:D44)</f>
        <v>25821.212752248426</v>
      </c>
      <c r="E45" s="1236">
        <f t="shared" ca="1" si="0"/>
        <v>32757.499990545097</v>
      </c>
      <c r="F45" s="1216">
        <f t="shared" ca="1" si="0"/>
        <v>44174.61895698851</v>
      </c>
      <c r="G45" s="83"/>
      <c r="H45" s="1277" t="s">
        <v>33</v>
      </c>
      <c r="I45" s="1382">
        <v>75</v>
      </c>
      <c r="J45" s="85"/>
      <c r="K45" s="1283"/>
      <c r="L45" s="80" t="s">
        <v>388</v>
      </c>
      <c r="M45" s="80"/>
    </row>
    <row r="46" spans="2:13">
      <c r="B46" s="1223">
        <v>0.08</v>
      </c>
      <c r="C46" s="1237">
        <f ca="1">-PV($B$46,30,C45)</f>
        <v>170452.7637409321</v>
      </c>
      <c r="D46" s="1237">
        <f ca="1">-PV($B$46,30,D45)</f>
        <v>290689.61882161332</v>
      </c>
      <c r="E46" s="1237">
        <f ca="1">-PV($B$46,30,E45)</f>
        <v>368776.83775605733</v>
      </c>
      <c r="F46" s="1217">
        <f ca="1">-PV($B$46,30,F45)</f>
        <v>497308.28948298894</v>
      </c>
      <c r="G46" s="83"/>
      <c r="H46" s="1277" t="s">
        <v>34</v>
      </c>
      <c r="I46" s="1383">
        <v>0.06</v>
      </c>
      <c r="J46" s="85"/>
      <c r="K46" s="1283"/>
      <c r="L46" s="80"/>
      <c r="M46" s="80"/>
    </row>
    <row r="47" spans="2:13" ht="13.5" thickBot="1">
      <c r="B47" s="1224">
        <v>0.03</v>
      </c>
      <c r="C47" s="1218">
        <f ca="1">$B$47*(C46/(1-$B$47))</f>
        <v>5271.7349610597557</v>
      </c>
      <c r="D47" s="1218">
        <f ca="1">$B$47*(D46/(1-$B$47))</f>
        <v>8990.4005821117516</v>
      </c>
      <c r="E47" s="1218">
        <f ca="1">$B$47*(E46/(1-$B$47))</f>
        <v>11405.469208950226</v>
      </c>
      <c r="F47" s="1219">
        <f ca="1">$B$47*(F46/(1-$B$47))</f>
        <v>15380.668746896565</v>
      </c>
      <c r="G47" s="83"/>
      <c r="H47" s="1277" t="s">
        <v>35</v>
      </c>
      <c r="I47" s="1384">
        <v>1.4999999999999999E-2</v>
      </c>
      <c r="J47" s="85"/>
      <c r="K47" s="1283"/>
      <c r="L47" s="80"/>
      <c r="M47" s="80"/>
    </row>
    <row r="48" spans="2:13" ht="14.25" thickTop="1" thickBot="1">
      <c r="B48" s="1238" t="s">
        <v>41</v>
      </c>
      <c r="C48" s="1239">
        <f ca="1">SUM(C46:C47)</f>
        <v>175724.49870199186</v>
      </c>
      <c r="D48" s="1239">
        <f t="shared" ref="D48:F48" ca="1" si="1">SUM(D46:D47)</f>
        <v>299680.01940372505</v>
      </c>
      <c r="E48" s="1239">
        <f t="shared" ca="1" si="1"/>
        <v>380182.30696500756</v>
      </c>
      <c r="F48" s="1240">
        <f t="shared" ca="1" si="1"/>
        <v>512688.95822988549</v>
      </c>
      <c r="G48" s="83"/>
      <c r="H48" s="1278" t="s">
        <v>36</v>
      </c>
      <c r="I48" s="1385">
        <v>7.0000000000000007E-2</v>
      </c>
      <c r="J48" s="85"/>
      <c r="K48" s="1283"/>
      <c r="L48" s="80"/>
      <c r="M48" s="80"/>
    </row>
    <row r="49" spans="3:12">
      <c r="C49" s="82"/>
      <c r="G49" s="83"/>
      <c r="H49" s="1284"/>
      <c r="I49" s="1285"/>
      <c r="J49" s="85"/>
      <c r="K49" s="1283"/>
      <c r="L49" s="80"/>
    </row>
    <row r="50" spans="3:12">
      <c r="C50" s="82"/>
      <c r="G50" s="83"/>
      <c r="H50" s="1253"/>
      <c r="I50" s="1254"/>
    </row>
    <row r="51" spans="3:12">
      <c r="G51" s="83"/>
    </row>
    <row r="52" spans="3:12">
      <c r="G52" s="83"/>
    </row>
    <row r="53" spans="3:12">
      <c r="G53" s="83"/>
    </row>
    <row r="71" spans="7:7">
      <c r="G71" s="83"/>
    </row>
    <row r="72" spans="7:7">
      <c r="G72" s="83"/>
    </row>
    <row r="73" spans="7:7">
      <c r="G73" s="83"/>
    </row>
    <row r="74" spans="7:7">
      <c r="G74" s="83"/>
    </row>
    <row r="75" spans="7:7">
      <c r="G75" s="83"/>
    </row>
    <row r="76" spans="7:7">
      <c r="G76" s="83"/>
    </row>
    <row r="77" spans="7:7">
      <c r="G77" s="83"/>
    </row>
    <row r="78" spans="7:7">
      <c r="G78" s="83"/>
    </row>
    <row r="79" spans="7:7">
      <c r="G79" s="83"/>
    </row>
    <row r="80" spans="7:7">
      <c r="G80" s="83"/>
    </row>
    <row r="81" spans="7:7">
      <c r="G81" s="83"/>
    </row>
    <row r="82" spans="7:7">
      <c r="G82" s="83"/>
    </row>
    <row r="83" spans="7:7">
      <c r="G83" s="83"/>
    </row>
    <row r="84" spans="7:7">
      <c r="G84" s="83"/>
    </row>
  </sheetData>
  <mergeCells count="9">
    <mergeCell ref="K5:L5"/>
    <mergeCell ref="K23:L23"/>
    <mergeCell ref="B36:F36"/>
    <mergeCell ref="H5:I5"/>
    <mergeCell ref="B8:F8"/>
    <mergeCell ref="B28:F28"/>
    <mergeCell ref="D3:G3"/>
    <mergeCell ref="H23:I23"/>
    <mergeCell ref="B5:F5"/>
  </mergeCells>
  <pageMargins left="0.7" right="0.7" top="0.75" bottom="0.75" header="0.3" footer="0.3"/>
  <pageSetup paperSize="3" scale="65" pageOrder="overThenDown" orientation="landscape" r:id="rId1"/>
  <rowBreaks count="1" manualBreakCount="1">
    <brk id="48" max="16383" man="1"/>
  </rowBreaks>
  <colBreaks count="2" manualBreakCount="2">
    <brk id="7" min="1" max="82" man="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B1:W30"/>
  <sheetViews>
    <sheetView showGridLines="0" zoomScale="87" zoomScaleNormal="87" zoomScaleSheetLayoutView="90" workbookViewId="0">
      <selection activeCell="Q22" sqref="Q22"/>
    </sheetView>
  </sheetViews>
  <sheetFormatPr defaultColWidth="8.85546875" defaultRowHeight="23.25" customHeight="1"/>
  <cols>
    <col min="1" max="1" width="6.7109375" style="2" customWidth="1"/>
    <col min="2" max="2" width="28" style="2" bestFit="1" customWidth="1"/>
    <col min="3" max="3" width="27.7109375" style="2" bestFit="1" customWidth="1"/>
    <col min="4" max="4" width="21.85546875" style="2" customWidth="1"/>
    <col min="5" max="5" width="21.42578125" style="2" bestFit="1" customWidth="1"/>
    <col min="6" max="6" width="19.85546875" style="2" bestFit="1" customWidth="1"/>
    <col min="7" max="7" width="21.28515625" style="2" bestFit="1" customWidth="1"/>
    <col min="8" max="8" width="26.5703125" style="2" bestFit="1" customWidth="1"/>
    <col min="9" max="9" width="18.140625" style="2" customWidth="1"/>
    <col min="10" max="11" width="17.7109375" style="2" bestFit="1" customWidth="1"/>
    <col min="12" max="13" width="15.7109375" style="2" bestFit="1" customWidth="1"/>
    <col min="14" max="14" width="14.7109375" style="2" customWidth="1"/>
    <col min="15" max="15" width="17.85546875" style="2" customWidth="1"/>
    <col min="16" max="16" width="11.7109375" style="2" customWidth="1"/>
    <col min="17" max="17" width="23.85546875" style="2" customWidth="1"/>
    <col min="18" max="18" width="17.5703125" style="2" customWidth="1"/>
    <col min="19" max="19" width="11.5703125" style="2" customWidth="1"/>
    <col min="20" max="41" width="7.28515625" style="2" customWidth="1"/>
    <col min="42" max="16384" width="8.85546875" style="2"/>
  </cols>
  <sheetData>
    <row r="1" spans="2:23" ht="23.25" customHeight="1" thickBot="1"/>
    <row r="2" spans="2:23" ht="23.25" customHeight="1">
      <c r="B2" s="1534" t="s">
        <v>42</v>
      </c>
      <c r="C2" s="1535"/>
      <c r="D2" s="1535"/>
      <c r="E2" s="1535"/>
      <c r="F2" s="1535"/>
      <c r="G2" s="1535"/>
      <c r="H2" s="1535"/>
      <c r="I2" s="1535"/>
      <c r="J2" s="1535"/>
      <c r="K2" s="1535"/>
      <c r="L2" s="1535"/>
      <c r="M2" s="1535"/>
      <c r="N2" s="1535"/>
      <c r="O2" s="1535"/>
      <c r="P2" s="1535"/>
      <c r="Q2" s="1535"/>
      <c r="R2" s="1535"/>
      <c r="S2" s="1536"/>
    </row>
    <row r="3" spans="2:23" ht="23.25" customHeight="1" thickBot="1">
      <c r="B3" s="1532"/>
      <c r="C3" s="1533"/>
      <c r="D3" s="1533"/>
      <c r="E3" s="1533"/>
      <c r="F3" s="1533"/>
      <c r="G3" s="1533"/>
      <c r="H3" s="1533"/>
      <c r="I3" s="1533"/>
      <c r="J3" s="1533"/>
      <c r="K3" s="1533"/>
      <c r="L3" s="1533"/>
      <c r="M3" s="1533"/>
      <c r="N3" s="1533"/>
      <c r="O3" s="1533"/>
      <c r="P3" s="1533"/>
      <c r="Q3" s="1533"/>
      <c r="R3" s="1533"/>
      <c r="S3" s="1697"/>
      <c r="V3" s="76"/>
    </row>
    <row r="4" spans="2:23" ht="33" thickBot="1">
      <c r="B4" s="560" t="s">
        <v>43</v>
      </c>
      <c r="C4" s="561" t="s">
        <v>44</v>
      </c>
      <c r="D4" s="561" t="s">
        <v>45</v>
      </c>
      <c r="E4" s="562" t="s">
        <v>46</v>
      </c>
      <c r="F4" s="561" t="s">
        <v>267</v>
      </c>
      <c r="G4" s="561" t="s">
        <v>47</v>
      </c>
      <c r="H4" s="562" t="s">
        <v>48</v>
      </c>
      <c r="I4" s="561" t="s">
        <v>49</v>
      </c>
      <c r="J4" s="562" t="s">
        <v>50</v>
      </c>
      <c r="K4" s="561" t="s">
        <v>51</v>
      </c>
      <c r="L4" s="561" t="s">
        <v>52</v>
      </c>
      <c r="M4" s="561" t="s">
        <v>53</v>
      </c>
      <c r="N4" s="562" t="s">
        <v>596</v>
      </c>
      <c r="O4" s="1430" t="s">
        <v>599</v>
      </c>
      <c r="P4" s="1181" t="s">
        <v>597</v>
      </c>
      <c r="Q4" s="1181" t="s">
        <v>459</v>
      </c>
      <c r="R4" s="563" t="s">
        <v>54</v>
      </c>
      <c r="S4" s="1692" t="s">
        <v>614</v>
      </c>
    </row>
    <row r="5" spans="2:23" ht="15">
      <c r="B5" s="1182" t="s">
        <v>603</v>
      </c>
      <c r="C5" s="557">
        <v>942000860</v>
      </c>
      <c r="D5" s="577">
        <f>'King Condominiums Financial '!C31</f>
        <v>452481</v>
      </c>
      <c r="E5" s="557" t="str">
        <f>'Types of Development'!E8</f>
        <v>RES-Market-Sale</v>
      </c>
      <c r="F5" s="577">
        <f>'Market Research'!AJ8</f>
        <v>55000000</v>
      </c>
      <c r="G5" s="565">
        <f>'King Condominiums Financial '!C17</f>
        <v>521.6</v>
      </c>
      <c r="H5" s="566">
        <f>'King Condominiums Financial '!C21</f>
        <v>49721</v>
      </c>
      <c r="I5" s="1484">
        <v>10</v>
      </c>
      <c r="J5" s="577">
        <f ca="1">'King Condominiums Financial '!E40+'King Condominiums Financial '!E42</f>
        <v>370574120.32807988</v>
      </c>
      <c r="K5" s="577">
        <f ca="1">'King Condominiums Financial '!D68</f>
        <v>264157684.52602234</v>
      </c>
      <c r="L5" s="577">
        <f ca="1">'King Condominiums Financial '!C79</f>
        <v>92455189.584107816</v>
      </c>
      <c r="M5" s="577">
        <f ca="1">'King Condominiums Financial '!C78</f>
        <v>171702494.94191453</v>
      </c>
      <c r="N5" s="1432">
        <f ca="1">-'King Condominiums Financial '!C76</f>
        <v>0</v>
      </c>
      <c r="O5" s="1431">
        <v>0</v>
      </c>
      <c r="P5" s="1431">
        <f ca="1">N5-O5</f>
        <v>0</v>
      </c>
      <c r="Q5" s="1185">
        <f ca="1">'King Condominiums Financial '!C96</f>
        <v>9.5011432551129982E-2</v>
      </c>
      <c r="R5" s="607">
        <f ca="1">'King Condominiums Financial '!C97</f>
        <v>0.17271595605089107</v>
      </c>
      <c r="S5" s="1693">
        <f ca="1">('King Condominiums Financial '!E40+'King Condominiums Financial '!E42+'Yesler Financial'!E35)/('Yesler Financial'!D60+'King Condominiums Financial '!D68) - 1</f>
        <v>0.42775693218911637</v>
      </c>
      <c r="T5" s="1360"/>
      <c r="U5" s="1360"/>
    </row>
    <row r="6" spans="2:23" ht="15.75" thickBot="1">
      <c r="B6" s="1182" t="s">
        <v>269</v>
      </c>
      <c r="C6" s="557">
        <v>942001150</v>
      </c>
      <c r="D6" s="577">
        <f>'Yesler Financial'!C21+'Yesler Financial'!C22</f>
        <v>102680</v>
      </c>
      <c r="E6" s="567" t="str">
        <f>'Types of Development'!E11</f>
        <v>Hotel</v>
      </c>
      <c r="F6" s="577">
        <f>'Yesler Financial'!D42</f>
        <v>8000000</v>
      </c>
      <c r="G6" s="568">
        <f>'Yesler Financial'!C8</f>
        <v>185</v>
      </c>
      <c r="H6" s="569">
        <f>'Yesler Financial'!C13</f>
        <v>27130</v>
      </c>
      <c r="I6" s="1484">
        <v>7</v>
      </c>
      <c r="J6" s="577">
        <f>'Yesler Financial'!E35</f>
        <v>92489560</v>
      </c>
      <c r="K6" s="577">
        <f ca="1">'Yesler Financial'!D60</f>
        <v>60171807.342096195</v>
      </c>
      <c r="L6" s="577">
        <f ca="1">'Yesler Financial'!C71</f>
        <v>24068722.936838478</v>
      </c>
      <c r="M6" s="577">
        <f ca="1">'Yesler Financial'!C70</f>
        <v>36103084.405257717</v>
      </c>
      <c r="N6" s="1432">
        <f ca="1">-'Yesler Financial'!C68</f>
        <v>0</v>
      </c>
      <c r="O6" s="1431">
        <v>0</v>
      </c>
      <c r="P6" s="1431">
        <f t="shared" ref="P6:P12" ca="1" si="0">N6-O6</f>
        <v>0</v>
      </c>
      <c r="Q6" s="1185">
        <f ca="1">'Yesler Financial'!C88</f>
        <v>0.15648643897668135</v>
      </c>
      <c r="R6" s="607">
        <f ca="1">'Yesler Financial'!C89</f>
        <v>0.24259935838526325</v>
      </c>
      <c r="S6" s="1696"/>
      <c r="T6" s="1360"/>
      <c r="U6" s="1360"/>
    </row>
    <row r="7" spans="2:23" ht="15">
      <c r="B7" s="1182" t="s">
        <v>387</v>
      </c>
      <c r="C7" s="557">
        <v>942000920</v>
      </c>
      <c r="D7" s="577">
        <f>'Glacier Peak Financial'!C35+'Glacier Peak Financial'!C36</f>
        <v>733500</v>
      </c>
      <c r="E7" s="567" t="str">
        <f>'Types of Development'!E9</f>
        <v>RES-AFF-MU</v>
      </c>
      <c r="F7" s="577">
        <f>'Market Research'!AJ9</f>
        <v>48900000</v>
      </c>
      <c r="G7" s="565">
        <f>'Glacier Peak Financial'!C21</f>
        <v>614</v>
      </c>
      <c r="H7" s="570">
        <f>'Glacier Peak Financial'!C27</f>
        <v>86000</v>
      </c>
      <c r="I7" s="1484">
        <v>22</v>
      </c>
      <c r="J7" s="577">
        <f>'Glacier Peak Financial'!E55</f>
        <v>287885870</v>
      </c>
      <c r="K7" s="577">
        <f ca="1">'Glacier Peak Financial'!D80</f>
        <v>227157537.74771696</v>
      </c>
      <c r="L7" s="577">
        <f ca="1">'Glacier Peak Financial'!C92</f>
        <v>79505138.211700931</v>
      </c>
      <c r="M7" s="577">
        <f ca="1">'Glacier Peak Financial'!C91</f>
        <v>147652399.53601602</v>
      </c>
      <c r="N7" s="1432">
        <f ca="1">-'Glacier Peak Financial'!C88</f>
        <v>5707000</v>
      </c>
      <c r="O7" s="1431">
        <v>5707000</v>
      </c>
      <c r="P7" s="1431">
        <f t="shared" ca="1" si="0"/>
        <v>0</v>
      </c>
      <c r="Q7" s="1185">
        <f ca="1">'Glacier Peak Financial'!C109</f>
        <v>8.3837384086091316E-2</v>
      </c>
      <c r="R7" s="607">
        <f ca="1">'Glacier Peak Draw '!B40</f>
        <v>0.15288450943988607</v>
      </c>
      <c r="S7" s="1693">
        <f ca="1">('Glacier Peak Financial'!E55+'Chinook Financial'!E50+'4th Street Financial '!E42) / ('4th Street Financial '!D70+'Chinook Financial'!D75+'Glacier Peak Financial'!D80) - 1</f>
        <v>0.26124927858296276</v>
      </c>
      <c r="T7" s="1360"/>
      <c r="U7" s="1360"/>
    </row>
    <row r="8" spans="2:23" ht="15">
      <c r="B8" s="1182" t="s">
        <v>333</v>
      </c>
      <c r="C8" s="557">
        <v>942001105</v>
      </c>
      <c r="D8" s="577">
        <f>'Chinook Financial'!C27+'Chinook Financial'!C28</f>
        <v>369140</v>
      </c>
      <c r="E8" s="567" t="str">
        <f>'Types of Development'!E7</f>
        <v>RES-Market-Rental</v>
      </c>
      <c r="F8" s="577">
        <f>'Chinook Financial'!D57</f>
        <v>70000000</v>
      </c>
      <c r="G8" s="565">
        <f>'Chinook Financial'!C12</f>
        <v>194</v>
      </c>
      <c r="H8" s="566">
        <f>'Chinook Financial'!C17</f>
        <v>122900</v>
      </c>
      <c r="I8" s="1484">
        <v>13</v>
      </c>
      <c r="J8" s="577">
        <f ca="1">'Chinook Financial'!E50</f>
        <v>217918803.34382015</v>
      </c>
      <c r="K8" s="577">
        <f ca="1">'Chinook Financial'!D75</f>
        <v>168088129.91567224</v>
      </c>
      <c r="L8" s="577">
        <f ca="1">'Chinook Financial'!C86</f>
        <v>84044064.957836121</v>
      </c>
      <c r="M8" s="577">
        <f ca="1">'Chinook Financial'!C85</f>
        <v>84044064.957836121</v>
      </c>
      <c r="N8" s="1432">
        <f ca="1">-'Chinook Financial'!C83</f>
        <v>0</v>
      </c>
      <c r="O8" s="1431">
        <v>0</v>
      </c>
      <c r="P8" s="1431">
        <f t="shared" ca="1" si="0"/>
        <v>0</v>
      </c>
      <c r="Q8" s="1185">
        <f ca="1">'Chinook Financial'!C103</f>
        <v>0.15028229044864028</v>
      </c>
      <c r="R8" s="607">
        <f ca="1">'Chinook Financial'!C104</f>
        <v>0.20595893345161498</v>
      </c>
      <c r="S8" s="1694"/>
      <c r="T8" s="1360"/>
      <c r="U8" s="1360"/>
    </row>
    <row r="9" spans="2:23" ht="45.75" thickBot="1">
      <c r="B9" s="1182" t="s">
        <v>329</v>
      </c>
      <c r="C9" s="557" t="s">
        <v>291</v>
      </c>
      <c r="D9" s="577">
        <f>'4th Street Financial '!C23+'4th Street Financial '!C24</f>
        <v>133580</v>
      </c>
      <c r="E9" s="567" t="str">
        <f>'Types of Development'!E9</f>
        <v>RES-AFF-MU</v>
      </c>
      <c r="F9" s="577">
        <f>'4th Street Financial '!D52</f>
        <v>10000000</v>
      </c>
      <c r="G9" s="565">
        <f>'4th Street Financial '!C6</f>
        <v>115</v>
      </c>
      <c r="H9" s="571">
        <f>'4th Street Financial '!C14</f>
        <v>95980</v>
      </c>
      <c r="I9" s="1484">
        <v>6</v>
      </c>
      <c r="J9" s="577">
        <f>'4th Street Financial '!E42</f>
        <v>51285392</v>
      </c>
      <c r="K9" s="577">
        <f ca="1">'4th Street Financial '!D70</f>
        <v>46451366.224884897</v>
      </c>
      <c r="L9" s="577">
        <f ca="1">'4th Street Financial '!C82</f>
        <v>28801956.357419427</v>
      </c>
      <c r="M9" s="577">
        <f ca="1">'4th Street Financial '!C81</f>
        <v>13935409.867465468</v>
      </c>
      <c r="N9" s="1432">
        <f ca="1">-'4th Street Financial '!C78</f>
        <v>3714000</v>
      </c>
      <c r="O9" s="1431">
        <f ca="1">N9</f>
        <v>3714000</v>
      </c>
      <c r="P9" s="1431">
        <f t="shared" ca="1" si="0"/>
        <v>0</v>
      </c>
      <c r="Q9" s="1185">
        <f ca="1">'4th Street Financial '!C99</f>
        <v>0</v>
      </c>
      <c r="R9" s="607">
        <f ca="1">'4th Street Financial '!C100</f>
        <v>0.10118808233816745</v>
      </c>
      <c r="S9" s="1696"/>
      <c r="T9" s="1360"/>
      <c r="U9" s="1360"/>
      <c r="W9" s="564"/>
    </row>
    <row r="10" spans="2:23" ht="15">
      <c r="B10" s="1183" t="s">
        <v>332</v>
      </c>
      <c r="C10" s="557">
        <v>942001010</v>
      </c>
      <c r="D10" s="577">
        <f>'Rainier Tower Financial '!C37+'Rainier Tower Financial '!C38</f>
        <v>622134.19999999995</v>
      </c>
      <c r="E10" s="557" t="str">
        <f>'Types of Development'!E8</f>
        <v>RES-Market-Sale</v>
      </c>
      <c r="F10" s="577">
        <f>'Rainier Tower Financial '!D66</f>
        <v>55000000</v>
      </c>
      <c r="G10" s="572">
        <f>'Rainier Tower Financial '!C21</f>
        <v>556</v>
      </c>
      <c r="H10" s="573">
        <f>'Rainier Tower Financial '!C26</f>
        <v>111453</v>
      </c>
      <c r="I10" s="1484">
        <v>35</v>
      </c>
      <c r="J10" s="577">
        <f>'Rainier Tower Financial '!E58</f>
        <v>316937358.54999995</v>
      </c>
      <c r="K10" s="577">
        <f ca="1">'Rainier Tower Financial '!D83</f>
        <v>228628309.18860886</v>
      </c>
      <c r="L10" s="577">
        <f ca="1">'Rainier Tower Financial '!C94</f>
        <v>80019908.216013089</v>
      </c>
      <c r="M10" s="577">
        <f ca="1">'Rainier Tower Financial '!C93</f>
        <v>148608400.97259575</v>
      </c>
      <c r="N10" s="1432">
        <f ca="1">-'Rainier Tower Financial '!C91</f>
        <v>0</v>
      </c>
      <c r="O10" s="1431">
        <v>0</v>
      </c>
      <c r="P10" s="1431">
        <f t="shared" ca="1" si="0"/>
        <v>0</v>
      </c>
      <c r="Q10" s="1185">
        <f ca="1">'Rainier Tower Financial '!C111</f>
        <v>0.19591482353364742</v>
      </c>
      <c r="R10" s="607">
        <f ca="1">'Rainier Tower Financial '!C112</f>
        <v>0.21491045310162793</v>
      </c>
      <c r="S10" s="1693">
        <f ca="1" xml:space="preserve"> ('Baker Tower Financial'!E56+'Rainier Tower Financial '!E58) / ('Rainier Tower Financial '!D83+'Baker Tower Financial'!D81) - 1</f>
        <v>0.33654199239832772</v>
      </c>
      <c r="T10" s="1360"/>
      <c r="U10" s="1360"/>
    </row>
    <row r="11" spans="2:23" ht="15.75" thickBot="1">
      <c r="B11" s="1184" t="s">
        <v>386</v>
      </c>
      <c r="C11" s="556">
        <v>942001050</v>
      </c>
      <c r="D11" s="578">
        <f>'Baker Tower Financial'!C36+'Baker Tower Financial'!C37</f>
        <v>584733</v>
      </c>
      <c r="E11" s="574" t="str">
        <f>'Types of Development'!E7</f>
        <v>RES-Market-Rental</v>
      </c>
      <c r="F11" s="578">
        <f>'Market Research'!AJ12</f>
        <v>55600000</v>
      </c>
      <c r="G11" s="575">
        <f>'Baker Tower Financial'!C21</f>
        <v>487.4</v>
      </c>
      <c r="H11" s="576">
        <f>'Baker Tower Financial'!C26</f>
        <v>61453</v>
      </c>
      <c r="I11" s="1485">
        <v>22</v>
      </c>
      <c r="J11" s="578">
        <f>'Baker Tower Financial'!E56</f>
        <v>240620278.82499993</v>
      </c>
      <c r="K11" s="578">
        <f ca="1">'Baker Tower Financial'!D81</f>
        <v>188536015.27418122</v>
      </c>
      <c r="L11" s="578">
        <f ca="1">'Baker Tower Financial'!C93</f>
        <v>65987605.345963418</v>
      </c>
      <c r="M11" s="578">
        <f ca="1">'Baker Tower Financial'!C92</f>
        <v>122548409.9282178</v>
      </c>
      <c r="N11" s="1698">
        <f ca="1">-'Baker Tower Financial'!C89</f>
        <v>3443000</v>
      </c>
      <c r="O11" s="1433">
        <f ca="1">N11</f>
        <v>3443000</v>
      </c>
      <c r="P11" s="1433">
        <f t="shared" ca="1" si="0"/>
        <v>0</v>
      </c>
      <c r="Q11" s="1186">
        <f ca="1">'Baker Tower Financial'!C110</f>
        <v>8.5755244602807368E-2</v>
      </c>
      <c r="R11" s="608">
        <f ca="1">'Baker Tower Financial'!C111</f>
        <v>0.11515443062033337</v>
      </c>
      <c r="S11" s="1696"/>
      <c r="T11" s="1360"/>
      <c r="U11" s="1360"/>
    </row>
    <row r="12" spans="2:23" ht="16.5" thickBot="1">
      <c r="B12" s="558" t="s">
        <v>56</v>
      </c>
      <c r="C12" s="583"/>
      <c r="D12" s="1487">
        <f>SUM(D5:D11)</f>
        <v>2998248.2</v>
      </c>
      <c r="E12" s="1490"/>
      <c r="F12" s="1488">
        <f>SUM(F5:F11)</f>
        <v>302500000</v>
      </c>
      <c r="G12" s="1491">
        <f>SUM(G5:G11)</f>
        <v>2673</v>
      </c>
      <c r="H12" s="1489">
        <f>SUM(H5:H11)</f>
        <v>554637</v>
      </c>
      <c r="I12" s="1486"/>
      <c r="J12" s="559">
        <f t="shared" ref="J12:O12" ca="1" si="1">SUM(J5:J11)</f>
        <v>1577711383.0468998</v>
      </c>
      <c r="K12" s="559">
        <f t="shared" ca="1" si="1"/>
        <v>1183190850.2191827</v>
      </c>
      <c r="L12" s="559">
        <f t="shared" ca="1" si="1"/>
        <v>454882585.60987926</v>
      </c>
      <c r="M12" s="559">
        <f t="shared" ca="1" si="1"/>
        <v>724594264.60930336</v>
      </c>
      <c r="N12" s="1699">
        <f t="shared" ca="1" si="1"/>
        <v>12864000</v>
      </c>
      <c r="O12" s="1434">
        <f t="shared" ca="1" si="1"/>
        <v>12864000</v>
      </c>
      <c r="P12" s="1436">
        <f t="shared" ca="1" si="0"/>
        <v>0</v>
      </c>
      <c r="Q12" s="1435">
        <f ca="1">'All Components Draw'!B17</f>
        <v>0.13180983328812834</v>
      </c>
      <c r="R12" s="1187">
        <f ca="1">'All Components Draw'!B6</f>
        <v>0.17366042614798549</v>
      </c>
      <c r="S12" s="1695">
        <f ca="1">('King Condominiums Financial '!E42+'King Condominiums Financial '!E40+'Yesler Financial'!E35+'Glacier Peak Financial'!E55+'Chinook Financial'!E50+'4th Street Financial '!E42+'Baker Tower Financial'!E56+'Rainier Tower Financial '!E58) /('Rainier Tower Financial '!D83+'Baker Tower Financial'!D81+'4th Street Financial '!D70+'Chinook Financial'!D75+'Glacier Peak Financial'!D80+'Yesler Financial'!D60+'King Condominiums Financial '!D68) - 1</f>
        <v>0.33343778204051655</v>
      </c>
    </row>
    <row r="13" spans="2:23" ht="30.6" customHeight="1" thickBot="1">
      <c r="B13" s="463"/>
      <c r="C13" s="469"/>
      <c r="D13" s="479"/>
      <c r="E13" s="464"/>
      <c r="F13" s="465"/>
      <c r="G13" s="466"/>
      <c r="H13" s="467"/>
      <c r="I13" s="464"/>
      <c r="J13" s="465"/>
      <c r="K13" s="465"/>
      <c r="L13" s="465"/>
      <c r="M13" s="465"/>
      <c r="N13" s="468"/>
      <c r="O13" s="468"/>
      <c r="P13" s="469"/>
    </row>
    <row r="14" spans="2:23" ht="23.25" customHeight="1" thickBot="1">
      <c r="B14" s="1526" t="s">
        <v>57</v>
      </c>
      <c r="C14" s="1527"/>
      <c r="D14" s="1527"/>
      <c r="E14" s="1527"/>
      <c r="F14" s="1527"/>
      <c r="G14" s="1527"/>
      <c r="H14" s="1527"/>
      <c r="I14" s="1527"/>
      <c r="J14" s="1528"/>
      <c r="K14" s="465"/>
      <c r="O14" s="1534" t="s">
        <v>600</v>
      </c>
      <c r="P14" s="1535"/>
      <c r="Q14" s="1535"/>
      <c r="R14" s="1536"/>
    </row>
    <row r="15" spans="2:23" ht="27.75" customHeight="1">
      <c r="B15" s="579" t="s">
        <v>58</v>
      </c>
      <c r="C15" s="562" t="s">
        <v>59</v>
      </c>
      <c r="D15" s="1319" t="str">
        <f>B5</f>
        <v>King Condominiums</v>
      </c>
      <c r="E15" s="1116" t="str">
        <f>B7</f>
        <v>Glacier Peak Apts</v>
      </c>
      <c r="F15" s="1116" t="str">
        <f>B11</f>
        <v>Baker Tower Apts</v>
      </c>
      <c r="G15" s="562" t="str">
        <f>B10</f>
        <v>Rainier Tower Apts</v>
      </c>
      <c r="H15" s="1116" t="str">
        <f>B9</f>
        <v>4th Street Site</v>
      </c>
      <c r="I15" s="1116" t="str">
        <f>B8</f>
        <v>Chinook Condos</v>
      </c>
      <c r="J15" s="1117" t="str">
        <f>B6</f>
        <v>Yesler Hotel</v>
      </c>
      <c r="K15" s="465"/>
      <c r="L15" s="1331"/>
      <c r="O15" s="1482">
        <v>1</v>
      </c>
      <c r="P15" s="1537" t="s">
        <v>601</v>
      </c>
      <c r="Q15" s="1537"/>
      <c r="R15" s="1538"/>
    </row>
    <row r="16" spans="2:23" ht="34.5" customHeight="1" thickBot="1">
      <c r="B16" s="580" t="s">
        <v>60</v>
      </c>
      <c r="C16" s="1312">
        <f>SUM(D16:J16)</f>
        <v>5000000</v>
      </c>
      <c r="D16" s="1313">
        <v>4000000</v>
      </c>
      <c r="E16" s="1313">
        <v>0</v>
      </c>
      <c r="F16" s="1313">
        <v>0</v>
      </c>
      <c r="G16" s="1313">
        <v>0</v>
      </c>
      <c r="H16" s="1313">
        <v>0</v>
      </c>
      <c r="I16" s="1313">
        <v>0</v>
      </c>
      <c r="J16" s="1314">
        <v>1000000</v>
      </c>
      <c r="K16" s="170"/>
      <c r="L16" s="171"/>
      <c r="O16" s="1483">
        <v>2</v>
      </c>
      <c r="P16" s="1539" t="s">
        <v>609</v>
      </c>
      <c r="Q16" s="1540"/>
      <c r="R16" s="1541"/>
    </row>
    <row r="17" spans="2:17" ht="15">
      <c r="B17" s="580" t="s">
        <v>61</v>
      </c>
      <c r="C17" s="1312">
        <f>SUM(D17:J17)</f>
        <v>6500000</v>
      </c>
      <c r="D17" s="1313">
        <v>2000000</v>
      </c>
      <c r="E17" s="1313">
        <v>1000000</v>
      </c>
      <c r="F17" s="1313">
        <v>1250000</v>
      </c>
      <c r="G17" s="1313">
        <v>1250000</v>
      </c>
      <c r="H17" s="1313">
        <v>0</v>
      </c>
      <c r="I17" s="1313">
        <v>1000000</v>
      </c>
      <c r="J17" s="1314">
        <v>0</v>
      </c>
      <c r="K17" s="170"/>
      <c r="L17" s="171"/>
    </row>
    <row r="18" spans="2:17" ht="15">
      <c r="B18" s="580" t="s">
        <v>313</v>
      </c>
      <c r="C18" s="1312">
        <f>SUM(D18:J18)</f>
        <v>6500000</v>
      </c>
      <c r="D18" s="1313">
        <v>1000000</v>
      </c>
      <c r="E18" s="1313">
        <v>1250000</v>
      </c>
      <c r="F18" s="1313">
        <v>1000000</v>
      </c>
      <c r="G18" s="1313">
        <v>1250000</v>
      </c>
      <c r="H18" s="1313">
        <v>0</v>
      </c>
      <c r="I18" s="1313">
        <v>2000000</v>
      </c>
      <c r="J18" s="1314">
        <v>0</v>
      </c>
      <c r="K18" s="171"/>
      <c r="L18" s="564"/>
    </row>
    <row r="19" spans="2:17" ht="15.75" thickBot="1">
      <c r="B19" s="581" t="s">
        <v>314</v>
      </c>
      <c r="C19" s="1312">
        <f>SUM(D19:J19)</f>
        <v>6000000</v>
      </c>
      <c r="D19" s="1315">
        <v>750000</v>
      </c>
      <c r="E19" s="1315">
        <v>1500000</v>
      </c>
      <c r="F19" s="1315">
        <v>1500000</v>
      </c>
      <c r="G19" s="1315">
        <v>1500000</v>
      </c>
      <c r="H19" s="1315">
        <v>250000</v>
      </c>
      <c r="I19" s="1315">
        <v>500000</v>
      </c>
      <c r="J19" s="1316">
        <v>0</v>
      </c>
      <c r="K19" s="171"/>
      <c r="L19" s="564"/>
      <c r="M19" s="1330"/>
    </row>
    <row r="20" spans="2:17" ht="15.75" thickBot="1">
      <c r="B20" s="582" t="s">
        <v>62</v>
      </c>
      <c r="C20" s="1317">
        <f t="shared" ref="C20:J20" si="2">SUM(C16:C19)</f>
        <v>24000000</v>
      </c>
      <c r="D20" s="1317">
        <f t="shared" si="2"/>
        <v>7750000</v>
      </c>
      <c r="E20" s="1317">
        <f t="shared" si="2"/>
        <v>3750000</v>
      </c>
      <c r="F20" s="1317">
        <f t="shared" si="2"/>
        <v>3750000</v>
      </c>
      <c r="G20" s="1317">
        <f t="shared" si="2"/>
        <v>4000000</v>
      </c>
      <c r="H20" s="1317">
        <f t="shared" si="2"/>
        <v>250000</v>
      </c>
      <c r="I20" s="1317">
        <f t="shared" si="2"/>
        <v>3500000</v>
      </c>
      <c r="J20" s="1318">
        <f t="shared" si="2"/>
        <v>1000000</v>
      </c>
      <c r="K20" s="170"/>
      <c r="L20" s="564"/>
    </row>
    <row r="21" spans="2:17" ht="30" customHeight="1" thickBot="1">
      <c r="L21" s="1330"/>
      <c r="Q21" s="2" t="s">
        <v>604</v>
      </c>
    </row>
    <row r="22" spans="2:17" ht="24" customHeight="1" thickBot="1">
      <c r="B22" s="1529" t="s">
        <v>63</v>
      </c>
      <c r="C22" s="1530"/>
      <c r="D22" s="1530"/>
      <c r="E22" s="1530"/>
      <c r="F22" s="1530"/>
      <c r="G22" s="1531"/>
      <c r="I22" s="1118"/>
      <c r="L22" s="1330"/>
    </row>
    <row r="23" spans="2:17" ht="30.75" customHeight="1">
      <c r="B23" s="1309" t="s">
        <v>43</v>
      </c>
      <c r="C23" s="1310" t="s">
        <v>268</v>
      </c>
      <c r="D23" s="561" t="s">
        <v>64</v>
      </c>
      <c r="E23" s="1310" t="s">
        <v>5</v>
      </c>
      <c r="F23" s="561" t="s">
        <v>65</v>
      </c>
      <c r="G23" s="1311" t="s">
        <v>66</v>
      </c>
      <c r="J23" s="1330"/>
      <c r="L23" s="564"/>
    </row>
    <row r="24" spans="2:17" ht="20.25" customHeight="1">
      <c r="B24" s="1292" t="str">
        <f>B5</f>
        <v>King Condominiums</v>
      </c>
      <c r="C24" s="1293">
        <v>1</v>
      </c>
      <c r="D24" s="1286" t="s">
        <v>251</v>
      </c>
      <c r="E24" s="1294" t="s">
        <v>55</v>
      </c>
      <c r="F24" s="1294" t="s">
        <v>610</v>
      </c>
      <c r="G24" s="1295" t="s">
        <v>611</v>
      </c>
    </row>
    <row r="25" spans="2:17" ht="20.25" customHeight="1">
      <c r="B25" s="1292" t="str">
        <f>B6</f>
        <v>Yesler Hotel</v>
      </c>
      <c r="C25" s="1293">
        <v>1</v>
      </c>
      <c r="D25" s="1286" t="s">
        <v>251</v>
      </c>
      <c r="E25" s="1296" t="s">
        <v>55</v>
      </c>
      <c r="F25" s="1294" t="s">
        <v>610</v>
      </c>
      <c r="G25" s="1295" t="s">
        <v>611</v>
      </c>
    </row>
    <row r="26" spans="2:17" ht="20.25" customHeight="1">
      <c r="B26" s="1297" t="str">
        <f>B7</f>
        <v>Glacier Peak Apts</v>
      </c>
      <c r="C26" s="1298">
        <v>2</v>
      </c>
      <c r="D26" s="1299" t="s">
        <v>272</v>
      </c>
      <c r="E26" s="1289" t="s">
        <v>252</v>
      </c>
      <c r="F26" s="1287" t="s">
        <v>278</v>
      </c>
      <c r="G26" s="1300" t="s">
        <v>279</v>
      </c>
    </row>
    <row r="27" spans="2:17" ht="20.25" customHeight="1">
      <c r="B27" s="1297" t="str">
        <f>B9</f>
        <v>4th Street Site</v>
      </c>
      <c r="C27" s="1298">
        <v>2</v>
      </c>
      <c r="D27" s="1299" t="s">
        <v>272</v>
      </c>
      <c r="E27" s="1289" t="s">
        <v>252</v>
      </c>
      <c r="F27" s="1287" t="s">
        <v>280</v>
      </c>
      <c r="G27" s="1300" t="s">
        <v>281</v>
      </c>
    </row>
    <row r="28" spans="2:17" ht="20.25" customHeight="1">
      <c r="B28" s="1297" t="str">
        <f>B8</f>
        <v>Chinook Condos</v>
      </c>
      <c r="C28" s="1298">
        <v>2</v>
      </c>
      <c r="D28" s="1299" t="s">
        <v>272</v>
      </c>
      <c r="E28" s="1288" t="s">
        <v>55</v>
      </c>
      <c r="F28" s="1287" t="s">
        <v>277</v>
      </c>
      <c r="G28" s="1300" t="s">
        <v>275</v>
      </c>
    </row>
    <row r="29" spans="2:17" ht="20.25" customHeight="1">
      <c r="B29" s="1301" t="str">
        <f>B11</f>
        <v>Baker Tower Apts</v>
      </c>
      <c r="C29" s="1302">
        <v>3</v>
      </c>
      <c r="D29" s="1303" t="s">
        <v>273</v>
      </c>
      <c r="E29" s="1304" t="s">
        <v>275</v>
      </c>
      <c r="F29" s="1290" t="s">
        <v>282</v>
      </c>
      <c r="G29" s="715" t="s">
        <v>283</v>
      </c>
    </row>
    <row r="30" spans="2:17" ht="20.25" customHeight="1" thickBot="1">
      <c r="B30" s="1305" t="str">
        <f>B10</f>
        <v>Rainier Tower Apts</v>
      </c>
      <c r="C30" s="1306">
        <v>3</v>
      </c>
      <c r="D30" s="1307" t="s">
        <v>274</v>
      </c>
      <c r="E30" s="1308" t="s">
        <v>276</v>
      </c>
      <c r="F30" s="1291" t="s">
        <v>284</v>
      </c>
      <c r="G30" s="716" t="s">
        <v>285</v>
      </c>
    </row>
  </sheetData>
  <mergeCells count="9">
    <mergeCell ref="B14:J14"/>
    <mergeCell ref="B22:G22"/>
    <mergeCell ref="O14:R14"/>
    <mergeCell ref="P15:R15"/>
    <mergeCell ref="P16:R16"/>
    <mergeCell ref="B2:S3"/>
    <mergeCell ref="S5:S6"/>
    <mergeCell ref="S7:S9"/>
    <mergeCell ref="S10:S11"/>
  </mergeCells>
  <phoneticPr fontId="168" type="noConversion"/>
  <printOptions horizontalCentered="1" verticalCentered="1"/>
  <pageMargins left="0.25" right="0.25" top="0.75" bottom="0.75" header="0.3" footer="0.3"/>
  <pageSetup paperSize="3" scale="78" orientation="landscape" horizontalDpi="4294967292" verticalDpi="4294967292" r:id="rId1"/>
  <headerFooter>
    <oddHeader>&amp;C&amp;"Times New Roman Bold,Bold"&amp;14&amp;K000000INVESTOR SHEET</oddHeader>
    <oddFooter>&amp;CPage &amp;P of &amp;N</oddFooter>
  </headerFooter>
  <ignoredErrors>
    <ignoredError sqref="H20" formulaRange="1"/>
    <ignoredError sqref="E10 E8 B28:B29"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02287-3E5C-4F33-AA71-912F767EADC7}">
  <sheetPr>
    <tabColor theme="6" tint="-0.249977111117893"/>
    <pageSetUpPr fitToPage="1"/>
  </sheetPr>
  <dimension ref="B1:K101"/>
  <sheetViews>
    <sheetView showGridLines="0" topLeftCell="A62" zoomScaleNormal="100" zoomScaleSheetLayoutView="90" workbookViewId="0">
      <selection activeCell="D92" sqref="D92"/>
    </sheetView>
  </sheetViews>
  <sheetFormatPr defaultColWidth="8.85546875" defaultRowHeight="23.25" customHeight="1"/>
  <cols>
    <col min="1" max="1" width="4.140625" style="7" customWidth="1"/>
    <col min="2" max="2" width="36.5703125" style="7" bestFit="1" customWidth="1"/>
    <col min="3" max="3" width="28.85546875" style="7" bestFit="1" customWidth="1"/>
    <col min="4" max="4" width="29.28515625" style="7" customWidth="1"/>
    <col min="5" max="5" width="15.140625" style="7" customWidth="1"/>
    <col min="6" max="6" width="18.140625" style="7" bestFit="1" customWidth="1"/>
    <col min="7" max="7" width="26.140625" style="7" customWidth="1"/>
    <col min="8" max="8" width="13.42578125" style="7" bestFit="1" customWidth="1"/>
    <col min="9" max="9" width="11.85546875" style="7" customWidth="1"/>
    <col min="10" max="10" width="8.42578125" style="7" customWidth="1"/>
    <col min="11" max="11" width="9.140625" style="7" customWidth="1"/>
    <col min="12" max="16384" width="8.85546875" style="7"/>
  </cols>
  <sheetData>
    <row r="1" spans="2:7" ht="23.25" customHeight="1" thickBot="1">
      <c r="B1" s="3"/>
      <c r="C1" s="4"/>
      <c r="D1" s="5"/>
      <c r="E1" s="6"/>
    </row>
    <row r="2" spans="2:7" ht="16.5" thickBot="1">
      <c r="B2" s="1561" t="s">
        <v>108</v>
      </c>
      <c r="C2" s="1562"/>
      <c r="D2" s="1562"/>
      <c r="E2" s="1566" t="str">
        <f>'Development Program'!B5</f>
        <v>King Condominiums</v>
      </c>
      <c r="F2" s="1566"/>
      <c r="G2" s="1567"/>
    </row>
    <row r="3" spans="2:7" ht="13.5" thickBot="1">
      <c r="B3" s="899"/>
      <c r="C3" s="900"/>
      <c r="D3" s="900"/>
      <c r="E3" s="901">
        <v>0</v>
      </c>
      <c r="F3" s="1001" t="s">
        <v>109</v>
      </c>
      <c r="G3" s="1002"/>
    </row>
    <row r="4" spans="2:7" ht="13.5" thickBot="1">
      <c r="B4" s="918" t="s">
        <v>337</v>
      </c>
      <c r="C4" s="919" t="s">
        <v>111</v>
      </c>
      <c r="D4" s="919" t="s">
        <v>221</v>
      </c>
      <c r="E4" s="919" t="s">
        <v>266</v>
      </c>
      <c r="F4" s="919" t="s">
        <v>222</v>
      </c>
      <c r="G4" s="920" t="s">
        <v>223</v>
      </c>
    </row>
    <row r="5" spans="2:7" ht="13.5" thickBot="1">
      <c r="B5" s="992" t="s">
        <v>341</v>
      </c>
      <c r="C5" s="1003"/>
      <c r="D5" s="1003"/>
      <c r="E5" s="1003"/>
      <c r="F5" s="1003"/>
      <c r="G5" s="991"/>
    </row>
    <row r="6" spans="2:7" ht="12.75">
      <c r="B6" s="1004">
        <f>C6/C17</f>
        <v>0.30674846625766872</v>
      </c>
      <c r="C6" s="1005">
        <f>200*0.8</f>
        <v>160</v>
      </c>
      <c r="D6" s="1005">
        <f>Assumptions!C30</f>
        <v>500</v>
      </c>
      <c r="E6" s="1005">
        <f>F6*D6</f>
        <v>537500</v>
      </c>
      <c r="F6" s="1006">
        <v>1075</v>
      </c>
      <c r="G6" s="1007">
        <f>C6*D6*F6</f>
        <v>86000000</v>
      </c>
    </row>
    <row r="7" spans="2:7" ht="12.75">
      <c r="B7" s="724">
        <f>C7/C17</f>
        <v>0.2760736196319018</v>
      </c>
      <c r="C7" s="528">
        <f>180*0.8</f>
        <v>144</v>
      </c>
      <c r="D7" s="528">
        <f>Assumptions!D30</f>
        <v>750</v>
      </c>
      <c r="E7" s="528">
        <f t="shared" ref="E7:E9" si="0">F7*D7</f>
        <v>787500</v>
      </c>
      <c r="F7" s="217">
        <v>1050</v>
      </c>
      <c r="G7" s="592">
        <f>C7*D7*F7</f>
        <v>113400000</v>
      </c>
    </row>
    <row r="8" spans="2:7" ht="12.75">
      <c r="B8" s="725">
        <f>C8/C17</f>
        <v>0.17177914110429449</v>
      </c>
      <c r="C8" s="528">
        <f>112*0.8</f>
        <v>89.600000000000009</v>
      </c>
      <c r="D8" s="528">
        <f>Assumptions!E30</f>
        <v>1100</v>
      </c>
      <c r="E8" s="528">
        <f t="shared" si="0"/>
        <v>1017500</v>
      </c>
      <c r="F8" s="217">
        <v>925</v>
      </c>
      <c r="G8" s="592">
        <f>C8*D8*F8</f>
        <v>91168000.000000015</v>
      </c>
    </row>
    <row r="9" spans="2:7" ht="12.75">
      <c r="B9" s="726">
        <f>C9/C17</f>
        <v>4.6012269938650305E-2</v>
      </c>
      <c r="C9" s="216">
        <f>30*0.8</f>
        <v>24</v>
      </c>
      <c r="D9" s="528">
        <f>Assumptions!F30</f>
        <v>1500</v>
      </c>
      <c r="E9" s="528">
        <f t="shared" si="0"/>
        <v>1275000</v>
      </c>
      <c r="F9" s="217">
        <v>850</v>
      </c>
      <c r="G9" s="529">
        <f>C9*D9*F9</f>
        <v>30600000</v>
      </c>
    </row>
    <row r="10" spans="2:7" ht="12.75">
      <c r="B10" s="993" t="s">
        <v>315</v>
      </c>
      <c r="C10" s="994">
        <f>SUM(C6:C9)</f>
        <v>417.6</v>
      </c>
      <c r="D10" s="994">
        <f>((C6*D6)+(C7*D7)+(C8*D8)+(C9*D9))/C10</f>
        <v>772.41379310344826</v>
      </c>
      <c r="E10" s="994"/>
      <c r="F10" s="995"/>
      <c r="G10" s="1008">
        <f>SUM(G6:G9)</f>
        <v>321168000</v>
      </c>
    </row>
    <row r="11" spans="2:7" ht="13.5" thickBot="1">
      <c r="B11" s="1009" t="s">
        <v>316</v>
      </c>
      <c r="C11" s="1010"/>
      <c r="D11" s="1010"/>
      <c r="E11" s="1010"/>
      <c r="F11" s="1010"/>
      <c r="G11" s="1011"/>
    </row>
    <row r="12" spans="2:7" ht="12.75">
      <c r="B12" s="998">
        <f>C12/C17</f>
        <v>7.6687116564417179E-2</v>
      </c>
      <c r="C12" s="999">
        <f>200-160</f>
        <v>40</v>
      </c>
      <c r="D12" s="999">
        <f>D6</f>
        <v>500</v>
      </c>
      <c r="E12" s="999">
        <f ca="1">Assumptions!C48</f>
        <v>175724.49870199186</v>
      </c>
      <c r="F12" s="1000">
        <f ca="1">E12/D12</f>
        <v>351.44899740398375</v>
      </c>
      <c r="G12" s="1012">
        <f ca="1">E12*C12</f>
        <v>7028979.9480796745</v>
      </c>
    </row>
    <row r="13" spans="2:7" ht="12.75">
      <c r="B13" s="724">
        <f>C13/C17</f>
        <v>6.901840490797545E-2</v>
      </c>
      <c r="C13" s="528">
        <f>180-144</f>
        <v>36</v>
      </c>
      <c r="D13" s="528">
        <f>D7</f>
        <v>750</v>
      </c>
      <c r="E13" s="528">
        <f ca="1">Assumptions!D48</f>
        <v>299680.01940372505</v>
      </c>
      <c r="F13" s="217">
        <f ca="1">E13/D13</f>
        <v>399.57335920496672</v>
      </c>
      <c r="G13" s="592">
        <f ca="1">E13*C13</f>
        <v>10788480.698534101</v>
      </c>
    </row>
    <row r="14" spans="2:7" ht="12.75">
      <c r="B14" s="725">
        <f>C14/C17</f>
        <v>4.2177914110429447E-2</v>
      </c>
      <c r="C14" s="528">
        <f>112-90</f>
        <v>22</v>
      </c>
      <c r="D14" s="528">
        <f>D8</f>
        <v>1100</v>
      </c>
      <c r="E14" s="528">
        <f ca="1">Assumptions!E48</f>
        <v>380182.30696500756</v>
      </c>
      <c r="F14" s="217">
        <f ca="1">E14/D14</f>
        <v>345.62027905909781</v>
      </c>
      <c r="G14" s="592">
        <f ca="1">E14*C14</f>
        <v>8364010.7532301666</v>
      </c>
    </row>
    <row r="15" spans="2:7" ht="12.75">
      <c r="B15" s="726">
        <f>C15/C17</f>
        <v>1.1503067484662576E-2</v>
      </c>
      <c r="C15" s="216">
        <f>30-24</f>
        <v>6</v>
      </c>
      <c r="D15" s="528">
        <f>D9</f>
        <v>1500</v>
      </c>
      <c r="E15" s="528">
        <f ca="1">Assumptions!F48</f>
        <v>512688.95822988549</v>
      </c>
      <c r="F15" s="217">
        <f ca="1">E15/D15</f>
        <v>341.79263881992364</v>
      </c>
      <c r="G15" s="529">
        <f ca="1">C15*D15*F15</f>
        <v>3076133.7493793126</v>
      </c>
    </row>
    <row r="16" spans="2:7" ht="13.5" thickBot="1">
      <c r="B16" s="993" t="s">
        <v>342</v>
      </c>
      <c r="C16" s="994">
        <f>SUM(C12:C15)</f>
        <v>104</v>
      </c>
      <c r="D16" s="994">
        <f>((C12*D12)+(C13*D13)+(C14*D14)+(C15*D15))/C16</f>
        <v>771.15384615384619</v>
      </c>
      <c r="E16" s="994"/>
      <c r="F16" s="995"/>
      <c r="G16" s="996">
        <f ca="1">SUM(G12:G15)</f>
        <v>29257605.149223253</v>
      </c>
    </row>
    <row r="17" spans="2:11" ht="14.25" thickTop="1" thickBot="1">
      <c r="B17" s="13" t="s">
        <v>115</v>
      </c>
      <c r="C17" s="14">
        <f>C10+C16</f>
        <v>521.6</v>
      </c>
      <c r="D17" s="15">
        <f>C6*D6 + C7*D7 + C8*D8 + C9*D9 +C12*D12+C13*D13+C14*D14+C15*D15</f>
        <v>402760</v>
      </c>
      <c r="E17" s="15"/>
      <c r="F17" s="15"/>
      <c r="G17" s="728">
        <f ca="1">G10+G16</f>
        <v>350425605.14922327</v>
      </c>
    </row>
    <row r="18" spans="2:11" ht="14.25" thickTop="1" thickBot="1">
      <c r="B18" s="17" t="s">
        <v>116</v>
      </c>
      <c r="C18" s="585"/>
      <c r="D18" s="19">
        <f>D17/C17</f>
        <v>772.16257668711648</v>
      </c>
      <c r="E18" s="997"/>
      <c r="F18" s="20">
        <f ca="1">(G17)/D17</f>
        <v>870.06059476915107</v>
      </c>
      <c r="G18" s="730">
        <f ca="1">G17/C17</f>
        <v>671828.23073087283</v>
      </c>
    </row>
    <row r="19" spans="2:11" ht="13.5" thickBot="1">
      <c r="B19" s="35"/>
      <c r="C19" s="723"/>
      <c r="D19" s="36"/>
      <c r="E19" s="37"/>
    </row>
    <row r="20" spans="2:11" ht="12.75">
      <c r="B20" s="731" t="s">
        <v>117</v>
      </c>
      <c r="C20" s="691" t="s">
        <v>118</v>
      </c>
      <c r="D20" s="691" t="s">
        <v>119</v>
      </c>
      <c r="E20" s="651" t="s">
        <v>113</v>
      </c>
    </row>
    <row r="21" spans="2:11" ht="12.75">
      <c r="B21" s="224" t="s">
        <v>1</v>
      </c>
      <c r="C21" s="225">
        <v>49721</v>
      </c>
      <c r="D21" s="217">
        <f>Assumptions!I12</f>
        <v>37</v>
      </c>
      <c r="E21" s="741">
        <f>C21*D21</f>
        <v>1839677</v>
      </c>
    </row>
    <row r="22" spans="2:11" ht="13.5" thickBot="1">
      <c r="B22" s="227" t="s">
        <v>0</v>
      </c>
      <c r="C22" s="228">
        <v>0</v>
      </c>
      <c r="D22" s="476">
        <f>Assumptions!I115</f>
        <v>0</v>
      </c>
      <c r="E22" s="742">
        <f>C22*D22</f>
        <v>0</v>
      </c>
    </row>
    <row r="23" spans="2:11" ht="14.25" thickTop="1" thickBot="1">
      <c r="B23" s="33" t="s">
        <v>120</v>
      </c>
      <c r="C23" s="553">
        <f>SUM(C21:C22)</f>
        <v>49721</v>
      </c>
      <c r="D23" s="743">
        <f>IF(C23=0,0,E23/C23)</f>
        <v>37</v>
      </c>
      <c r="E23" s="729">
        <f>SUM(E21:E22)</f>
        <v>1839677</v>
      </c>
      <c r="F23" s="30"/>
    </row>
    <row r="24" spans="2:11" ht="13.5" thickBot="1">
      <c r="B24" s="35"/>
      <c r="C24" s="744"/>
      <c r="D24" s="745"/>
      <c r="E24" s="746"/>
      <c r="F24" s="30"/>
    </row>
    <row r="25" spans="2:11" ht="12.75" customHeight="1">
      <c r="B25" s="732" t="s">
        <v>121</v>
      </c>
      <c r="C25" s="1017"/>
      <c r="D25" s="1546" t="s">
        <v>432</v>
      </c>
      <c r="E25" s="1547"/>
      <c r="F25" s="1547"/>
      <c r="G25" s="1548"/>
      <c r="K25" s="457"/>
    </row>
    <row r="26" spans="2:11" ht="12.75">
      <c r="B26" s="197" t="s">
        <v>122</v>
      </c>
      <c r="C26" s="1018">
        <f>C17/2</f>
        <v>260.8</v>
      </c>
      <c r="D26" s="1549"/>
      <c r="E26" s="1550"/>
      <c r="F26" s="1550"/>
      <c r="G26" s="1551"/>
    </row>
    <row r="27" spans="2:11" ht="13.5" thickBot="1">
      <c r="B27" s="33" t="s">
        <v>124</v>
      </c>
      <c r="C27" s="807">
        <f>SUM(C26:C26)</f>
        <v>260.8</v>
      </c>
      <c r="D27" s="1552"/>
      <c r="E27" s="1553"/>
      <c r="F27" s="1553"/>
      <c r="G27" s="1554"/>
    </row>
    <row r="28" spans="2:11" ht="13.5" thickBot="1">
      <c r="B28" s="35"/>
      <c r="C28" s="744"/>
      <c r="D28" s="586"/>
      <c r="E28" s="586"/>
    </row>
    <row r="29" spans="2:11" ht="15">
      <c r="B29" s="732" t="s">
        <v>125</v>
      </c>
      <c r="C29" s="738" t="str">
        <f>E2</f>
        <v>King Condominiums</v>
      </c>
      <c r="D29" s="35"/>
      <c r="E29" s="35"/>
      <c r="F29" s="35"/>
      <c r="H29"/>
      <c r="I29"/>
      <c r="J29" s="980"/>
    </row>
    <row r="30" spans="2:11" ht="15">
      <c r="B30" s="234" t="s">
        <v>126</v>
      </c>
      <c r="C30" s="739">
        <f>'Development Program'!D5</f>
        <v>452481</v>
      </c>
      <c r="D30" s="36"/>
      <c r="E30" s="37"/>
      <c r="F30" s="35"/>
      <c r="H30"/>
      <c r="I30"/>
      <c r="J30" s="980"/>
    </row>
    <row r="31" spans="2:11" ht="15">
      <c r="B31" s="234" t="s">
        <v>224</v>
      </c>
      <c r="C31" s="739">
        <f>D17+C21</f>
        <v>452481</v>
      </c>
      <c r="D31" s="36"/>
      <c r="E31" s="37"/>
      <c r="F31" s="35"/>
      <c r="G31" s="737"/>
      <c r="H31"/>
      <c r="I31"/>
      <c r="J31" s="980"/>
    </row>
    <row r="32" spans="2:11" ht="15">
      <c r="B32" s="989">
        <v>400</v>
      </c>
      <c r="C32" s="739">
        <f>C26*B32</f>
        <v>104320</v>
      </c>
      <c r="E32" s="37"/>
      <c r="F32" s="35"/>
      <c r="H32"/>
      <c r="I32"/>
      <c r="J32" s="980"/>
    </row>
    <row r="33" spans="2:10" ht="15">
      <c r="B33" s="359">
        <v>0.05</v>
      </c>
      <c r="C33" s="739">
        <f>(1+B33)*(C31+C32)</f>
        <v>584641.05000000005</v>
      </c>
      <c r="D33" s="36"/>
      <c r="E33" s="37"/>
      <c r="F33" s="35"/>
      <c r="H33"/>
      <c r="I33"/>
      <c r="J33" s="980"/>
    </row>
    <row r="34" spans="2:10" ht="15.75" thickBot="1">
      <c r="B34" s="360">
        <v>2</v>
      </c>
      <c r="C34" s="740">
        <f>C33/B34</f>
        <v>292320.52500000002</v>
      </c>
      <c r="D34" s="36"/>
      <c r="E34" s="37"/>
      <c r="F34" s="35"/>
      <c r="H34"/>
      <c r="I34"/>
      <c r="J34" s="980"/>
    </row>
    <row r="35" spans="2:10" ht="13.5" thickBot="1">
      <c r="B35" s="722"/>
      <c r="C35" s="721"/>
      <c r="D35" s="36"/>
      <c r="E35" s="37"/>
      <c r="F35" s="35"/>
    </row>
    <row r="36" spans="2:10" ht="15" customHeight="1" thickBot="1">
      <c r="B36" s="1563" t="s">
        <v>225</v>
      </c>
      <c r="C36" s="1564"/>
      <c r="D36" s="1564"/>
      <c r="E36" s="1565"/>
      <c r="F36" s="35"/>
    </row>
    <row r="37" spans="2:10" ht="13.5" thickBot="1">
      <c r="B37" s="918" t="s">
        <v>129</v>
      </c>
      <c r="C37" s="919" t="s">
        <v>130</v>
      </c>
      <c r="D37" s="919" t="s">
        <v>131</v>
      </c>
      <c r="E37" s="920" t="s">
        <v>226</v>
      </c>
      <c r="F37" s="35"/>
    </row>
    <row r="38" spans="2:10" ht="12.75">
      <c r="B38" s="940" t="s">
        <v>171</v>
      </c>
      <c r="C38" s="242">
        <f ca="1">E38/C17</f>
        <v>671828.23073087283</v>
      </c>
      <c r="D38" s="405">
        <f ca="1">E38/D17</f>
        <v>870.06059476915107</v>
      </c>
      <c r="E38" s="1019">
        <f ca="1">G17</f>
        <v>350425605.14922327</v>
      </c>
      <c r="F38" s="35"/>
    </row>
    <row r="39" spans="2:10" ht="13.5" thickBot="1">
      <c r="B39" s="406">
        <f>Assumptions!L13</f>
        <v>0.03</v>
      </c>
      <c r="C39" s="1568"/>
      <c r="D39" s="1569"/>
      <c r="E39" s="718">
        <f ca="1">-B39*E38</f>
        <v>-10512768.154476698</v>
      </c>
      <c r="F39" s="35"/>
    </row>
    <row r="40" spans="2:10" ht="14.25" thickTop="1" thickBot="1">
      <c r="B40" s="1556" t="s">
        <v>172</v>
      </c>
      <c r="C40" s="1557"/>
      <c r="D40" s="1558"/>
      <c r="E40" s="1022">
        <f ca="1">E38+E39</f>
        <v>339912836.99474657</v>
      </c>
      <c r="F40" s="817"/>
      <c r="G40" s="59"/>
    </row>
    <row r="41" spans="2:10" ht="12.75">
      <c r="B41" s="1021" t="s">
        <v>395</v>
      </c>
      <c r="C41" s="1555"/>
      <c r="D41" s="1555"/>
      <c r="E41" s="1020">
        <f>E23</f>
        <v>1839677</v>
      </c>
      <c r="F41" s="817"/>
      <c r="G41" s="59"/>
    </row>
    <row r="42" spans="2:10" ht="13.5" thickBot="1">
      <c r="B42" s="667" t="s">
        <v>396</v>
      </c>
      <c r="C42" s="818" t="s">
        <v>338</v>
      </c>
      <c r="D42" s="50">
        <f>Assumptions!L8</f>
        <v>0.06</v>
      </c>
      <c r="E42" s="587">
        <f>E41/D42</f>
        <v>30661283.333333336</v>
      </c>
      <c r="F42" s="817"/>
      <c r="G42" s="59"/>
    </row>
    <row r="43" spans="2:10" ht="13.5" thickBot="1">
      <c r="B43" s="1571" t="s">
        <v>147</v>
      </c>
      <c r="C43" s="1572"/>
      <c r="D43" s="1573" t="str">
        <f>E2</f>
        <v>King Condominiums</v>
      </c>
      <c r="E43" s="1574"/>
      <c r="F43" s="960"/>
    </row>
    <row r="44" spans="2:10" ht="13.5" thickBot="1">
      <c r="B44" s="693"/>
      <c r="C44" s="541" t="s">
        <v>148</v>
      </c>
      <c r="D44" s="541" t="s">
        <v>149</v>
      </c>
      <c r="E44" s="668" t="s">
        <v>130</v>
      </c>
    </row>
    <row r="45" spans="2:10" ht="12.75">
      <c r="B45" s="458" t="s">
        <v>535</v>
      </c>
      <c r="C45" s="1361">
        <v>325</v>
      </c>
      <c r="D45" s="638">
        <f>C45*(D17)</f>
        <v>130897000</v>
      </c>
      <c r="E45" s="747">
        <f>D45/C$17</f>
        <v>250952.83742331289</v>
      </c>
      <c r="F45" s="1338"/>
    </row>
    <row r="46" spans="2:10" ht="12.75">
      <c r="B46" s="458" t="s">
        <v>536</v>
      </c>
      <c r="C46" s="517">
        <v>100</v>
      </c>
      <c r="D46" s="638">
        <f>C46*C21</f>
        <v>4972100</v>
      </c>
      <c r="E46" s="632">
        <f>D46/C$17</f>
        <v>9532.4003067484664</v>
      </c>
      <c r="F46" s="1024"/>
    </row>
    <row r="47" spans="2:10" ht="12.75">
      <c r="B47" s="458" t="s">
        <v>389</v>
      </c>
      <c r="C47" s="513">
        <f>Assumptions!L29</f>
        <v>30000</v>
      </c>
      <c r="D47" s="638">
        <f>C26*C47</f>
        <v>7824000</v>
      </c>
      <c r="E47" s="632">
        <f t="shared" ref="E47:E66" si="1">D47/C$17</f>
        <v>15000</v>
      </c>
      <c r="F47" s="72"/>
      <c r="G47" s="60"/>
    </row>
    <row r="48" spans="2:10" ht="12.75">
      <c r="B48" s="458" t="s">
        <v>19</v>
      </c>
      <c r="C48" s="514">
        <v>0.08</v>
      </c>
      <c r="D48" s="638">
        <f>C48*(D45+D46)</f>
        <v>10869528</v>
      </c>
      <c r="E48" s="632">
        <f t="shared" si="1"/>
        <v>20838.819018404905</v>
      </c>
      <c r="F48" s="1338"/>
    </row>
    <row r="49" spans="2:8" ht="12.75">
      <c r="B49" s="458" t="s">
        <v>397</v>
      </c>
      <c r="C49" s="1023">
        <v>7</v>
      </c>
      <c r="D49" s="638">
        <f>C49*C30</f>
        <v>3167367</v>
      </c>
      <c r="E49" s="632">
        <f t="shared" si="1"/>
        <v>6072.4060582822085</v>
      </c>
      <c r="F49" s="72"/>
    </row>
    <row r="50" spans="2:8" ht="12.75">
      <c r="B50" s="458" t="s">
        <v>390</v>
      </c>
      <c r="C50" s="514" t="s">
        <v>213</v>
      </c>
      <c r="D50" s="638">
        <f>'Market Research'!AJ8</f>
        <v>55000000</v>
      </c>
      <c r="E50" s="632">
        <f t="shared" si="1"/>
        <v>105444.78527607361</v>
      </c>
      <c r="F50" s="1338"/>
    </row>
    <row r="51" spans="2:8" ht="12.75">
      <c r="B51" s="458" t="s">
        <v>20</v>
      </c>
      <c r="C51" s="1362">
        <v>1500</v>
      </c>
      <c r="D51" s="638">
        <f>C17*C51</f>
        <v>782400</v>
      </c>
      <c r="E51" s="632">
        <f t="shared" si="1"/>
        <v>1500</v>
      </c>
      <c r="F51" s="72"/>
    </row>
    <row r="52" spans="2:8" ht="12.75">
      <c r="B52" s="458" t="s">
        <v>154</v>
      </c>
      <c r="C52" s="519" t="s">
        <v>155</v>
      </c>
      <c r="D52" s="638">
        <f>'Development Program'!D20</f>
        <v>7750000</v>
      </c>
      <c r="E52" s="632">
        <f t="shared" si="1"/>
        <v>14858.128834355828</v>
      </c>
      <c r="F52" s="1338"/>
    </row>
    <row r="53" spans="2:8" ht="12.75">
      <c r="B53" s="712" t="s">
        <v>23</v>
      </c>
      <c r="C53" s="519" t="s">
        <v>24</v>
      </c>
      <c r="D53" s="638">
        <v>1500000</v>
      </c>
      <c r="E53" s="632">
        <f t="shared" si="1"/>
        <v>2875.7668711656443</v>
      </c>
      <c r="G53" s="60"/>
    </row>
    <row r="54" spans="2:8" ht="12.75">
      <c r="B54" s="712" t="s">
        <v>25</v>
      </c>
      <c r="C54" s="1025">
        <v>1.4999999999999999E-2</v>
      </c>
      <c r="D54" s="638">
        <f>C54*D50</f>
        <v>825000</v>
      </c>
      <c r="E54" s="632">
        <f t="shared" si="1"/>
        <v>1581.6717791411043</v>
      </c>
      <c r="F54" s="1338"/>
    </row>
    <row r="55" spans="2:8" ht="12.75">
      <c r="B55" s="712" t="s">
        <v>26</v>
      </c>
      <c r="C55" s="515">
        <v>0.03</v>
      </c>
      <c r="D55" s="263">
        <f>C55*(D45+D46)</f>
        <v>4076073</v>
      </c>
      <c r="E55" s="632">
        <f t="shared" si="1"/>
        <v>7814.55713190184</v>
      </c>
      <c r="F55" s="60"/>
      <c r="H55" s="1027"/>
    </row>
    <row r="56" spans="2:8" ht="12.75">
      <c r="B56" s="712" t="s">
        <v>27</v>
      </c>
      <c r="C56" s="521">
        <v>0.03</v>
      </c>
      <c r="D56" s="263">
        <f>C56*SUM(D45:D55)</f>
        <v>6829904.04</v>
      </c>
      <c r="E56" s="632">
        <f t="shared" si="1"/>
        <v>13094.141180981595</v>
      </c>
      <c r="F56" s="1338"/>
    </row>
    <row r="57" spans="2:8" ht="12.75">
      <c r="B57" s="712" t="s">
        <v>28</v>
      </c>
      <c r="C57" s="515">
        <v>0.02</v>
      </c>
      <c r="D57" s="263">
        <f>C57*(D45+D48+D49+D46)</f>
        <v>2998119.9</v>
      </c>
      <c r="E57" s="632">
        <f t="shared" si="1"/>
        <v>5747.9292561349685</v>
      </c>
      <c r="F57" s="60"/>
    </row>
    <row r="58" spans="2:8" ht="15">
      <c r="B58" s="712" t="s">
        <v>398</v>
      </c>
      <c r="C58" s="1180">
        <v>9.0500000000000008E-3</v>
      </c>
      <c r="D58" s="263">
        <f>C58*D50*2</f>
        <v>995500.00000000012</v>
      </c>
      <c r="E58" s="632">
        <f t="shared" si="1"/>
        <v>1908.5506134969326</v>
      </c>
      <c r="F58" s="1338"/>
      <c r="H58"/>
    </row>
    <row r="59" spans="2:8" ht="15">
      <c r="B59" s="712" t="s">
        <v>30</v>
      </c>
      <c r="C59" s="1028">
        <v>1</v>
      </c>
      <c r="D59" s="263">
        <f>C59*C30</f>
        <v>452481</v>
      </c>
      <c r="E59" s="632">
        <f t="shared" si="1"/>
        <v>867.48657975460117</v>
      </c>
      <c r="H59"/>
    </row>
    <row r="60" spans="2:8" ht="15">
      <c r="B60" s="712" t="s">
        <v>31</v>
      </c>
      <c r="C60" s="1028">
        <v>1</v>
      </c>
      <c r="D60" s="263">
        <f>C60*C30</f>
        <v>452481</v>
      </c>
      <c r="E60" s="632">
        <f t="shared" si="1"/>
        <v>867.48657975460117</v>
      </c>
      <c r="F60" s="1338"/>
      <c r="H60"/>
    </row>
    <row r="61" spans="2:8" ht="15">
      <c r="B61" s="712" t="s">
        <v>399</v>
      </c>
      <c r="C61" s="1029">
        <v>6</v>
      </c>
      <c r="D61" s="263">
        <f>(C61/12)*E41</f>
        <v>919838.5</v>
      </c>
      <c r="E61" s="632">
        <f t="shared" si="1"/>
        <v>1763.4940567484662</v>
      </c>
      <c r="F61" s="1570"/>
      <c r="G61" s="1570"/>
      <c r="H61"/>
    </row>
    <row r="62" spans="2:8" ht="12.75">
      <c r="B62" s="712" t="s">
        <v>227</v>
      </c>
      <c r="C62" s="1189">
        <v>0.15</v>
      </c>
      <c r="D62" s="263">
        <f ca="1">C62*D66</f>
        <v>1802876.1968901025</v>
      </c>
      <c r="E62" s="602">
        <f t="shared" ref="E62" ca="1" si="2">D62/$C$8</f>
        <v>20121.386126005607</v>
      </c>
      <c r="G62" s="1492"/>
    </row>
    <row r="63" spans="2:8" ht="12.75">
      <c r="B63" s="712" t="s">
        <v>157</v>
      </c>
      <c r="C63" s="1030">
        <v>75</v>
      </c>
      <c r="D63" s="263">
        <f>C63*(C23)</f>
        <v>3729075</v>
      </c>
      <c r="E63" s="747">
        <f t="shared" si="1"/>
        <v>7149.3002300613498</v>
      </c>
    </row>
    <row r="64" spans="2:8" ht="12.75">
      <c r="B64" s="712" t="s">
        <v>158</v>
      </c>
      <c r="C64" s="1031">
        <v>0.06</v>
      </c>
      <c r="D64" s="638">
        <f>C64*E21*10</f>
        <v>1103806.2</v>
      </c>
      <c r="E64" s="747">
        <f t="shared" si="1"/>
        <v>2116.1928680981591</v>
      </c>
      <c r="F64" s="72"/>
      <c r="H64" s="60"/>
    </row>
    <row r="65" spans="2:8" ht="12.75">
      <c r="B65" s="712" t="s">
        <v>35</v>
      </c>
      <c r="C65" s="523">
        <v>1.4999999999999999E-2</v>
      </c>
      <c r="D65" s="638">
        <f ca="1">C65*C78</f>
        <v>2575537.4241287177</v>
      </c>
      <c r="E65" s="632">
        <f t="shared" ca="1" si="1"/>
        <v>4937.7634665044434</v>
      </c>
      <c r="F65" s="72"/>
      <c r="H65" s="72"/>
    </row>
    <row r="66" spans="2:8" ht="12.75">
      <c r="B66" s="713" t="s">
        <v>36</v>
      </c>
      <c r="C66" s="523">
        <v>7.0000000000000007E-2</v>
      </c>
      <c r="D66" s="638">
        <f ca="1">C66*C78</f>
        <v>12019174.645934017</v>
      </c>
      <c r="E66" s="632">
        <f t="shared" ca="1" si="1"/>
        <v>23042.896177020739</v>
      </c>
      <c r="F66" s="1338"/>
    </row>
    <row r="67" spans="2:8" ht="13.5" thickBot="1">
      <c r="B67" s="714" t="s">
        <v>159</v>
      </c>
      <c r="C67" s="1035">
        <v>0.01</v>
      </c>
      <c r="D67" s="638">
        <f ca="1">C67*SUM(D45:D66)</f>
        <v>2615422.6190695283</v>
      </c>
      <c r="E67" s="752">
        <f ca="1">D67/C$17</f>
        <v>5014.2304813449546</v>
      </c>
    </row>
    <row r="68" spans="2:8" ht="14.25" thickTop="1" thickBot="1">
      <c r="B68" s="748" t="s">
        <v>160</v>
      </c>
      <c r="C68" s="749"/>
      <c r="D68" s="750">
        <f ca="1">SUM(D45:D67)</f>
        <v>264157684.52602234</v>
      </c>
      <c r="E68" s="750">
        <f ca="1">ROUND(D68/C17,-3)</f>
        <v>506000</v>
      </c>
      <c r="F68" s="72"/>
      <c r="G68" s="60"/>
    </row>
    <row r="69" spans="2:8" ht="12.75">
      <c r="B69" s="531"/>
      <c r="C69" s="532"/>
      <c r="F69" s="60"/>
      <c r="G69" s="470"/>
    </row>
    <row r="70" spans="2:8" ht="12.75">
      <c r="B70" s="272" t="s">
        <v>162</v>
      </c>
      <c r="C70" s="273">
        <f ca="1">((E40+E42)/D68)-1</f>
        <v>0.40285194047260209</v>
      </c>
      <c r="D70" s="59"/>
      <c r="E70" s="60"/>
      <c r="G70" s="470"/>
    </row>
    <row r="71" spans="2:8" ht="13.5" thickBot="1">
      <c r="B71" s="588">
        <v>0.3</v>
      </c>
      <c r="C71" s="275">
        <f ca="1">((E40+E42)/(1+B71))</f>
        <v>285057015.63698453</v>
      </c>
      <c r="F71" s="72"/>
      <c r="G71" s="470"/>
    </row>
    <row r="72" spans="2:8" ht="13.5" thickBot="1">
      <c r="B72" s="589">
        <v>0.3</v>
      </c>
      <c r="C72" s="590">
        <f ca="1">ROUND(((E40+E42)/(1+B72))-D68,-3)</f>
        <v>20899000</v>
      </c>
      <c r="D72" s="61" t="s">
        <v>163</v>
      </c>
      <c r="E72" s="72"/>
    </row>
    <row r="73" spans="2:8" ht="13.5" thickBot="1">
      <c r="B73" s="62"/>
      <c r="C73" s="63"/>
      <c r="G73" s="470"/>
    </row>
    <row r="74" spans="2:8" ht="12.75" customHeight="1">
      <c r="B74" s="1559" t="s">
        <v>164</v>
      </c>
      <c r="C74" s="1560"/>
      <c r="D74" s="760" t="str">
        <f>E2</f>
        <v>King Condominiums</v>
      </c>
      <c r="G74" s="470"/>
      <c r="H74" s="60"/>
    </row>
    <row r="75" spans="2:8" ht="12.95" customHeight="1">
      <c r="B75" s="753"/>
      <c r="C75" s="198" t="s">
        <v>165</v>
      </c>
      <c r="D75" s="754" t="s">
        <v>130</v>
      </c>
      <c r="H75" s="72"/>
    </row>
    <row r="76" spans="2:8" ht="12.75">
      <c r="B76" s="600" t="s">
        <v>166</v>
      </c>
      <c r="C76" s="223">
        <f ca="1">IF(C72&lt;0,C72,0)</f>
        <v>0</v>
      </c>
      <c r="D76" s="530">
        <f ca="1">C76/C17</f>
        <v>0</v>
      </c>
    </row>
    <row r="77" spans="2:8" ht="12.75">
      <c r="B77" s="600" t="s">
        <v>167</v>
      </c>
      <c r="C77" s="223">
        <f ca="1">D68+C76</f>
        <v>264157684.52602234</v>
      </c>
      <c r="D77" s="530">
        <f ca="1">C77/C17</f>
        <v>506437.27861584036</v>
      </c>
    </row>
    <row r="78" spans="2:8" ht="12.75">
      <c r="B78" s="755">
        <f>Assumptions!L16</f>
        <v>0.65</v>
      </c>
      <c r="C78" s="262">
        <f ca="1">B78*D68</f>
        <v>171702494.94191453</v>
      </c>
      <c r="D78" s="602">
        <f ca="1">C78/C17</f>
        <v>329184.23110029625</v>
      </c>
    </row>
    <row r="79" spans="2:8" ht="12.75">
      <c r="B79" s="756">
        <f>1-B78</f>
        <v>0.35</v>
      </c>
      <c r="C79" s="262">
        <f ca="1">B79*D68</f>
        <v>92455189.584107816</v>
      </c>
      <c r="D79" s="602">
        <f ca="1">C79/C17</f>
        <v>177253.04751554411</v>
      </c>
      <c r="E79" s="60"/>
      <c r="F79" s="72"/>
    </row>
    <row r="80" spans="2:8" ht="13.5" thickBot="1">
      <c r="B80" s="757" t="s">
        <v>168</v>
      </c>
      <c r="C80" s="758">
        <f ca="1">C78+C79</f>
        <v>264157684.52602234</v>
      </c>
      <c r="D80" s="759">
        <f ca="1">ROUND((D79+D78),-3)</f>
        <v>506000</v>
      </c>
    </row>
    <row r="81" spans="2:6" ht="13.5" thickBot="1">
      <c r="B81" s="155"/>
      <c r="C81" s="155"/>
      <c r="D81" s="615"/>
    </row>
    <row r="82" spans="2:6" ht="13.5" thickBot="1">
      <c r="B82" s="762" t="s">
        <v>169</v>
      </c>
      <c r="C82" s="763" t="str">
        <f>E2</f>
        <v>King Condominiums</v>
      </c>
      <c r="D82" s="615"/>
    </row>
    <row r="83" spans="2:6" ht="15" customHeight="1" thickBot="1">
      <c r="B83" s="68"/>
      <c r="C83" s="652" t="s">
        <v>170</v>
      </c>
      <c r="D83" s="615"/>
    </row>
    <row r="84" spans="2:6" ht="12.75">
      <c r="B84" s="644" t="s">
        <v>171</v>
      </c>
      <c r="C84" s="287">
        <f ca="1">ROUND((E40+E42),-2)</f>
        <v>370574100</v>
      </c>
      <c r="D84" s="615"/>
    </row>
    <row r="85" spans="2:6" ht="13.5" thickBot="1">
      <c r="B85" s="990">
        <f>Assumptions!L14</f>
        <v>0.03</v>
      </c>
      <c r="C85" s="289">
        <f ca="1">(-ROUND(B85*C84,-2))</f>
        <v>-11117200</v>
      </c>
      <c r="D85" s="615"/>
      <c r="F85" s="70"/>
    </row>
    <row r="86" spans="2:6" ht="14.25" thickTop="1" thickBot="1">
      <c r="B86" s="291" t="s">
        <v>172</v>
      </c>
      <c r="C86" s="178">
        <f ca="1">C84+C85</f>
        <v>359456900</v>
      </c>
      <c r="D86" s="615"/>
    </row>
    <row r="87" spans="2:6" ht="12.75">
      <c r="B87" s="644" t="s">
        <v>173</v>
      </c>
      <c r="C87" s="287">
        <f ca="1">-C78</f>
        <v>-171702494.94191453</v>
      </c>
      <c r="D87" s="615"/>
    </row>
    <row r="88" spans="2:6" ht="13.5" thickBot="1">
      <c r="B88" s="292" t="s">
        <v>174</v>
      </c>
      <c r="C88" s="293">
        <f ca="1">-C79</f>
        <v>-92455189.584107816</v>
      </c>
      <c r="D88" s="615"/>
    </row>
    <row r="89" spans="2:6" ht="15.75" customHeight="1" thickTop="1" thickBot="1">
      <c r="B89" s="87" t="s">
        <v>175</v>
      </c>
      <c r="C89" s="179">
        <f ca="1">ROUND(C86+C87+C88,-2)</f>
        <v>95299200</v>
      </c>
      <c r="D89" s="615"/>
      <c r="E89" s="72"/>
    </row>
    <row r="90" spans="2:6" ht="13.5" thickBot="1">
      <c r="B90" s="1542" t="s">
        <v>176</v>
      </c>
      <c r="C90" s="1543"/>
      <c r="D90" s="615"/>
    </row>
    <row r="91" spans="2:6" ht="15" customHeight="1">
      <c r="B91" s="294" t="s">
        <v>177</v>
      </c>
      <c r="C91" s="295">
        <f ca="1">C84/C17</f>
        <v>710456.48006134969</v>
      </c>
      <c r="D91" s="615"/>
    </row>
    <row r="92" spans="2:6" ht="15" customHeight="1" thickBot="1">
      <c r="B92" s="296" t="s">
        <v>178</v>
      </c>
      <c r="C92" s="297">
        <f ca="1">C86/C17</f>
        <v>689142.82975460123</v>
      </c>
      <c r="D92" s="615"/>
    </row>
    <row r="93" spans="2:6" ht="13.5" thickBot="1">
      <c r="B93" s="1544" t="s">
        <v>179</v>
      </c>
      <c r="C93" s="1545"/>
      <c r="D93" s="615"/>
    </row>
    <row r="94" spans="2:6" ht="12.75">
      <c r="B94" s="74"/>
      <c r="C94" s="652" t="s">
        <v>170</v>
      </c>
      <c r="D94" s="615"/>
    </row>
    <row r="95" spans="2:6" ht="12.75">
      <c r="B95" s="298" t="s">
        <v>340</v>
      </c>
      <c r="C95" s="299">
        <f ca="1">(C89+C79)/C79</f>
        <v>2.0307609602953107</v>
      </c>
      <c r="D95" s="615"/>
    </row>
    <row r="96" spans="2:6" ht="12.75">
      <c r="B96" s="300" t="s">
        <v>330</v>
      </c>
      <c r="C96" s="606">
        <f ca="1">'King Condominiums DRAW '!B44</f>
        <v>9.5011432551129982E-2</v>
      </c>
      <c r="D96" s="615"/>
    </row>
    <row r="97" spans="2:5" ht="12.75">
      <c r="B97" s="300" t="s">
        <v>181</v>
      </c>
      <c r="C97" s="606">
        <f ca="1">'King Condominiums DRAW '!B39</f>
        <v>0.17271595605089107</v>
      </c>
      <c r="D97" s="615"/>
      <c r="E97" s="75"/>
    </row>
    <row r="98" spans="2:5" ht="12.75">
      <c r="B98" s="298" t="s">
        <v>182</v>
      </c>
      <c r="C98" s="301" t="s">
        <v>228</v>
      </c>
      <c r="D98" s="615"/>
    </row>
    <row r="99" spans="2:5" ht="23.25" customHeight="1" thickBot="1">
      <c r="B99" s="764" t="s">
        <v>183</v>
      </c>
      <c r="C99" s="765" t="s">
        <v>228</v>
      </c>
      <c r="D99" s="615"/>
    </row>
    <row r="100" spans="2:5" ht="23.25" customHeight="1">
      <c r="D100" s="615"/>
    </row>
    <row r="101" spans="2:5" ht="23.25" customHeight="1">
      <c r="D101" s="615"/>
    </row>
  </sheetData>
  <mergeCells count="13">
    <mergeCell ref="B2:D2"/>
    <mergeCell ref="B36:E36"/>
    <mergeCell ref="E2:G2"/>
    <mergeCell ref="C39:D39"/>
    <mergeCell ref="F61:G61"/>
    <mergeCell ref="B43:C43"/>
    <mergeCell ref="D43:E43"/>
    <mergeCell ref="B90:C90"/>
    <mergeCell ref="B93:C93"/>
    <mergeCell ref="D25:G27"/>
    <mergeCell ref="C41:D41"/>
    <mergeCell ref="B40:D40"/>
    <mergeCell ref="B74:C74"/>
  </mergeCells>
  <printOptions horizontalCentered="1" verticalCentered="1"/>
  <pageMargins left="0.7" right="0.7" top="0.75" bottom="0.75" header="0.3" footer="0.3"/>
  <pageSetup scale="95" fitToHeight="0" orientation="landscape" horizontalDpi="4294967292" verticalDpi="4294967292" r:id="rId1"/>
  <headerFooter>
    <oddHeader>&amp;C&amp;"Times New Roman Bold,Bold"&amp;14&amp;K000000INVESTOR SHEET</oddHeader>
    <oddFooter>&amp;CPage &amp;P of &amp;N</oddFooter>
  </headerFooter>
  <rowBreaks count="2" manualBreakCount="2">
    <brk id="35" min="1" max="5" man="1"/>
    <brk id="77" min="1" max="5" man="1"/>
  </rowBreaks>
  <ignoredErrors>
    <ignoredError sqref="D23" formula="1"/>
    <ignoredError sqref="B39 B8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BW599"/>
  <sheetViews>
    <sheetView zoomScaleNormal="100" zoomScalePageLayoutView="125" workbookViewId="0">
      <pane xSplit="1" ySplit="3" topLeftCell="B4" activePane="bottomRight" state="frozen"/>
      <selection pane="topRight" activeCell="B1" sqref="B1"/>
      <selection pane="bottomLeft" activeCell="A4" sqref="A4"/>
      <selection pane="bottomRight" activeCell="N5" sqref="N5"/>
    </sheetView>
  </sheetViews>
  <sheetFormatPr defaultColWidth="8.85546875" defaultRowHeight="15"/>
  <cols>
    <col min="1" max="1" width="45.5703125" style="7" customWidth="1"/>
    <col min="2" max="2" width="21.42578125" style="7" customWidth="1"/>
    <col min="3" max="3" width="18.5703125" style="7" customWidth="1"/>
    <col min="4" max="4" width="15" style="7" customWidth="1"/>
    <col min="5" max="5" width="15.42578125" style="7" customWidth="1"/>
    <col min="6" max="6" width="18.140625" style="7" customWidth="1"/>
    <col min="7" max="7" width="14.42578125" style="89" customWidth="1"/>
    <col min="8" max="8" width="19" style="7" customWidth="1"/>
    <col min="9" max="9" width="17.85546875" style="7" customWidth="1"/>
    <col min="10" max="10" width="16.42578125" style="7" customWidth="1"/>
    <col min="11" max="11" width="12.42578125" style="7" customWidth="1"/>
    <col min="12" max="12" width="14.140625" style="7" customWidth="1"/>
    <col min="13" max="13" width="14.42578125" style="7" customWidth="1"/>
    <col min="14" max="14" width="15.42578125" style="7" customWidth="1"/>
    <col min="15" max="15" width="16.140625" style="7" customWidth="1"/>
    <col min="16" max="16" width="15.42578125" style="7" customWidth="1"/>
    <col min="17" max="17" width="16" style="7" customWidth="1"/>
    <col min="18" max="19" width="14" style="7" customWidth="1"/>
    <col min="20" max="20" width="12.85546875" style="7" customWidth="1"/>
    <col min="21" max="21" width="14.42578125" style="7" customWidth="1"/>
    <col min="22" max="22" width="12.5703125" style="7" customWidth="1"/>
    <col min="23" max="23" width="17" style="7" hidden="1" customWidth="1"/>
    <col min="24" max="24" width="16.42578125" style="7" hidden="1" customWidth="1"/>
    <col min="25" max="25" width="13.42578125" style="7" hidden="1" customWidth="1"/>
    <col min="26" max="26" width="15" style="7" hidden="1" customWidth="1"/>
    <col min="27" max="27" width="13.42578125" style="7" hidden="1" customWidth="1"/>
    <col min="28" max="28" width="16.85546875" style="90" hidden="1" customWidth="1"/>
    <col min="29" max="29" width="15" style="7" hidden="1" customWidth="1"/>
    <col min="30" max="30" width="16.140625" style="7" hidden="1" customWidth="1"/>
    <col min="31" max="31" width="13.42578125" style="90" hidden="1" customWidth="1"/>
    <col min="32" max="32" width="17.140625" style="7" hidden="1" customWidth="1"/>
    <col min="33" max="33" width="14.42578125" style="7" hidden="1" customWidth="1"/>
    <col min="34" max="34" width="17.5703125" style="7" hidden="1" customWidth="1"/>
    <col min="35" max="35" width="14.42578125" style="91" hidden="1" customWidth="1"/>
    <col min="36" max="36" width="14.85546875" style="7" hidden="1" customWidth="1"/>
    <col min="37" max="37" width="15" style="7" hidden="1" customWidth="1"/>
    <col min="38" max="46" width="15.140625" style="7" hidden="1" customWidth="1"/>
    <col min="47" max="47" width="21" style="7" customWidth="1"/>
    <col min="48" max="49" width="17" style="7" customWidth="1"/>
    <col min="50" max="72" width="17" customWidth="1"/>
    <col min="73" max="73" width="16.5703125" customWidth="1"/>
    <col min="74" max="74" width="15" style="7" customWidth="1"/>
    <col min="75" max="75" width="17.85546875" style="7" bestFit="1" customWidth="1"/>
    <col min="76" max="76" width="9.5703125" style="7" bestFit="1" customWidth="1"/>
    <col min="77" max="77" width="11.85546875" style="7" bestFit="1" customWidth="1"/>
    <col min="78" max="79" width="9.5703125" style="7" bestFit="1" customWidth="1"/>
    <col min="80" max="16384" width="8.85546875" style="7"/>
  </cols>
  <sheetData>
    <row r="1" spans="1:75" ht="15.75" thickBot="1">
      <c r="A1" s="1575" t="str">
        <f>'Development Program'!B24</f>
        <v>King Condominiums</v>
      </c>
      <c r="B1" s="156" t="s">
        <v>184</v>
      </c>
      <c r="C1" s="144" t="str">
        <f>'Development Program'!D23</f>
        <v>Pre-Development</v>
      </c>
      <c r="D1" s="144" t="str">
        <f>'Development Program'!E23</f>
        <v>Demolition</v>
      </c>
      <c r="E1" s="144" t="str">
        <f>'Development Program'!F23</f>
        <v>Construction</v>
      </c>
      <c r="F1" s="145" t="str">
        <f>'Development Program'!G23</f>
        <v>Close-out</v>
      </c>
      <c r="G1" s="7"/>
      <c r="AB1" s="7"/>
      <c r="AE1" s="7"/>
      <c r="AI1" s="7"/>
      <c r="BV1"/>
      <c r="BW1"/>
    </row>
    <row r="2" spans="1:75" ht="27" thickBot="1">
      <c r="A2" s="1575"/>
      <c r="B2" s="303" t="s">
        <v>185</v>
      </c>
      <c r="C2" s="305" t="str">
        <f>'Development Program'!D24</f>
        <v>01/1/25 to 12/31/25</v>
      </c>
      <c r="D2" s="305" t="str">
        <f>'Development Program'!E24</f>
        <v>None</v>
      </c>
      <c r="E2" s="305" t="str">
        <f>'Development Program'!F24</f>
        <v>1/1/26 to 12/31/27</v>
      </c>
      <c r="F2" s="408" t="str">
        <f>'Development Program'!G24</f>
        <v>1/1/28 to 6/30/28</v>
      </c>
      <c r="G2" s="7"/>
      <c r="H2" s="186" t="s">
        <v>186</v>
      </c>
      <c r="I2" s="186" t="s">
        <v>187</v>
      </c>
      <c r="Q2" s="487"/>
      <c r="R2" s="184"/>
      <c r="S2" s="184"/>
      <c r="T2" s="501" t="s">
        <v>188</v>
      </c>
      <c r="U2" s="501" t="s">
        <v>189</v>
      </c>
      <c r="V2" s="501" t="s">
        <v>190</v>
      </c>
      <c r="AB2" s="7"/>
      <c r="AE2" s="7"/>
      <c r="AF2" s="148"/>
      <c r="AI2" s="7"/>
      <c r="AU2" s="1577"/>
      <c r="AV2" s="1577"/>
      <c r="AW2" s="1577"/>
      <c r="BV2"/>
      <c r="BW2"/>
    </row>
    <row r="3" spans="1:75" ht="15.75" thickBot="1">
      <c r="A3" s="1576"/>
      <c r="B3" s="92" t="s">
        <v>62</v>
      </c>
      <c r="C3" s="146">
        <v>46023</v>
      </c>
      <c r="D3" s="147">
        <f>EOMONTH(C3,3)</f>
        <v>46142</v>
      </c>
      <c r="E3" s="147">
        <f t="shared" ref="E3:AK3" si="0">EOMONTH(D3,3)</f>
        <v>46234</v>
      </c>
      <c r="F3" s="147">
        <f t="shared" si="0"/>
        <v>46326</v>
      </c>
      <c r="G3" s="188">
        <f t="shared" si="0"/>
        <v>46418</v>
      </c>
      <c r="H3" s="188">
        <f t="shared" si="0"/>
        <v>46507</v>
      </c>
      <c r="I3" s="188">
        <f t="shared" si="0"/>
        <v>46599</v>
      </c>
      <c r="J3" s="188">
        <f t="shared" si="0"/>
        <v>46691</v>
      </c>
      <c r="K3" s="188">
        <f t="shared" si="0"/>
        <v>46783</v>
      </c>
      <c r="L3" s="188">
        <f t="shared" si="0"/>
        <v>46873</v>
      </c>
      <c r="M3" s="188">
        <f t="shared" si="0"/>
        <v>46965</v>
      </c>
      <c r="N3" s="188">
        <f t="shared" si="0"/>
        <v>47057</v>
      </c>
      <c r="O3" s="188">
        <f t="shared" si="0"/>
        <v>47149</v>
      </c>
      <c r="P3" s="188">
        <f t="shared" si="0"/>
        <v>47238</v>
      </c>
      <c r="Q3" s="147">
        <f t="shared" si="0"/>
        <v>47330</v>
      </c>
      <c r="R3" s="147">
        <f t="shared" si="0"/>
        <v>47422</v>
      </c>
      <c r="S3" s="147">
        <f t="shared" si="0"/>
        <v>47514</v>
      </c>
      <c r="T3" s="188">
        <f t="shared" si="0"/>
        <v>47603</v>
      </c>
      <c r="U3" s="188">
        <f t="shared" si="0"/>
        <v>47695</v>
      </c>
      <c r="V3" s="188">
        <f t="shared" si="0"/>
        <v>47787</v>
      </c>
      <c r="W3" s="188">
        <f t="shared" si="0"/>
        <v>47879</v>
      </c>
      <c r="X3" s="188">
        <f t="shared" si="0"/>
        <v>47968</v>
      </c>
      <c r="Y3" s="188">
        <f t="shared" si="0"/>
        <v>48060</v>
      </c>
      <c r="Z3" s="188">
        <f t="shared" si="0"/>
        <v>48152</v>
      </c>
      <c r="AA3" s="188">
        <f t="shared" si="0"/>
        <v>48244</v>
      </c>
      <c r="AB3" s="188">
        <f t="shared" si="0"/>
        <v>48334</v>
      </c>
      <c r="AC3" s="188">
        <f t="shared" si="0"/>
        <v>48426</v>
      </c>
      <c r="AD3" s="188">
        <f t="shared" si="0"/>
        <v>48518</v>
      </c>
      <c r="AE3" s="188">
        <f t="shared" si="0"/>
        <v>48610</v>
      </c>
      <c r="AF3" s="188">
        <f t="shared" si="0"/>
        <v>48699</v>
      </c>
      <c r="AG3" s="188">
        <f t="shared" si="0"/>
        <v>48791</v>
      </c>
      <c r="AH3" s="188">
        <f t="shared" si="0"/>
        <v>48883</v>
      </c>
      <c r="AI3" s="188">
        <f t="shared" si="0"/>
        <v>48975</v>
      </c>
      <c r="AJ3" s="188">
        <f t="shared" si="0"/>
        <v>49064</v>
      </c>
      <c r="AK3" s="188">
        <f t="shared" si="0"/>
        <v>49156</v>
      </c>
      <c r="AL3" s="188">
        <f>EOMONTH(AK3,3)</f>
        <v>49248</v>
      </c>
      <c r="AM3" s="188">
        <f t="shared" ref="AM3:AT3" si="1">EOMONTH(AL3,3)</f>
        <v>49340</v>
      </c>
      <c r="AN3" s="188">
        <f t="shared" si="1"/>
        <v>49429</v>
      </c>
      <c r="AO3" s="188">
        <f t="shared" si="1"/>
        <v>49521</v>
      </c>
      <c r="AP3" s="188">
        <f t="shared" si="1"/>
        <v>49613</v>
      </c>
      <c r="AQ3" s="188">
        <f t="shared" si="1"/>
        <v>49705</v>
      </c>
      <c r="AR3" s="188">
        <f t="shared" si="1"/>
        <v>49795</v>
      </c>
      <c r="AS3" s="188">
        <f>EOMONTH(AR3,3)</f>
        <v>49887</v>
      </c>
      <c r="AT3" s="188">
        <f t="shared" si="1"/>
        <v>49979</v>
      </c>
      <c r="AU3" s="188" t="s">
        <v>192</v>
      </c>
      <c r="AV3" s="379" t="s">
        <v>193</v>
      </c>
      <c r="AW3" s="306"/>
      <c r="BV3"/>
      <c r="BW3"/>
    </row>
    <row r="4" spans="1:75" ht="15.75" thickBot="1">
      <c r="A4" s="308" t="s">
        <v>194</v>
      </c>
      <c r="B4" s="309">
        <v>1</v>
      </c>
      <c r="C4" s="181">
        <v>0</v>
      </c>
      <c r="D4" s="181">
        <v>0</v>
      </c>
      <c r="E4" s="181">
        <v>0</v>
      </c>
      <c r="F4" s="181">
        <v>0.05</v>
      </c>
      <c r="G4" s="180">
        <v>0.05</v>
      </c>
      <c r="H4" s="180">
        <v>0.14000000000000001</v>
      </c>
      <c r="I4" s="180">
        <v>0.14000000000000001</v>
      </c>
      <c r="J4" s="180">
        <v>0.14000000000000001</v>
      </c>
      <c r="K4" s="180">
        <v>0.14000000000000001</v>
      </c>
      <c r="L4" s="180">
        <v>0.14000000000000001</v>
      </c>
      <c r="M4" s="180">
        <v>0.14000000000000001</v>
      </c>
      <c r="N4" s="180">
        <v>0.06</v>
      </c>
      <c r="O4" s="180">
        <v>0</v>
      </c>
      <c r="P4" s="180">
        <v>0</v>
      </c>
      <c r="Q4" s="180">
        <v>0</v>
      </c>
      <c r="R4" s="180">
        <v>0</v>
      </c>
      <c r="S4" s="180">
        <v>0</v>
      </c>
      <c r="T4" s="180">
        <v>0</v>
      </c>
      <c r="U4" s="180">
        <v>0</v>
      </c>
      <c r="V4" s="180">
        <v>0</v>
      </c>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310">
        <f t="shared" ref="AU4:AU18" si="2">SUM(C4:AT4)</f>
        <v>1</v>
      </c>
      <c r="AV4" s="311"/>
      <c r="AW4" s="159" t="s">
        <v>195</v>
      </c>
      <c r="BV4"/>
      <c r="BW4"/>
    </row>
    <row r="5" spans="1:75">
      <c r="A5" s="312" t="str">
        <f>'King Condominiums Financial '!B45</f>
        <v>Hard Costs for Construction - Residential</v>
      </c>
      <c r="B5" s="409">
        <f>'King Condominiums Financial '!D45+'King Condominiums Financial '!D46</f>
        <v>135869100</v>
      </c>
      <c r="C5" s="314">
        <f t="shared" ref="C5:R16" si="3">$B5*C$4</f>
        <v>0</v>
      </c>
      <c r="D5" s="314">
        <f t="shared" si="3"/>
        <v>0</v>
      </c>
      <c r="E5" s="314">
        <f t="shared" si="3"/>
        <v>0</v>
      </c>
      <c r="F5" s="314">
        <f t="shared" si="3"/>
        <v>6793455</v>
      </c>
      <c r="G5" s="314">
        <f t="shared" si="3"/>
        <v>6793455</v>
      </c>
      <c r="H5" s="314">
        <f t="shared" si="3"/>
        <v>19021674</v>
      </c>
      <c r="I5" s="314">
        <f t="shared" si="3"/>
        <v>19021674</v>
      </c>
      <c r="J5" s="314">
        <f t="shared" si="3"/>
        <v>19021674</v>
      </c>
      <c r="K5" s="314">
        <f t="shared" si="3"/>
        <v>19021674</v>
      </c>
      <c r="L5" s="314">
        <f t="shared" si="3"/>
        <v>19021674</v>
      </c>
      <c r="M5" s="314">
        <f t="shared" si="3"/>
        <v>19021674</v>
      </c>
      <c r="N5" s="314">
        <f t="shared" si="3"/>
        <v>8152146</v>
      </c>
      <c r="O5" s="314">
        <f t="shared" si="3"/>
        <v>0</v>
      </c>
      <c r="P5" s="314">
        <f t="shared" si="3"/>
        <v>0</v>
      </c>
      <c r="Q5" s="314">
        <f t="shared" si="3"/>
        <v>0</v>
      </c>
      <c r="R5" s="314">
        <f t="shared" si="3"/>
        <v>0</v>
      </c>
      <c r="S5" s="314">
        <f t="shared" ref="S5:V16" si="4">$B5*S$4</f>
        <v>0</v>
      </c>
      <c r="T5" s="314">
        <f t="shared" si="4"/>
        <v>0</v>
      </c>
      <c r="U5" s="314">
        <f t="shared" si="4"/>
        <v>0</v>
      </c>
      <c r="V5" s="314">
        <f t="shared" si="4"/>
        <v>0</v>
      </c>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5">
        <f t="shared" si="2"/>
        <v>135869100</v>
      </c>
      <c r="AV5" s="315">
        <f t="shared" ref="AV5:AV26" si="5">B5</f>
        <v>135869100</v>
      </c>
      <c r="AW5" s="315">
        <f t="shared" ref="AW5:AW16" si="6">AV5-AU5</f>
        <v>0</v>
      </c>
      <c r="BV5"/>
      <c r="BW5"/>
    </row>
    <row r="6" spans="1:75">
      <c r="A6" s="312" t="str">
        <f>'King Condominiums Financial '!B47</f>
        <v>Resident Parking</v>
      </c>
      <c r="B6" s="409">
        <f>'King Condominiums Financial '!D47</f>
        <v>7824000</v>
      </c>
      <c r="C6" s="314">
        <f t="shared" si="3"/>
        <v>0</v>
      </c>
      <c r="D6" s="314">
        <f t="shared" si="3"/>
        <v>0</v>
      </c>
      <c r="E6" s="314">
        <f t="shared" si="3"/>
        <v>0</v>
      </c>
      <c r="F6" s="314">
        <f t="shared" si="3"/>
        <v>391200</v>
      </c>
      <c r="G6" s="314">
        <f t="shared" si="3"/>
        <v>391200</v>
      </c>
      <c r="H6" s="314">
        <f t="shared" si="3"/>
        <v>1095360</v>
      </c>
      <c r="I6" s="314">
        <f t="shared" si="3"/>
        <v>1095360</v>
      </c>
      <c r="J6" s="314">
        <f t="shared" si="3"/>
        <v>1095360</v>
      </c>
      <c r="K6" s="314">
        <f t="shared" si="3"/>
        <v>1095360</v>
      </c>
      <c r="L6" s="314">
        <f t="shared" si="3"/>
        <v>1095360</v>
      </c>
      <c r="M6" s="314">
        <f t="shared" si="3"/>
        <v>1095360</v>
      </c>
      <c r="N6" s="314">
        <f t="shared" si="3"/>
        <v>469440</v>
      </c>
      <c r="O6" s="314">
        <f t="shared" si="3"/>
        <v>0</v>
      </c>
      <c r="P6" s="314">
        <f t="shared" si="3"/>
        <v>0</v>
      </c>
      <c r="Q6" s="314">
        <f t="shared" si="3"/>
        <v>0</v>
      </c>
      <c r="R6" s="314">
        <f t="shared" si="3"/>
        <v>0</v>
      </c>
      <c r="S6" s="314">
        <f t="shared" si="4"/>
        <v>0</v>
      </c>
      <c r="T6" s="314">
        <f t="shared" si="4"/>
        <v>0</v>
      </c>
      <c r="U6" s="314">
        <f t="shared" si="4"/>
        <v>0</v>
      </c>
      <c r="V6" s="314">
        <f t="shared" si="4"/>
        <v>0</v>
      </c>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5">
        <f t="shared" si="2"/>
        <v>7824000</v>
      </c>
      <c r="AV6" s="315">
        <f t="shared" si="5"/>
        <v>7824000</v>
      </c>
      <c r="AW6" s="315">
        <f t="shared" si="6"/>
        <v>0</v>
      </c>
      <c r="BV6"/>
      <c r="BW6"/>
    </row>
    <row r="7" spans="1:75">
      <c r="A7" s="312" t="str">
        <f>'King Condominiums Financial '!B48</f>
        <v>Hard Cost Contingency</v>
      </c>
      <c r="B7" s="409">
        <f>'King Condominiums Financial '!D48</f>
        <v>10869528</v>
      </c>
      <c r="C7" s="314">
        <f t="shared" si="3"/>
        <v>0</v>
      </c>
      <c r="D7" s="314">
        <f t="shared" si="3"/>
        <v>0</v>
      </c>
      <c r="E7" s="314">
        <f t="shared" si="3"/>
        <v>0</v>
      </c>
      <c r="F7" s="314">
        <f t="shared" si="3"/>
        <v>543476.4</v>
      </c>
      <c r="G7" s="314">
        <f t="shared" si="3"/>
        <v>543476.4</v>
      </c>
      <c r="H7" s="314">
        <f t="shared" si="3"/>
        <v>1521733.9200000002</v>
      </c>
      <c r="I7" s="314">
        <f t="shared" si="3"/>
        <v>1521733.9200000002</v>
      </c>
      <c r="J7" s="314">
        <f t="shared" si="3"/>
        <v>1521733.9200000002</v>
      </c>
      <c r="K7" s="314">
        <f t="shared" si="3"/>
        <v>1521733.9200000002</v>
      </c>
      <c r="L7" s="314">
        <f t="shared" si="3"/>
        <v>1521733.9200000002</v>
      </c>
      <c r="M7" s="314">
        <f t="shared" si="3"/>
        <v>1521733.9200000002</v>
      </c>
      <c r="N7" s="314">
        <f t="shared" si="3"/>
        <v>652171.67999999993</v>
      </c>
      <c r="O7" s="314">
        <f t="shared" si="3"/>
        <v>0</v>
      </c>
      <c r="P7" s="314">
        <f t="shared" si="3"/>
        <v>0</v>
      </c>
      <c r="Q7" s="314">
        <f t="shared" si="3"/>
        <v>0</v>
      </c>
      <c r="R7" s="314">
        <f t="shared" si="3"/>
        <v>0</v>
      </c>
      <c r="S7" s="314">
        <f t="shared" si="4"/>
        <v>0</v>
      </c>
      <c r="T7" s="314">
        <f t="shared" si="4"/>
        <v>0</v>
      </c>
      <c r="U7" s="314">
        <f t="shared" si="4"/>
        <v>0</v>
      </c>
      <c r="V7" s="314">
        <f t="shared" si="4"/>
        <v>0</v>
      </c>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5">
        <f t="shared" si="2"/>
        <v>10869528</v>
      </c>
      <c r="AV7" s="315">
        <f t="shared" si="5"/>
        <v>10869528</v>
      </c>
      <c r="AW7" s="315">
        <f t="shared" si="6"/>
        <v>0</v>
      </c>
      <c r="BV7"/>
      <c r="BW7"/>
    </row>
    <row r="8" spans="1:75">
      <c r="A8" s="312" t="str">
        <f>'King Condominiums Financial '!B49</f>
        <v>Demolition (Interior only)</v>
      </c>
      <c r="B8" s="409">
        <f>'King Condominiums Financial '!D49</f>
        <v>3167367</v>
      </c>
      <c r="C8" s="314">
        <f>B8</f>
        <v>3167367</v>
      </c>
      <c r="D8" s="314">
        <v>0</v>
      </c>
      <c r="E8" s="314">
        <v>0</v>
      </c>
      <c r="F8" s="314">
        <v>0</v>
      </c>
      <c r="G8" s="314">
        <v>0</v>
      </c>
      <c r="H8" s="314">
        <v>0</v>
      </c>
      <c r="I8" s="314">
        <v>0</v>
      </c>
      <c r="J8" s="314">
        <v>0</v>
      </c>
      <c r="K8" s="314">
        <v>0</v>
      </c>
      <c r="L8" s="314">
        <v>0</v>
      </c>
      <c r="M8" s="314">
        <v>0</v>
      </c>
      <c r="N8" s="314">
        <v>0</v>
      </c>
      <c r="O8" s="314">
        <v>0</v>
      </c>
      <c r="P8" s="314">
        <v>0</v>
      </c>
      <c r="Q8" s="314">
        <v>0</v>
      </c>
      <c r="R8" s="314">
        <v>0</v>
      </c>
      <c r="S8" s="314">
        <v>0</v>
      </c>
      <c r="T8" s="314">
        <v>0</v>
      </c>
      <c r="U8" s="314">
        <v>0</v>
      </c>
      <c r="V8" s="314">
        <v>0</v>
      </c>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5">
        <f t="shared" si="2"/>
        <v>3167367</v>
      </c>
      <c r="AV8" s="315">
        <f t="shared" si="5"/>
        <v>3167367</v>
      </c>
      <c r="AW8" s="315">
        <f t="shared" si="6"/>
        <v>0</v>
      </c>
      <c r="BV8"/>
      <c r="BW8"/>
    </row>
    <row r="9" spans="1:75">
      <c r="A9" s="312" t="str">
        <f>'King Condominiums Financial '!B50</f>
        <v>Land</v>
      </c>
      <c r="B9" s="409">
        <f>'King Condominiums Financial '!D50</f>
        <v>55000000</v>
      </c>
      <c r="C9" s="314">
        <f>B9</f>
        <v>55000000</v>
      </c>
      <c r="D9" s="314">
        <v>0</v>
      </c>
      <c r="E9" s="314">
        <v>0</v>
      </c>
      <c r="F9" s="314">
        <v>0</v>
      </c>
      <c r="G9" s="314">
        <v>0</v>
      </c>
      <c r="H9" s="314">
        <v>0</v>
      </c>
      <c r="I9" s="314">
        <v>0</v>
      </c>
      <c r="J9" s="314">
        <v>0</v>
      </c>
      <c r="K9" s="314">
        <v>0</v>
      </c>
      <c r="L9" s="314">
        <v>0</v>
      </c>
      <c r="M9" s="314">
        <v>0</v>
      </c>
      <c r="N9" s="314">
        <v>0</v>
      </c>
      <c r="O9" s="314">
        <v>0</v>
      </c>
      <c r="P9" s="314">
        <v>0</v>
      </c>
      <c r="Q9" s="314">
        <v>0</v>
      </c>
      <c r="R9" s="314">
        <v>0</v>
      </c>
      <c r="S9" s="314">
        <v>0</v>
      </c>
      <c r="T9" s="314">
        <v>0</v>
      </c>
      <c r="U9" s="314">
        <v>0</v>
      </c>
      <c r="V9" s="314">
        <v>0</v>
      </c>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5">
        <f t="shared" si="2"/>
        <v>55000000</v>
      </c>
      <c r="AV9" s="315">
        <f t="shared" si="5"/>
        <v>55000000</v>
      </c>
      <c r="AW9" s="315">
        <f t="shared" si="6"/>
        <v>0</v>
      </c>
      <c r="BV9"/>
      <c r="BW9"/>
    </row>
    <row r="10" spans="1:75">
      <c r="A10" s="312" t="str">
        <f>'King Condominiums Financial '!B51</f>
        <v>Municipal Fees and Allowances</v>
      </c>
      <c r="B10" s="409">
        <f>'King Condominiums Financial '!D51</f>
        <v>782400</v>
      </c>
      <c r="C10" s="314">
        <f>B10</f>
        <v>782400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4">
        <v>0</v>
      </c>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5">
        <f t="shared" si="2"/>
        <v>782400</v>
      </c>
      <c r="AV10" s="315">
        <f t="shared" si="5"/>
        <v>782400</v>
      </c>
      <c r="AW10" s="315">
        <f t="shared" si="6"/>
        <v>0</v>
      </c>
      <c r="BV10"/>
      <c r="BW10"/>
    </row>
    <row r="11" spans="1:75">
      <c r="A11" s="312" t="str">
        <f>'King Condominiums Financial '!B52</f>
        <v>Infrastructure allocation</v>
      </c>
      <c r="B11" s="409">
        <f>'King Condominiums Financial '!D52</f>
        <v>7750000</v>
      </c>
      <c r="C11" s="314">
        <f t="shared" si="3"/>
        <v>0</v>
      </c>
      <c r="D11" s="314">
        <f t="shared" si="3"/>
        <v>0</v>
      </c>
      <c r="E11" s="314">
        <f t="shared" si="3"/>
        <v>0</v>
      </c>
      <c r="F11" s="314">
        <f t="shared" si="3"/>
        <v>387500</v>
      </c>
      <c r="G11" s="314">
        <f t="shared" si="3"/>
        <v>387500</v>
      </c>
      <c r="H11" s="314">
        <f t="shared" si="3"/>
        <v>1085000</v>
      </c>
      <c r="I11" s="314">
        <f t="shared" si="3"/>
        <v>1085000</v>
      </c>
      <c r="J11" s="314">
        <f t="shared" si="3"/>
        <v>1085000</v>
      </c>
      <c r="K11" s="314">
        <f t="shared" si="3"/>
        <v>1085000</v>
      </c>
      <c r="L11" s="314">
        <f t="shared" si="3"/>
        <v>1085000</v>
      </c>
      <c r="M11" s="314">
        <f t="shared" si="3"/>
        <v>1085000</v>
      </c>
      <c r="N11" s="314">
        <f t="shared" si="3"/>
        <v>465000</v>
      </c>
      <c r="O11" s="314">
        <f t="shared" si="3"/>
        <v>0</v>
      </c>
      <c r="P11" s="314">
        <f t="shared" si="3"/>
        <v>0</v>
      </c>
      <c r="Q11" s="314">
        <f t="shared" si="3"/>
        <v>0</v>
      </c>
      <c r="R11" s="314">
        <f t="shared" si="3"/>
        <v>0</v>
      </c>
      <c r="S11" s="314">
        <f t="shared" si="4"/>
        <v>0</v>
      </c>
      <c r="T11" s="314">
        <f t="shared" si="4"/>
        <v>0</v>
      </c>
      <c r="U11" s="314">
        <f t="shared" si="4"/>
        <v>0</v>
      </c>
      <c r="V11" s="314">
        <f t="shared" si="4"/>
        <v>0</v>
      </c>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5">
        <f t="shared" si="2"/>
        <v>7750000</v>
      </c>
      <c r="AV11" s="315">
        <f t="shared" si="5"/>
        <v>7750000</v>
      </c>
      <c r="AW11" s="315">
        <f t="shared" si="6"/>
        <v>0</v>
      </c>
      <c r="BV11"/>
      <c r="BW11"/>
    </row>
    <row r="12" spans="1:75">
      <c r="A12" s="312" t="str">
        <f>'King Condominiums Financial '!B53</f>
        <v>Legal</v>
      </c>
      <c r="B12" s="409">
        <f>'King Condominiums Financial '!D53</f>
        <v>1500000</v>
      </c>
      <c r="C12" s="314">
        <f t="shared" si="3"/>
        <v>0</v>
      </c>
      <c r="D12" s="314">
        <f t="shared" si="3"/>
        <v>0</v>
      </c>
      <c r="E12" s="314">
        <f t="shared" si="3"/>
        <v>0</v>
      </c>
      <c r="F12" s="314">
        <f t="shared" si="3"/>
        <v>75000</v>
      </c>
      <c r="G12" s="314">
        <f t="shared" si="3"/>
        <v>75000</v>
      </c>
      <c r="H12" s="314">
        <f t="shared" si="3"/>
        <v>210000.00000000003</v>
      </c>
      <c r="I12" s="314">
        <f t="shared" si="3"/>
        <v>210000.00000000003</v>
      </c>
      <c r="J12" s="314">
        <f t="shared" si="3"/>
        <v>210000.00000000003</v>
      </c>
      <c r="K12" s="314">
        <f t="shared" si="3"/>
        <v>210000.00000000003</v>
      </c>
      <c r="L12" s="314">
        <f t="shared" si="3"/>
        <v>210000.00000000003</v>
      </c>
      <c r="M12" s="314">
        <f t="shared" si="3"/>
        <v>210000.00000000003</v>
      </c>
      <c r="N12" s="314">
        <f t="shared" si="3"/>
        <v>90000</v>
      </c>
      <c r="O12" s="314">
        <f t="shared" si="3"/>
        <v>0</v>
      </c>
      <c r="P12" s="314">
        <f t="shared" si="3"/>
        <v>0</v>
      </c>
      <c r="Q12" s="314">
        <f t="shared" si="3"/>
        <v>0</v>
      </c>
      <c r="R12" s="314">
        <f t="shared" si="3"/>
        <v>0</v>
      </c>
      <c r="S12" s="314">
        <f t="shared" si="4"/>
        <v>0</v>
      </c>
      <c r="T12" s="314">
        <f t="shared" si="4"/>
        <v>0</v>
      </c>
      <c r="U12" s="314">
        <f t="shared" si="4"/>
        <v>0</v>
      </c>
      <c r="V12" s="314">
        <f t="shared" si="4"/>
        <v>0</v>
      </c>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5">
        <f t="shared" si="2"/>
        <v>1500000</v>
      </c>
      <c r="AV12" s="315">
        <f t="shared" si="5"/>
        <v>1500000</v>
      </c>
      <c r="AW12" s="315">
        <f t="shared" si="6"/>
        <v>0</v>
      </c>
      <c r="BV12"/>
      <c r="BW12"/>
    </row>
    <row r="13" spans="1:75">
      <c r="A13" s="312" t="str">
        <f>'King Condominiums Financial '!B54</f>
        <v>Land Closing Costs/commissions</v>
      </c>
      <c r="B13" s="409">
        <f>'King Condominiums Financial '!D54</f>
        <v>825000</v>
      </c>
      <c r="C13" s="314">
        <f t="shared" si="3"/>
        <v>0</v>
      </c>
      <c r="D13" s="314">
        <f t="shared" si="3"/>
        <v>0</v>
      </c>
      <c r="E13" s="314">
        <f t="shared" si="3"/>
        <v>0</v>
      </c>
      <c r="F13" s="314">
        <f t="shared" si="3"/>
        <v>41250</v>
      </c>
      <c r="G13" s="314">
        <f t="shared" si="3"/>
        <v>41250</v>
      </c>
      <c r="H13" s="314">
        <f t="shared" si="3"/>
        <v>115500.00000000001</v>
      </c>
      <c r="I13" s="314">
        <f t="shared" si="3"/>
        <v>115500.00000000001</v>
      </c>
      <c r="J13" s="314">
        <f t="shared" si="3"/>
        <v>115500.00000000001</v>
      </c>
      <c r="K13" s="314">
        <f t="shared" si="3"/>
        <v>115500.00000000001</v>
      </c>
      <c r="L13" s="314">
        <f t="shared" si="3"/>
        <v>115500.00000000001</v>
      </c>
      <c r="M13" s="314">
        <f t="shared" si="3"/>
        <v>115500.00000000001</v>
      </c>
      <c r="N13" s="314">
        <f t="shared" si="3"/>
        <v>49500</v>
      </c>
      <c r="O13" s="314">
        <f t="shared" si="3"/>
        <v>0</v>
      </c>
      <c r="P13" s="314">
        <f t="shared" si="3"/>
        <v>0</v>
      </c>
      <c r="Q13" s="314">
        <f t="shared" si="3"/>
        <v>0</v>
      </c>
      <c r="R13" s="314">
        <f t="shared" si="3"/>
        <v>0</v>
      </c>
      <c r="S13" s="314">
        <f t="shared" si="4"/>
        <v>0</v>
      </c>
      <c r="T13" s="314">
        <f t="shared" si="4"/>
        <v>0</v>
      </c>
      <c r="U13" s="314">
        <f t="shared" si="4"/>
        <v>0</v>
      </c>
      <c r="V13" s="314">
        <f t="shared" si="4"/>
        <v>0</v>
      </c>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5">
        <f t="shared" si="2"/>
        <v>825000</v>
      </c>
      <c r="AV13" s="315">
        <f t="shared" si="5"/>
        <v>825000</v>
      </c>
      <c r="AW13" s="315">
        <f t="shared" si="6"/>
        <v>0</v>
      </c>
      <c r="BV13"/>
      <c r="BW13"/>
    </row>
    <row r="14" spans="1:75">
      <c r="A14" s="312" t="str">
        <f>'King Condominiums Financial '!B55</f>
        <v xml:space="preserve">Design </v>
      </c>
      <c r="B14" s="409">
        <f>'King Condominiums Financial '!D55</f>
        <v>4076073</v>
      </c>
      <c r="C14" s="314">
        <f t="shared" si="3"/>
        <v>0</v>
      </c>
      <c r="D14" s="314">
        <f t="shared" si="3"/>
        <v>0</v>
      </c>
      <c r="E14" s="314">
        <f t="shared" si="3"/>
        <v>0</v>
      </c>
      <c r="F14" s="314">
        <f t="shared" si="3"/>
        <v>203803.65000000002</v>
      </c>
      <c r="G14" s="314">
        <f t="shared" si="3"/>
        <v>203803.65000000002</v>
      </c>
      <c r="H14" s="314">
        <f t="shared" si="3"/>
        <v>570650.22000000009</v>
      </c>
      <c r="I14" s="314">
        <f t="shared" si="3"/>
        <v>570650.22000000009</v>
      </c>
      <c r="J14" s="314">
        <f t="shared" si="3"/>
        <v>570650.22000000009</v>
      </c>
      <c r="K14" s="314">
        <f t="shared" si="3"/>
        <v>570650.22000000009</v>
      </c>
      <c r="L14" s="314">
        <f t="shared" si="3"/>
        <v>570650.22000000009</v>
      </c>
      <c r="M14" s="314">
        <f t="shared" si="3"/>
        <v>570650.22000000009</v>
      </c>
      <c r="N14" s="314">
        <f t="shared" si="3"/>
        <v>244564.38</v>
      </c>
      <c r="O14" s="314">
        <f t="shared" si="3"/>
        <v>0</v>
      </c>
      <c r="P14" s="314">
        <f t="shared" si="3"/>
        <v>0</v>
      </c>
      <c r="Q14" s="314">
        <f t="shared" si="3"/>
        <v>0</v>
      </c>
      <c r="R14" s="314">
        <f t="shared" si="3"/>
        <v>0</v>
      </c>
      <c r="S14" s="314">
        <f t="shared" si="4"/>
        <v>0</v>
      </c>
      <c r="T14" s="314">
        <f t="shared" si="4"/>
        <v>0</v>
      </c>
      <c r="U14" s="314">
        <f t="shared" si="4"/>
        <v>0</v>
      </c>
      <c r="V14" s="314">
        <f t="shared" si="4"/>
        <v>0</v>
      </c>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5">
        <f t="shared" si="2"/>
        <v>4076073.0000000009</v>
      </c>
      <c r="AV14" s="315">
        <f t="shared" si="5"/>
        <v>4076073</v>
      </c>
      <c r="AW14" s="315">
        <f t="shared" si="6"/>
        <v>0</v>
      </c>
      <c r="BV14"/>
      <c r="BW14"/>
    </row>
    <row r="15" spans="1:75">
      <c r="A15" s="312" t="str">
        <f>'King Condominiums Financial '!B56</f>
        <v>Developer Fee</v>
      </c>
      <c r="B15" s="409">
        <f>'King Condominiums Financial '!D56</f>
        <v>6829904.04</v>
      </c>
      <c r="C15" s="314">
        <f t="shared" si="3"/>
        <v>0</v>
      </c>
      <c r="D15" s="314">
        <f t="shared" si="3"/>
        <v>0</v>
      </c>
      <c r="E15" s="314">
        <f t="shared" si="3"/>
        <v>0</v>
      </c>
      <c r="F15" s="314">
        <f t="shared" si="3"/>
        <v>341495.20200000005</v>
      </c>
      <c r="G15" s="314">
        <f t="shared" si="3"/>
        <v>341495.20200000005</v>
      </c>
      <c r="H15" s="314">
        <f t="shared" si="3"/>
        <v>956186.56560000009</v>
      </c>
      <c r="I15" s="314">
        <f t="shared" si="3"/>
        <v>956186.56560000009</v>
      </c>
      <c r="J15" s="314">
        <f t="shared" si="3"/>
        <v>956186.56560000009</v>
      </c>
      <c r="K15" s="314">
        <f t="shared" si="3"/>
        <v>956186.56560000009</v>
      </c>
      <c r="L15" s="314">
        <f t="shared" si="3"/>
        <v>956186.56560000009</v>
      </c>
      <c r="M15" s="314">
        <f t="shared" si="3"/>
        <v>956186.56560000009</v>
      </c>
      <c r="N15" s="314">
        <f t="shared" si="3"/>
        <v>409794.24239999999</v>
      </c>
      <c r="O15" s="314">
        <f t="shared" si="3"/>
        <v>0</v>
      </c>
      <c r="P15" s="314">
        <f t="shared" si="3"/>
        <v>0</v>
      </c>
      <c r="Q15" s="314">
        <f t="shared" si="3"/>
        <v>0</v>
      </c>
      <c r="R15" s="314">
        <f t="shared" si="3"/>
        <v>0</v>
      </c>
      <c r="S15" s="314">
        <f t="shared" si="4"/>
        <v>0</v>
      </c>
      <c r="T15" s="314">
        <f t="shared" si="4"/>
        <v>0</v>
      </c>
      <c r="U15" s="314">
        <f t="shared" si="4"/>
        <v>0</v>
      </c>
      <c r="V15" s="314">
        <f t="shared" si="4"/>
        <v>0</v>
      </c>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5">
        <f t="shared" si="2"/>
        <v>6829904.040000001</v>
      </c>
      <c r="AV15" s="315">
        <f t="shared" si="5"/>
        <v>6829904.04</v>
      </c>
      <c r="AW15" s="315">
        <f t="shared" si="6"/>
        <v>0</v>
      </c>
      <c r="BV15"/>
      <c r="BW15"/>
    </row>
    <row r="16" spans="1:75">
      <c r="A16" s="312" t="str">
        <f>'King Condominiums Financial '!B57</f>
        <v>Construction Management Fee</v>
      </c>
      <c r="B16" s="409">
        <f>'King Condominiums Financial '!D57</f>
        <v>2998119.9</v>
      </c>
      <c r="C16" s="314">
        <f t="shared" si="3"/>
        <v>0</v>
      </c>
      <c r="D16" s="314">
        <f t="shared" si="3"/>
        <v>0</v>
      </c>
      <c r="E16" s="314">
        <f t="shared" si="3"/>
        <v>0</v>
      </c>
      <c r="F16" s="314">
        <f t="shared" si="3"/>
        <v>149905.995</v>
      </c>
      <c r="G16" s="314">
        <f t="shared" si="3"/>
        <v>149905.995</v>
      </c>
      <c r="H16" s="314">
        <f t="shared" si="3"/>
        <v>419736.78600000002</v>
      </c>
      <c r="I16" s="314">
        <f t="shared" si="3"/>
        <v>419736.78600000002</v>
      </c>
      <c r="J16" s="314">
        <f t="shared" si="3"/>
        <v>419736.78600000002</v>
      </c>
      <c r="K16" s="314">
        <f t="shared" si="3"/>
        <v>419736.78600000002</v>
      </c>
      <c r="L16" s="314">
        <f t="shared" si="3"/>
        <v>419736.78600000002</v>
      </c>
      <c r="M16" s="314">
        <f t="shared" si="3"/>
        <v>419736.78600000002</v>
      </c>
      <c r="N16" s="314">
        <f t="shared" si="3"/>
        <v>179887.19399999999</v>
      </c>
      <c r="O16" s="314">
        <f t="shared" si="3"/>
        <v>0</v>
      </c>
      <c r="P16" s="314">
        <f t="shared" si="3"/>
        <v>0</v>
      </c>
      <c r="Q16" s="314">
        <f t="shared" si="3"/>
        <v>0</v>
      </c>
      <c r="R16" s="314">
        <f t="shared" si="3"/>
        <v>0</v>
      </c>
      <c r="S16" s="314">
        <f t="shared" si="4"/>
        <v>0</v>
      </c>
      <c r="T16" s="314">
        <f t="shared" si="4"/>
        <v>0</v>
      </c>
      <c r="U16" s="314">
        <f t="shared" si="4"/>
        <v>0</v>
      </c>
      <c r="V16" s="314">
        <f t="shared" si="4"/>
        <v>0</v>
      </c>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5">
        <f t="shared" si="2"/>
        <v>2998119.9000000004</v>
      </c>
      <c r="AV16" s="315">
        <f t="shared" si="5"/>
        <v>2998119.9</v>
      </c>
      <c r="AW16" s="315">
        <f t="shared" si="6"/>
        <v>0</v>
      </c>
      <c r="BV16"/>
      <c r="BW16"/>
    </row>
    <row r="17" spans="1:75">
      <c r="A17" s="312" t="str">
        <f>'King Condominiums Financial '!B58</f>
        <v>Taxes (2 years of assessments)</v>
      </c>
      <c r="B17" s="409">
        <f>'King Condominiums Financial '!D58</f>
        <v>995500.00000000012</v>
      </c>
      <c r="C17" s="314">
        <f t="shared" ref="C17:R26" si="7">$B17*C$4</f>
        <v>0</v>
      </c>
      <c r="D17" s="314">
        <f t="shared" si="7"/>
        <v>0</v>
      </c>
      <c r="E17" s="314">
        <f t="shared" si="7"/>
        <v>0</v>
      </c>
      <c r="F17" s="314">
        <f t="shared" si="7"/>
        <v>49775.000000000007</v>
      </c>
      <c r="G17" s="314">
        <f t="shared" si="7"/>
        <v>49775.000000000007</v>
      </c>
      <c r="H17" s="314">
        <f t="shared" si="7"/>
        <v>139370.00000000003</v>
      </c>
      <c r="I17" s="314">
        <f t="shared" si="7"/>
        <v>139370.00000000003</v>
      </c>
      <c r="J17" s="314">
        <f t="shared" si="7"/>
        <v>139370.00000000003</v>
      </c>
      <c r="K17" s="314">
        <f t="shared" si="7"/>
        <v>139370.00000000003</v>
      </c>
      <c r="L17" s="314">
        <f t="shared" si="7"/>
        <v>139370.00000000003</v>
      </c>
      <c r="M17" s="314">
        <f t="shared" si="7"/>
        <v>139370.00000000003</v>
      </c>
      <c r="N17" s="314">
        <f t="shared" si="7"/>
        <v>59730.000000000007</v>
      </c>
      <c r="O17" s="314">
        <f t="shared" si="7"/>
        <v>0</v>
      </c>
      <c r="P17" s="314">
        <f t="shared" si="7"/>
        <v>0</v>
      </c>
      <c r="Q17" s="314">
        <f t="shared" si="7"/>
        <v>0</v>
      </c>
      <c r="R17" s="314">
        <f>$B17*R$4</f>
        <v>0</v>
      </c>
      <c r="S17" s="314">
        <f t="shared" ref="S17:V26" si="8">$B17*S$4</f>
        <v>0</v>
      </c>
      <c r="T17" s="314">
        <f t="shared" si="8"/>
        <v>0</v>
      </c>
      <c r="U17" s="314">
        <f t="shared" si="8"/>
        <v>0</v>
      </c>
      <c r="V17" s="314">
        <f>$B17*V$4</f>
        <v>0</v>
      </c>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5">
        <f t="shared" si="2"/>
        <v>995500.00000000012</v>
      </c>
      <c r="AV17" s="315">
        <f t="shared" si="5"/>
        <v>995500.00000000012</v>
      </c>
      <c r="AW17" s="315">
        <f t="shared" ref="AW17:AW26" si="9">AV17-AU17</f>
        <v>0</v>
      </c>
      <c r="BV17"/>
      <c r="BW17"/>
    </row>
    <row r="18" spans="1:75">
      <c r="A18" s="312" t="str">
        <f>'King Condominiums Financial '!B59</f>
        <v>Insurance</v>
      </c>
      <c r="B18" s="409">
        <f>'King Condominiums Financial '!D59</f>
        <v>452481</v>
      </c>
      <c r="C18" s="314">
        <f t="shared" si="7"/>
        <v>0</v>
      </c>
      <c r="D18" s="314">
        <f t="shared" si="7"/>
        <v>0</v>
      </c>
      <c r="E18" s="314">
        <f t="shared" si="7"/>
        <v>0</v>
      </c>
      <c r="F18" s="314">
        <f t="shared" si="7"/>
        <v>22624.050000000003</v>
      </c>
      <c r="G18" s="314">
        <f t="shared" si="7"/>
        <v>22624.050000000003</v>
      </c>
      <c r="H18" s="314">
        <f t="shared" si="7"/>
        <v>63347.340000000004</v>
      </c>
      <c r="I18" s="314">
        <f t="shared" si="7"/>
        <v>63347.340000000004</v>
      </c>
      <c r="J18" s="314">
        <f t="shared" si="7"/>
        <v>63347.340000000004</v>
      </c>
      <c r="K18" s="314">
        <f t="shared" si="7"/>
        <v>63347.340000000004</v>
      </c>
      <c r="L18" s="314">
        <f t="shared" si="7"/>
        <v>63347.340000000004</v>
      </c>
      <c r="M18" s="314">
        <f t="shared" si="7"/>
        <v>63347.340000000004</v>
      </c>
      <c r="N18" s="314">
        <f t="shared" si="7"/>
        <v>27148.86</v>
      </c>
      <c r="O18" s="314">
        <f t="shared" si="7"/>
        <v>0</v>
      </c>
      <c r="P18" s="314">
        <f t="shared" si="7"/>
        <v>0</v>
      </c>
      <c r="Q18" s="314">
        <f t="shared" si="7"/>
        <v>0</v>
      </c>
      <c r="R18" s="314">
        <f t="shared" si="7"/>
        <v>0</v>
      </c>
      <c r="S18" s="314">
        <f t="shared" si="8"/>
        <v>0</v>
      </c>
      <c r="T18" s="314">
        <f t="shared" si="8"/>
        <v>0</v>
      </c>
      <c r="U18" s="314">
        <f t="shared" si="8"/>
        <v>0</v>
      </c>
      <c r="V18" s="314">
        <f t="shared" si="8"/>
        <v>0</v>
      </c>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5">
        <f t="shared" si="2"/>
        <v>452481.00000000006</v>
      </c>
      <c r="AV18" s="315">
        <f t="shared" si="5"/>
        <v>452481</v>
      </c>
      <c r="AW18" s="315">
        <f t="shared" si="9"/>
        <v>0</v>
      </c>
      <c r="BV18"/>
      <c r="BW18"/>
    </row>
    <row r="19" spans="1:75">
      <c r="A19" s="312" t="str">
        <f>'King Condominiums Financial '!B60</f>
        <v>Marketing, FFE and Preleasing</v>
      </c>
      <c r="B19" s="315">
        <f>'King Condominiums Financial '!D60</f>
        <v>452481</v>
      </c>
      <c r="C19" s="314">
        <f t="shared" si="7"/>
        <v>0</v>
      </c>
      <c r="D19" s="314">
        <f t="shared" si="7"/>
        <v>0</v>
      </c>
      <c r="E19" s="314">
        <f t="shared" si="7"/>
        <v>0</v>
      </c>
      <c r="F19" s="314">
        <f t="shared" si="7"/>
        <v>22624.050000000003</v>
      </c>
      <c r="G19" s="314">
        <f t="shared" si="7"/>
        <v>22624.050000000003</v>
      </c>
      <c r="H19" s="314">
        <f t="shared" si="7"/>
        <v>63347.340000000004</v>
      </c>
      <c r="I19" s="314">
        <f t="shared" si="7"/>
        <v>63347.340000000004</v>
      </c>
      <c r="J19" s="314">
        <f t="shared" si="7"/>
        <v>63347.340000000004</v>
      </c>
      <c r="K19" s="314">
        <f t="shared" si="7"/>
        <v>63347.340000000004</v>
      </c>
      <c r="L19" s="314">
        <f t="shared" si="7"/>
        <v>63347.340000000004</v>
      </c>
      <c r="M19" s="314">
        <f t="shared" si="7"/>
        <v>63347.340000000004</v>
      </c>
      <c r="N19" s="314">
        <f t="shared" si="7"/>
        <v>27148.86</v>
      </c>
      <c r="O19" s="314">
        <f t="shared" si="7"/>
        <v>0</v>
      </c>
      <c r="P19" s="314">
        <f t="shared" si="7"/>
        <v>0</v>
      </c>
      <c r="Q19" s="314">
        <f t="shared" si="7"/>
        <v>0</v>
      </c>
      <c r="R19" s="314">
        <f t="shared" si="7"/>
        <v>0</v>
      </c>
      <c r="S19" s="314">
        <f t="shared" si="8"/>
        <v>0</v>
      </c>
      <c r="T19" s="314">
        <f t="shared" si="8"/>
        <v>0</v>
      </c>
      <c r="U19" s="314">
        <f t="shared" si="8"/>
        <v>0</v>
      </c>
      <c r="V19" s="314">
        <f t="shared" si="8"/>
        <v>0</v>
      </c>
      <c r="W19" s="316"/>
      <c r="X19" s="316"/>
      <c r="Y19" s="316"/>
      <c r="Z19" s="316"/>
      <c r="AA19" s="316"/>
      <c r="AB19" s="316"/>
      <c r="AC19" s="316"/>
      <c r="AD19" s="316"/>
      <c r="AE19" s="380"/>
      <c r="AF19" s="380"/>
      <c r="AG19" s="380"/>
      <c r="AH19" s="380"/>
      <c r="AI19" s="380"/>
      <c r="AJ19" s="380"/>
      <c r="AK19" s="380"/>
      <c r="AL19" s="380"/>
      <c r="AM19" s="380"/>
      <c r="AN19" s="380"/>
      <c r="AO19" s="380"/>
      <c r="AP19" s="380"/>
      <c r="AQ19" s="380"/>
      <c r="AR19" s="380"/>
      <c r="AS19" s="380"/>
      <c r="AT19" s="380"/>
      <c r="AU19" s="315">
        <f>SUM(D19:AT19)</f>
        <v>452481.00000000006</v>
      </c>
      <c r="AV19" s="315">
        <f t="shared" si="5"/>
        <v>452481</v>
      </c>
      <c r="AW19" s="315">
        <f t="shared" si="9"/>
        <v>0</v>
      </c>
      <c r="BV19"/>
      <c r="BW19"/>
    </row>
    <row r="20" spans="1:75">
      <c r="A20" s="312" t="str">
        <f>'King Condominiums Financial '!B61</f>
        <v>Retail Operating Deficit</v>
      </c>
      <c r="B20" s="409">
        <f>'King Condominiums Financial '!D61</f>
        <v>919838.5</v>
      </c>
      <c r="C20" s="314">
        <f t="shared" si="7"/>
        <v>0</v>
      </c>
      <c r="D20" s="314">
        <f t="shared" si="7"/>
        <v>0</v>
      </c>
      <c r="E20" s="314">
        <f t="shared" si="7"/>
        <v>0</v>
      </c>
      <c r="F20" s="314">
        <f t="shared" si="7"/>
        <v>45991.925000000003</v>
      </c>
      <c r="G20" s="314">
        <f t="shared" si="7"/>
        <v>45991.925000000003</v>
      </c>
      <c r="H20" s="314">
        <f t="shared" si="7"/>
        <v>128777.39000000001</v>
      </c>
      <c r="I20" s="314">
        <f t="shared" si="7"/>
        <v>128777.39000000001</v>
      </c>
      <c r="J20" s="314">
        <f t="shared" si="7"/>
        <v>128777.39000000001</v>
      </c>
      <c r="K20" s="314">
        <f t="shared" si="7"/>
        <v>128777.39000000001</v>
      </c>
      <c r="L20" s="314">
        <f t="shared" si="7"/>
        <v>128777.39000000001</v>
      </c>
      <c r="M20" s="314">
        <f t="shared" si="7"/>
        <v>128777.39000000001</v>
      </c>
      <c r="N20" s="314">
        <f t="shared" si="7"/>
        <v>55190.31</v>
      </c>
      <c r="O20" s="314">
        <f t="shared" si="7"/>
        <v>0</v>
      </c>
      <c r="P20" s="314">
        <f t="shared" si="7"/>
        <v>0</v>
      </c>
      <c r="Q20" s="314">
        <f t="shared" si="7"/>
        <v>0</v>
      </c>
      <c r="R20" s="314">
        <f t="shared" si="7"/>
        <v>0</v>
      </c>
      <c r="S20" s="314">
        <f t="shared" si="8"/>
        <v>0</v>
      </c>
      <c r="T20" s="314">
        <f t="shared" si="8"/>
        <v>0</v>
      </c>
      <c r="U20" s="314">
        <f t="shared" si="8"/>
        <v>0</v>
      </c>
      <c r="V20" s="314">
        <f t="shared" si="8"/>
        <v>0</v>
      </c>
      <c r="W20" s="316"/>
      <c r="X20" s="316"/>
      <c r="Y20" s="316"/>
      <c r="Z20" s="316"/>
      <c r="AA20" s="316"/>
      <c r="AB20" s="316"/>
      <c r="AC20" s="316"/>
      <c r="AD20" s="316"/>
      <c r="AE20" s="380"/>
      <c r="AF20" s="380"/>
      <c r="AG20" s="380"/>
      <c r="AH20" s="380"/>
      <c r="AI20" s="380"/>
      <c r="AJ20" s="380"/>
      <c r="AK20" s="381"/>
      <c r="AL20" s="380"/>
      <c r="AM20" s="380"/>
      <c r="AN20" s="380"/>
      <c r="AO20" s="380"/>
      <c r="AP20" s="380"/>
      <c r="AQ20" s="380"/>
      <c r="AR20" s="380"/>
      <c r="AS20" s="380"/>
      <c r="AT20" s="380"/>
      <c r="AU20" s="315">
        <f t="shared" ref="AU20:AU26" si="10">SUM(C20:AT20)</f>
        <v>919838.5</v>
      </c>
      <c r="AV20" s="315">
        <f t="shared" si="5"/>
        <v>919838.5</v>
      </c>
      <c r="AW20" s="315">
        <f t="shared" si="9"/>
        <v>0</v>
      </c>
      <c r="BV20"/>
      <c r="BW20"/>
    </row>
    <row r="21" spans="1:75">
      <c r="A21" s="312" t="str">
        <f>'King Condominiums Financial '!B62</f>
        <v>Net interest during closeout</v>
      </c>
      <c r="B21" s="409">
        <f ca="1">'King Condominiums Financial '!D62</f>
        <v>1802876.1968901025</v>
      </c>
      <c r="C21" s="314">
        <f t="shared" ca="1" si="7"/>
        <v>0</v>
      </c>
      <c r="D21" s="314">
        <f t="shared" ca="1" si="7"/>
        <v>0</v>
      </c>
      <c r="E21" s="314">
        <f t="shared" ca="1" si="7"/>
        <v>0</v>
      </c>
      <c r="F21" s="314">
        <f t="shared" ca="1" si="7"/>
        <v>90143.809844505129</v>
      </c>
      <c r="G21" s="314">
        <f t="shared" ca="1" si="7"/>
        <v>90143.809844505129</v>
      </c>
      <c r="H21" s="314">
        <f t="shared" ca="1" si="7"/>
        <v>252402.66756461436</v>
      </c>
      <c r="I21" s="314">
        <f t="shared" ca="1" si="7"/>
        <v>252402.66756461436</v>
      </c>
      <c r="J21" s="314">
        <f t="shared" ca="1" si="7"/>
        <v>252402.66756461436</v>
      </c>
      <c r="K21" s="314">
        <f t="shared" ca="1" si="7"/>
        <v>252402.66756461436</v>
      </c>
      <c r="L21" s="314">
        <f t="shared" ca="1" si="7"/>
        <v>252402.66756461436</v>
      </c>
      <c r="M21" s="314">
        <f t="shared" ca="1" si="7"/>
        <v>252402.66756461436</v>
      </c>
      <c r="N21" s="314">
        <f t="shared" ca="1" si="7"/>
        <v>108172.57181340615</v>
      </c>
      <c r="O21" s="314">
        <f t="shared" ca="1" si="7"/>
        <v>0</v>
      </c>
      <c r="P21" s="314">
        <f t="shared" ca="1" si="7"/>
        <v>0</v>
      </c>
      <c r="Q21" s="314">
        <f t="shared" ca="1" si="7"/>
        <v>0</v>
      </c>
      <c r="R21" s="314">
        <f t="shared" ca="1" si="7"/>
        <v>0</v>
      </c>
      <c r="S21" s="314">
        <f t="shared" ca="1" si="8"/>
        <v>0</v>
      </c>
      <c r="T21" s="314">
        <f t="shared" ca="1" si="8"/>
        <v>0</v>
      </c>
      <c r="U21" s="314">
        <f t="shared" ca="1" si="8"/>
        <v>0</v>
      </c>
      <c r="V21" s="314">
        <f t="shared" ca="1" si="8"/>
        <v>0</v>
      </c>
      <c r="W21" s="316"/>
      <c r="X21" s="316"/>
      <c r="Y21" s="316"/>
      <c r="Z21" s="316"/>
      <c r="AA21" s="316"/>
      <c r="AB21" s="316"/>
      <c r="AC21" s="316"/>
      <c r="AD21" s="316"/>
      <c r="AE21" s="380"/>
      <c r="AF21" s="380"/>
      <c r="AG21" s="380"/>
      <c r="AH21" s="380"/>
      <c r="AI21" s="380"/>
      <c r="AJ21" s="380"/>
      <c r="AK21" s="381"/>
      <c r="AL21" s="380"/>
      <c r="AM21" s="380"/>
      <c r="AN21" s="380"/>
      <c r="AO21" s="380"/>
      <c r="AP21" s="380"/>
      <c r="AQ21" s="380"/>
      <c r="AR21" s="380"/>
      <c r="AS21" s="380"/>
      <c r="AT21" s="380"/>
      <c r="AU21" s="315">
        <f t="shared" ca="1" si="10"/>
        <v>1802876.1968901027</v>
      </c>
      <c r="AV21" s="315">
        <f t="shared" ca="1" si="5"/>
        <v>1802876.1968901025</v>
      </c>
      <c r="AW21" s="315">
        <f t="shared" ca="1" si="9"/>
        <v>0</v>
      </c>
      <c r="BV21"/>
      <c r="BW21"/>
    </row>
    <row r="22" spans="1:75">
      <c r="A22" s="312" t="str">
        <f>'King Condominiums Financial '!B63</f>
        <v>Retail Tenant Improvements</v>
      </c>
      <c r="B22" s="409">
        <f>'King Condominiums Financial '!D63</f>
        <v>3729075</v>
      </c>
      <c r="C22" s="314">
        <f t="shared" si="7"/>
        <v>0</v>
      </c>
      <c r="D22" s="314">
        <f t="shared" si="7"/>
        <v>0</v>
      </c>
      <c r="E22" s="314">
        <f t="shared" si="7"/>
        <v>0</v>
      </c>
      <c r="F22" s="314">
        <f t="shared" si="7"/>
        <v>186453.75</v>
      </c>
      <c r="G22" s="314">
        <f t="shared" si="7"/>
        <v>186453.75</v>
      </c>
      <c r="H22" s="314">
        <f t="shared" si="7"/>
        <v>522070.50000000006</v>
      </c>
      <c r="I22" s="314">
        <f t="shared" si="7"/>
        <v>522070.50000000006</v>
      </c>
      <c r="J22" s="314">
        <f t="shared" si="7"/>
        <v>522070.50000000006</v>
      </c>
      <c r="K22" s="314">
        <f t="shared" si="7"/>
        <v>522070.50000000006</v>
      </c>
      <c r="L22" s="314">
        <f t="shared" si="7"/>
        <v>522070.50000000006</v>
      </c>
      <c r="M22" s="314">
        <f t="shared" si="7"/>
        <v>522070.50000000006</v>
      </c>
      <c r="N22" s="314">
        <f t="shared" si="7"/>
        <v>223744.5</v>
      </c>
      <c r="O22" s="314">
        <f t="shared" si="7"/>
        <v>0</v>
      </c>
      <c r="P22" s="314">
        <f t="shared" si="7"/>
        <v>0</v>
      </c>
      <c r="Q22" s="314">
        <f t="shared" si="7"/>
        <v>0</v>
      </c>
      <c r="R22" s="314">
        <f t="shared" si="7"/>
        <v>0</v>
      </c>
      <c r="S22" s="314">
        <f t="shared" si="8"/>
        <v>0</v>
      </c>
      <c r="T22" s="314">
        <f t="shared" si="8"/>
        <v>0</v>
      </c>
      <c r="U22" s="314">
        <f t="shared" si="8"/>
        <v>0</v>
      </c>
      <c r="V22" s="314">
        <f t="shared" si="8"/>
        <v>0</v>
      </c>
      <c r="W22" s="316"/>
      <c r="X22" s="316"/>
      <c r="Y22" s="316"/>
      <c r="Z22" s="316"/>
      <c r="AA22" s="316"/>
      <c r="AB22" s="316"/>
      <c r="AC22" s="316"/>
      <c r="AD22" s="316"/>
      <c r="AE22" s="380"/>
      <c r="AF22" s="380"/>
      <c r="AG22" s="380"/>
      <c r="AH22" s="380"/>
      <c r="AI22" s="380"/>
      <c r="AJ22" s="380"/>
      <c r="AK22" s="381"/>
      <c r="AL22" s="380"/>
      <c r="AM22" s="380"/>
      <c r="AN22" s="380"/>
      <c r="AO22" s="380"/>
      <c r="AP22" s="380"/>
      <c r="AQ22" s="380"/>
      <c r="AR22" s="380"/>
      <c r="AS22" s="380"/>
      <c r="AT22" s="380"/>
      <c r="AU22" s="315">
        <f t="shared" si="10"/>
        <v>3729075</v>
      </c>
      <c r="AV22" s="315">
        <f t="shared" si="5"/>
        <v>3729075</v>
      </c>
      <c r="AW22" s="315">
        <f t="shared" si="9"/>
        <v>0</v>
      </c>
      <c r="BV22"/>
      <c r="BW22"/>
    </row>
    <row r="23" spans="1:75">
      <c r="A23" s="312" t="str">
        <f>'King Condominiums Financial '!B64</f>
        <v>Retail brokerage</v>
      </c>
      <c r="B23" s="409">
        <f>'King Condominiums Financial '!D64</f>
        <v>1103806.2</v>
      </c>
      <c r="C23" s="314">
        <f>B23</f>
        <v>1103806.2</v>
      </c>
      <c r="D23" s="314">
        <v>0</v>
      </c>
      <c r="E23" s="314">
        <v>0</v>
      </c>
      <c r="F23" s="314">
        <v>0</v>
      </c>
      <c r="G23" s="314">
        <v>0</v>
      </c>
      <c r="H23" s="314">
        <v>0</v>
      </c>
      <c r="I23" s="314">
        <v>0</v>
      </c>
      <c r="J23" s="314">
        <v>0</v>
      </c>
      <c r="K23" s="314">
        <v>0</v>
      </c>
      <c r="L23" s="314">
        <v>0</v>
      </c>
      <c r="M23" s="314">
        <v>0</v>
      </c>
      <c r="N23" s="314">
        <v>0</v>
      </c>
      <c r="O23" s="314">
        <v>0</v>
      </c>
      <c r="P23" s="314">
        <v>0</v>
      </c>
      <c r="Q23" s="314">
        <v>0</v>
      </c>
      <c r="R23" s="314">
        <v>0</v>
      </c>
      <c r="S23" s="314">
        <f t="shared" si="8"/>
        <v>0</v>
      </c>
      <c r="T23" s="314">
        <f t="shared" si="8"/>
        <v>0</v>
      </c>
      <c r="U23" s="314">
        <f t="shared" si="8"/>
        <v>0</v>
      </c>
      <c r="V23" s="314">
        <f t="shared" si="8"/>
        <v>0</v>
      </c>
      <c r="W23" s="316"/>
      <c r="X23" s="316"/>
      <c r="Y23" s="316"/>
      <c r="Z23" s="316"/>
      <c r="AA23" s="316"/>
      <c r="AB23" s="316"/>
      <c r="AC23" s="316"/>
      <c r="AD23" s="316"/>
      <c r="AE23" s="316"/>
      <c r="AF23" s="316"/>
      <c r="AG23" s="316"/>
      <c r="AH23" s="316"/>
      <c r="AI23" s="316"/>
      <c r="AJ23" s="316"/>
      <c r="AK23" s="384"/>
      <c r="AL23" s="316"/>
      <c r="AM23" s="316"/>
      <c r="AN23" s="316"/>
      <c r="AO23" s="316"/>
      <c r="AP23" s="316"/>
      <c r="AQ23" s="316"/>
      <c r="AR23" s="316"/>
      <c r="AS23" s="316"/>
      <c r="AT23" s="316"/>
      <c r="AU23" s="315">
        <f t="shared" si="10"/>
        <v>1103806.2</v>
      </c>
      <c r="AV23" s="315">
        <f t="shared" si="5"/>
        <v>1103806.2</v>
      </c>
      <c r="AW23" s="315">
        <f t="shared" si="9"/>
        <v>0</v>
      </c>
      <c r="BV23"/>
      <c r="BW23"/>
    </row>
    <row r="24" spans="1:75">
      <c r="A24" s="312" t="str">
        <f>'King Condominiums Financial '!B65</f>
        <v>Construction Loan Origination</v>
      </c>
      <c r="B24" s="409">
        <f ca="1">'King Condominiums Financial '!D65</f>
        <v>2575537.4241287177</v>
      </c>
      <c r="C24" s="314">
        <f ca="1">B24</f>
        <v>2575537.4241287177</v>
      </c>
      <c r="D24" s="314">
        <v>0</v>
      </c>
      <c r="E24" s="314">
        <v>0</v>
      </c>
      <c r="F24" s="314">
        <v>0</v>
      </c>
      <c r="G24" s="314">
        <v>0</v>
      </c>
      <c r="H24" s="314">
        <v>0</v>
      </c>
      <c r="I24" s="314">
        <v>0</v>
      </c>
      <c r="J24" s="314">
        <v>0</v>
      </c>
      <c r="K24" s="314">
        <v>0</v>
      </c>
      <c r="L24" s="314">
        <v>0</v>
      </c>
      <c r="M24" s="314">
        <v>0</v>
      </c>
      <c r="N24" s="314">
        <v>0</v>
      </c>
      <c r="O24" s="314">
        <v>0</v>
      </c>
      <c r="P24" s="314">
        <v>0</v>
      </c>
      <c r="Q24" s="314">
        <v>0</v>
      </c>
      <c r="R24" s="314">
        <v>0</v>
      </c>
      <c r="S24" s="314">
        <f t="shared" ca="1" si="8"/>
        <v>0</v>
      </c>
      <c r="T24" s="314">
        <f t="shared" ca="1" si="8"/>
        <v>0</v>
      </c>
      <c r="U24" s="314">
        <f t="shared" ca="1" si="8"/>
        <v>0</v>
      </c>
      <c r="V24" s="314">
        <f t="shared" ca="1" si="8"/>
        <v>0</v>
      </c>
      <c r="W24" s="314"/>
      <c r="X24" s="314"/>
      <c r="Y24" s="314"/>
      <c r="Z24" s="314"/>
      <c r="AA24" s="314"/>
      <c r="AB24" s="314"/>
      <c r="AC24" s="314"/>
      <c r="AD24" s="314"/>
      <c r="AE24" s="317"/>
      <c r="AF24" s="317"/>
      <c r="AG24" s="317"/>
      <c r="AH24" s="317"/>
      <c r="AI24" s="317"/>
      <c r="AJ24" s="317"/>
      <c r="AK24" s="386"/>
      <c r="AL24" s="317"/>
      <c r="AM24" s="317"/>
      <c r="AN24" s="317"/>
      <c r="AO24" s="317"/>
      <c r="AP24" s="317"/>
      <c r="AQ24" s="317"/>
      <c r="AR24" s="317"/>
      <c r="AS24" s="317"/>
      <c r="AT24" s="317"/>
      <c r="AU24" s="315">
        <f t="shared" ca="1" si="10"/>
        <v>2575537.4241287177</v>
      </c>
      <c r="AV24" s="315">
        <f t="shared" ca="1" si="5"/>
        <v>2575537.4241287177</v>
      </c>
      <c r="AW24" s="315">
        <f t="shared" ca="1" si="9"/>
        <v>0</v>
      </c>
      <c r="BV24"/>
      <c r="BW24"/>
    </row>
    <row r="25" spans="1:75">
      <c r="A25" s="312" t="str">
        <f>'King Condominiums Financial '!B66</f>
        <v>Construction Interest</v>
      </c>
      <c r="B25" s="409">
        <f ca="1">'King Condominiums Financial '!D66</f>
        <v>12019174.645934017</v>
      </c>
      <c r="C25" s="471">
        <f t="shared" ca="1" si="7"/>
        <v>0</v>
      </c>
      <c r="D25" s="471">
        <f t="shared" ca="1" si="7"/>
        <v>0</v>
      </c>
      <c r="E25" s="471">
        <f t="shared" ca="1" si="7"/>
        <v>0</v>
      </c>
      <c r="F25" s="471">
        <f t="shared" ca="1" si="7"/>
        <v>600958.73229670094</v>
      </c>
      <c r="G25" s="471">
        <f t="shared" ca="1" si="7"/>
        <v>600958.73229670094</v>
      </c>
      <c r="H25" s="471">
        <f t="shared" ca="1" si="7"/>
        <v>1682684.4504307625</v>
      </c>
      <c r="I25" s="471">
        <f t="shared" ca="1" si="7"/>
        <v>1682684.4504307625</v>
      </c>
      <c r="J25" s="471">
        <f t="shared" ca="1" si="7"/>
        <v>1682684.4504307625</v>
      </c>
      <c r="K25" s="471">
        <f t="shared" ca="1" si="7"/>
        <v>1682684.4504307625</v>
      </c>
      <c r="L25" s="471">
        <f t="shared" ca="1" si="7"/>
        <v>1682684.4504307625</v>
      </c>
      <c r="M25" s="471">
        <f t="shared" ca="1" si="7"/>
        <v>1682684.4504307625</v>
      </c>
      <c r="N25" s="471">
        <f t="shared" ca="1" si="7"/>
        <v>721150.47875604103</v>
      </c>
      <c r="O25" s="471">
        <f t="shared" ca="1" si="7"/>
        <v>0</v>
      </c>
      <c r="P25" s="471">
        <f t="shared" ca="1" si="7"/>
        <v>0</v>
      </c>
      <c r="Q25" s="471">
        <f t="shared" ca="1" si="7"/>
        <v>0</v>
      </c>
      <c r="R25" s="471">
        <f t="shared" ca="1" si="7"/>
        <v>0</v>
      </c>
      <c r="S25" s="471">
        <f t="shared" ca="1" si="8"/>
        <v>0</v>
      </c>
      <c r="T25" s="471">
        <f t="shared" ca="1" si="8"/>
        <v>0</v>
      </c>
      <c r="U25" s="471">
        <f t="shared" ca="1" si="8"/>
        <v>0</v>
      </c>
      <c r="V25" s="471">
        <f t="shared" ca="1" si="8"/>
        <v>0</v>
      </c>
      <c r="W25" s="471"/>
      <c r="X25" s="471"/>
      <c r="Y25" s="471"/>
      <c r="Z25" s="471"/>
      <c r="AA25" s="471"/>
      <c r="AB25" s="471"/>
      <c r="AC25" s="471"/>
      <c r="AD25" s="471"/>
      <c r="AE25" s="471"/>
      <c r="AF25" s="471"/>
      <c r="AG25" s="471"/>
      <c r="AH25" s="471"/>
      <c r="AI25" s="471"/>
      <c r="AJ25" s="471"/>
      <c r="AK25" s="471"/>
      <c r="AL25" s="471"/>
      <c r="AM25" s="471"/>
      <c r="AN25" s="471"/>
      <c r="AO25" s="471"/>
      <c r="AP25" s="471"/>
      <c r="AQ25" s="471"/>
      <c r="AR25" s="471"/>
      <c r="AS25" s="471"/>
      <c r="AT25" s="471"/>
      <c r="AU25" s="345">
        <f t="shared" ca="1" si="10"/>
        <v>12019174.645934016</v>
      </c>
      <c r="AV25" s="345">
        <f t="shared" ca="1" si="5"/>
        <v>12019174.645934017</v>
      </c>
      <c r="AW25" s="345">
        <f t="shared" ca="1" si="9"/>
        <v>0</v>
      </c>
      <c r="BV25"/>
      <c r="BW25"/>
    </row>
    <row r="26" spans="1:75" s="474" customFormat="1" ht="15.75" thickBot="1">
      <c r="A26" s="393" t="str">
        <f>'King Condominiums Financial '!B67</f>
        <v>Additional Contingency</v>
      </c>
      <c r="B26" s="472">
        <f ca="1">'King Condominiums Financial '!D67</f>
        <v>2615422.6190695283</v>
      </c>
      <c r="C26" s="327">
        <f t="shared" ca="1" si="7"/>
        <v>0</v>
      </c>
      <c r="D26" s="327">
        <f t="shared" ca="1" si="7"/>
        <v>0</v>
      </c>
      <c r="E26" s="327">
        <f t="shared" ca="1" si="7"/>
        <v>0</v>
      </c>
      <c r="F26" s="327">
        <f t="shared" ca="1" si="7"/>
        <v>130771.13095347642</v>
      </c>
      <c r="G26" s="327">
        <f t="shared" ca="1" si="7"/>
        <v>130771.13095347642</v>
      </c>
      <c r="H26" s="327">
        <f t="shared" ca="1" si="7"/>
        <v>366159.166669734</v>
      </c>
      <c r="I26" s="327">
        <f t="shared" ca="1" si="7"/>
        <v>366159.166669734</v>
      </c>
      <c r="J26" s="327">
        <f t="shared" ca="1" si="7"/>
        <v>366159.166669734</v>
      </c>
      <c r="K26" s="327">
        <f t="shared" ca="1" si="7"/>
        <v>366159.166669734</v>
      </c>
      <c r="L26" s="327">
        <f t="shared" ca="1" si="7"/>
        <v>366159.166669734</v>
      </c>
      <c r="M26" s="327">
        <f t="shared" ca="1" si="7"/>
        <v>366159.166669734</v>
      </c>
      <c r="N26" s="327">
        <f t="shared" ca="1" si="7"/>
        <v>156925.35714417169</v>
      </c>
      <c r="O26" s="327">
        <f t="shared" ca="1" si="7"/>
        <v>0</v>
      </c>
      <c r="P26" s="327">
        <f t="shared" ca="1" si="7"/>
        <v>0</v>
      </c>
      <c r="Q26" s="327">
        <f t="shared" ca="1" si="7"/>
        <v>0</v>
      </c>
      <c r="R26" s="327">
        <f t="shared" ca="1" si="7"/>
        <v>0</v>
      </c>
      <c r="S26" s="327">
        <f t="shared" ca="1" si="8"/>
        <v>0</v>
      </c>
      <c r="T26" s="327">
        <f t="shared" ca="1" si="8"/>
        <v>0</v>
      </c>
      <c r="U26" s="327">
        <f t="shared" ca="1" si="8"/>
        <v>0</v>
      </c>
      <c r="V26" s="327">
        <f t="shared" ca="1" si="8"/>
        <v>0</v>
      </c>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8">
        <f t="shared" ca="1" si="10"/>
        <v>2615422.6190695288</v>
      </c>
      <c r="AV26" s="328">
        <f t="shared" ca="1" si="5"/>
        <v>2615422.6190695283</v>
      </c>
      <c r="AW26" s="328">
        <f t="shared" ca="1" si="9"/>
        <v>0</v>
      </c>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row>
    <row r="27" spans="1:75" ht="16.5" thickTop="1" thickBot="1">
      <c r="A27" s="123" t="s">
        <v>160</v>
      </c>
      <c r="B27" s="124">
        <f ca="1">SUM(B5:B26)</f>
        <v>264157684.52602234</v>
      </c>
      <c r="C27" s="99">
        <f ca="1">SUM(C5:C26)</f>
        <v>62629110.624128722</v>
      </c>
      <c r="D27" s="99">
        <f t="shared" ref="D27:AW27" ca="1" si="11">SUM(D5:D26)</f>
        <v>0</v>
      </c>
      <c r="E27" s="99">
        <f t="shared" ca="1" si="11"/>
        <v>0</v>
      </c>
      <c r="F27" s="99">
        <f t="shared" ca="1" si="11"/>
        <v>10076428.695094684</v>
      </c>
      <c r="G27" s="99">
        <f t="shared" ca="1" si="11"/>
        <v>10076428.695094684</v>
      </c>
      <c r="H27" s="99">
        <f t="shared" ca="1" si="11"/>
        <v>28214000.346265111</v>
      </c>
      <c r="I27" s="99">
        <f t="shared" ca="1" si="11"/>
        <v>28214000.346265111</v>
      </c>
      <c r="J27" s="99">
        <f t="shared" ca="1" si="11"/>
        <v>28214000.346265111</v>
      </c>
      <c r="K27" s="99">
        <f t="shared" ca="1" si="11"/>
        <v>28214000.346265111</v>
      </c>
      <c r="L27" s="99">
        <f t="shared" ca="1" si="11"/>
        <v>28214000.346265111</v>
      </c>
      <c r="M27" s="99">
        <f t="shared" ca="1" si="11"/>
        <v>28214000.346265111</v>
      </c>
      <c r="N27" s="99">
        <f t="shared" ca="1" si="11"/>
        <v>12091714.434113618</v>
      </c>
      <c r="O27" s="99">
        <f t="shared" ca="1" si="11"/>
        <v>0</v>
      </c>
      <c r="P27" s="99">
        <f t="shared" ca="1" si="11"/>
        <v>0</v>
      </c>
      <c r="Q27" s="99">
        <f t="shared" ca="1" si="11"/>
        <v>0</v>
      </c>
      <c r="R27" s="99">
        <f t="shared" ca="1" si="11"/>
        <v>0</v>
      </c>
      <c r="S27" s="99">
        <f t="shared" ca="1" si="11"/>
        <v>0</v>
      </c>
      <c r="T27" s="99">
        <f t="shared" ca="1" si="11"/>
        <v>0</v>
      </c>
      <c r="U27" s="99">
        <f t="shared" ca="1" si="11"/>
        <v>0</v>
      </c>
      <c r="V27" s="99">
        <f t="shared" ca="1" si="11"/>
        <v>0</v>
      </c>
      <c r="W27" s="99">
        <f t="shared" si="11"/>
        <v>0</v>
      </c>
      <c r="X27" s="99">
        <f t="shared" si="11"/>
        <v>0</v>
      </c>
      <c r="Y27" s="99">
        <f t="shared" si="11"/>
        <v>0</v>
      </c>
      <c r="Z27" s="99">
        <f t="shared" si="11"/>
        <v>0</v>
      </c>
      <c r="AA27" s="99">
        <f t="shared" si="11"/>
        <v>0</v>
      </c>
      <c r="AB27" s="99">
        <f t="shared" si="11"/>
        <v>0</v>
      </c>
      <c r="AC27" s="99">
        <f t="shared" si="11"/>
        <v>0</v>
      </c>
      <c r="AD27" s="99">
        <f t="shared" si="11"/>
        <v>0</v>
      </c>
      <c r="AE27" s="99">
        <f t="shared" si="11"/>
        <v>0</v>
      </c>
      <c r="AF27" s="99">
        <f t="shared" si="11"/>
        <v>0</v>
      </c>
      <c r="AG27" s="99">
        <f t="shared" si="11"/>
        <v>0</v>
      </c>
      <c r="AH27" s="99">
        <f t="shared" si="11"/>
        <v>0</v>
      </c>
      <c r="AI27" s="99">
        <f t="shared" si="11"/>
        <v>0</v>
      </c>
      <c r="AJ27" s="99">
        <f t="shared" si="11"/>
        <v>0</v>
      </c>
      <c r="AK27" s="99">
        <f t="shared" si="11"/>
        <v>0</v>
      </c>
      <c r="AL27" s="99">
        <f t="shared" si="11"/>
        <v>0</v>
      </c>
      <c r="AM27" s="99">
        <f t="shared" si="11"/>
        <v>0</v>
      </c>
      <c r="AN27" s="99">
        <f t="shared" si="11"/>
        <v>0</v>
      </c>
      <c r="AO27" s="99">
        <f t="shared" si="11"/>
        <v>0</v>
      </c>
      <c r="AP27" s="99">
        <f t="shared" si="11"/>
        <v>0</v>
      </c>
      <c r="AQ27" s="99">
        <f t="shared" si="11"/>
        <v>0</v>
      </c>
      <c r="AR27" s="99">
        <f t="shared" si="11"/>
        <v>0</v>
      </c>
      <c r="AS27" s="99">
        <f t="shared" si="11"/>
        <v>0</v>
      </c>
      <c r="AT27" s="99">
        <f t="shared" si="11"/>
        <v>0</v>
      </c>
      <c r="AU27" s="99">
        <f t="shared" ca="1" si="11"/>
        <v>264157684.52602234</v>
      </c>
      <c r="AV27" s="99">
        <f t="shared" ca="1" si="11"/>
        <v>264157684.52602234</v>
      </c>
      <c r="AW27" s="99">
        <f t="shared" ca="1" si="11"/>
        <v>0</v>
      </c>
      <c r="BV27"/>
      <c r="BW27"/>
    </row>
    <row r="28" spans="1:75">
      <c r="A28" s="97" t="s">
        <v>196</v>
      </c>
      <c r="B28" s="125">
        <f ca="1">IF('King Condominiums Financial '!C72&lt;0,'King Condominiums Financial '!C72,0)</f>
        <v>0</v>
      </c>
      <c r="C28" s="126"/>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6"/>
      <c r="AL28" s="128"/>
      <c r="AM28" s="128"/>
      <c r="AN28" s="128"/>
      <c r="AO28" s="128"/>
      <c r="AP28" s="128"/>
      <c r="AQ28" s="128"/>
      <c r="AR28" s="128"/>
      <c r="AS28" s="128"/>
      <c r="AT28" s="128"/>
      <c r="AU28" s="129"/>
      <c r="AV28" s="126"/>
      <c r="AW28" s="95"/>
      <c r="BV28"/>
      <c r="BW28"/>
    </row>
    <row r="29" spans="1:75" ht="15.75" thickBot="1">
      <c r="A29" s="329" t="s">
        <v>197</v>
      </c>
      <c r="B29" s="410">
        <f ca="1">B27+B28</f>
        <v>264157684.52602234</v>
      </c>
      <c r="C29" s="411"/>
      <c r="D29" s="342"/>
      <c r="E29" s="342"/>
      <c r="F29" s="342"/>
      <c r="G29" s="342"/>
      <c r="H29" s="342"/>
      <c r="I29" s="342"/>
      <c r="J29" s="342"/>
      <c r="K29" s="342"/>
      <c r="L29" s="342"/>
      <c r="M29" s="342"/>
      <c r="N29" s="342"/>
      <c r="O29" s="342"/>
      <c r="P29" s="342"/>
      <c r="Q29" s="342"/>
      <c r="R29" s="342"/>
      <c r="S29" s="342"/>
      <c r="T29" s="342"/>
      <c r="U29" s="342"/>
      <c r="V29" s="342"/>
      <c r="W29" s="342"/>
      <c r="X29" s="342"/>
      <c r="Y29" s="342"/>
      <c r="Z29" s="340"/>
      <c r="AA29" s="340"/>
      <c r="AB29" s="340"/>
      <c r="AC29" s="340"/>
      <c r="AD29" s="340"/>
      <c r="AE29" s="340"/>
      <c r="AF29" s="340"/>
      <c r="AG29" s="340"/>
      <c r="AH29" s="342"/>
      <c r="AI29" s="342"/>
      <c r="AJ29" s="342"/>
      <c r="AK29" s="411"/>
      <c r="AL29" s="160"/>
      <c r="AM29" s="160"/>
      <c r="AN29" s="160"/>
      <c r="AO29" s="160"/>
      <c r="AP29" s="160"/>
      <c r="AQ29" s="160"/>
      <c r="AR29" s="160"/>
      <c r="AS29" s="160"/>
      <c r="AT29" s="160"/>
      <c r="AU29" s="342"/>
      <c r="AV29" s="411"/>
      <c r="AW29" s="331"/>
      <c r="BV29"/>
      <c r="BW29"/>
    </row>
    <row r="30" spans="1:75">
      <c r="A30" s="104" t="s">
        <v>198</v>
      </c>
      <c r="B30" s="105">
        <f ca="1">SUM(C30:AT30)</f>
        <v>92455189.584107816</v>
      </c>
      <c r="C30" s="315">
        <f ca="1">C27</f>
        <v>62629110.624128722</v>
      </c>
      <c r="D30" s="315">
        <f t="shared" ref="D30:U30" ca="1" si="12">IF(C31+D27&lt;=$B$31,D27,($B$31-C31))</f>
        <v>0</v>
      </c>
      <c r="E30" s="315">
        <f t="shared" ca="1" si="12"/>
        <v>0</v>
      </c>
      <c r="F30" s="315">
        <f t="shared" ca="1" si="12"/>
        <v>10076428.695094684</v>
      </c>
      <c r="G30" s="315">
        <f t="shared" ca="1" si="12"/>
        <v>10076428.695094684</v>
      </c>
      <c r="H30" s="315">
        <f t="shared" ca="1" si="12"/>
        <v>9673221.5697897226</v>
      </c>
      <c r="I30" s="315">
        <f t="shared" ca="1" si="12"/>
        <v>0</v>
      </c>
      <c r="J30" s="315">
        <f t="shared" ca="1" si="12"/>
        <v>0</v>
      </c>
      <c r="K30" s="315">
        <f t="shared" ca="1" si="12"/>
        <v>0</v>
      </c>
      <c r="L30" s="315">
        <f t="shared" ca="1" si="12"/>
        <v>0</v>
      </c>
      <c r="M30" s="315">
        <f t="shared" ca="1" si="12"/>
        <v>0</v>
      </c>
      <c r="N30" s="315">
        <f t="shared" ca="1" si="12"/>
        <v>0</v>
      </c>
      <c r="O30" s="315">
        <f t="shared" ca="1" si="12"/>
        <v>0</v>
      </c>
      <c r="P30" s="315">
        <f t="shared" ca="1" si="12"/>
        <v>0</v>
      </c>
      <c r="Q30" s="315">
        <f t="shared" ca="1" si="12"/>
        <v>0</v>
      </c>
      <c r="R30" s="315">
        <f t="shared" ca="1" si="12"/>
        <v>0</v>
      </c>
      <c r="S30" s="315">
        <f t="shared" ca="1" si="12"/>
        <v>0</v>
      </c>
      <c r="T30" s="315">
        <f t="shared" ca="1" si="12"/>
        <v>0</v>
      </c>
      <c r="U30" s="315">
        <f t="shared" ca="1" si="12"/>
        <v>0</v>
      </c>
      <c r="V30" s="315">
        <f ca="1">IF(U31+V27&lt;=$B$31,V27,($B$31-U31))</f>
        <v>0</v>
      </c>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36"/>
      <c r="AV30" s="335"/>
      <c r="AW30" s="334"/>
      <c r="BV30"/>
      <c r="BW30"/>
    </row>
    <row r="31" spans="1:75" ht="15.75" thickBot="1">
      <c r="A31" s="312" t="s">
        <v>199</v>
      </c>
      <c r="B31" s="101">
        <f ca="1">'King Condominiums Financial '!C79</f>
        <v>92455189.584107816</v>
      </c>
      <c r="C31" s="315">
        <f ca="1">C30</f>
        <v>62629110.624128722</v>
      </c>
      <c r="D31" s="315">
        <f ca="1">IF(SUM($C$30:D$30)&lt;=$B31,SUM($C$30:D$30),0)</f>
        <v>62629110.624128722</v>
      </c>
      <c r="E31" s="315">
        <f ca="1">IF(SUM($C$30:E30)&lt;=$B31,SUM($C$30:E30),0)</f>
        <v>62629110.624128722</v>
      </c>
      <c r="F31" s="315">
        <f ca="1">IF(SUM($C$30:F30)&lt;=$B31,SUM($C$30:F30),0)</f>
        <v>72705539.319223404</v>
      </c>
      <c r="G31" s="315">
        <f ca="1">IF(SUM($C$30:G30)&lt;=$B31,SUM($C$30:G30),0)</f>
        <v>82781968.014318094</v>
      </c>
      <c r="H31" s="315">
        <f ca="1">IF(SUM($C$30:H30)&lt;=$B31,SUM($C$30:H30),0)</f>
        <v>92455189.584107816</v>
      </c>
      <c r="I31" s="315">
        <f ca="1">IF(SUM($C$30:I30)&lt;=$B31,SUM($C$30:I30),0)</f>
        <v>92455189.584107816</v>
      </c>
      <c r="J31" s="315">
        <f ca="1">IF(SUM($C$30:J30)&lt;=$B31,SUM($C$30:J30),0)</f>
        <v>92455189.584107816</v>
      </c>
      <c r="K31" s="315">
        <f ca="1">IF(SUM($C$30:K30)&lt;=$B31,SUM($C$30:K30),0)</f>
        <v>92455189.584107816</v>
      </c>
      <c r="L31" s="315">
        <f ca="1">IF(SUM($C$30:L30)&lt;=$B31,SUM($C$30:L30),0)</f>
        <v>92455189.584107816</v>
      </c>
      <c r="M31" s="315">
        <f ca="1">IF(SUM($C$30:M30)&lt;=$B31,SUM($C$30:M30),0)</f>
        <v>92455189.584107816</v>
      </c>
      <c r="N31" s="315">
        <f ca="1">IF(SUM($C$30:N30)&lt;=$B31,SUM($C$30:N30),0)</f>
        <v>92455189.584107816</v>
      </c>
      <c r="O31" s="315">
        <f ca="1">IF(SUM($C$30:O30)&lt;=$B31,SUM($C$30:O30),0)</f>
        <v>92455189.584107816</v>
      </c>
      <c r="P31" s="315">
        <f ca="1">IF(SUM($C$30:P30)&lt;=$B31,SUM($C$30:P30),0)</f>
        <v>92455189.584107816</v>
      </c>
      <c r="Q31" s="315">
        <f ca="1">IF(SUM($C$30:Q30)&lt;=$B31,SUM($C$30:Q30),0)</f>
        <v>92455189.584107816</v>
      </c>
      <c r="R31" s="315">
        <f ca="1">IF(SUM($C$30:R30)&lt;=$B31,SUM($C$30:R30),0)</f>
        <v>92455189.584107816</v>
      </c>
      <c r="S31" s="315">
        <f ca="1">IF(SUM($C$30:S30)&lt;=$B31,SUM($C$30:S30),0)</f>
        <v>92455189.584107816</v>
      </c>
      <c r="T31" s="315">
        <f ca="1">IF(SUM($C$30:T30)&lt;=$B31,SUM($C$30:T30),0)</f>
        <v>92455189.584107816</v>
      </c>
      <c r="U31" s="315">
        <f ca="1">IF(SUM($C$30:U30)&lt;=$B31,SUM($C$30:U30),0)</f>
        <v>92455189.584107816</v>
      </c>
      <c r="V31" s="315">
        <f ca="1">IF(SUM($C$30:AP30)&lt;=$B31,SUM($C$30:AP30),0)</f>
        <v>92455189.584107816</v>
      </c>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36"/>
      <c r="AV31" s="335"/>
      <c r="AW31" s="334"/>
      <c r="BV31"/>
      <c r="BW31"/>
    </row>
    <row r="32" spans="1:75">
      <c r="A32" s="102" t="s">
        <v>200</v>
      </c>
      <c r="B32" s="103">
        <f ca="1">'King Condominiums Financial '!C78</f>
        <v>171702494.94191453</v>
      </c>
      <c r="C32" s="335"/>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6"/>
      <c r="AP32" s="336"/>
      <c r="AQ32" s="336"/>
      <c r="AR32" s="336"/>
      <c r="AS32" s="336"/>
      <c r="AT32" s="336"/>
      <c r="AU32" s="336"/>
      <c r="AV32" s="335"/>
      <c r="AW32" s="334"/>
      <c r="BV32"/>
      <c r="BW32"/>
    </row>
    <row r="33" spans="1:75" ht="15.75" thickBot="1">
      <c r="A33" s="337" t="s">
        <v>201</v>
      </c>
      <c r="B33" s="338">
        <f ca="1">PMT(0.045,30,(B32))</f>
        <v>-10541081.085739044</v>
      </c>
      <c r="C33" s="335"/>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336"/>
      <c r="AN33" s="336"/>
      <c r="AO33" s="336"/>
      <c r="AP33" s="336"/>
      <c r="AQ33" s="336"/>
      <c r="AR33" s="336"/>
      <c r="AS33" s="336"/>
      <c r="AT33" s="336"/>
      <c r="AU33" s="336"/>
      <c r="AV33" s="335"/>
      <c r="AW33" s="334"/>
      <c r="BV33"/>
      <c r="BW33"/>
    </row>
    <row r="34" spans="1:75">
      <c r="A34" s="123" t="s">
        <v>202</v>
      </c>
      <c r="B34" s="173">
        <f>SUM(C34:AU34)</f>
        <v>0</v>
      </c>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H34" s="412"/>
      <c r="AI34" s="412"/>
      <c r="AJ34" s="412"/>
      <c r="AK34" s="412"/>
      <c r="AL34" s="412"/>
      <c r="AM34" s="412"/>
      <c r="AN34" s="412"/>
      <c r="AO34" s="412"/>
      <c r="AP34" s="412"/>
      <c r="AQ34" s="412"/>
      <c r="AR34" s="412"/>
      <c r="AS34" s="412"/>
      <c r="AT34" s="412"/>
      <c r="AU34" s="413"/>
      <c r="AV34" s="335"/>
      <c r="AW34" s="334"/>
      <c r="BV34"/>
      <c r="BW34"/>
    </row>
    <row r="35" spans="1:75">
      <c r="A35" s="400" t="s">
        <v>203</v>
      </c>
      <c r="B35" s="400"/>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40"/>
      <c r="AH35" s="340"/>
      <c r="AI35" s="340"/>
      <c r="AJ35" s="340"/>
      <c r="AK35" s="340"/>
      <c r="AL35" s="340"/>
      <c r="AM35" s="340"/>
      <c r="AN35" s="340"/>
      <c r="AO35" s="340"/>
      <c r="AP35" s="340"/>
      <c r="AQ35" s="340"/>
      <c r="AR35" s="340"/>
      <c r="AS35" s="340"/>
      <c r="AT35" s="340"/>
      <c r="AU35" s="340"/>
      <c r="AV35" s="335"/>
      <c r="AW35" s="334"/>
      <c r="BV35"/>
      <c r="BW35"/>
    </row>
    <row r="36" spans="1:75">
      <c r="A36" s="332" t="s">
        <v>204</v>
      </c>
      <c r="B36" s="199">
        <f ca="1">'King Condominiums Financial '!C86+'King Condominiums Financial '!C87</f>
        <v>187754405.05808547</v>
      </c>
      <c r="C36" s="340"/>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3"/>
      <c r="AK36" s="343"/>
      <c r="AL36" s="340"/>
      <c r="AM36" s="340"/>
      <c r="AN36" s="340"/>
      <c r="AO36" s="340"/>
      <c r="AP36" s="340"/>
      <c r="AQ36" s="340"/>
      <c r="AR36" s="340"/>
      <c r="AS36" s="340"/>
      <c r="AT36" s="340"/>
      <c r="AU36" s="342"/>
      <c r="AV36" s="335"/>
      <c r="AW36" s="334"/>
      <c r="BV36"/>
      <c r="BW36"/>
    </row>
    <row r="37" spans="1:75">
      <c r="A37" s="332" t="s">
        <v>205</v>
      </c>
      <c r="B37" s="199">
        <f ca="1">SUM(C37:AT37)</f>
        <v>95299215.473977655</v>
      </c>
      <c r="C37" s="315">
        <f t="shared" ref="C37:U37" ca="1" si="13">-C30</f>
        <v>-62629110.624128722</v>
      </c>
      <c r="D37" s="315">
        <f t="shared" ca="1" si="13"/>
        <v>0</v>
      </c>
      <c r="E37" s="315">
        <f t="shared" ca="1" si="13"/>
        <v>0</v>
      </c>
      <c r="F37" s="315">
        <f t="shared" ca="1" si="13"/>
        <v>-10076428.695094684</v>
      </c>
      <c r="G37" s="315">
        <f t="shared" ca="1" si="13"/>
        <v>-10076428.695094684</v>
      </c>
      <c r="H37" s="315">
        <f t="shared" ca="1" si="13"/>
        <v>-9673221.5697897226</v>
      </c>
      <c r="I37" s="315">
        <f t="shared" ca="1" si="13"/>
        <v>0</v>
      </c>
      <c r="J37" s="315">
        <f t="shared" ca="1" si="13"/>
        <v>0</v>
      </c>
      <c r="K37" s="315">
        <f t="shared" ca="1" si="13"/>
        <v>0</v>
      </c>
      <c r="L37" s="315">
        <f t="shared" ca="1" si="13"/>
        <v>0</v>
      </c>
      <c r="M37" s="315">
        <f t="shared" ca="1" si="13"/>
        <v>0</v>
      </c>
      <c r="N37" s="315">
        <f t="shared" ca="1" si="13"/>
        <v>0</v>
      </c>
      <c r="O37" s="315">
        <f t="shared" ca="1" si="13"/>
        <v>0</v>
      </c>
      <c r="P37" s="315">
        <f t="shared" ca="1" si="13"/>
        <v>0</v>
      </c>
      <c r="Q37" s="315">
        <f t="shared" ca="1" si="13"/>
        <v>0</v>
      </c>
      <c r="R37" s="315">
        <f t="shared" ca="1" si="13"/>
        <v>0</v>
      </c>
      <c r="S37" s="347">
        <f t="shared" ca="1" si="13"/>
        <v>0</v>
      </c>
      <c r="T37" s="315">
        <f t="shared" ca="1" si="13"/>
        <v>0</v>
      </c>
      <c r="U37" s="315">
        <f t="shared" ca="1" si="13"/>
        <v>0</v>
      </c>
      <c r="V37" s="349">
        <f ca="1">B36</f>
        <v>187754405.05808547</v>
      </c>
      <c r="W37" s="315"/>
      <c r="X37" s="315"/>
      <c r="Y37" s="315"/>
      <c r="Z37" s="315"/>
      <c r="AA37" s="315"/>
      <c r="AB37" s="315"/>
      <c r="AC37" s="315"/>
      <c r="AD37" s="315"/>
      <c r="AE37" s="315"/>
      <c r="AF37" s="315"/>
      <c r="AG37" s="199"/>
      <c r="AH37" s="199"/>
      <c r="AI37" s="199"/>
      <c r="AJ37" s="199"/>
      <c r="AK37" s="199"/>
      <c r="AL37" s="199"/>
      <c r="AM37" s="199"/>
      <c r="AN37" s="199"/>
      <c r="AO37" s="199"/>
      <c r="AP37" s="199"/>
      <c r="AQ37" s="199"/>
      <c r="AR37" s="199"/>
      <c r="AS37" s="199"/>
      <c r="AT37" s="199"/>
      <c r="AU37" s="342"/>
      <c r="AV37" s="335"/>
      <c r="AW37" s="334"/>
      <c r="BV37"/>
      <c r="BW37"/>
    </row>
    <row r="38" spans="1:75">
      <c r="A38" s="322" t="s">
        <v>206</v>
      </c>
      <c r="B38" s="415">
        <f ca="1">IF(B37&lt;0,0,IRR(C37:V37))</f>
        <v>4.063447282567445E-2</v>
      </c>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2"/>
      <c r="AV38" s="335"/>
      <c r="AW38" s="334"/>
      <c r="BV38"/>
      <c r="BW38"/>
    </row>
    <row r="39" spans="1:75">
      <c r="A39" s="322" t="s">
        <v>207</v>
      </c>
      <c r="B39" s="417">
        <f ca="1">POWER((1+B38),4)-1</f>
        <v>0.17271595605089107</v>
      </c>
      <c r="C39" s="342"/>
      <c r="D39" s="342"/>
      <c r="E39" s="351"/>
      <c r="F39" s="351"/>
      <c r="G39" s="351"/>
      <c r="H39" s="351"/>
      <c r="I39" s="351"/>
      <c r="J39" s="351"/>
      <c r="K39" s="351"/>
      <c r="L39" s="351"/>
      <c r="M39" s="351"/>
      <c r="N39" s="351"/>
      <c r="O39" s="351"/>
      <c r="P39" s="352"/>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42"/>
      <c r="AV39" s="335"/>
      <c r="AW39" s="334"/>
      <c r="BV39"/>
      <c r="BW39"/>
    </row>
    <row r="40" spans="1:75">
      <c r="A40" s="400" t="s">
        <v>208</v>
      </c>
      <c r="B40" s="400"/>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35"/>
      <c r="AW40" s="334"/>
    </row>
    <row r="41" spans="1:75">
      <c r="A41" s="332" t="s">
        <v>209</v>
      </c>
      <c r="B41" s="199">
        <f ca="1">'King Condominiums Financial '!C86+'King Condominiums Financial '!C76</f>
        <v>359456900</v>
      </c>
      <c r="C41" s="342"/>
      <c r="D41" s="342"/>
      <c r="E41" s="342"/>
      <c r="F41" s="342"/>
      <c r="G41" s="342"/>
      <c r="H41" s="342"/>
      <c r="I41" s="342"/>
      <c r="J41" s="342"/>
      <c r="K41" s="342"/>
      <c r="L41" s="342"/>
      <c r="M41" s="336"/>
      <c r="N41" s="342"/>
      <c r="O41" s="342"/>
      <c r="P41" s="342"/>
      <c r="Q41" s="342"/>
      <c r="R41" s="342"/>
      <c r="S41" s="336"/>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35"/>
      <c r="AW41" s="334"/>
    </row>
    <row r="42" spans="1:75">
      <c r="A42" s="322" t="s">
        <v>210</v>
      </c>
      <c r="B42" s="105">
        <f ca="1">SUM(C42:AT42)</f>
        <v>95299215.473977625</v>
      </c>
      <c r="C42" s="315">
        <f ca="1">-C27</f>
        <v>-62629110.624128722</v>
      </c>
      <c r="D42" s="315">
        <f ca="1">-D27</f>
        <v>0</v>
      </c>
      <c r="E42" s="315">
        <f ca="1">-E27</f>
        <v>0</v>
      </c>
      <c r="F42" s="315">
        <f t="shared" ref="F42:U42" ca="1" si="14">-F27</f>
        <v>-10076428.695094684</v>
      </c>
      <c r="G42" s="315">
        <f t="shared" ca="1" si="14"/>
        <v>-10076428.695094684</v>
      </c>
      <c r="H42" s="315">
        <f t="shared" ca="1" si="14"/>
        <v>-28214000.346265111</v>
      </c>
      <c r="I42" s="315">
        <f t="shared" ca="1" si="14"/>
        <v>-28214000.346265111</v>
      </c>
      <c r="J42" s="315">
        <f t="shared" ca="1" si="14"/>
        <v>-28214000.346265111</v>
      </c>
      <c r="K42" s="315">
        <f t="shared" ca="1" si="14"/>
        <v>-28214000.346265111</v>
      </c>
      <c r="L42" s="315">
        <f t="shared" ca="1" si="14"/>
        <v>-28214000.346265111</v>
      </c>
      <c r="M42" s="315">
        <f t="shared" ca="1" si="14"/>
        <v>-28214000.346265111</v>
      </c>
      <c r="N42" s="315">
        <f t="shared" ca="1" si="14"/>
        <v>-12091714.434113618</v>
      </c>
      <c r="O42" s="315">
        <f t="shared" ca="1" si="14"/>
        <v>0</v>
      </c>
      <c r="P42" s="315">
        <f t="shared" ca="1" si="14"/>
        <v>0</v>
      </c>
      <c r="Q42" s="315">
        <f t="shared" ca="1" si="14"/>
        <v>0</v>
      </c>
      <c r="R42" s="315">
        <f t="shared" ca="1" si="14"/>
        <v>0</v>
      </c>
      <c r="S42" s="349">
        <f t="shared" ca="1" si="14"/>
        <v>0</v>
      </c>
      <c r="T42" s="315">
        <f t="shared" ca="1" si="14"/>
        <v>0</v>
      </c>
      <c r="U42" s="315">
        <f t="shared" ca="1" si="14"/>
        <v>0</v>
      </c>
      <c r="V42" s="349">
        <f ca="1">-V27+B41</f>
        <v>359456900</v>
      </c>
      <c r="W42" s="315"/>
      <c r="X42" s="315"/>
      <c r="Y42" s="315"/>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42"/>
      <c r="AV42" s="335"/>
      <c r="AW42" s="334"/>
    </row>
    <row r="43" spans="1:75">
      <c r="A43" s="322" t="s">
        <v>211</v>
      </c>
      <c r="B43" s="415">
        <f ca="1">IF(B42&lt;0,0,IRR(C42:V42))</f>
        <v>2.2950604620179949E-2</v>
      </c>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35"/>
      <c r="AW43" s="334"/>
    </row>
    <row r="44" spans="1:75">
      <c r="A44" s="322" t="s">
        <v>212</v>
      </c>
      <c r="B44" s="417">
        <f ca="1">POWER((1+B43),4)-1</f>
        <v>9.5011432551129982E-2</v>
      </c>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35"/>
      <c r="AW44" s="334"/>
    </row>
    <row r="45" spans="1:75">
      <c r="G45" s="7"/>
      <c r="AB45" s="7"/>
      <c r="AE45" s="7"/>
      <c r="AI45" s="7"/>
    </row>
    <row r="46" spans="1:75">
      <c r="G46" s="7"/>
      <c r="AB46" s="7"/>
      <c r="AE46" s="7"/>
      <c r="AI46" s="7"/>
    </row>
    <row r="47" spans="1:75">
      <c r="G47" s="7"/>
      <c r="AB47" s="7"/>
      <c r="AE47" s="7"/>
      <c r="AI47" s="7"/>
    </row>
    <row r="48" spans="1:75">
      <c r="G48" s="7"/>
      <c r="AB48" s="7"/>
      <c r="AE48" s="7"/>
      <c r="AI48" s="7"/>
    </row>
    <row r="49" spans="7:35">
      <c r="G49" s="7"/>
      <c r="AB49" s="7"/>
      <c r="AE49" s="7"/>
      <c r="AI49" s="7"/>
    </row>
    <row r="50" spans="7:35">
      <c r="G50" s="7"/>
      <c r="AB50" s="7"/>
      <c r="AE50" s="7"/>
      <c r="AI50" s="7"/>
    </row>
    <row r="51" spans="7:35">
      <c r="G51" s="7"/>
      <c r="AB51" s="7"/>
      <c r="AE51" s="7"/>
      <c r="AI51" s="7"/>
    </row>
    <row r="52" spans="7:35">
      <c r="G52" s="7"/>
    </row>
    <row r="53" spans="7:35">
      <c r="G53" s="7"/>
    </row>
    <row r="54" spans="7:35">
      <c r="G54" s="7"/>
    </row>
    <row r="55" spans="7:35">
      <c r="G55" s="7"/>
    </row>
    <row r="56" spans="7:35">
      <c r="G56" s="7"/>
    </row>
    <row r="57" spans="7:35">
      <c r="G57" s="7"/>
    </row>
    <row r="58" spans="7:35">
      <c r="G58" s="7"/>
    </row>
    <row r="59" spans="7:35">
      <c r="G59" s="7"/>
    </row>
    <row r="60" spans="7:35">
      <c r="G60" s="7"/>
    </row>
    <row r="61" spans="7:35">
      <c r="G61" s="7"/>
    </row>
    <row r="62" spans="7:35">
      <c r="G62" s="7"/>
    </row>
    <row r="63" spans="7:35">
      <c r="G63" s="7"/>
    </row>
    <row r="64" spans="7:35">
      <c r="G64" s="7"/>
    </row>
    <row r="65" spans="7:7">
      <c r="G65" s="7"/>
    </row>
    <row r="66" spans="7:7">
      <c r="G66" s="7"/>
    </row>
    <row r="67" spans="7:7">
      <c r="G67" s="7"/>
    </row>
    <row r="68" spans="7:7">
      <c r="G68" s="7"/>
    </row>
    <row r="69" spans="7:7">
      <c r="G69" s="7"/>
    </row>
    <row r="70" spans="7:7">
      <c r="G70" s="7"/>
    </row>
    <row r="71" spans="7:7">
      <c r="G71" s="7"/>
    </row>
    <row r="72" spans="7:7">
      <c r="G72" s="7"/>
    </row>
    <row r="73" spans="7:7">
      <c r="G73" s="7"/>
    </row>
    <row r="74" spans="7:7">
      <c r="G74" s="7"/>
    </row>
    <row r="75" spans="7:7">
      <c r="G75" s="7"/>
    </row>
    <row r="76" spans="7:7">
      <c r="G76" s="7"/>
    </row>
    <row r="77" spans="7:7">
      <c r="G77" s="7"/>
    </row>
    <row r="78" spans="7:7">
      <c r="G78" s="7"/>
    </row>
    <row r="79" spans="7:7">
      <c r="G79" s="7"/>
    </row>
    <row r="80" spans="7:7">
      <c r="G80" s="7"/>
    </row>
    <row r="81" spans="7:7">
      <c r="G81" s="7"/>
    </row>
    <row r="82" spans="7:7">
      <c r="G82" s="7"/>
    </row>
    <row r="83" spans="7:7">
      <c r="G83" s="7"/>
    </row>
    <row r="84" spans="7:7">
      <c r="G84" s="7"/>
    </row>
    <row r="85" spans="7:7">
      <c r="G85" s="7"/>
    </row>
    <row r="86" spans="7:7">
      <c r="G86" s="7"/>
    </row>
    <row r="87" spans="7:7">
      <c r="G87" s="7"/>
    </row>
    <row r="88" spans="7:7">
      <c r="G88" s="7"/>
    </row>
    <row r="89" spans="7:7">
      <c r="G89" s="7"/>
    </row>
    <row r="90" spans="7:7">
      <c r="G90" s="7"/>
    </row>
    <row r="91" spans="7:7">
      <c r="G91" s="7"/>
    </row>
    <row r="92" spans="7:7">
      <c r="G92" s="7"/>
    </row>
    <row r="93" spans="7:7">
      <c r="G93" s="7"/>
    </row>
    <row r="94" spans="7:7">
      <c r="G94" s="7"/>
    </row>
    <row r="95" spans="7:7">
      <c r="G95" s="7"/>
    </row>
    <row r="96" spans="7:7">
      <c r="G96" s="7"/>
    </row>
    <row r="97" spans="7:7">
      <c r="G97" s="7"/>
    </row>
    <row r="98" spans="7:7">
      <c r="G98" s="7"/>
    </row>
    <row r="99" spans="7:7">
      <c r="G99" s="7"/>
    </row>
    <row r="100" spans="7:7">
      <c r="G100" s="7"/>
    </row>
    <row r="101" spans="7:7">
      <c r="G101" s="7"/>
    </row>
    <row r="102" spans="7:7">
      <c r="G102" s="7"/>
    </row>
    <row r="103" spans="7:7">
      <c r="G103" s="7"/>
    </row>
    <row r="104" spans="7:7">
      <c r="G104" s="7"/>
    </row>
    <row r="105" spans="7:7">
      <c r="G105" s="7"/>
    </row>
    <row r="106" spans="7:7">
      <c r="G106" s="7"/>
    </row>
    <row r="107" spans="7:7">
      <c r="G107" s="7"/>
    </row>
    <row r="108" spans="7:7">
      <c r="G108" s="7"/>
    </row>
    <row r="109" spans="7:7">
      <c r="G109" s="7"/>
    </row>
    <row r="110" spans="7:7">
      <c r="G110" s="7"/>
    </row>
    <row r="111" spans="7:7">
      <c r="G111" s="7"/>
    </row>
    <row r="112" spans="7:7">
      <c r="G112" s="7"/>
    </row>
    <row r="113" spans="7:7">
      <c r="G113" s="7"/>
    </row>
    <row r="114" spans="7:7">
      <c r="G114" s="7"/>
    </row>
    <row r="115" spans="7:7">
      <c r="G115" s="7"/>
    </row>
    <row r="116" spans="7:7">
      <c r="G116" s="7"/>
    </row>
    <row r="117" spans="7:7">
      <c r="G117" s="7"/>
    </row>
    <row r="118" spans="7:7">
      <c r="G118" s="7"/>
    </row>
    <row r="119" spans="7:7">
      <c r="G119" s="7"/>
    </row>
    <row r="120" spans="7:7">
      <c r="G120" s="7"/>
    </row>
    <row r="121" spans="7:7">
      <c r="G121" s="7"/>
    </row>
    <row r="122" spans="7:7">
      <c r="G122" s="7"/>
    </row>
    <row r="123" spans="7:7">
      <c r="G123" s="7"/>
    </row>
    <row r="124" spans="7:7">
      <c r="G124" s="7"/>
    </row>
    <row r="125" spans="7:7">
      <c r="G125" s="7"/>
    </row>
    <row r="126" spans="7:7">
      <c r="G126" s="7"/>
    </row>
    <row r="127" spans="7:7">
      <c r="G127" s="7"/>
    </row>
    <row r="128" spans="7:7">
      <c r="G128" s="7"/>
    </row>
    <row r="129" spans="7:7">
      <c r="G129" s="7"/>
    </row>
    <row r="130" spans="7:7">
      <c r="G130" s="7"/>
    </row>
    <row r="131" spans="7:7">
      <c r="G131" s="7"/>
    </row>
    <row r="132" spans="7:7">
      <c r="G132" s="7"/>
    </row>
    <row r="133" spans="7:7">
      <c r="G133" s="7"/>
    </row>
    <row r="134" spans="7:7">
      <c r="G134" s="7"/>
    </row>
    <row r="135" spans="7:7">
      <c r="G135" s="7"/>
    </row>
    <row r="136" spans="7:7">
      <c r="G136" s="7"/>
    </row>
    <row r="137" spans="7:7">
      <c r="G137" s="7"/>
    </row>
    <row r="138" spans="7:7">
      <c r="G138" s="7"/>
    </row>
    <row r="139" spans="7:7">
      <c r="G139" s="7"/>
    </row>
    <row r="140" spans="7:7">
      <c r="G140" s="7"/>
    </row>
    <row r="141" spans="7:7">
      <c r="G141" s="7"/>
    </row>
    <row r="142" spans="7:7">
      <c r="G142" s="7"/>
    </row>
    <row r="143" spans="7:7">
      <c r="G143" s="7"/>
    </row>
    <row r="144" spans="7:7">
      <c r="G144" s="7"/>
    </row>
    <row r="145" spans="7:7">
      <c r="G145" s="7"/>
    </row>
    <row r="146" spans="7:7">
      <c r="G146" s="7"/>
    </row>
    <row r="147" spans="7:7">
      <c r="G147" s="7"/>
    </row>
    <row r="148" spans="7:7">
      <c r="G148" s="7"/>
    </row>
    <row r="149" spans="7:7">
      <c r="G149" s="7"/>
    </row>
    <row r="150" spans="7:7">
      <c r="G150" s="7"/>
    </row>
    <row r="151" spans="7:7">
      <c r="G151" s="7"/>
    </row>
    <row r="152" spans="7:7">
      <c r="G152" s="7"/>
    </row>
    <row r="153" spans="7:7">
      <c r="G153" s="7"/>
    </row>
    <row r="154" spans="7:7">
      <c r="G154" s="7"/>
    </row>
    <row r="155" spans="7:7">
      <c r="G155" s="7"/>
    </row>
    <row r="156" spans="7:7">
      <c r="G156" s="7"/>
    </row>
    <row r="157" spans="7:7">
      <c r="G157" s="7"/>
    </row>
    <row r="158" spans="7:7">
      <c r="G158" s="7"/>
    </row>
    <row r="159" spans="7:7">
      <c r="G159" s="7"/>
    </row>
    <row r="160" spans="7:7">
      <c r="G160" s="7"/>
    </row>
    <row r="161" spans="7:7">
      <c r="G161" s="7"/>
    </row>
    <row r="162" spans="7:7">
      <c r="G162" s="7"/>
    </row>
    <row r="163" spans="7:7">
      <c r="G163" s="7"/>
    </row>
    <row r="164" spans="7:7">
      <c r="G164" s="7"/>
    </row>
    <row r="165" spans="7:7">
      <c r="G165" s="7"/>
    </row>
    <row r="166" spans="7:7">
      <c r="G166" s="7"/>
    </row>
    <row r="167" spans="7:7">
      <c r="G167" s="7"/>
    </row>
    <row r="168" spans="7:7">
      <c r="G168" s="7"/>
    </row>
    <row r="169" spans="7:7">
      <c r="G169" s="7"/>
    </row>
    <row r="170" spans="7:7">
      <c r="G170" s="7"/>
    </row>
    <row r="171" spans="7:7">
      <c r="G171" s="7"/>
    </row>
    <row r="172" spans="7:7">
      <c r="G172" s="7"/>
    </row>
    <row r="173" spans="7:7">
      <c r="G173" s="7"/>
    </row>
    <row r="174" spans="7:7">
      <c r="G174" s="7"/>
    </row>
    <row r="175" spans="7:7">
      <c r="G175" s="7"/>
    </row>
    <row r="176" spans="7:7">
      <c r="G176" s="7"/>
    </row>
    <row r="177" spans="7:7">
      <c r="G177" s="7"/>
    </row>
    <row r="178" spans="7:7">
      <c r="G178" s="7"/>
    </row>
    <row r="179" spans="7:7">
      <c r="G179" s="7"/>
    </row>
    <row r="180" spans="7:7">
      <c r="G180" s="7"/>
    </row>
    <row r="181" spans="7:7">
      <c r="G181" s="7"/>
    </row>
    <row r="182" spans="7:7">
      <c r="G182" s="7"/>
    </row>
    <row r="183" spans="7:7">
      <c r="G183" s="7"/>
    </row>
    <row r="184" spans="7:7">
      <c r="G184" s="7"/>
    </row>
    <row r="185" spans="7:7">
      <c r="G185" s="7"/>
    </row>
    <row r="186" spans="7:7">
      <c r="G186" s="7"/>
    </row>
    <row r="187" spans="7:7">
      <c r="G187" s="7"/>
    </row>
    <row r="188" spans="7:7">
      <c r="G188" s="7"/>
    </row>
    <row r="189" spans="7:7">
      <c r="G189" s="7"/>
    </row>
    <row r="190" spans="7:7">
      <c r="G190" s="7"/>
    </row>
    <row r="191" spans="7:7">
      <c r="G191" s="7"/>
    </row>
    <row r="192" spans="7:7">
      <c r="G192" s="7"/>
    </row>
    <row r="193" spans="7:7">
      <c r="G193" s="7"/>
    </row>
    <row r="194" spans="7:7">
      <c r="G194" s="7"/>
    </row>
    <row r="195" spans="7:7">
      <c r="G195" s="7"/>
    </row>
    <row r="196" spans="7:7">
      <c r="G196" s="7"/>
    </row>
    <row r="197" spans="7:7">
      <c r="G197" s="7"/>
    </row>
    <row r="198" spans="7:7">
      <c r="G198" s="7"/>
    </row>
    <row r="199" spans="7:7">
      <c r="G199" s="7"/>
    </row>
    <row r="200" spans="7:7">
      <c r="G200" s="7"/>
    </row>
    <row r="201" spans="7:7">
      <c r="G201" s="7"/>
    </row>
    <row r="202" spans="7:7">
      <c r="G202" s="7"/>
    </row>
    <row r="203" spans="7:7">
      <c r="G203" s="7"/>
    </row>
    <row r="204" spans="7:7">
      <c r="G204" s="7"/>
    </row>
    <row r="205" spans="7:7">
      <c r="G205" s="7"/>
    </row>
    <row r="206" spans="7:7">
      <c r="G206" s="7"/>
    </row>
    <row r="207" spans="7:7">
      <c r="G207" s="7"/>
    </row>
    <row r="208" spans="7:7">
      <c r="G208" s="7"/>
    </row>
    <row r="209" spans="7:7">
      <c r="G209" s="7"/>
    </row>
    <row r="210" spans="7:7">
      <c r="G210" s="7"/>
    </row>
    <row r="211" spans="7:7">
      <c r="G211" s="7"/>
    </row>
    <row r="212" spans="7:7">
      <c r="G212" s="7"/>
    </row>
    <row r="213" spans="7:7">
      <c r="G213" s="7"/>
    </row>
    <row r="214" spans="7:7">
      <c r="G214" s="7"/>
    </row>
    <row r="215" spans="7:7">
      <c r="G215" s="7"/>
    </row>
    <row r="216" spans="7:7">
      <c r="G216" s="7"/>
    </row>
    <row r="217" spans="7:7">
      <c r="G217" s="7"/>
    </row>
    <row r="218" spans="7:7">
      <c r="G218" s="7"/>
    </row>
    <row r="219" spans="7:7">
      <c r="G219" s="7"/>
    </row>
    <row r="220" spans="7:7">
      <c r="G220" s="7"/>
    </row>
    <row r="221" spans="7:7">
      <c r="G221" s="7"/>
    </row>
    <row r="222" spans="7:7">
      <c r="G222" s="7"/>
    </row>
    <row r="223" spans="7:7">
      <c r="G223" s="7"/>
    </row>
    <row r="224" spans="7:7">
      <c r="G224" s="7"/>
    </row>
    <row r="225" spans="7:7">
      <c r="G225" s="7"/>
    </row>
    <row r="226" spans="7:7">
      <c r="G226" s="7"/>
    </row>
    <row r="227" spans="7:7">
      <c r="G227" s="7"/>
    </row>
    <row r="228" spans="7:7">
      <c r="G228" s="7"/>
    </row>
    <row r="229" spans="7:7">
      <c r="G229" s="7"/>
    </row>
    <row r="230" spans="7:7">
      <c r="G230" s="7"/>
    </row>
    <row r="231" spans="7:7">
      <c r="G231" s="7"/>
    </row>
    <row r="232" spans="7:7">
      <c r="G232" s="7"/>
    </row>
    <row r="233" spans="7:7">
      <c r="G233" s="7"/>
    </row>
    <row r="234" spans="7:7">
      <c r="G234" s="7"/>
    </row>
    <row r="235" spans="7:7">
      <c r="G235" s="7"/>
    </row>
    <row r="236" spans="7:7">
      <c r="G236" s="7"/>
    </row>
    <row r="237" spans="7:7">
      <c r="G237" s="7"/>
    </row>
    <row r="238" spans="7:7">
      <c r="G238" s="7"/>
    </row>
    <row r="239" spans="7:7">
      <c r="G239" s="7"/>
    </row>
    <row r="240" spans="7:7">
      <c r="G240" s="7"/>
    </row>
    <row r="241" spans="7:7">
      <c r="G241" s="7"/>
    </row>
    <row r="242" spans="7:7">
      <c r="G242" s="7"/>
    </row>
    <row r="243" spans="7:7">
      <c r="G243" s="7"/>
    </row>
    <row r="244" spans="7:7">
      <c r="G244" s="7"/>
    </row>
    <row r="245" spans="7:7">
      <c r="G245" s="7"/>
    </row>
    <row r="246" spans="7:7">
      <c r="G246" s="7"/>
    </row>
    <row r="247" spans="7:7">
      <c r="G247" s="7"/>
    </row>
    <row r="248" spans="7:7">
      <c r="G248" s="7"/>
    </row>
    <row r="249" spans="7:7">
      <c r="G249" s="7"/>
    </row>
    <row r="250" spans="7:7">
      <c r="G250" s="7"/>
    </row>
    <row r="251" spans="7:7">
      <c r="G251" s="7"/>
    </row>
    <row r="252" spans="7:7">
      <c r="G252" s="7"/>
    </row>
    <row r="253" spans="7:7">
      <c r="G253" s="7"/>
    </row>
    <row r="254" spans="7:7">
      <c r="G254" s="7"/>
    </row>
    <row r="255" spans="7:7">
      <c r="G255" s="7"/>
    </row>
    <row r="256" spans="7:7">
      <c r="G256" s="7"/>
    </row>
    <row r="257" spans="7:7">
      <c r="G257" s="7"/>
    </row>
    <row r="258" spans="7:7">
      <c r="G258" s="7"/>
    </row>
    <row r="259" spans="7:7">
      <c r="G259" s="7"/>
    </row>
    <row r="260" spans="7:7">
      <c r="G260" s="7"/>
    </row>
    <row r="261" spans="7:7">
      <c r="G261" s="7"/>
    </row>
    <row r="262" spans="7:7">
      <c r="G262" s="7"/>
    </row>
    <row r="263" spans="7:7">
      <c r="G263" s="7"/>
    </row>
    <row r="264" spans="7:7">
      <c r="G264" s="7"/>
    </row>
    <row r="265" spans="7:7">
      <c r="G265" s="7"/>
    </row>
    <row r="266" spans="7:7">
      <c r="G266" s="7"/>
    </row>
    <row r="267" spans="7:7">
      <c r="G267" s="7"/>
    </row>
    <row r="268" spans="7:7">
      <c r="G268" s="7"/>
    </row>
    <row r="269" spans="7:7">
      <c r="G269" s="7"/>
    </row>
    <row r="270" spans="7:7">
      <c r="G270" s="7"/>
    </row>
    <row r="271" spans="7:7">
      <c r="G271" s="7"/>
    </row>
    <row r="272" spans="7:7">
      <c r="G272" s="7"/>
    </row>
    <row r="273" spans="7:7">
      <c r="G273" s="7"/>
    </row>
    <row r="274" spans="7:7">
      <c r="G274" s="7"/>
    </row>
    <row r="275" spans="7:7">
      <c r="G275" s="7"/>
    </row>
    <row r="276" spans="7:7">
      <c r="G276" s="7"/>
    </row>
    <row r="277" spans="7:7">
      <c r="G277" s="7"/>
    </row>
    <row r="278" spans="7:7">
      <c r="G278" s="7"/>
    </row>
    <row r="279" spans="7:7">
      <c r="G279" s="7"/>
    </row>
    <row r="280" spans="7:7">
      <c r="G280" s="7"/>
    </row>
    <row r="281" spans="7:7">
      <c r="G281" s="7"/>
    </row>
    <row r="282" spans="7:7">
      <c r="G282" s="7"/>
    </row>
    <row r="283" spans="7:7">
      <c r="G283" s="7"/>
    </row>
    <row r="284" spans="7:7">
      <c r="G284" s="7"/>
    </row>
    <row r="285" spans="7:7">
      <c r="G285" s="7"/>
    </row>
    <row r="286" spans="7:7">
      <c r="G286" s="7"/>
    </row>
    <row r="287" spans="7:7">
      <c r="G287" s="7"/>
    </row>
    <row r="288" spans="7:7">
      <c r="G288" s="7"/>
    </row>
    <row r="289" spans="7:7">
      <c r="G289" s="7"/>
    </row>
    <row r="290" spans="7:7">
      <c r="G290" s="7"/>
    </row>
    <row r="291" spans="7:7">
      <c r="G291" s="7"/>
    </row>
    <row r="292" spans="7:7">
      <c r="G292" s="7"/>
    </row>
    <row r="293" spans="7:7">
      <c r="G293" s="7"/>
    </row>
    <row r="294" spans="7:7">
      <c r="G294" s="7"/>
    </row>
    <row r="295" spans="7:7">
      <c r="G295" s="7"/>
    </row>
    <row r="296" spans="7:7">
      <c r="G296" s="7"/>
    </row>
    <row r="297" spans="7:7">
      <c r="G297" s="7"/>
    </row>
    <row r="298" spans="7:7">
      <c r="G298" s="7"/>
    </row>
    <row r="299" spans="7:7">
      <c r="G299" s="7"/>
    </row>
    <row r="300" spans="7:7">
      <c r="G300" s="7"/>
    </row>
    <row r="301" spans="7:7">
      <c r="G301" s="7"/>
    </row>
    <row r="302" spans="7:7">
      <c r="G302" s="7"/>
    </row>
    <row r="303" spans="7:7">
      <c r="G303" s="7"/>
    </row>
    <row r="304" spans="7:7">
      <c r="G304" s="7"/>
    </row>
    <row r="305" spans="7:7">
      <c r="G305" s="7"/>
    </row>
    <row r="306" spans="7:7">
      <c r="G306" s="7"/>
    </row>
    <row r="307" spans="7:7">
      <c r="G307" s="7"/>
    </row>
    <row r="308" spans="7:7">
      <c r="G308" s="7"/>
    </row>
    <row r="309" spans="7:7">
      <c r="G309" s="7"/>
    </row>
    <row r="310" spans="7:7">
      <c r="G310" s="7"/>
    </row>
    <row r="311" spans="7:7">
      <c r="G311" s="7"/>
    </row>
    <row r="312" spans="7:7">
      <c r="G312" s="7"/>
    </row>
    <row r="313" spans="7:7">
      <c r="G313" s="7"/>
    </row>
    <row r="314" spans="7:7">
      <c r="G314" s="7"/>
    </row>
    <row r="315" spans="7:7">
      <c r="G315" s="7"/>
    </row>
    <row r="316" spans="7:7">
      <c r="G316" s="7"/>
    </row>
    <row r="317" spans="7:7">
      <c r="G317" s="7"/>
    </row>
    <row r="318" spans="7:7">
      <c r="G318" s="7"/>
    </row>
    <row r="319" spans="7:7">
      <c r="G319" s="7"/>
    </row>
    <row r="320" spans="7:7">
      <c r="G320" s="7"/>
    </row>
    <row r="321" spans="7:7">
      <c r="G321" s="7"/>
    </row>
    <row r="322" spans="7:7">
      <c r="G322" s="7"/>
    </row>
    <row r="323" spans="7:7">
      <c r="G323" s="7"/>
    </row>
    <row r="324" spans="7:7">
      <c r="G324" s="7"/>
    </row>
    <row r="325" spans="7:7">
      <c r="G325" s="7"/>
    </row>
    <row r="326" spans="7:7">
      <c r="G326" s="7"/>
    </row>
    <row r="327" spans="7:7">
      <c r="G327" s="7"/>
    </row>
    <row r="328" spans="7:7">
      <c r="G328" s="7"/>
    </row>
    <row r="329" spans="7:7">
      <c r="G329" s="7"/>
    </row>
    <row r="330" spans="7:7">
      <c r="G330" s="7"/>
    </row>
    <row r="331" spans="7:7">
      <c r="G331" s="7"/>
    </row>
    <row r="332" spans="7:7">
      <c r="G332" s="7"/>
    </row>
    <row r="333" spans="7:7">
      <c r="G333" s="7"/>
    </row>
    <row r="334" spans="7:7">
      <c r="G334" s="7"/>
    </row>
    <row r="335" spans="7:7">
      <c r="G335" s="7"/>
    </row>
    <row r="336" spans="7:7">
      <c r="G336" s="7"/>
    </row>
    <row r="337" spans="7:7">
      <c r="G337" s="7"/>
    </row>
    <row r="338" spans="7:7">
      <c r="G338" s="7"/>
    </row>
    <row r="339" spans="7:7">
      <c r="G339" s="7"/>
    </row>
    <row r="340" spans="7:7">
      <c r="G340" s="7"/>
    </row>
    <row r="341" spans="7:7">
      <c r="G341" s="7"/>
    </row>
    <row r="342" spans="7:7">
      <c r="G342" s="7"/>
    </row>
    <row r="343" spans="7:7">
      <c r="G343" s="7"/>
    </row>
    <row r="344" spans="7:7">
      <c r="G344" s="7"/>
    </row>
    <row r="345" spans="7:7">
      <c r="G345" s="7"/>
    </row>
    <row r="346" spans="7:7">
      <c r="G346" s="7"/>
    </row>
    <row r="347" spans="7:7">
      <c r="G347" s="7"/>
    </row>
    <row r="348" spans="7:7">
      <c r="G348" s="7"/>
    </row>
    <row r="349" spans="7:7">
      <c r="G349" s="7"/>
    </row>
    <row r="350" spans="7:7">
      <c r="G350" s="7"/>
    </row>
    <row r="351" spans="7:7">
      <c r="G351" s="7"/>
    </row>
    <row r="352" spans="7:7">
      <c r="G352" s="7"/>
    </row>
    <row r="353" spans="7:7">
      <c r="G353" s="7"/>
    </row>
    <row r="354" spans="7:7">
      <c r="G354" s="7"/>
    </row>
    <row r="355" spans="7:7">
      <c r="G355" s="7"/>
    </row>
    <row r="356" spans="7:7">
      <c r="G356" s="7"/>
    </row>
    <row r="357" spans="7:7">
      <c r="G357" s="7"/>
    </row>
    <row r="358" spans="7:7">
      <c r="G358" s="7"/>
    </row>
    <row r="359" spans="7:7">
      <c r="G359" s="7"/>
    </row>
    <row r="360" spans="7:7">
      <c r="G360" s="7"/>
    </row>
    <row r="361" spans="7:7">
      <c r="G361" s="7"/>
    </row>
    <row r="362" spans="7:7">
      <c r="G362" s="7"/>
    </row>
    <row r="363" spans="7:7">
      <c r="G363" s="7"/>
    </row>
    <row r="364" spans="7:7">
      <c r="G364" s="7"/>
    </row>
    <row r="365" spans="7:7">
      <c r="G365" s="7"/>
    </row>
    <row r="366" spans="7:7">
      <c r="G366" s="7"/>
    </row>
    <row r="367" spans="7:7">
      <c r="G367" s="7"/>
    </row>
    <row r="368" spans="7:7">
      <c r="G368" s="7"/>
    </row>
    <row r="369" spans="7:7">
      <c r="G369" s="7"/>
    </row>
    <row r="370" spans="7:7">
      <c r="G370" s="7"/>
    </row>
    <row r="371" spans="7:7">
      <c r="G371" s="7"/>
    </row>
    <row r="372" spans="7:7">
      <c r="G372" s="7"/>
    </row>
    <row r="373" spans="7:7">
      <c r="G373" s="7"/>
    </row>
    <row r="374" spans="7:7">
      <c r="G374" s="7"/>
    </row>
    <row r="375" spans="7:7">
      <c r="G375" s="7"/>
    </row>
    <row r="376" spans="7:7">
      <c r="G376" s="7"/>
    </row>
    <row r="377" spans="7:7">
      <c r="G377" s="7"/>
    </row>
    <row r="378" spans="7:7">
      <c r="G378" s="7"/>
    </row>
    <row r="379" spans="7:7">
      <c r="G379" s="7"/>
    </row>
    <row r="380" spans="7:7">
      <c r="G380" s="7"/>
    </row>
    <row r="381" spans="7:7">
      <c r="G381" s="7"/>
    </row>
    <row r="382" spans="7:7">
      <c r="G382" s="7"/>
    </row>
    <row r="383" spans="7:7">
      <c r="G383" s="7"/>
    </row>
    <row r="384" spans="7:7">
      <c r="G384" s="7"/>
    </row>
    <row r="385" spans="7:7">
      <c r="G385" s="7"/>
    </row>
    <row r="386" spans="7:7">
      <c r="G386" s="7"/>
    </row>
    <row r="387" spans="7:7">
      <c r="G387" s="7"/>
    </row>
    <row r="388" spans="7:7">
      <c r="G388" s="7"/>
    </row>
    <row r="389" spans="7:7">
      <c r="G389" s="7"/>
    </row>
    <row r="390" spans="7:7">
      <c r="G390" s="7"/>
    </row>
    <row r="391" spans="7:7">
      <c r="G391" s="7"/>
    </row>
    <row r="392" spans="7:7">
      <c r="G392" s="7"/>
    </row>
    <row r="393" spans="7:7">
      <c r="G393" s="7"/>
    </row>
    <row r="394" spans="7:7">
      <c r="G394" s="7"/>
    </row>
    <row r="395" spans="7:7">
      <c r="G395" s="7"/>
    </row>
    <row r="396" spans="7:7">
      <c r="G396" s="7"/>
    </row>
    <row r="397" spans="7:7">
      <c r="G397" s="7"/>
    </row>
    <row r="398" spans="7:7">
      <c r="G398" s="7"/>
    </row>
    <row r="399" spans="7:7">
      <c r="G399" s="7"/>
    </row>
    <row r="400" spans="7:7">
      <c r="G400" s="7"/>
    </row>
    <row r="401" spans="7:7">
      <c r="G401" s="7"/>
    </row>
    <row r="402" spans="7:7">
      <c r="G402" s="7"/>
    </row>
    <row r="403" spans="7:7">
      <c r="G403" s="7"/>
    </row>
    <row r="404" spans="7:7">
      <c r="G404" s="7"/>
    </row>
    <row r="405" spans="7:7">
      <c r="G405" s="7"/>
    </row>
    <row r="406" spans="7:7">
      <c r="G406" s="7"/>
    </row>
    <row r="407" spans="7:7">
      <c r="G407" s="7"/>
    </row>
    <row r="408" spans="7:7">
      <c r="G408" s="7"/>
    </row>
    <row r="409" spans="7:7">
      <c r="G409" s="7"/>
    </row>
    <row r="410" spans="7:7">
      <c r="G410" s="7"/>
    </row>
    <row r="411" spans="7:7">
      <c r="G411" s="7"/>
    </row>
    <row r="412" spans="7:7">
      <c r="G412" s="7"/>
    </row>
    <row r="413" spans="7:7">
      <c r="G413" s="7"/>
    </row>
    <row r="414" spans="7:7">
      <c r="G414" s="7"/>
    </row>
    <row r="415" spans="7:7">
      <c r="G415" s="7"/>
    </row>
    <row r="416" spans="7:7">
      <c r="G416" s="7"/>
    </row>
    <row r="417" spans="7:7">
      <c r="G417" s="7"/>
    </row>
    <row r="418" spans="7:7">
      <c r="G418" s="7"/>
    </row>
    <row r="419" spans="7:7">
      <c r="G419" s="7"/>
    </row>
    <row r="420" spans="7:7">
      <c r="G420" s="7"/>
    </row>
    <row r="421" spans="7:7">
      <c r="G421" s="7"/>
    </row>
    <row r="422" spans="7:7">
      <c r="G422" s="7"/>
    </row>
    <row r="423" spans="7:7">
      <c r="G423" s="7"/>
    </row>
    <row r="424" spans="7:7">
      <c r="G424" s="7"/>
    </row>
    <row r="425" spans="7:7">
      <c r="G425" s="7"/>
    </row>
    <row r="426" spans="7:7">
      <c r="G426" s="7"/>
    </row>
    <row r="427" spans="7:7">
      <c r="G427" s="7"/>
    </row>
    <row r="428" spans="7:7">
      <c r="G428" s="7"/>
    </row>
    <row r="429" spans="7:7">
      <c r="G429" s="7"/>
    </row>
    <row r="430" spans="7:7">
      <c r="G430" s="7"/>
    </row>
    <row r="431" spans="7:7">
      <c r="G431" s="7"/>
    </row>
    <row r="432" spans="7:7">
      <c r="G432" s="7"/>
    </row>
    <row r="433" spans="7:7">
      <c r="G433" s="7"/>
    </row>
    <row r="434" spans="7:7">
      <c r="G434" s="7"/>
    </row>
    <row r="435" spans="7:7">
      <c r="G435" s="7"/>
    </row>
    <row r="436" spans="7:7">
      <c r="G436" s="7"/>
    </row>
    <row r="437" spans="7:7">
      <c r="G437" s="7"/>
    </row>
    <row r="438" spans="7:7">
      <c r="G438" s="7"/>
    </row>
    <row r="439" spans="7:7">
      <c r="G439" s="7"/>
    </row>
    <row r="440" spans="7:7">
      <c r="G440" s="7"/>
    </row>
    <row r="441" spans="7:7">
      <c r="G441" s="7"/>
    </row>
    <row r="442" spans="7:7">
      <c r="G442" s="7"/>
    </row>
    <row r="443" spans="7:7">
      <c r="G443" s="7"/>
    </row>
    <row r="444" spans="7:7">
      <c r="G444" s="7"/>
    </row>
    <row r="445" spans="7:7">
      <c r="G445" s="7"/>
    </row>
    <row r="446" spans="7:7">
      <c r="G446" s="7"/>
    </row>
    <row r="447" spans="7:7">
      <c r="G447" s="7"/>
    </row>
    <row r="448" spans="7:7">
      <c r="G448" s="7"/>
    </row>
    <row r="449" spans="7:7">
      <c r="G449" s="7"/>
    </row>
    <row r="450" spans="7:7">
      <c r="G450" s="7"/>
    </row>
    <row r="451" spans="7:7">
      <c r="G451" s="7"/>
    </row>
    <row r="452" spans="7:7">
      <c r="G452" s="7"/>
    </row>
    <row r="453" spans="7:7">
      <c r="G453" s="7"/>
    </row>
    <row r="454" spans="7:7">
      <c r="G454" s="7"/>
    </row>
    <row r="455" spans="7:7">
      <c r="G455" s="7"/>
    </row>
    <row r="456" spans="7:7">
      <c r="G456" s="7"/>
    </row>
    <row r="457" spans="7:7">
      <c r="G457" s="7"/>
    </row>
    <row r="458" spans="7:7">
      <c r="G458" s="7"/>
    </row>
    <row r="459" spans="7:7">
      <c r="G459" s="7"/>
    </row>
    <row r="460" spans="7:7">
      <c r="G460" s="7"/>
    </row>
    <row r="461" spans="7:7">
      <c r="G461" s="7"/>
    </row>
    <row r="462" spans="7:7">
      <c r="G462" s="7"/>
    </row>
    <row r="463" spans="7:7">
      <c r="G463" s="7"/>
    </row>
    <row r="464" spans="7:7">
      <c r="G464" s="7"/>
    </row>
    <row r="465" spans="7:7">
      <c r="G465" s="7"/>
    </row>
    <row r="466" spans="7:7">
      <c r="G466" s="7"/>
    </row>
    <row r="467" spans="7:7">
      <c r="G467" s="7"/>
    </row>
    <row r="468" spans="7:7">
      <c r="G468" s="7"/>
    </row>
    <row r="469" spans="7:7">
      <c r="G469" s="7"/>
    </row>
    <row r="470" spans="7:7">
      <c r="G470" s="7"/>
    </row>
    <row r="471" spans="7:7">
      <c r="G471" s="7"/>
    </row>
    <row r="472" spans="7:7">
      <c r="G472" s="7"/>
    </row>
    <row r="473" spans="7:7">
      <c r="G473" s="7"/>
    </row>
    <row r="474" spans="7:7">
      <c r="G474" s="7"/>
    </row>
    <row r="475" spans="7:7">
      <c r="G475" s="7"/>
    </row>
    <row r="476" spans="7:7">
      <c r="G476" s="7"/>
    </row>
    <row r="477" spans="7:7">
      <c r="G477" s="7"/>
    </row>
    <row r="478" spans="7:7">
      <c r="G478" s="7"/>
    </row>
    <row r="479" spans="7:7">
      <c r="G479" s="7"/>
    </row>
    <row r="480" spans="7:7">
      <c r="G480" s="7"/>
    </row>
    <row r="481" spans="7:7">
      <c r="G481" s="7"/>
    </row>
    <row r="482" spans="7:7">
      <c r="G482" s="7"/>
    </row>
    <row r="483" spans="7:7">
      <c r="G483" s="7"/>
    </row>
    <row r="484" spans="7:7">
      <c r="G484" s="7"/>
    </row>
    <row r="485" spans="7:7">
      <c r="G485" s="7"/>
    </row>
    <row r="486" spans="7:7">
      <c r="G486" s="7"/>
    </row>
    <row r="487" spans="7:7">
      <c r="G487" s="7"/>
    </row>
    <row r="488" spans="7:7">
      <c r="G488" s="7"/>
    </row>
    <row r="489" spans="7:7">
      <c r="G489" s="7"/>
    </row>
    <row r="490" spans="7:7">
      <c r="G490" s="7"/>
    </row>
    <row r="491" spans="7:7">
      <c r="G491" s="7"/>
    </row>
    <row r="492" spans="7:7">
      <c r="G492" s="7"/>
    </row>
    <row r="493" spans="7:7">
      <c r="G493" s="7"/>
    </row>
    <row r="494" spans="7:7">
      <c r="G494" s="7"/>
    </row>
    <row r="495" spans="7:7">
      <c r="G495" s="7"/>
    </row>
    <row r="496" spans="7:7">
      <c r="G496" s="7"/>
    </row>
    <row r="497" spans="7:7">
      <c r="G497" s="7"/>
    </row>
    <row r="498" spans="7:7">
      <c r="G498" s="7"/>
    </row>
    <row r="499" spans="7:7">
      <c r="G499" s="7"/>
    </row>
    <row r="500" spans="7:7">
      <c r="G500" s="7"/>
    </row>
    <row r="501" spans="7:7">
      <c r="G501" s="7"/>
    </row>
    <row r="502" spans="7:7">
      <c r="G502" s="7"/>
    </row>
    <row r="503" spans="7:7">
      <c r="G503" s="7"/>
    </row>
    <row r="504" spans="7:7">
      <c r="G504" s="7"/>
    </row>
    <row r="505" spans="7:7">
      <c r="G505" s="7"/>
    </row>
    <row r="506" spans="7:7">
      <c r="G506" s="7"/>
    </row>
    <row r="507" spans="7:7">
      <c r="G507" s="7"/>
    </row>
    <row r="508" spans="7:7">
      <c r="G508" s="7"/>
    </row>
    <row r="509" spans="7:7">
      <c r="G509" s="7"/>
    </row>
    <row r="510" spans="7:7">
      <c r="G510" s="7"/>
    </row>
    <row r="511" spans="7:7">
      <c r="G511" s="7"/>
    </row>
    <row r="512" spans="7:7">
      <c r="G512" s="7"/>
    </row>
    <row r="513" spans="7:7">
      <c r="G513" s="7"/>
    </row>
    <row r="514" spans="7:7">
      <c r="G514" s="7"/>
    </row>
    <row r="515" spans="7:7">
      <c r="G515" s="7"/>
    </row>
    <row r="516" spans="7:7">
      <c r="G516" s="7"/>
    </row>
    <row r="517" spans="7:7">
      <c r="G517" s="7"/>
    </row>
    <row r="518" spans="7:7">
      <c r="G518" s="7"/>
    </row>
    <row r="519" spans="7:7">
      <c r="G519" s="7"/>
    </row>
    <row r="520" spans="7:7">
      <c r="G520" s="7"/>
    </row>
    <row r="521" spans="7:7">
      <c r="G521" s="7"/>
    </row>
    <row r="522" spans="7:7">
      <c r="G522" s="7"/>
    </row>
    <row r="523" spans="7:7">
      <c r="G523" s="7"/>
    </row>
    <row r="524" spans="7:7">
      <c r="G524" s="7"/>
    </row>
    <row r="525" spans="7:7">
      <c r="G525" s="7"/>
    </row>
    <row r="526" spans="7:7">
      <c r="G526" s="7"/>
    </row>
    <row r="527" spans="7:7">
      <c r="G527" s="7"/>
    </row>
    <row r="528" spans="7:7">
      <c r="G528" s="7"/>
    </row>
    <row r="529" spans="7:7">
      <c r="G529" s="7"/>
    </row>
    <row r="530" spans="7:7">
      <c r="G530" s="7"/>
    </row>
    <row r="531" spans="7:7">
      <c r="G531" s="7"/>
    </row>
    <row r="532" spans="7:7">
      <c r="G532" s="7"/>
    </row>
    <row r="533" spans="7:7">
      <c r="G533" s="7"/>
    </row>
    <row r="534" spans="7:7">
      <c r="G534" s="7"/>
    </row>
    <row r="535" spans="7:7">
      <c r="G535" s="7"/>
    </row>
    <row r="536" spans="7:7">
      <c r="G536" s="7"/>
    </row>
    <row r="537" spans="7:7">
      <c r="G537" s="7"/>
    </row>
    <row r="538" spans="7:7">
      <c r="G538" s="7"/>
    </row>
    <row r="539" spans="7:7">
      <c r="G539" s="7"/>
    </row>
    <row r="540" spans="7:7">
      <c r="G540" s="7"/>
    </row>
    <row r="541" spans="7:7">
      <c r="G541" s="7"/>
    </row>
    <row r="542" spans="7:7">
      <c r="G542" s="7"/>
    </row>
    <row r="543" spans="7:7">
      <c r="G543" s="7"/>
    </row>
    <row r="544" spans="7:7">
      <c r="G544" s="7"/>
    </row>
    <row r="545" spans="7:7">
      <c r="G545" s="7"/>
    </row>
    <row r="546" spans="7:7">
      <c r="G546" s="7"/>
    </row>
    <row r="547" spans="7:7">
      <c r="G547" s="7"/>
    </row>
    <row r="548" spans="7:7">
      <c r="G548" s="7"/>
    </row>
    <row r="549" spans="7:7">
      <c r="G549" s="7"/>
    </row>
    <row r="550" spans="7:7">
      <c r="G550" s="7"/>
    </row>
    <row r="551" spans="7:7">
      <c r="G551" s="7"/>
    </row>
    <row r="552" spans="7:7">
      <c r="G552" s="7"/>
    </row>
    <row r="553" spans="7:7">
      <c r="G553" s="7"/>
    </row>
    <row r="554" spans="7:7">
      <c r="G554" s="7"/>
    </row>
    <row r="555" spans="7:7">
      <c r="G555" s="7"/>
    </row>
    <row r="556" spans="7:7">
      <c r="G556" s="7"/>
    </row>
    <row r="557" spans="7:7">
      <c r="G557" s="7"/>
    </row>
    <row r="558" spans="7:7">
      <c r="G558" s="7"/>
    </row>
    <row r="559" spans="7:7">
      <c r="G559" s="7"/>
    </row>
    <row r="560" spans="7:7">
      <c r="G560" s="7"/>
    </row>
    <row r="561" spans="7:7">
      <c r="G561" s="7"/>
    </row>
    <row r="562" spans="7:7">
      <c r="G562" s="7"/>
    </row>
    <row r="563" spans="7:7">
      <c r="G563" s="7"/>
    </row>
    <row r="564" spans="7:7">
      <c r="G564" s="7"/>
    </row>
    <row r="565" spans="7:7">
      <c r="G565" s="7"/>
    </row>
    <row r="566" spans="7:7">
      <c r="G566" s="7"/>
    </row>
    <row r="567" spans="7:7">
      <c r="G567" s="7"/>
    </row>
    <row r="568" spans="7:7">
      <c r="G568" s="7"/>
    </row>
    <row r="569" spans="7:7">
      <c r="G569" s="7"/>
    </row>
    <row r="570" spans="7:7">
      <c r="G570" s="7"/>
    </row>
    <row r="571" spans="7:7">
      <c r="G571" s="7"/>
    </row>
    <row r="572" spans="7:7">
      <c r="G572" s="7"/>
    </row>
    <row r="573" spans="7:7">
      <c r="G573" s="7"/>
    </row>
    <row r="574" spans="7:7">
      <c r="G574" s="7"/>
    </row>
    <row r="575" spans="7:7">
      <c r="G575" s="7"/>
    </row>
    <row r="576" spans="7:7">
      <c r="G576" s="7"/>
    </row>
    <row r="577" spans="7:7">
      <c r="G577" s="7"/>
    </row>
    <row r="578" spans="7:7">
      <c r="G578" s="7"/>
    </row>
    <row r="579" spans="7:7">
      <c r="G579" s="7"/>
    </row>
    <row r="580" spans="7:7">
      <c r="G580" s="7"/>
    </row>
    <row r="581" spans="7:7">
      <c r="G581" s="7"/>
    </row>
    <row r="582" spans="7:7">
      <c r="G582" s="7"/>
    </row>
    <row r="583" spans="7:7">
      <c r="G583" s="7"/>
    </row>
    <row r="584" spans="7:7">
      <c r="G584" s="7"/>
    </row>
    <row r="585" spans="7:7">
      <c r="G585" s="7"/>
    </row>
    <row r="586" spans="7:7">
      <c r="G586" s="7"/>
    </row>
    <row r="587" spans="7:7">
      <c r="G587" s="7"/>
    </row>
    <row r="588" spans="7:7">
      <c r="G588" s="7"/>
    </row>
    <row r="589" spans="7:7">
      <c r="G589" s="7"/>
    </row>
    <row r="590" spans="7:7">
      <c r="G590" s="7"/>
    </row>
    <row r="591" spans="7:7">
      <c r="G591" s="7"/>
    </row>
    <row r="592" spans="7:7">
      <c r="G592" s="7"/>
    </row>
    <row r="593" spans="7:7">
      <c r="G593" s="7"/>
    </row>
    <row r="594" spans="7:7">
      <c r="G594" s="7"/>
    </row>
    <row r="595" spans="7:7">
      <c r="G595" s="7"/>
    </row>
    <row r="596" spans="7:7">
      <c r="G596" s="7"/>
    </row>
    <row r="597" spans="7:7">
      <c r="G597" s="7"/>
    </row>
    <row r="598" spans="7:7">
      <c r="G598" s="7"/>
    </row>
    <row r="599" spans="7:7">
      <c r="G599" s="7"/>
    </row>
  </sheetData>
  <mergeCells count="2">
    <mergeCell ref="A1:A3"/>
    <mergeCell ref="AU2:AW2"/>
  </mergeCells>
  <phoneticPr fontId="168" type="noConversion"/>
  <conditionalFormatting sqref="D3:AW3">
    <cfRule type="cellIs" dxfId="111" priority="9" operator="equal">
      <formula>#REF!</formula>
    </cfRule>
    <cfRule type="cellIs" dxfId="110" priority="10" operator="equal">
      <formula>#REF!</formula>
    </cfRule>
    <cfRule type="cellIs" dxfId="109" priority="11" operator="equal">
      <formula>#REF!</formula>
    </cfRule>
    <cfRule type="cellIs" dxfId="108" priority="12" operator="equal">
      <formula>#REF!</formula>
    </cfRule>
  </conditionalFormatting>
  <conditionalFormatting sqref="U4:AT4">
    <cfRule type="cellIs" dxfId="107" priority="5" operator="equal">
      <formula>#REF!</formula>
    </cfRule>
    <cfRule type="cellIs" dxfId="106" priority="6" operator="equal">
      <formula>#REF!</formula>
    </cfRule>
    <cfRule type="cellIs" dxfId="105" priority="7" operator="equal">
      <formula>#REF!</formula>
    </cfRule>
    <cfRule type="cellIs" dxfId="104" priority="8" operator="equal">
      <formula>#REF!</formula>
    </cfRule>
  </conditionalFormatting>
  <conditionalFormatting sqref="Y4:AC4">
    <cfRule type="cellIs" dxfId="103" priority="1" operator="equal">
      <formula>#REF!</formula>
    </cfRule>
    <cfRule type="cellIs" dxfId="102" priority="2" operator="equal">
      <formula>#REF!</formula>
    </cfRule>
    <cfRule type="cellIs" dxfId="101" priority="3" operator="equal">
      <formula>#REF!</formula>
    </cfRule>
    <cfRule type="cellIs" dxfId="100" priority="4" operator="equal">
      <formula>#REF!</formula>
    </cfRule>
  </conditionalFormatting>
  <pageMargins left="0.7" right="0.7" top="0.75" bottom="0.75" header="0.3" footer="0.3"/>
  <pageSetup paperSize="3" orientation="landscape" horizontalDpi="1200" verticalDpi="1200" r:id="rId1"/>
  <headerFooter>
    <oddHeader>&amp;C&amp;"Calibri,Regular"&amp;K000000OVERALL DRAW</oddHeader>
    <oddFooter>&amp;C&amp;"Calibri,Regular"&amp;K000000PAGE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F918B-CC37-4827-B7E5-10A61794780E}">
  <sheetPr>
    <tabColor theme="6" tint="-0.249977111117893"/>
    <pageSetUpPr fitToPage="1"/>
  </sheetPr>
  <dimension ref="B1:I91"/>
  <sheetViews>
    <sheetView showGridLines="0" topLeftCell="A58" zoomScaleNormal="100" zoomScaleSheetLayoutView="90" workbookViewId="0">
      <selection activeCell="C90" sqref="C90"/>
    </sheetView>
  </sheetViews>
  <sheetFormatPr defaultColWidth="8.85546875" defaultRowHeight="23.25" customHeight="1"/>
  <cols>
    <col min="1" max="1" width="4.42578125" style="7" customWidth="1"/>
    <col min="2" max="2" width="37.85546875" style="7" customWidth="1"/>
    <col min="3" max="3" width="26.42578125" style="7" bestFit="1" customWidth="1"/>
    <col min="4" max="4" width="23.42578125" style="7" bestFit="1" customWidth="1"/>
    <col min="5" max="5" width="35" style="7" bestFit="1" customWidth="1"/>
    <col min="6" max="6" width="22.7109375" style="7" customWidth="1"/>
    <col min="7" max="7" width="26.140625" style="7" customWidth="1"/>
    <col min="8" max="8" width="13.140625" style="7" bestFit="1" customWidth="1"/>
    <col min="9" max="9" width="24.5703125" style="7" customWidth="1"/>
    <col min="10" max="10" width="32.42578125" style="7" customWidth="1"/>
    <col min="11" max="11" width="20.140625" style="7" customWidth="1"/>
    <col min="12" max="16384" width="8.85546875" style="7"/>
  </cols>
  <sheetData>
    <row r="1" spans="2:7" ht="23.25" customHeight="1" thickBot="1">
      <c r="B1" s="3"/>
      <c r="C1" s="4"/>
      <c r="D1" s="5"/>
      <c r="E1" s="6"/>
    </row>
    <row r="2" spans="2:7" ht="16.5" thickBot="1">
      <c r="B2" s="1586" t="s">
        <v>108</v>
      </c>
      <c r="C2" s="1587"/>
      <c r="D2" s="1587"/>
      <c r="E2" s="1578" t="str">
        <f>'Development Program'!B6</f>
        <v>Yesler Hotel</v>
      </c>
      <c r="F2" s="1579"/>
    </row>
    <row r="3" spans="2:7" ht="13.5" thickBot="1">
      <c r="B3" s="660"/>
      <c r="C3" s="661"/>
      <c r="D3" s="661"/>
      <c r="E3" s="768">
        <v>0</v>
      </c>
      <c r="F3" s="769" t="s">
        <v>244</v>
      </c>
    </row>
    <row r="4" spans="2:7" ht="13.5" thickBot="1">
      <c r="B4" s="539" t="s">
        <v>110</v>
      </c>
      <c r="C4" s="540" t="s">
        <v>111</v>
      </c>
      <c r="D4" s="541" t="s">
        <v>271</v>
      </c>
      <c r="E4" s="593">
        <v>0.75</v>
      </c>
      <c r="F4" s="542" t="s">
        <v>113</v>
      </c>
    </row>
    <row r="5" spans="2:7" ht="12.75">
      <c r="B5" s="1481">
        <v>300</v>
      </c>
      <c r="C5" s="220">
        <v>100</v>
      </c>
      <c r="D5" s="477">
        <v>245</v>
      </c>
      <c r="E5" s="477">
        <f>30.5*(C5*D5)*$E$4*(1+$E$3)</f>
        <v>560437.5</v>
      </c>
      <c r="F5" s="766">
        <f>12*E5</f>
        <v>6725250</v>
      </c>
    </row>
    <row r="6" spans="2:7" ht="12.75">
      <c r="B6" s="1480">
        <v>350</v>
      </c>
      <c r="C6" s="215">
        <v>45</v>
      </c>
      <c r="D6" s="450">
        <v>300</v>
      </c>
      <c r="E6" s="450">
        <f>30.5*(C6*D6)*$E$4*(1+$E$3)</f>
        <v>308812.5</v>
      </c>
      <c r="F6" s="529">
        <f t="shared" ref="F6:F7" si="0">12*E6</f>
        <v>3705750</v>
      </c>
    </row>
    <row r="7" spans="2:7" ht="13.5" thickBot="1">
      <c r="B7" s="1479">
        <v>400</v>
      </c>
      <c r="C7" s="220">
        <v>40</v>
      </c>
      <c r="D7" s="450">
        <v>350</v>
      </c>
      <c r="E7" s="450">
        <f>30.5*(C7*D7)*$E$4*(1+$E$3)</f>
        <v>320250</v>
      </c>
      <c r="F7" s="727">
        <f t="shared" si="0"/>
        <v>3843000</v>
      </c>
      <c r="G7" s="459"/>
    </row>
    <row r="8" spans="2:7" ht="14.25" thickTop="1" thickBot="1">
      <c r="B8" s="13" t="s">
        <v>115</v>
      </c>
      <c r="C8" s="14">
        <f>SUM(C5:C7)</f>
        <v>185</v>
      </c>
      <c r="D8" s="15">
        <f>C5*B5+C6*B6+C7*B7</f>
        <v>61750</v>
      </c>
      <c r="E8" s="594"/>
      <c r="F8" s="767">
        <f>SUM(F5:F7)</f>
        <v>14274000</v>
      </c>
      <c r="G8" s="30"/>
    </row>
    <row r="9" spans="2:7" ht="14.25" thickTop="1" thickBot="1">
      <c r="B9" s="17" t="s">
        <v>116</v>
      </c>
      <c r="C9" s="19">
        <f>D8/C8</f>
        <v>333.7837837837838</v>
      </c>
      <c r="D9" s="770">
        <f>(D5*C5 + D6*C6 + D7*C7)/C8</f>
        <v>281.08108108108109</v>
      </c>
      <c r="E9" s="20"/>
      <c r="F9" s="584"/>
    </row>
    <row r="10" spans="2:7" ht="13.5" thickBot="1">
      <c r="B10" s="35"/>
      <c r="C10" s="723"/>
      <c r="D10" s="36"/>
      <c r="E10" s="37"/>
    </row>
    <row r="11" spans="2:7" ht="12.75">
      <c r="B11" s="731" t="s">
        <v>117</v>
      </c>
      <c r="C11" s="691" t="s">
        <v>118</v>
      </c>
      <c r="D11" s="691" t="s">
        <v>119</v>
      </c>
      <c r="E11" s="651" t="s">
        <v>113</v>
      </c>
    </row>
    <row r="12" spans="2:7" ht="13.5" thickBot="1">
      <c r="B12" s="227" t="s">
        <v>458</v>
      </c>
      <c r="C12" s="228">
        <v>27130</v>
      </c>
      <c r="D12" s="476">
        <f>Assumptions!I12</f>
        <v>37</v>
      </c>
      <c r="E12" s="742">
        <f>C12*D12</f>
        <v>1003810</v>
      </c>
    </row>
    <row r="13" spans="2:7" ht="14.25" thickTop="1" thickBot="1">
      <c r="B13" s="33" t="s">
        <v>120</v>
      </c>
      <c r="C13" s="553">
        <f>SUM(C12:C12)</f>
        <v>27130</v>
      </c>
      <c r="D13" s="743">
        <f>IF(C13=0,0,E13/C13)</f>
        <v>37</v>
      </c>
      <c r="E13" s="729">
        <f>SUM(E12:E12)</f>
        <v>1003810</v>
      </c>
      <c r="F13" s="30"/>
      <c r="G13" s="773"/>
    </row>
    <row r="14" spans="2:7" ht="13.5" thickBot="1">
      <c r="B14" s="35"/>
      <c r="C14" s="744"/>
      <c r="D14" s="31"/>
      <c r="E14" s="32"/>
      <c r="F14" s="30"/>
    </row>
    <row r="15" spans="2:7" ht="12.75">
      <c r="B15" s="233" t="s">
        <v>245</v>
      </c>
      <c r="C15" s="231"/>
      <c r="D15" s="1546" t="s">
        <v>433</v>
      </c>
      <c r="E15" s="1547"/>
      <c r="F15" s="1548"/>
    </row>
    <row r="16" spans="2:7" ht="13.5" thickBot="1">
      <c r="B16" s="200" t="s">
        <v>246</v>
      </c>
      <c r="C16" s="735">
        <f>ROUND(C8/4,0)</f>
        <v>46</v>
      </c>
      <c r="D16" s="1549"/>
      <c r="E16" s="1550"/>
      <c r="F16" s="1551"/>
    </row>
    <row r="17" spans="2:9" ht="14.25" thickTop="1" thickBot="1">
      <c r="B17" s="33" t="s">
        <v>124</v>
      </c>
      <c r="C17" s="736">
        <f>SUM(C16:C16)</f>
        <v>46</v>
      </c>
      <c r="D17" s="1552"/>
      <c r="E17" s="1553"/>
      <c r="F17" s="1554"/>
    </row>
    <row r="18" spans="2:9" ht="13.5" thickBot="1">
      <c r="B18" s="35"/>
      <c r="C18" s="744"/>
      <c r="D18" s="31"/>
      <c r="E18" s="32"/>
      <c r="F18" s="737"/>
    </row>
    <row r="19" spans="2:9" ht="12.75">
      <c r="B19" s="732" t="s">
        <v>125</v>
      </c>
      <c r="C19" s="738" t="str">
        <f>E2</f>
        <v>Yesler Hotel</v>
      </c>
      <c r="D19" s="31"/>
      <c r="E19" s="35"/>
      <c r="F19" s="35"/>
    </row>
    <row r="20" spans="2:9" ht="12.75">
      <c r="B20" s="234" t="s">
        <v>126</v>
      </c>
      <c r="C20" s="739">
        <f>'Development Program'!D6</f>
        <v>102680</v>
      </c>
      <c r="D20" s="36"/>
      <c r="E20" s="37"/>
      <c r="F20" s="35"/>
    </row>
    <row r="21" spans="2:9" ht="12.75">
      <c r="B21" s="234" t="s">
        <v>247</v>
      </c>
      <c r="C21" s="739">
        <f>D8+C13</f>
        <v>88880</v>
      </c>
      <c r="D21" s="36"/>
      <c r="E21" s="37"/>
      <c r="F21" s="35"/>
    </row>
    <row r="22" spans="2:9" ht="12.75">
      <c r="B22" s="236">
        <v>300</v>
      </c>
      <c r="C22" s="739">
        <f>C17*B22</f>
        <v>13800</v>
      </c>
      <c r="D22" s="36"/>
      <c r="E22" s="37"/>
      <c r="F22" s="35"/>
    </row>
    <row r="23" spans="2:9" ht="12.75">
      <c r="B23" s="359">
        <v>0.2</v>
      </c>
      <c r="C23" s="739">
        <f>(1+B23)*(C21+C22)</f>
        <v>123216</v>
      </c>
      <c r="D23" s="36"/>
      <c r="E23" s="37"/>
      <c r="F23" s="35"/>
    </row>
    <row r="24" spans="2:9" ht="13.5" thickBot="1">
      <c r="B24" s="360">
        <v>10</v>
      </c>
      <c r="C24" s="740">
        <f>C23/B24</f>
        <v>12321.6</v>
      </c>
      <c r="D24" s="36"/>
      <c r="E24" s="37"/>
      <c r="F24" s="35"/>
    </row>
    <row r="25" spans="2:9" ht="13.5" thickBot="1">
      <c r="B25" s="772"/>
      <c r="C25" s="721"/>
      <c r="D25" s="36"/>
      <c r="E25" s="37"/>
      <c r="F25" s="35"/>
    </row>
    <row r="26" spans="2:9" ht="15" customHeight="1" thickBot="1">
      <c r="B26" s="1580" t="s">
        <v>128</v>
      </c>
      <c r="C26" s="1581"/>
      <c r="D26" s="1581"/>
      <c r="E26" s="779" t="str">
        <f>E2</f>
        <v>Yesler Hotel</v>
      </c>
      <c r="F26" s="35"/>
    </row>
    <row r="27" spans="2:9" ht="13.5" thickBot="1">
      <c r="B27" s="643" t="s">
        <v>129</v>
      </c>
      <c r="C27" s="691"/>
      <c r="D27" s="691"/>
      <c r="E27" s="651" t="s">
        <v>170</v>
      </c>
      <c r="F27" s="1013"/>
    </row>
    <row r="28" spans="2:9" ht="12.75">
      <c r="B28" s="241" t="s">
        <v>331</v>
      </c>
      <c r="C28" s="595"/>
      <c r="D28" s="596"/>
      <c r="E28" s="692">
        <f>F8</f>
        <v>14274000</v>
      </c>
      <c r="F28" s="1014"/>
    </row>
    <row r="29" spans="2:9" ht="12.75">
      <c r="B29" s="451" t="str">
        <f>B12</f>
        <v>Retail/Dining/Event Space/Other</v>
      </c>
      <c r="C29" s="507"/>
      <c r="D29" s="774"/>
      <c r="E29" s="632">
        <f>E13</f>
        <v>1003810</v>
      </c>
      <c r="F29" s="1194"/>
    </row>
    <row r="30" spans="2:9" ht="13.5" thickBot="1">
      <c r="B30" s="775" t="s">
        <v>248</v>
      </c>
      <c r="C30" s="776">
        <f>Assumptions!L34</f>
        <v>35</v>
      </c>
      <c r="D30" s="777">
        <v>0.95</v>
      </c>
      <c r="E30" s="475">
        <f>C30*C16*D30*365</f>
        <v>558267.5</v>
      </c>
      <c r="F30" s="1194"/>
      <c r="I30" s="72"/>
    </row>
    <row r="31" spans="2:9" ht="14.25" thickTop="1" thickBot="1">
      <c r="B31" s="250" t="s">
        <v>140</v>
      </c>
      <c r="C31" s="44"/>
      <c r="D31" s="816"/>
      <c r="E31" s="815">
        <f>E28+E29+E30</f>
        <v>15836077.5</v>
      </c>
      <c r="F31" s="35"/>
      <c r="I31" s="60"/>
    </row>
    <row r="32" spans="2:9" ht="12.75">
      <c r="B32" s="10" t="s">
        <v>141</v>
      </c>
      <c r="C32" s="11"/>
      <c r="D32" s="11"/>
      <c r="E32" s="46" t="s">
        <v>170</v>
      </c>
      <c r="F32" s="35"/>
      <c r="I32" s="60"/>
    </row>
    <row r="33" spans="2:7" ht="13.5" thickBot="1">
      <c r="B33" s="636" t="s">
        <v>143</v>
      </c>
      <c r="C33" s="48"/>
      <c r="D33" s="778">
        <f>Assumptions!I16</f>
        <v>0.6</v>
      </c>
      <c r="E33" s="637">
        <f>-D33*(E28+E30)</f>
        <v>-8899360.5</v>
      </c>
      <c r="F33" s="35"/>
      <c r="G33" s="70"/>
    </row>
    <row r="34" spans="2:7" ht="13.5" thickBot="1">
      <c r="B34" s="647" t="s">
        <v>144</v>
      </c>
      <c r="C34" s="648">
        <f>E34/C8</f>
        <v>37495.767567567571</v>
      </c>
      <c r="D34" s="649"/>
      <c r="E34" s="650">
        <f>E31+E33</f>
        <v>6936717</v>
      </c>
      <c r="F34" s="1014"/>
    </row>
    <row r="35" spans="2:7" ht="13.5" thickBot="1">
      <c r="B35" s="780" t="s">
        <v>145</v>
      </c>
      <c r="C35" s="786" t="s">
        <v>338</v>
      </c>
      <c r="D35" s="781">
        <f>Assumptions!L10</f>
        <v>7.4999999999999997E-2</v>
      </c>
      <c r="E35" s="782">
        <f>E34/D35</f>
        <v>92489560</v>
      </c>
      <c r="F35" s="988"/>
      <c r="G35" s="70"/>
    </row>
    <row r="36" spans="2:7" ht="13.5" thickBot="1">
      <c r="B36" s="1582" t="s">
        <v>147</v>
      </c>
      <c r="C36" s="1583"/>
      <c r="D36" s="1583"/>
      <c r="E36" s="785" t="str">
        <f>E2</f>
        <v>Yesler Hotel</v>
      </c>
      <c r="G36" s="72"/>
    </row>
    <row r="37" spans="2:7" ht="13.5" thickBot="1">
      <c r="B37" s="693"/>
      <c r="C37" s="541" t="s">
        <v>148</v>
      </c>
      <c r="D37" s="541" t="s">
        <v>149</v>
      </c>
      <c r="E37" s="668" t="s">
        <v>339</v>
      </c>
      <c r="G37" s="60"/>
    </row>
    <row r="38" spans="2:7" ht="12.75">
      <c r="B38" s="458" t="s">
        <v>253</v>
      </c>
      <c r="C38" s="783">
        <v>325</v>
      </c>
      <c r="D38" s="638">
        <f>C38*(D8+C13)</f>
        <v>28886000</v>
      </c>
      <c r="E38" s="787">
        <f>D38/$C$8</f>
        <v>156140.54054054053</v>
      </c>
    </row>
    <row r="39" spans="2:7" ht="12.75">
      <c r="B39" s="458" t="s">
        <v>151</v>
      </c>
      <c r="C39" s="1033">
        <f>Assumptions!L29</f>
        <v>30000</v>
      </c>
      <c r="D39" s="638">
        <f>C39*C17</f>
        <v>1380000</v>
      </c>
      <c r="E39" s="602">
        <f>D39/$C$8</f>
        <v>7459.4594594594591</v>
      </c>
    </row>
    <row r="40" spans="2:7" ht="12.75">
      <c r="B40" s="458" t="s">
        <v>19</v>
      </c>
      <c r="C40" s="514">
        <v>0.08</v>
      </c>
      <c r="D40" s="638">
        <f>C40*D38</f>
        <v>2310880</v>
      </c>
      <c r="E40" s="602">
        <f>D40/$C$8</f>
        <v>12491.243243243243</v>
      </c>
    </row>
    <row r="41" spans="2:7" ht="12.75">
      <c r="B41" s="458" t="s">
        <v>400</v>
      </c>
      <c r="C41" s="1023">
        <v>7</v>
      </c>
      <c r="D41" s="638">
        <f>C41*C20</f>
        <v>718760</v>
      </c>
      <c r="E41" s="602">
        <f>D41/$C$8</f>
        <v>3885.1891891891892</v>
      </c>
    </row>
    <row r="42" spans="2:7" ht="12.75">
      <c r="B42" s="458" t="s">
        <v>152</v>
      </c>
      <c r="C42" s="639" t="s">
        <v>153</v>
      </c>
      <c r="D42" s="638">
        <v>8000000</v>
      </c>
      <c r="E42" s="602">
        <f>D42/$C$8</f>
        <v>43243.24324324324</v>
      </c>
    </row>
    <row r="43" spans="2:7" ht="12.75">
      <c r="B43" s="458" t="s">
        <v>20</v>
      </c>
      <c r="C43" s="1362">
        <v>1500</v>
      </c>
      <c r="D43" s="638">
        <f>C8*C43</f>
        <v>277500</v>
      </c>
      <c r="E43" s="787">
        <f>D43/C8</f>
        <v>1500</v>
      </c>
    </row>
    <row r="44" spans="2:7" ht="12.75">
      <c r="B44" s="458" t="s">
        <v>154</v>
      </c>
      <c r="C44" s="518" t="s">
        <v>155</v>
      </c>
      <c r="D44" s="638">
        <f>'Development Program'!J20</f>
        <v>1000000</v>
      </c>
      <c r="E44" s="602">
        <f>D44/$C$8</f>
        <v>5405.405405405405</v>
      </c>
    </row>
    <row r="45" spans="2:7" ht="12.75">
      <c r="B45" s="712" t="s">
        <v>23</v>
      </c>
      <c r="C45" s="518" t="s">
        <v>24</v>
      </c>
      <c r="D45" s="263">
        <v>500000</v>
      </c>
      <c r="E45" s="602">
        <f t="shared" ref="E45:E46" si="1">D45/$C$8</f>
        <v>2702.7027027027025</v>
      </c>
    </row>
    <row r="46" spans="2:7" ht="12.75">
      <c r="B46" s="712" t="s">
        <v>25</v>
      </c>
      <c r="C46" s="1025">
        <v>1.4999999999999999E-2</v>
      </c>
      <c r="D46" s="263">
        <f>C46*D42</f>
        <v>120000</v>
      </c>
      <c r="E46" s="602">
        <f t="shared" si="1"/>
        <v>648.64864864864865</v>
      </c>
      <c r="F46" s="54"/>
    </row>
    <row r="47" spans="2:7" ht="12.75">
      <c r="B47" s="712" t="s">
        <v>26</v>
      </c>
      <c r="C47" s="515">
        <v>0.03</v>
      </c>
      <c r="D47" s="263">
        <f>C47*(D38+D40)</f>
        <v>935906.4</v>
      </c>
      <c r="E47" s="602">
        <f>D47/$C$8</f>
        <v>5058.9535135135138</v>
      </c>
      <c r="G47" s="70"/>
    </row>
    <row r="48" spans="2:7" ht="12.75">
      <c r="B48" s="712" t="s">
        <v>27</v>
      </c>
      <c r="C48" s="521">
        <v>0.03</v>
      </c>
      <c r="D48" s="263">
        <f>C48*SUM(D38:D47)</f>
        <v>1323871.392</v>
      </c>
      <c r="E48" s="602">
        <f>D48/$C$8</f>
        <v>7156.0615783783787</v>
      </c>
    </row>
    <row r="49" spans="2:8" ht="12.75">
      <c r="B49" s="712" t="s">
        <v>28</v>
      </c>
      <c r="C49" s="515">
        <v>0.02</v>
      </c>
      <c r="D49" s="263">
        <f>C49*(D38+D40+D41)</f>
        <v>638312.80000000005</v>
      </c>
      <c r="E49" s="602">
        <f t="shared" ref="E49:E59" si="2">D49/$C$8</f>
        <v>3450.3394594594597</v>
      </c>
    </row>
    <row r="50" spans="2:8" ht="12.75">
      <c r="B50" s="712" t="s">
        <v>398</v>
      </c>
      <c r="C50" s="1180">
        <v>9.0500000000000008E-3</v>
      </c>
      <c r="D50" s="263">
        <f>C50*D42*2</f>
        <v>144800</v>
      </c>
      <c r="E50" s="602">
        <f t="shared" si="2"/>
        <v>782.70270270270271</v>
      </c>
    </row>
    <row r="51" spans="2:8" ht="12.75">
      <c r="B51" s="712" t="s">
        <v>30</v>
      </c>
      <c r="C51" s="639">
        <v>2</v>
      </c>
      <c r="D51" s="263">
        <f>C51*C21</f>
        <v>177760</v>
      </c>
      <c r="E51" s="602">
        <f t="shared" si="2"/>
        <v>960.8648648648649</v>
      </c>
    </row>
    <row r="52" spans="2:8" ht="12.75">
      <c r="B52" s="712" t="s">
        <v>31</v>
      </c>
      <c r="C52" s="639">
        <v>2</v>
      </c>
      <c r="D52" s="263">
        <f>C52*C21</f>
        <v>177760</v>
      </c>
      <c r="E52" s="602">
        <f t="shared" si="2"/>
        <v>960.8648648648649</v>
      </c>
    </row>
    <row r="53" spans="2:8" ht="12.75">
      <c r="B53" s="712" t="s">
        <v>32</v>
      </c>
      <c r="C53" s="516">
        <v>6</v>
      </c>
      <c r="D53" s="263">
        <f>-C53*(E33/12)</f>
        <v>4449680.25</v>
      </c>
      <c r="E53" s="602">
        <f t="shared" si="2"/>
        <v>24052.325675675675</v>
      </c>
    </row>
    <row r="54" spans="2:8" ht="12.75">
      <c r="B54" s="712" t="s">
        <v>227</v>
      </c>
      <c r="C54" s="1189">
        <v>0.15</v>
      </c>
      <c r="D54" s="263">
        <f ca="1">C54*D58</f>
        <v>433237.01286309259</v>
      </c>
      <c r="E54" s="602">
        <f t="shared" ca="1" si="2"/>
        <v>2341.8216911518521</v>
      </c>
    </row>
    <row r="55" spans="2:8" ht="12.75">
      <c r="B55" s="712" t="s">
        <v>157</v>
      </c>
      <c r="C55" s="784">
        <v>150</v>
      </c>
      <c r="D55" s="263">
        <f>C13*C55</f>
        <v>4069500</v>
      </c>
      <c r="E55" s="602">
        <f t="shared" si="2"/>
        <v>21997.297297297297</v>
      </c>
    </row>
    <row r="56" spans="2:8" ht="12.75">
      <c r="B56" s="712" t="s">
        <v>158</v>
      </c>
      <c r="C56" s="1031">
        <v>0.06</v>
      </c>
      <c r="D56" s="263">
        <f>C56*E13*10</f>
        <v>602286</v>
      </c>
      <c r="E56" s="602">
        <f t="shared" si="2"/>
        <v>3255.6</v>
      </c>
    </row>
    <row r="57" spans="2:8" ht="12.75">
      <c r="B57" s="712" t="s">
        <v>35</v>
      </c>
      <c r="C57" s="523">
        <v>1.4999999999999999E-2</v>
      </c>
      <c r="D57" s="263">
        <f ca="1">C57*C70</f>
        <v>541546.26607886574</v>
      </c>
      <c r="E57" s="602">
        <f t="shared" ca="1" si="2"/>
        <v>2927.2771139398146</v>
      </c>
      <c r="F57" s="1320"/>
      <c r="G57" s="461"/>
      <c r="H57" s="60"/>
    </row>
    <row r="58" spans="2:8" ht="12.95" customHeight="1">
      <c r="B58" s="713" t="s">
        <v>36</v>
      </c>
      <c r="C58" s="640">
        <v>0.08</v>
      </c>
      <c r="D58" s="263">
        <f ca="1">C58*C70</f>
        <v>2888246.7524206173</v>
      </c>
      <c r="E58" s="602">
        <f t="shared" ca="1" si="2"/>
        <v>15612.144607679013</v>
      </c>
      <c r="F58" s="1320"/>
      <c r="G58" s="461"/>
      <c r="H58" s="72"/>
    </row>
    <row r="59" spans="2:8" ht="13.5" thickBot="1">
      <c r="B59" s="714" t="s">
        <v>159</v>
      </c>
      <c r="C59" s="1034">
        <v>0.01</v>
      </c>
      <c r="D59" s="751">
        <f ca="1">C59*SUM(D38:D58)</f>
        <v>595760.46873362572</v>
      </c>
      <c r="E59" s="475">
        <f t="shared" ca="1" si="2"/>
        <v>3220.3268580195986</v>
      </c>
      <c r="F59" s="72"/>
    </row>
    <row r="60" spans="2:8" ht="14.25" thickTop="1" thickBot="1">
      <c r="B60" s="748" t="s">
        <v>160</v>
      </c>
      <c r="C60" s="749"/>
      <c r="D60" s="44">
        <f ca="1">SUM(D38:D59)</f>
        <v>60171807.342096195</v>
      </c>
      <c r="E60" s="750">
        <f ca="1">ROUND(D60/$C$8,-3)</f>
        <v>325000</v>
      </c>
    </row>
    <row r="61" spans="2:8" ht="12.75">
      <c r="B61" s="531" t="s">
        <v>161</v>
      </c>
      <c r="C61" s="532">
        <f ca="1">E34/D60</f>
        <v>0.11528184554209116</v>
      </c>
    </row>
    <row r="62" spans="2:8" ht="12.75">
      <c r="B62" s="272" t="s">
        <v>162</v>
      </c>
      <c r="C62" s="273">
        <f ca="1">(E35/D60)-1</f>
        <v>0.5370912738945488</v>
      </c>
      <c r="D62" s="59"/>
      <c r="E62" s="60"/>
    </row>
    <row r="63" spans="2:8" ht="13.5" thickBot="1">
      <c r="B63" s="788">
        <v>0.2</v>
      </c>
      <c r="C63" s="275">
        <f>(E35/(1+B63))</f>
        <v>77074633.333333343</v>
      </c>
    </row>
    <row r="64" spans="2:8" ht="13.5" thickBot="1">
      <c r="B64" s="789">
        <v>0.3</v>
      </c>
      <c r="C64" s="590">
        <f ca="1">ROUND((E35/(1+B64))-D60,-3)</f>
        <v>10974000</v>
      </c>
      <c r="D64" s="61" t="s">
        <v>163</v>
      </c>
    </row>
    <row r="65" spans="2:6" ht="13.5" thickBot="1">
      <c r="B65" s="62"/>
      <c r="C65" s="63"/>
    </row>
    <row r="66" spans="2:6" ht="15" customHeight="1" thickBot="1">
      <c r="B66" s="1584" t="s">
        <v>164</v>
      </c>
      <c r="C66" s="1585"/>
      <c r="D66" s="824" t="str">
        <f>E2</f>
        <v>Yesler Hotel</v>
      </c>
    </row>
    <row r="67" spans="2:6" ht="12.75">
      <c r="B67" s="599"/>
      <c r="C67" s="597" t="s">
        <v>165</v>
      </c>
      <c r="D67" s="598" t="s">
        <v>130</v>
      </c>
    </row>
    <row r="68" spans="2:6" ht="12.75">
      <c r="B68" s="600" t="s">
        <v>166</v>
      </c>
      <c r="C68" s="223">
        <f ca="1">IF(C64&lt;0,C64,0)</f>
        <v>0</v>
      </c>
      <c r="D68" s="530">
        <f ca="1">C68/C8</f>
        <v>0</v>
      </c>
    </row>
    <row r="69" spans="2:6" ht="12.75">
      <c r="B69" s="600" t="s">
        <v>167</v>
      </c>
      <c r="C69" s="223">
        <f ca="1">D60+C68</f>
        <v>60171807.342096195</v>
      </c>
      <c r="D69" s="530">
        <f ca="1">C69/C8</f>
        <v>325253.0126599794</v>
      </c>
    </row>
    <row r="70" spans="2:6" ht="12.75">
      <c r="B70" s="601">
        <f>Assumptions!L18</f>
        <v>0.6</v>
      </c>
      <c r="C70" s="248">
        <f ca="1">B70*D$60</f>
        <v>36103084.405257717</v>
      </c>
      <c r="D70" s="602">
        <f ca="1">C70/C8</f>
        <v>195151.80759598766</v>
      </c>
    </row>
    <row r="71" spans="2:6" ht="13.5" thickBot="1">
      <c r="B71" s="281">
        <f>1-B70</f>
        <v>0.4</v>
      </c>
      <c r="C71" s="267">
        <f ca="1">B71*D$60</f>
        <v>24068722.936838478</v>
      </c>
      <c r="D71" s="475">
        <f ca="1">C71/C8</f>
        <v>130101.20506399177</v>
      </c>
      <c r="E71" s="60"/>
    </row>
    <row r="72" spans="2:6" ht="14.25" thickTop="1" thickBot="1">
      <c r="B72" s="603" t="s">
        <v>168</v>
      </c>
      <c r="C72" s="604">
        <f ca="1">C70+C71</f>
        <v>60171807.342096195</v>
      </c>
      <c r="D72" s="605">
        <f ca="1">ROUND((D71+D70),-3)</f>
        <v>325000</v>
      </c>
    </row>
    <row r="73" spans="2:6" ht="13.5" thickBot="1">
      <c r="B73" s="155"/>
      <c r="C73" s="155"/>
      <c r="D73" s="615"/>
    </row>
    <row r="74" spans="2:6" ht="15" customHeight="1" thickBot="1">
      <c r="B74" s="762" t="s">
        <v>169</v>
      </c>
      <c r="C74" s="763" t="str">
        <f>E2</f>
        <v>Yesler Hotel</v>
      </c>
    </row>
    <row r="75" spans="2:6" ht="13.5" thickBot="1">
      <c r="B75" s="68"/>
      <c r="C75" s="652" t="s">
        <v>170</v>
      </c>
      <c r="D75" s="597"/>
    </row>
    <row r="76" spans="2:6" ht="12.75">
      <c r="B76" s="644" t="s">
        <v>171</v>
      </c>
      <c r="C76" s="287">
        <f>ROUND(E35,-2)</f>
        <v>92489600</v>
      </c>
      <c r="D76" s="791"/>
    </row>
    <row r="77" spans="2:6" ht="13.5" thickBot="1">
      <c r="B77" s="406">
        <f>Assumptions!L14</f>
        <v>0.03</v>
      </c>
      <c r="C77" s="289">
        <f>(-ROUND(B77*C76,-2))</f>
        <v>-2774700</v>
      </c>
      <c r="D77" s="791"/>
    </row>
    <row r="78" spans="2:6" ht="14.25" thickTop="1" thickBot="1">
      <c r="B78" s="291" t="s">
        <v>172</v>
      </c>
      <c r="C78" s="178">
        <f>C76+C77</f>
        <v>89714900</v>
      </c>
      <c r="D78" s="791"/>
      <c r="F78" s="70"/>
    </row>
    <row r="79" spans="2:6" ht="12.75">
      <c r="B79" s="644" t="s">
        <v>173</v>
      </c>
      <c r="C79" s="287">
        <f ca="1">-C70</f>
        <v>-36103084.405257717</v>
      </c>
      <c r="D79" s="791"/>
    </row>
    <row r="80" spans="2:6" ht="13.5" thickBot="1">
      <c r="B80" s="292" t="s">
        <v>174</v>
      </c>
      <c r="C80" s="293">
        <f ca="1">-C71</f>
        <v>-24068722.936838478</v>
      </c>
      <c r="D80" s="791"/>
    </row>
    <row r="81" spans="2:5" ht="14.25" thickTop="1" thickBot="1">
      <c r="B81" s="87" t="s">
        <v>175</v>
      </c>
      <c r="C81" s="179">
        <f ca="1">ROUND(C78+C79+C80,-2)</f>
        <v>29543100</v>
      </c>
      <c r="D81" s="792"/>
      <c r="E81" s="72"/>
    </row>
    <row r="82" spans="2:5" ht="15.75" customHeight="1" thickBot="1">
      <c r="B82" s="1542" t="s">
        <v>176</v>
      </c>
      <c r="C82" s="1543"/>
      <c r="D82" s="793"/>
    </row>
    <row r="83" spans="2:5" ht="12.75">
      <c r="B83" s="294" t="s">
        <v>177</v>
      </c>
      <c r="C83" s="295">
        <f>ROUND((C76)/C$8,-2)</f>
        <v>499900</v>
      </c>
      <c r="D83" s="794"/>
    </row>
    <row r="84" spans="2:5" ht="13.5" thickBot="1">
      <c r="B84" s="296" t="s">
        <v>178</v>
      </c>
      <c r="C84" s="297">
        <f>ROUND((C78)/C$8,-2)</f>
        <v>484900</v>
      </c>
      <c r="D84" s="795"/>
    </row>
    <row r="85" spans="2:5" ht="15" customHeight="1" thickBot="1">
      <c r="B85" s="1544" t="s">
        <v>179</v>
      </c>
      <c r="C85" s="1545"/>
      <c r="D85" s="793"/>
    </row>
    <row r="86" spans="2:5" ht="12.75">
      <c r="B86" s="74"/>
      <c r="C86" s="652" t="s">
        <v>170</v>
      </c>
      <c r="D86" s="597"/>
    </row>
    <row r="87" spans="2:5" ht="12.75">
      <c r="B87" s="298" t="s">
        <v>340</v>
      </c>
      <c r="C87" s="299">
        <f ca="1">(C81+C71)/C71</f>
        <v>2.2274477577197374</v>
      </c>
      <c r="D87" s="790"/>
    </row>
    <row r="88" spans="2:5" ht="12.75">
      <c r="B88" s="300" t="s">
        <v>330</v>
      </c>
      <c r="C88" s="606">
        <f ca="1">'Yesler DRAW'!B44</f>
        <v>0.15648643897668135</v>
      </c>
      <c r="D88" s="796"/>
      <c r="E88" s="75"/>
    </row>
    <row r="89" spans="2:5" ht="12.75">
      <c r="B89" s="300" t="s">
        <v>181</v>
      </c>
      <c r="C89" s="606">
        <f ca="1">'Yesler DRAW'!B39</f>
        <v>0.24259935838526325</v>
      </c>
      <c r="D89" s="796"/>
      <c r="E89" s="75"/>
    </row>
    <row r="90" spans="2:5" ht="12.75">
      <c r="B90" s="298" t="s">
        <v>182</v>
      </c>
      <c r="C90" s="301">
        <f ca="1">E34/C70</f>
        <v>0.1921364092368186</v>
      </c>
      <c r="D90" s="797"/>
    </row>
    <row r="91" spans="2:5" ht="13.5" thickBot="1">
      <c r="B91" s="764" t="s">
        <v>183</v>
      </c>
      <c r="C91" s="799">
        <f>D35</f>
        <v>7.4999999999999997E-2</v>
      </c>
      <c r="D91" s="798"/>
    </row>
  </sheetData>
  <mergeCells count="8">
    <mergeCell ref="B85:C85"/>
    <mergeCell ref="E2:F2"/>
    <mergeCell ref="B26:D26"/>
    <mergeCell ref="B36:D36"/>
    <mergeCell ref="B66:C66"/>
    <mergeCell ref="B2:D2"/>
    <mergeCell ref="B82:C82"/>
    <mergeCell ref="D15:F17"/>
  </mergeCells>
  <printOptions horizontalCentered="1" verticalCentered="1"/>
  <pageMargins left="0.7" right="0.7" top="0.75" bottom="0.75" header="0.3" footer="0.3"/>
  <pageSetup scale="84" fitToHeight="0" orientation="landscape" horizontalDpi="4294967292" verticalDpi="4294967292" r:id="rId1"/>
  <headerFooter>
    <oddHeader>&amp;C&amp;"Times New Roman Bold,Bold"&amp;14&amp;K000000INVESTOR SHEET</oddHeader>
    <oddFooter>&amp;CPage &amp;P of &amp;N</oddFooter>
  </headerFooter>
  <rowBreaks count="2" manualBreakCount="2">
    <brk id="25" min="1" max="5" man="1"/>
    <brk id="60" min="1" max="5" man="1"/>
  </rowBreaks>
  <ignoredErrors>
    <ignoredError sqref="D13 E43" formula="1"/>
    <ignoredError sqref="B77"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7832773-9414-42b9-95c3-36a558d8f74c">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9f6012f1-210b-47d8-98a5-79507b18255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7D0D48330F6CE4FB6B3AE62FA39CE46" ma:contentTypeVersion="19" ma:contentTypeDescription="Create a new document." ma:contentTypeScope="" ma:versionID="8cdfc8d213607a8f13a74f250c58771c">
  <xsd:schema xmlns:xsd="http://www.w3.org/2001/XMLSchema" xmlns:xs="http://www.w3.org/2001/XMLSchema" xmlns:p="http://schemas.microsoft.com/office/2006/metadata/properties" xmlns:ns1="http://schemas.microsoft.com/sharepoint/v3" xmlns:ns2="07832773-9414-42b9-95c3-36a558d8f74c" xmlns:ns3="9f6012f1-210b-47d8-98a5-79507b18255d" targetNamespace="http://schemas.microsoft.com/office/2006/metadata/properties" ma:root="true" ma:fieldsID="f2c9d8002140b2ae07bcb72fed75c4c3" ns1:_="" ns2:_="" ns3:_="">
    <xsd:import namespace="http://schemas.microsoft.com/sharepoint/v3"/>
    <xsd:import namespace="07832773-9414-42b9-95c3-36a558d8f74c"/>
    <xsd:import namespace="9f6012f1-210b-47d8-98a5-79507b18255d"/>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832773-9414-42b9-95c3-36a558d8f7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44f5b13-403a-4dd3-b9ce-b7b6c8a66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6012f1-210b-47d8-98a5-79507b18255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396aa7e-ad57-49d2-b18b-708832d3d098}" ma:internalName="TaxCatchAll" ma:showField="CatchAllData" ma:web="9f6012f1-210b-47d8-98a5-79507b1825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663C87-CDAA-4A2F-9CA6-018325680FDA}">
  <ds:schemaRefs>
    <ds:schemaRef ds:uri="http://schemas.microsoft.com/sharepoint/v3/contenttype/forms"/>
  </ds:schemaRefs>
</ds:datastoreItem>
</file>

<file path=customXml/itemProps2.xml><?xml version="1.0" encoding="utf-8"?>
<ds:datastoreItem xmlns:ds="http://schemas.openxmlformats.org/officeDocument/2006/customXml" ds:itemID="{8EA958F3-F430-43FD-B3C6-6C4F0E201786}">
  <ds:schemaRefs>
    <ds:schemaRef ds:uri="http://purl.org/dc/elements/1.1/"/>
    <ds:schemaRef ds:uri="http://www.w3.org/XML/1998/namespace"/>
    <ds:schemaRef ds:uri="http://schemas.microsoft.com/office/2006/metadata/properties"/>
    <ds:schemaRef ds:uri="07832773-9414-42b9-95c3-36a558d8f74c"/>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9f6012f1-210b-47d8-98a5-79507b18255d"/>
    <ds:schemaRef ds:uri="http://schemas.microsoft.com/sharepoint/v3"/>
    <ds:schemaRef ds:uri="http://purl.org/dc/dcmitype/"/>
  </ds:schemaRefs>
</ds:datastoreItem>
</file>

<file path=customXml/itemProps3.xml><?xml version="1.0" encoding="utf-8"?>
<ds:datastoreItem xmlns:ds="http://schemas.openxmlformats.org/officeDocument/2006/customXml" ds:itemID="{3D2DD288-7197-49A5-9A33-60D2521EA0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832773-9414-42b9-95c3-36a558d8f74c"/>
    <ds:schemaRef ds:uri="9f6012f1-210b-47d8-98a5-79507b182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11</vt:i4>
      </vt:variant>
    </vt:vector>
  </HeadingPairs>
  <TitlesOfParts>
    <vt:vector size="36" baseType="lpstr">
      <vt:lpstr>Types of Development</vt:lpstr>
      <vt:lpstr>Market Research</vt:lpstr>
      <vt:lpstr>Subsidies</vt:lpstr>
      <vt:lpstr>Parking Analysis</vt:lpstr>
      <vt:lpstr>Assumptions</vt:lpstr>
      <vt:lpstr>Development Program</vt:lpstr>
      <vt:lpstr>King Condominiums Financial </vt:lpstr>
      <vt:lpstr>King Condominiums DRAW </vt:lpstr>
      <vt:lpstr>Yesler Financial</vt:lpstr>
      <vt:lpstr>Yesler DRAW</vt:lpstr>
      <vt:lpstr>Glacier Peak Financial</vt:lpstr>
      <vt:lpstr>Glacier Peak Draw </vt:lpstr>
      <vt:lpstr>Chinook Financial</vt:lpstr>
      <vt:lpstr>Chinook Draw</vt:lpstr>
      <vt:lpstr>4th Street Financial </vt:lpstr>
      <vt:lpstr>4th Street Draw</vt:lpstr>
      <vt:lpstr>Baker Tower Financial</vt:lpstr>
      <vt:lpstr>Baker Tower Draw </vt:lpstr>
      <vt:lpstr>Rainier Tower Financial </vt:lpstr>
      <vt:lpstr>Rainier Tower Draw</vt:lpstr>
      <vt:lpstr>All Components Draw</vt:lpstr>
      <vt:lpstr>G Financial</vt:lpstr>
      <vt:lpstr>G Draw</vt:lpstr>
      <vt:lpstr>F Draw</vt:lpstr>
      <vt:lpstr>F Financial</vt:lpstr>
      <vt:lpstr>'Baker Tower Financial'!Print_Area</vt:lpstr>
      <vt:lpstr>'Chinook Financial'!Print_Area</vt:lpstr>
      <vt:lpstr>'Development Program'!Print_Area</vt:lpstr>
      <vt:lpstr>'F Financial'!Print_Area</vt:lpstr>
      <vt:lpstr>'G Financial'!Print_Area</vt:lpstr>
      <vt:lpstr>'Glacier Peak Financial'!Print_Area</vt:lpstr>
      <vt:lpstr>'King Condominiums DRAW '!Print_Area</vt:lpstr>
      <vt:lpstr>'King Condominiums Financial '!Print_Area</vt:lpstr>
      <vt:lpstr>'Rainier Tower Financial '!Print_Area</vt:lpstr>
      <vt:lpstr>'Yesler DRAW'!Print_Area</vt:lpstr>
      <vt:lpstr>'Yesler Financial'!Print_Area</vt:lpstr>
    </vt:vector>
  </TitlesOfParts>
  <Manager/>
  <Company>Charles A. Long Properties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A. Long</dc:creator>
  <cp:keywords/>
  <dc:description/>
  <cp:lastModifiedBy>Chris Bridges</cp:lastModifiedBy>
  <cp:revision/>
  <cp:lastPrinted>2024-03-31T20:42:53Z</cp:lastPrinted>
  <dcterms:created xsi:type="dcterms:W3CDTF">2011-07-11T21:17:46Z</dcterms:created>
  <dcterms:modified xsi:type="dcterms:W3CDTF">2024-03-31T21:22:25Z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388465-aeed-4329-a493-dfb4cee22503_Enabled">
    <vt:lpwstr>true</vt:lpwstr>
  </property>
  <property fmtid="{D5CDD505-2E9C-101B-9397-08002B2CF9AE}" pid="3" name="MSIP_Label_70388465-aeed-4329-a493-dfb4cee22503_SetDate">
    <vt:lpwstr>2022-12-01T14:29:01Z</vt:lpwstr>
  </property>
  <property fmtid="{D5CDD505-2E9C-101B-9397-08002B2CF9AE}" pid="4" name="MSIP_Label_70388465-aeed-4329-a493-dfb4cee22503_Method">
    <vt:lpwstr>Standard</vt:lpwstr>
  </property>
  <property fmtid="{D5CDD505-2E9C-101B-9397-08002B2CF9AE}" pid="5" name="MSIP_Label_70388465-aeed-4329-a493-dfb4cee22503_Name">
    <vt:lpwstr>defa4170-0d19-0005-0004-bc88714345d2</vt:lpwstr>
  </property>
  <property fmtid="{D5CDD505-2E9C-101B-9397-08002B2CF9AE}" pid="6" name="MSIP_Label_70388465-aeed-4329-a493-dfb4cee22503_SiteId">
    <vt:lpwstr>c733f279-2e57-447e-b549-b435d7bcf45e</vt:lpwstr>
  </property>
  <property fmtid="{D5CDD505-2E9C-101B-9397-08002B2CF9AE}" pid="7" name="MSIP_Label_70388465-aeed-4329-a493-dfb4cee22503_ActionId">
    <vt:lpwstr>c09dddd2-dd9a-4658-94bd-9604302b5a94</vt:lpwstr>
  </property>
  <property fmtid="{D5CDD505-2E9C-101B-9397-08002B2CF9AE}" pid="8" name="MSIP_Label_70388465-aeed-4329-a493-dfb4cee22503_ContentBits">
    <vt:lpwstr>0</vt:lpwstr>
  </property>
  <property fmtid="{D5CDD505-2E9C-101B-9397-08002B2CF9AE}" pid="9" name="ContentTypeId">
    <vt:lpwstr>0x01010007D0D48330F6CE4FB6B3AE62FA39CE46</vt:lpwstr>
  </property>
  <property fmtid="{D5CDD505-2E9C-101B-9397-08002B2CF9AE}" pid="10" name="MediaServiceImageTags">
    <vt:lpwstr/>
  </property>
</Properties>
</file>