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autoCompressPictures="0"/>
  <mc:AlternateContent xmlns:mc="http://schemas.openxmlformats.org/markup-compatibility/2006">
    <mc:Choice Requires="x15">
      <x15ac:absPath xmlns:x15ac="http://schemas.microsoft.com/office/spreadsheetml/2010/11/ac" url="C:\Users\edflo\Downloads\"/>
    </mc:Choice>
  </mc:AlternateContent>
  <xr:revisionPtr revIDLastSave="0" documentId="13_ncr:1_{5FC59811-C379-41A5-A390-2A70FAB17403}" xr6:coauthVersionLast="47" xr6:coauthVersionMax="47" xr10:uidLastSave="{00000000-0000-0000-0000-000000000000}"/>
  <bookViews>
    <workbookView xWindow="-108" yWindow="-108" windowWidth="23256" windowHeight="12456" tabRatio="1000" activeTab="2" xr2:uid="{00000000-000D-0000-FFFF-FFFF00000000}"/>
  </bookViews>
  <sheets>
    <sheet name="Development Program" sheetId="140" r:id="rId1"/>
    <sheet name="Market Research" sheetId="198" r:id="rId2"/>
    <sheet name="Assumptions" sheetId="142" r:id="rId3"/>
    <sheet name="All Components Draw" sheetId="159" r:id="rId4"/>
    <sheet name="Sources, Uses" sheetId="199" r:id="rId5"/>
    <sheet name="Site 1 - Financial" sheetId="171" r:id="rId6"/>
    <sheet name="Site 1 - Draw" sheetId="170" r:id="rId7"/>
    <sheet name="Site 2 - Financial" sheetId="186" r:id="rId8"/>
    <sheet name="Site 2 - Draw" sheetId="187" r:id="rId9"/>
    <sheet name="Site 3 - Financial" sheetId="188" r:id="rId10"/>
    <sheet name="Site 3 - Draw" sheetId="189" r:id="rId11"/>
    <sheet name="Site 4 - Financial" sheetId="177" r:id="rId12"/>
    <sheet name="Site 4 - Draw" sheetId="178" r:id="rId13"/>
    <sheet name="Site 5 - Financial" sheetId="180" r:id="rId14"/>
    <sheet name="Site 5 - Draw" sheetId="181" r:id="rId15"/>
    <sheet name="Site 6 - Financial" sheetId="184" r:id="rId16"/>
    <sheet name="Site 6 - Draw" sheetId="185" r:id="rId17"/>
    <sheet name="Site 7 - Financial" sheetId="196" r:id="rId18"/>
    <sheet name="Site 7 - Draw" sheetId="197" r:id="rId19"/>
    <sheet name="Market Comparables - Hospitalit" sheetId="174" state="hidden" r:id="rId20"/>
    <sheet name="Types of Development" sheetId="163" r:id="rId21"/>
  </sheets>
  <externalReferences>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s>
  <definedNames>
    <definedName name="___a1" hidden="1">{"Assump",#N/A,TRUE,"Proforma";"first",#N/A,TRUE,"Proforma";"second",#N/A,TRUE,"Proforma";"lease1",#N/A,TRUE,"Proforma";"lease2",#N/A,TRUE,"Proforma"}</definedName>
    <definedName name="__a1" hidden="1">{"Assump",#N/A,TRUE,"Proforma";"first",#N/A,TRUE,"Proforma";"second",#N/A,TRUE,"Proforma";"lease1",#N/A,TRUE,"Proforma";"lease2",#N/A,TRUE,"Proforma"}</definedName>
    <definedName name="_Fill" localSheetId="0" hidden="1">[1]A!#REF!</definedName>
    <definedName name="_Fill" localSheetId="5" hidden="1">[1]A!#REF!</definedName>
    <definedName name="_Fill" localSheetId="7" hidden="1">[1]A!#REF!</definedName>
    <definedName name="_Fill" localSheetId="9" hidden="1">[1]A!#REF!</definedName>
    <definedName name="_Fill" localSheetId="11" hidden="1">[1]A!#REF!</definedName>
    <definedName name="_Fill" localSheetId="13" hidden="1">[1]A!#REF!</definedName>
    <definedName name="_Fill" localSheetId="15" hidden="1">[1]A!#REF!</definedName>
    <definedName name="_Fill" localSheetId="17" hidden="1">[1]A!#REF!</definedName>
    <definedName name="_Fill" hidden="1">[1]A!#REF!</definedName>
    <definedName name="_Key1" localSheetId="0" hidden="1">'[2]H-INPUT'!#REF!</definedName>
    <definedName name="_Key1" localSheetId="5" hidden="1">'[2]H-INPUT'!#REF!</definedName>
    <definedName name="_Key1" localSheetId="7" hidden="1">'[2]H-INPUT'!#REF!</definedName>
    <definedName name="_Key1" localSheetId="9" hidden="1">'[2]H-INPUT'!#REF!</definedName>
    <definedName name="_Key1" localSheetId="11" hidden="1">'[2]H-INPUT'!#REF!</definedName>
    <definedName name="_Key1" localSheetId="13" hidden="1">'[2]H-INPUT'!#REF!</definedName>
    <definedName name="_Key1" localSheetId="15" hidden="1">'[2]H-INPUT'!#REF!</definedName>
    <definedName name="_Key1" localSheetId="17" hidden="1">'[2]H-INPUT'!#REF!</definedName>
    <definedName name="_Key1" hidden="1">'[2]H-INPUT'!#REF!</definedName>
    <definedName name="_Key2" localSheetId="0" hidden="1">#REF!</definedName>
    <definedName name="_Key2" localSheetId="5" hidden="1">#REF!</definedName>
    <definedName name="_Key2" localSheetId="7" hidden="1">#REF!</definedName>
    <definedName name="_Key2" localSheetId="9" hidden="1">#REF!</definedName>
    <definedName name="_Key2" localSheetId="11" hidden="1">#REF!</definedName>
    <definedName name="_Key2" localSheetId="13" hidden="1">#REF!</definedName>
    <definedName name="_Key2" localSheetId="15" hidden="1">#REF!</definedName>
    <definedName name="_Key2" localSheetId="17" hidden="1">#REF!</definedName>
    <definedName name="_Key2" hidden="1">#REF!</definedName>
    <definedName name="_Order1" hidden="1">255</definedName>
    <definedName name="_Order2" hidden="1">255</definedName>
    <definedName name="_Sort" localSheetId="0" hidden="1">#REF!</definedName>
    <definedName name="_Sort" localSheetId="5" hidden="1">#REF!</definedName>
    <definedName name="_Sort" localSheetId="7" hidden="1">#REF!</definedName>
    <definedName name="_Sort" localSheetId="9" hidden="1">#REF!</definedName>
    <definedName name="_Sort" localSheetId="11" hidden="1">#REF!</definedName>
    <definedName name="_Sort" localSheetId="13" hidden="1">#REF!</definedName>
    <definedName name="_Sort" localSheetId="15" hidden="1">#REF!</definedName>
    <definedName name="_Sort" localSheetId="17" hidden="1">#REF!</definedName>
    <definedName name="_Sort" hidden="1">#REF!</definedName>
    <definedName name="_Table1_In1" localSheetId="0" hidden="1">#REF!</definedName>
    <definedName name="_Table1_In1" localSheetId="5" hidden="1">#REF!</definedName>
    <definedName name="_Table1_In1" localSheetId="7" hidden="1">#REF!</definedName>
    <definedName name="_Table1_In1" localSheetId="9" hidden="1">#REF!</definedName>
    <definedName name="_Table1_In1" localSheetId="11" hidden="1">#REF!</definedName>
    <definedName name="_Table1_In1" localSheetId="13" hidden="1">#REF!</definedName>
    <definedName name="_Table1_In1" localSheetId="15" hidden="1">#REF!</definedName>
    <definedName name="_Table1_In1" localSheetId="17" hidden="1">#REF!</definedName>
    <definedName name="_Table1_In1" hidden="1">#REF!</definedName>
    <definedName name="_Table1_Out" localSheetId="0" hidden="1">#REF!</definedName>
    <definedName name="_Table1_Out" localSheetId="5" hidden="1">#REF!</definedName>
    <definedName name="_Table1_Out" localSheetId="7" hidden="1">#REF!</definedName>
    <definedName name="_Table1_Out" localSheetId="9" hidden="1">#REF!</definedName>
    <definedName name="_Table1_Out" localSheetId="11" hidden="1">#REF!</definedName>
    <definedName name="_Table1_Out" localSheetId="13" hidden="1">#REF!</definedName>
    <definedName name="_Table1_Out" localSheetId="15" hidden="1">#REF!</definedName>
    <definedName name="_Table1_Out" localSheetId="17" hidden="1">#REF!</definedName>
    <definedName name="_Table1_Out" hidden="1">#REF!</definedName>
    <definedName name="_Table2_Out" localSheetId="0" hidden="1">[3]General!#REF!</definedName>
    <definedName name="_Table2_Out" localSheetId="5" hidden="1">[3]General!#REF!</definedName>
    <definedName name="_Table2_Out" localSheetId="7" hidden="1">[3]General!#REF!</definedName>
    <definedName name="_Table2_Out" localSheetId="9" hidden="1">[3]General!#REF!</definedName>
    <definedName name="_Table2_Out" localSheetId="11" hidden="1">[3]General!#REF!</definedName>
    <definedName name="_Table2_Out" localSheetId="13" hidden="1">[3]General!#REF!</definedName>
    <definedName name="_Table2_Out" localSheetId="15" hidden="1">[3]General!#REF!</definedName>
    <definedName name="_Table2_Out" localSheetId="17" hidden="1">[3]General!#REF!</definedName>
    <definedName name="_Table2_Out" hidden="1">[3]General!#REF!</definedName>
    <definedName name="_x1" hidden="1">{#N/A,#N/A,FALSE,"WATCHDSC";#N/A,#N/A,FALSE,"2LOSSMOD";#N/A,#N/A,FALSE,"2LOSS";#N/A,#N/A,FALSE,"DSC";#N/A,#N/A,FALSE,"OPERAT";#N/A,#N/A,FALSE,"ADJUST";#N/A,#N/A,FALSE,"LEASE EXPIRE"}</definedName>
    <definedName name="_x2" hidden="1">{#N/A,#N/A,FALSE,"WATCHDSC";#N/A,#N/A,FALSE,"2LOSSMOD";#N/A,#N/A,FALSE,"2LOSS";#N/A,#N/A,FALSE,"DSC";#N/A,#N/A,FALSE,"OPERAT";#N/A,#N/A,FALSE,"ADJUST";#N/A,#N/A,FALSE,"LEASE EXPIRE"}</definedName>
    <definedName name="_x3" hidden="1">{#N/A,#N/A,FALSE,"WATCHDSC";#N/A,#N/A,FALSE,"2LOSSMOD";#N/A,#N/A,FALSE,"2LOSS";#N/A,#N/A,FALSE,"DSC";#N/A,#N/A,FALSE,"OPERAT";#N/A,#N/A,FALSE,"ADJUST";#N/A,#N/A,FALSE,"LEASE EXPIRE"}</definedName>
    <definedName name="a" hidden="1">{"Assump",#N/A,TRUE,"Proforma";"first",#N/A,TRUE,"Proforma";"second",#N/A,TRUE,"Proforma";"lease1",#N/A,TRUE,"Proforma";"lease2",#N/A,TRUE,"Proforma"}</definedName>
    <definedName name="aa" hidden="1">{#N/A,#N/A,FALSE,"Exec Sum";#N/A,#N/A,FALSE,"Rent Rate Comp";#N/A,#N/A,FALSE,"Rate, NPV Comp";#N/A,#N/A,FALSE,"Opt A NNN";#N/A,#N/A,FALSE,"15-yr Opt. A Sum";#N/A,#N/A,FALSE,"15-yr Opt A Other Costs";#N/A,#N/A,FALSE,"10-yr Opt. A Sum";#N/A,#N/A,FALSE,"10-yr Opt A Other Costs";#N/A,#N/A,FALSE,"NPV Calc"}</definedName>
    <definedName name="AADSFD" localSheetId="0">[4]Frontsheet!#REF!</definedName>
    <definedName name="AADSFD" localSheetId="5">[4]Frontsheet!#REF!</definedName>
    <definedName name="AADSFD" localSheetId="7">[4]Frontsheet!#REF!</definedName>
    <definedName name="AADSFD" localSheetId="9">[4]Frontsheet!#REF!</definedName>
    <definedName name="AADSFD" localSheetId="11">[4]Frontsheet!#REF!</definedName>
    <definedName name="AADSFD" localSheetId="13">[4]Frontsheet!#REF!</definedName>
    <definedName name="AADSFD" localSheetId="15">[4]Frontsheet!#REF!</definedName>
    <definedName name="AADSFD" localSheetId="17">[4]Frontsheet!#REF!</definedName>
    <definedName name="AADSFD">[4]Frontsheet!#REF!</definedName>
    <definedName name="ac" localSheetId="0">[4]Frontsheet!#REF!</definedName>
    <definedName name="ac" localSheetId="5">[4]Frontsheet!#REF!</definedName>
    <definedName name="ac" localSheetId="7">[4]Frontsheet!#REF!</definedName>
    <definedName name="ac" localSheetId="9">[4]Frontsheet!#REF!</definedName>
    <definedName name="ac" localSheetId="11">[4]Frontsheet!#REF!</definedName>
    <definedName name="ac" localSheetId="13">[4]Frontsheet!#REF!</definedName>
    <definedName name="ac" localSheetId="15">[4]Frontsheet!#REF!</definedName>
    <definedName name="ac" localSheetId="17">[4]Frontsheet!#REF!</definedName>
    <definedName name="ac">[4]Frontsheet!#REF!</definedName>
    <definedName name="alt" localSheetId="0">[4]Frontsheet!#REF!</definedName>
    <definedName name="alt" localSheetId="5">[4]Frontsheet!#REF!</definedName>
    <definedName name="alt" localSheetId="7">[4]Frontsheet!#REF!</definedName>
    <definedName name="alt" localSheetId="9">[4]Frontsheet!#REF!</definedName>
    <definedName name="alt" localSheetId="11">[4]Frontsheet!#REF!</definedName>
    <definedName name="alt" localSheetId="13">[4]Frontsheet!#REF!</definedName>
    <definedName name="alt" localSheetId="15">[4]Frontsheet!#REF!</definedName>
    <definedName name="alt" localSheetId="17">[4]Frontsheet!#REF!</definedName>
    <definedName name="alt">[4]Frontsheet!#REF!</definedName>
    <definedName name="anscount" hidden="1">1</definedName>
    <definedName name="ASA" localSheetId="0">[4]Frontsheet!#REF!</definedName>
    <definedName name="ASA" localSheetId="5">[4]Frontsheet!#REF!</definedName>
    <definedName name="ASA" localSheetId="7">[4]Frontsheet!#REF!</definedName>
    <definedName name="ASA" localSheetId="9">[4]Frontsheet!#REF!</definedName>
    <definedName name="ASA" localSheetId="11">[4]Frontsheet!#REF!</definedName>
    <definedName name="ASA" localSheetId="13">[4]Frontsheet!#REF!</definedName>
    <definedName name="ASA" localSheetId="15">[4]Frontsheet!#REF!</definedName>
    <definedName name="ASA" localSheetId="17">[4]Frontsheet!#REF!</definedName>
    <definedName name="ASA">[4]Frontsheet!#REF!</definedName>
    <definedName name="aw" localSheetId="0">[4]Frontsheet!#REF!</definedName>
    <definedName name="aw" localSheetId="5">[4]Frontsheet!#REF!</definedName>
    <definedName name="aw" localSheetId="7">[4]Frontsheet!#REF!</definedName>
    <definedName name="aw" localSheetId="9">[4]Frontsheet!#REF!</definedName>
    <definedName name="aw" localSheetId="11">[4]Frontsheet!#REF!</definedName>
    <definedName name="aw" localSheetId="13">[4]Frontsheet!#REF!</definedName>
    <definedName name="aw" localSheetId="15">[4]Frontsheet!#REF!</definedName>
    <definedName name="aw" localSheetId="17">[4]Frontsheet!#REF!</definedName>
    <definedName name="aw">[4]Frontsheet!#REF!</definedName>
    <definedName name="b" hidden="1">{"Assump",#N/A,TRUE,"Proforma";"first",#N/A,TRUE,"Proforma";"second",#N/A,TRUE,"Proforma";"lease1",#N/A,TRUE,"Proforma";"lease2",#N/A,TRUE,"Proforma"}</definedName>
    <definedName name="Body">'[5]Equity Investor Sheet 2538'!$A$7:$J$18</definedName>
    <definedName name="costcode">'[6]Pursuit_Expenses by cost code'!$A$5:$F$155</definedName>
    <definedName name="cs" localSheetId="0">[4]Frontsheet!#REF!</definedName>
    <definedName name="cs" localSheetId="5">[4]Frontsheet!#REF!</definedName>
    <definedName name="cs" localSheetId="7">[4]Frontsheet!#REF!</definedName>
    <definedName name="cs" localSheetId="9">[4]Frontsheet!#REF!</definedName>
    <definedName name="cs" localSheetId="11">[4]Frontsheet!#REF!</definedName>
    <definedName name="cs" localSheetId="13">[4]Frontsheet!#REF!</definedName>
    <definedName name="cs" localSheetId="15">[4]Frontsheet!#REF!</definedName>
    <definedName name="cs" localSheetId="17">[4]Frontsheet!#REF!</definedName>
    <definedName name="cs">[4]Frontsheet!#REF!</definedName>
    <definedName name="ct" localSheetId="0">[4]Frontsheet!#REF!</definedName>
    <definedName name="ct" localSheetId="5">[4]Frontsheet!#REF!</definedName>
    <definedName name="ct" localSheetId="7">[4]Frontsheet!#REF!</definedName>
    <definedName name="ct" localSheetId="9">[4]Frontsheet!#REF!</definedName>
    <definedName name="ct" localSheetId="11">[4]Frontsheet!#REF!</definedName>
    <definedName name="ct" localSheetId="13">[4]Frontsheet!#REF!</definedName>
    <definedName name="ct" localSheetId="15">[4]Frontsheet!#REF!</definedName>
    <definedName name="ct" localSheetId="17">[4]Frontsheet!#REF!</definedName>
    <definedName name="ct">[4]Frontsheet!#REF!</definedName>
    <definedName name="ddgfeerew" localSheetId="0">[4]Frontsheet!#REF!</definedName>
    <definedName name="ddgfeerew" localSheetId="5">[4]Frontsheet!#REF!</definedName>
    <definedName name="ddgfeerew" localSheetId="7">[4]Frontsheet!#REF!</definedName>
    <definedName name="ddgfeerew" localSheetId="9">[4]Frontsheet!#REF!</definedName>
    <definedName name="ddgfeerew" localSheetId="11">[4]Frontsheet!#REF!</definedName>
    <definedName name="ddgfeerew" localSheetId="13">[4]Frontsheet!#REF!</definedName>
    <definedName name="ddgfeerew" localSheetId="15">[4]Frontsheet!#REF!</definedName>
    <definedName name="ddgfeerew" localSheetId="17">[4]Frontsheet!#REF!</definedName>
    <definedName name="ddgfeerew">[4]Frontsheet!#REF!</definedName>
    <definedName name="dflt1">'[7]Customize Your Invoice'!$E$22</definedName>
    <definedName name="dflt5">'[7]Customize Your Invoice'!$E$27</definedName>
    <definedName name="dflt6">'[7]Customize Your Invoice'!$D$28</definedName>
    <definedName name="dfsdf" localSheetId="0">[4]Frontsheet!#REF!</definedName>
    <definedName name="dfsdf" localSheetId="5">[4]Frontsheet!#REF!</definedName>
    <definedName name="dfsdf" localSheetId="7">[4]Frontsheet!#REF!</definedName>
    <definedName name="dfsdf" localSheetId="9">[4]Frontsheet!#REF!</definedName>
    <definedName name="dfsdf" localSheetId="11">[4]Frontsheet!#REF!</definedName>
    <definedName name="dfsdf" localSheetId="13">[4]Frontsheet!#REF!</definedName>
    <definedName name="dfsdf" localSheetId="15">[4]Frontsheet!#REF!</definedName>
    <definedName name="dfsdf" localSheetId="17">[4]Frontsheet!#REF!</definedName>
    <definedName name="dfsdf">[4]Frontsheet!#REF!</definedName>
    <definedName name="dw" localSheetId="0">[4]Frontsheet!#REF!</definedName>
    <definedName name="dw" localSheetId="5">[4]Frontsheet!#REF!</definedName>
    <definedName name="dw" localSheetId="7">[4]Frontsheet!#REF!</definedName>
    <definedName name="dw" localSheetId="9">[4]Frontsheet!#REF!</definedName>
    <definedName name="dw" localSheetId="11">[4]Frontsheet!#REF!</definedName>
    <definedName name="dw" localSheetId="13">[4]Frontsheet!#REF!</definedName>
    <definedName name="dw" localSheetId="15">[4]Frontsheet!#REF!</definedName>
    <definedName name="dw" localSheetId="17">[4]Frontsheet!#REF!</definedName>
    <definedName name="dw">[4]Frontsheet!#REF!</definedName>
    <definedName name="ee" hidden="1">{"Assump",#N/A,TRUE,"Proforma";"first",#N/A,TRUE,"Proforma";"second",#N/A,TRUE,"Proforma";"lease1",#N/A,TRUE,"Proforma";"lease2",#N/A,TRUE,"Proforma"}</definedName>
    <definedName name="el" localSheetId="0">[4]Frontsheet!#REF!</definedName>
    <definedName name="el" localSheetId="5">[4]Frontsheet!#REF!</definedName>
    <definedName name="el" localSheetId="7">[4]Frontsheet!#REF!</definedName>
    <definedName name="el" localSheetId="9">[4]Frontsheet!#REF!</definedName>
    <definedName name="el" localSheetId="11">[4]Frontsheet!#REF!</definedName>
    <definedName name="el" localSheetId="13">[4]Frontsheet!#REF!</definedName>
    <definedName name="el" localSheetId="15">[4]Frontsheet!#REF!</definedName>
    <definedName name="el" localSheetId="17">[4]Frontsheet!#REF!</definedName>
    <definedName name="el">[4]Frontsheet!#REF!</definedName>
    <definedName name="ellen" hidden="1">{#N/A,#N/A,FALSE,"WATCHDSC";#N/A,#N/A,FALSE,"2LOSSMOD";#N/A,#N/A,FALSE,"2LOSS";#N/A,#N/A,FALSE,"DSC";#N/A,#N/A,FALSE,"OPERAT";#N/A,#N/A,FALSE,"ADJUST";#N/A,#N/A,FALSE,"LEASE EXPIRE"}</definedName>
    <definedName name="erasdf" hidden="1">{"Assump",#N/A,TRUE,"Proforma";"first",#N/A,TRUE,"Proforma";"second",#N/A,TRUE,"Proforma";"lease1",#N/A,TRUE,"Proforma";"lease2",#N/A,TRUE,"Proforma"}</definedName>
    <definedName name="EW" localSheetId="0">[4]Frontsheet!#REF!</definedName>
    <definedName name="EW" localSheetId="5">[4]Frontsheet!#REF!</definedName>
    <definedName name="EW" localSheetId="7">[4]Frontsheet!#REF!</definedName>
    <definedName name="EW" localSheetId="9">[4]Frontsheet!#REF!</definedName>
    <definedName name="EW" localSheetId="11">[4]Frontsheet!#REF!</definedName>
    <definedName name="EW" localSheetId="13">[4]Frontsheet!#REF!</definedName>
    <definedName name="EW" localSheetId="15">[4]Frontsheet!#REF!</definedName>
    <definedName name="EW" localSheetId="17">[4]Frontsheet!#REF!</definedName>
    <definedName name="EW">[4]Frontsheet!#REF!</definedName>
    <definedName name="f" localSheetId="0">[4]Frontsheet!#REF!</definedName>
    <definedName name="f" localSheetId="5">[4]Frontsheet!#REF!</definedName>
    <definedName name="f" localSheetId="7">[4]Frontsheet!#REF!</definedName>
    <definedName name="f" localSheetId="9">[4]Frontsheet!#REF!</definedName>
    <definedName name="f" localSheetId="11">[4]Frontsheet!#REF!</definedName>
    <definedName name="f" localSheetId="13">[4]Frontsheet!#REF!</definedName>
    <definedName name="f" localSheetId="15">[4]Frontsheet!#REF!</definedName>
    <definedName name="f" localSheetId="17">[4]Frontsheet!#REF!</definedName>
    <definedName name="f">[4]Frontsheet!#REF!</definedName>
    <definedName name="fe" localSheetId="0">[4]Frontsheet!#REF!</definedName>
    <definedName name="fe" localSheetId="5">[4]Frontsheet!#REF!</definedName>
    <definedName name="fe" localSheetId="7">[4]Frontsheet!#REF!</definedName>
    <definedName name="fe" localSheetId="9">[4]Frontsheet!#REF!</definedName>
    <definedName name="fe" localSheetId="11">[4]Frontsheet!#REF!</definedName>
    <definedName name="fe" localSheetId="13">[4]Frontsheet!#REF!</definedName>
    <definedName name="fe" localSheetId="15">[4]Frontsheet!#REF!</definedName>
    <definedName name="fe" localSheetId="17">[4]Frontsheet!#REF!</definedName>
    <definedName name="fe">[4]Frontsheet!#REF!</definedName>
    <definedName name="FFFFF" localSheetId="0">[4]Frontsheet!#REF!</definedName>
    <definedName name="FFFFF" localSheetId="5">[4]Frontsheet!#REF!</definedName>
    <definedName name="FFFFF" localSheetId="7">[4]Frontsheet!#REF!</definedName>
    <definedName name="FFFFF" localSheetId="9">[4]Frontsheet!#REF!</definedName>
    <definedName name="FFFFF" localSheetId="11">[4]Frontsheet!#REF!</definedName>
    <definedName name="FFFFF" localSheetId="13">[4]Frontsheet!#REF!</definedName>
    <definedName name="FFFFF" localSheetId="15">[4]Frontsheet!#REF!</definedName>
    <definedName name="FFFFF" localSheetId="17">[4]Frontsheet!#REF!</definedName>
    <definedName name="FFFFF">[4]Frontsheet!#REF!</definedName>
    <definedName name="FJHJ" localSheetId="0">[4]Frontsheet!#REF!</definedName>
    <definedName name="FJHJ" localSheetId="5">[4]Frontsheet!#REF!</definedName>
    <definedName name="FJHJ" localSheetId="7">[4]Frontsheet!#REF!</definedName>
    <definedName name="FJHJ" localSheetId="9">[4]Frontsheet!#REF!</definedName>
    <definedName name="FJHJ" localSheetId="11">[4]Frontsheet!#REF!</definedName>
    <definedName name="FJHJ" localSheetId="13">[4]Frontsheet!#REF!</definedName>
    <definedName name="FJHJ" localSheetId="15">[4]Frontsheet!#REF!</definedName>
    <definedName name="FJHJ" localSheetId="17">[4]Frontsheet!#REF!</definedName>
    <definedName name="FJHJ">[4]Frontsheet!#REF!</definedName>
    <definedName name="fo" localSheetId="0">#REF!</definedName>
    <definedName name="fo" localSheetId="5">#REF!</definedName>
    <definedName name="fo" localSheetId="7">#REF!</definedName>
    <definedName name="fo" localSheetId="9">#REF!</definedName>
    <definedName name="fo" localSheetId="11">#REF!</definedName>
    <definedName name="fo" localSheetId="13">#REF!</definedName>
    <definedName name="fo" localSheetId="15">#REF!</definedName>
    <definedName name="fo" localSheetId="17">#REF!</definedName>
    <definedName name="fo">#REF!</definedName>
    <definedName name="FORM" localSheetId="0">#REF!</definedName>
    <definedName name="FORM" localSheetId="5">#REF!</definedName>
    <definedName name="FORM" localSheetId="7">#REF!</definedName>
    <definedName name="FORM" localSheetId="9">#REF!</definedName>
    <definedName name="FORM" localSheetId="11">#REF!</definedName>
    <definedName name="FORM" localSheetId="13">#REF!</definedName>
    <definedName name="FORM" localSheetId="15">#REF!</definedName>
    <definedName name="FORM" localSheetId="17">#REF!</definedName>
    <definedName name="FORM">#REF!</definedName>
    <definedName name="FURYUR" localSheetId="0">[4]Frontsheet!#REF!</definedName>
    <definedName name="FURYUR" localSheetId="5">[4]Frontsheet!#REF!</definedName>
    <definedName name="FURYUR" localSheetId="7">[4]Frontsheet!#REF!</definedName>
    <definedName name="FURYUR" localSheetId="9">[4]Frontsheet!#REF!</definedName>
    <definedName name="FURYUR" localSheetId="11">[4]Frontsheet!#REF!</definedName>
    <definedName name="FURYUR" localSheetId="13">[4]Frontsheet!#REF!</definedName>
    <definedName name="FURYUR" localSheetId="15">[4]Frontsheet!#REF!</definedName>
    <definedName name="FURYUR" localSheetId="17">[4]Frontsheet!#REF!</definedName>
    <definedName name="FURYUR">[4]Frontsheet!#REF!</definedName>
    <definedName name="gl" localSheetId="0">[4]Frontsheet!#REF!</definedName>
    <definedName name="gl" localSheetId="5">[4]Frontsheet!#REF!</definedName>
    <definedName name="gl" localSheetId="7">[4]Frontsheet!#REF!</definedName>
    <definedName name="gl" localSheetId="9">[4]Frontsheet!#REF!</definedName>
    <definedName name="gl" localSheetId="11">[4]Frontsheet!#REF!</definedName>
    <definedName name="gl" localSheetId="13">[4]Frontsheet!#REF!</definedName>
    <definedName name="gl" localSheetId="15">[4]Frontsheet!#REF!</definedName>
    <definedName name="gl" localSheetId="17">[4]Frontsheet!#REF!</definedName>
    <definedName name="gl">[4]Frontsheet!#REF!</definedName>
    <definedName name="h" localSheetId="0">[4]Frontsheet!#REF!</definedName>
    <definedName name="h" localSheetId="5">[4]Frontsheet!#REF!</definedName>
    <definedName name="h" localSheetId="7">[4]Frontsheet!#REF!</definedName>
    <definedName name="h" localSheetId="9">[4]Frontsheet!#REF!</definedName>
    <definedName name="h" localSheetId="11">[4]Frontsheet!#REF!</definedName>
    <definedName name="h" localSheetId="13">[4]Frontsheet!#REF!</definedName>
    <definedName name="h" localSheetId="15">[4]Frontsheet!#REF!</definedName>
    <definedName name="h" localSheetId="17">[4]Frontsheet!#REF!</definedName>
    <definedName name="h">[4]Frontsheet!#REF!</definedName>
    <definedName name="hjkhjlkgg" localSheetId="0">[4]Frontsheet!#REF!</definedName>
    <definedName name="hjkhjlkgg" localSheetId="5">[4]Frontsheet!#REF!</definedName>
    <definedName name="hjkhjlkgg" localSheetId="7">[4]Frontsheet!#REF!</definedName>
    <definedName name="hjkhjlkgg" localSheetId="9">[4]Frontsheet!#REF!</definedName>
    <definedName name="hjkhjlkgg" localSheetId="11">[4]Frontsheet!#REF!</definedName>
    <definedName name="hjkhjlkgg" localSheetId="13">[4]Frontsheet!#REF!</definedName>
    <definedName name="hjkhjlkgg" localSheetId="15">[4]Frontsheet!#REF!</definedName>
    <definedName name="hjkhjlkgg" localSheetId="17">[4]Frontsheet!#REF!</definedName>
    <definedName name="hjkhjlkgg">[4]Frontsheet!#REF!</definedName>
    <definedName name="jkjkl" localSheetId="0">[4]Frontsheet!#REF!</definedName>
    <definedName name="jkjkl" localSheetId="5">[4]Frontsheet!#REF!</definedName>
    <definedName name="jkjkl" localSheetId="7">[4]Frontsheet!#REF!</definedName>
    <definedName name="jkjkl" localSheetId="9">[4]Frontsheet!#REF!</definedName>
    <definedName name="jkjkl" localSheetId="11">[4]Frontsheet!#REF!</definedName>
    <definedName name="jkjkl" localSheetId="13">[4]Frontsheet!#REF!</definedName>
    <definedName name="jkjkl" localSheetId="15">[4]Frontsheet!#REF!</definedName>
    <definedName name="jkjkl" localSheetId="17">[4]Frontsheet!#REF!</definedName>
    <definedName name="jkjkl">[4]Frontsheet!#REF!</definedName>
    <definedName name="kb" localSheetId="0">[4]Frontsheet!#REF!</definedName>
    <definedName name="kb" localSheetId="5">[4]Frontsheet!#REF!</definedName>
    <definedName name="kb" localSheetId="7">[4]Frontsheet!#REF!</definedName>
    <definedName name="kb" localSheetId="9">[4]Frontsheet!#REF!</definedName>
    <definedName name="kb" localSheetId="11">[4]Frontsheet!#REF!</definedName>
    <definedName name="kb" localSheetId="13">[4]Frontsheet!#REF!</definedName>
    <definedName name="kb" localSheetId="15">[4]Frontsheet!#REF!</definedName>
    <definedName name="kb" localSheetId="17">[4]Frontsheet!#REF!</definedName>
    <definedName name="kb">[4]Frontsheet!#REF!</definedName>
    <definedName name="ke" localSheetId="0">[4]Frontsheet!#REF!</definedName>
    <definedName name="ke" localSheetId="5">[4]Frontsheet!#REF!</definedName>
    <definedName name="ke" localSheetId="7">[4]Frontsheet!#REF!</definedName>
    <definedName name="ke" localSheetId="9">[4]Frontsheet!#REF!</definedName>
    <definedName name="ke" localSheetId="11">[4]Frontsheet!#REF!</definedName>
    <definedName name="ke" localSheetId="13">[4]Frontsheet!#REF!</definedName>
    <definedName name="ke" localSheetId="15">[4]Frontsheet!#REF!</definedName>
    <definedName name="ke" localSheetId="17">[4]Frontsheet!#REF!</definedName>
    <definedName name="ke">[4]Frontsheet!#REF!</definedName>
    <definedName name="lk" localSheetId="0">[4]Frontsheet!#REF!</definedName>
    <definedName name="lk" localSheetId="5">[4]Frontsheet!#REF!</definedName>
    <definedName name="lk" localSheetId="7">[4]Frontsheet!#REF!</definedName>
    <definedName name="lk" localSheetId="9">[4]Frontsheet!#REF!</definedName>
    <definedName name="lk" localSheetId="11">[4]Frontsheet!#REF!</definedName>
    <definedName name="lk" localSheetId="13">[4]Frontsheet!#REF!</definedName>
    <definedName name="lk" localSheetId="15">[4]Frontsheet!#REF!</definedName>
    <definedName name="lk" localSheetId="17">[4]Frontsheet!#REF!</definedName>
    <definedName name="lk">[4]Frontsheet!#REF!</definedName>
    <definedName name="memo_description">[6]Lists!$D$4:$D$10</definedName>
    <definedName name="ml" localSheetId="0">[4]Frontsheet!#REF!</definedName>
    <definedName name="ml" localSheetId="5">[4]Frontsheet!#REF!</definedName>
    <definedName name="ml" localSheetId="7">[4]Frontsheet!#REF!</definedName>
    <definedName name="ml" localSheetId="9">[4]Frontsheet!#REF!</definedName>
    <definedName name="ml" localSheetId="11">[4]Frontsheet!#REF!</definedName>
    <definedName name="ml" localSheetId="13">[4]Frontsheet!#REF!</definedName>
    <definedName name="ml" localSheetId="15">[4]Frontsheet!#REF!</definedName>
    <definedName name="ml" localSheetId="17">[4]Frontsheet!#REF!</definedName>
    <definedName name="ml">[4]Frontsheet!#REF!</definedName>
    <definedName name="mw" localSheetId="0">[4]Frontsheet!#REF!</definedName>
    <definedName name="mw" localSheetId="5">[4]Frontsheet!#REF!</definedName>
    <definedName name="mw" localSheetId="7">[4]Frontsheet!#REF!</definedName>
    <definedName name="mw" localSheetId="9">[4]Frontsheet!#REF!</definedName>
    <definedName name="mw" localSheetId="11">[4]Frontsheet!#REF!</definedName>
    <definedName name="mw" localSheetId="13">[4]Frontsheet!#REF!</definedName>
    <definedName name="mw" localSheetId="15">[4]Frontsheet!#REF!</definedName>
    <definedName name="mw" localSheetId="17">[4]Frontsheet!#REF!</definedName>
    <definedName name="mw">[4]Frontsheet!#REF!</definedName>
    <definedName name="NEWDRAW" localSheetId="0">#REF!</definedName>
    <definedName name="NEWDRAW" localSheetId="5">#REF!</definedName>
    <definedName name="NEWDRAW" localSheetId="7">#REF!</definedName>
    <definedName name="NEWDRAW" localSheetId="9">#REF!</definedName>
    <definedName name="NEWDRAW" localSheetId="11">#REF!</definedName>
    <definedName name="NEWDRAW" localSheetId="13">#REF!</definedName>
    <definedName name="NEWDRAW" localSheetId="15">#REF!</definedName>
    <definedName name="NEWDRAW" localSheetId="17">#REF!</definedName>
    <definedName name="NEWDRAW">#REF!</definedName>
    <definedName name="NvsEndTime">36465.4707604167</definedName>
    <definedName name="os" localSheetId="0">[4]Frontsheet!#REF!</definedName>
    <definedName name="os" localSheetId="5">[4]Frontsheet!#REF!</definedName>
    <definedName name="os" localSheetId="7">[4]Frontsheet!#REF!</definedName>
    <definedName name="os" localSheetId="9">[4]Frontsheet!#REF!</definedName>
    <definedName name="os" localSheetId="11">[4]Frontsheet!#REF!</definedName>
    <definedName name="os" localSheetId="13">[4]Frontsheet!#REF!</definedName>
    <definedName name="os" localSheetId="15">[4]Frontsheet!#REF!</definedName>
    <definedName name="os" localSheetId="17">[4]Frontsheet!#REF!</definedName>
    <definedName name="os">[4]Frontsheet!#REF!</definedName>
    <definedName name="p" localSheetId="0">[4]Frontsheet!#REF!</definedName>
    <definedName name="p" localSheetId="5">[4]Frontsheet!#REF!</definedName>
    <definedName name="p" localSheetId="7">[4]Frontsheet!#REF!</definedName>
    <definedName name="p" localSheetId="9">[4]Frontsheet!#REF!</definedName>
    <definedName name="p" localSheetId="11">[4]Frontsheet!#REF!</definedName>
    <definedName name="p" localSheetId="13">[4]Frontsheet!#REF!</definedName>
    <definedName name="p" localSheetId="15">[4]Frontsheet!#REF!</definedName>
    <definedName name="p" localSheetId="17">[4]Frontsheet!#REF!</definedName>
    <definedName name="p">[4]Frontsheet!#REF!</definedName>
    <definedName name="pa" localSheetId="0">[4]Frontsheet!#REF!</definedName>
    <definedName name="pa" localSheetId="5">[4]Frontsheet!#REF!</definedName>
    <definedName name="pa" localSheetId="7">[4]Frontsheet!#REF!</definedName>
    <definedName name="pa" localSheetId="9">[4]Frontsheet!#REF!</definedName>
    <definedName name="pa" localSheetId="11">[4]Frontsheet!#REF!</definedName>
    <definedName name="pa" localSheetId="13">[4]Frontsheet!#REF!</definedName>
    <definedName name="pa" localSheetId="15">[4]Frontsheet!#REF!</definedName>
    <definedName name="pa" localSheetId="17">[4]Frontsheet!#REF!</definedName>
    <definedName name="pa">[4]Frontsheet!#REF!</definedName>
    <definedName name="PD" localSheetId="0">#REF!</definedName>
    <definedName name="PD" localSheetId="5">#REF!</definedName>
    <definedName name="PD" localSheetId="7">#REF!</definedName>
    <definedName name="PD" localSheetId="9">#REF!</definedName>
    <definedName name="PD" localSheetId="11">#REF!</definedName>
    <definedName name="PD" localSheetId="13">#REF!</definedName>
    <definedName name="PD" localSheetId="15">#REF!</definedName>
    <definedName name="PD" localSheetId="17">#REF!</definedName>
    <definedName name="PD">#REF!</definedName>
    <definedName name="pipeline_status">[6]Lists!$F$4:$F$8</definedName>
    <definedName name="pp" localSheetId="0">[4]Frontsheet!#REF!</definedName>
    <definedName name="pp" localSheetId="5">[4]Frontsheet!#REF!</definedName>
    <definedName name="pp" localSheetId="7">[4]Frontsheet!#REF!</definedName>
    <definedName name="pp" localSheetId="9">[4]Frontsheet!#REF!</definedName>
    <definedName name="pp" localSheetId="11">[4]Frontsheet!#REF!</definedName>
    <definedName name="pp" localSheetId="13">[4]Frontsheet!#REF!</definedName>
    <definedName name="pp" localSheetId="15">[4]Frontsheet!#REF!</definedName>
    <definedName name="pp" localSheetId="17">[4]Frontsheet!#REF!</definedName>
    <definedName name="pp">[4]Frontsheet!#REF!</definedName>
    <definedName name="_xlnm.Print_Area" localSheetId="0">'Development Program'!$B$2:$Q$35</definedName>
    <definedName name="_xlnm.Print_Area" localSheetId="19">'Market Comparables - Hospitalit'!$B$2:$N$26</definedName>
    <definedName name="_xlnm.Print_Area" localSheetId="6">'Site 1 - Draw'!$B$2:$AQ$74</definedName>
    <definedName name="_xlnm.Print_Area" localSheetId="5">'Site 1 - Financial'!$B$1:$F$71</definedName>
    <definedName name="_xlnm.Print_Area" localSheetId="8">'Site 2 - Draw'!$B$2:$AP$73</definedName>
    <definedName name="_xlnm.Print_Area" localSheetId="7">'Site 2 - Financial'!$B$1:$F$65</definedName>
    <definedName name="_xlnm.Print_Area" localSheetId="10">'Site 3 - Draw'!$B$2:$AQ$81</definedName>
    <definedName name="_xlnm.Print_Area" localSheetId="9">'Site 3 - Financial'!$B$1:$F$72</definedName>
    <definedName name="_xlnm.Print_Area" localSheetId="12">'Site 4 - Draw'!$B$2:$AQ$72</definedName>
    <definedName name="_xlnm.Print_Area" localSheetId="11">'Site 4 - Financial'!$B$1:$F$65</definedName>
    <definedName name="_xlnm.Print_Area" localSheetId="14">'Site 5 - Draw'!$B$2:$AQ$73</definedName>
    <definedName name="_xlnm.Print_Area" localSheetId="13">'Site 5 - Financial'!$B$1:$F$65</definedName>
    <definedName name="_xlnm.Print_Area" localSheetId="16">'Site 6 - Draw'!$B$2:$AQ$73</definedName>
    <definedName name="_xlnm.Print_Area" localSheetId="15">'Site 6 - Financial'!$B$1:$F$65</definedName>
    <definedName name="_xlnm.Print_Area" localSheetId="18">'Site 7 - Draw'!$B$2:$BP$73</definedName>
    <definedName name="_xlnm.Print_Area" localSheetId="17">'Site 7 - Financial'!$B$1:$F$65</definedName>
    <definedName name="_xlnm.Print_Area">#REF!</definedName>
    <definedName name="print_area2" localSheetId="0">#REF!</definedName>
    <definedName name="print_area2" localSheetId="5">#REF!</definedName>
    <definedName name="print_area2" localSheetId="7">#REF!</definedName>
    <definedName name="print_area2" localSheetId="9">#REF!</definedName>
    <definedName name="print_area2" localSheetId="11">#REF!</definedName>
    <definedName name="print_area2" localSheetId="13">#REF!</definedName>
    <definedName name="print_area2" localSheetId="15">#REF!</definedName>
    <definedName name="print_area2" localSheetId="17">#REF!</definedName>
    <definedName name="print_area2">#REF!</definedName>
    <definedName name="print_area3" localSheetId="0">#REF!</definedName>
    <definedName name="print_area3" localSheetId="5">#REF!</definedName>
    <definedName name="print_area3" localSheetId="7">#REF!</definedName>
    <definedName name="print_area3" localSheetId="9">#REF!</definedName>
    <definedName name="print_area3" localSheetId="11">#REF!</definedName>
    <definedName name="print_area3" localSheetId="13">#REF!</definedName>
    <definedName name="print_area3" localSheetId="15">#REF!</definedName>
    <definedName name="print_area3" localSheetId="17">#REF!</definedName>
    <definedName name="print_area3">#REF!</definedName>
    <definedName name="print_area4" localSheetId="0">#REF!</definedName>
    <definedName name="print_area4" localSheetId="5">#REF!</definedName>
    <definedName name="print_area4" localSheetId="7">#REF!</definedName>
    <definedName name="print_area4" localSheetId="9">#REF!</definedName>
    <definedName name="print_area4" localSheetId="11">#REF!</definedName>
    <definedName name="print_area4" localSheetId="13">#REF!</definedName>
    <definedName name="print_area4" localSheetId="15">#REF!</definedName>
    <definedName name="print_area4" localSheetId="17">#REF!</definedName>
    <definedName name="print_area4">#REF!</definedName>
    <definedName name="_xlnm.Print_Titles">#N/A</definedName>
    <definedName name="PROFORMA" localSheetId="0">#REF!</definedName>
    <definedName name="PROFORMA" localSheetId="5">#REF!</definedName>
    <definedName name="PROFORMA" localSheetId="7">#REF!</definedName>
    <definedName name="PROFORMA" localSheetId="9">#REF!</definedName>
    <definedName name="PROFORMA" localSheetId="11">#REF!</definedName>
    <definedName name="PROFORMA" localSheetId="13">#REF!</definedName>
    <definedName name="PROFORMA" localSheetId="15">#REF!</definedName>
    <definedName name="PROFORMA" localSheetId="17">#REF!</definedName>
    <definedName name="PROFORMA">#REF!</definedName>
    <definedName name="Promote_dev_1">[6]Input!$E$330</definedName>
    <definedName name="Property_Types">'[8]Deal Assumptions'!$G$345:$Z$345</definedName>
    <definedName name="pt" localSheetId="0">[4]Frontsheet!#REF!</definedName>
    <definedName name="pt" localSheetId="5">[4]Frontsheet!#REF!</definedName>
    <definedName name="pt" localSheetId="7">[4]Frontsheet!#REF!</definedName>
    <definedName name="pt" localSheetId="9">[4]Frontsheet!#REF!</definedName>
    <definedName name="pt" localSheetId="11">[4]Frontsheet!#REF!</definedName>
    <definedName name="pt" localSheetId="13">[4]Frontsheet!#REF!</definedName>
    <definedName name="pt" localSheetId="15">[4]Frontsheet!#REF!</definedName>
    <definedName name="pt" localSheetId="17">[4]Frontsheet!#REF!</definedName>
    <definedName name="pt">[4]Frontsheet!#REF!</definedName>
    <definedName name="qq" localSheetId="0">#REF!</definedName>
    <definedName name="qq" localSheetId="5">#REF!</definedName>
    <definedName name="qq" localSheetId="7">#REF!</definedName>
    <definedName name="qq" localSheetId="9">#REF!</definedName>
    <definedName name="qq" localSheetId="11">#REF!</definedName>
    <definedName name="qq" localSheetId="13">#REF!</definedName>
    <definedName name="qq" localSheetId="15">#REF!</definedName>
    <definedName name="qq" localSheetId="17">#REF!</definedName>
    <definedName name="qq">#REF!</definedName>
    <definedName name="report" hidden="1">{#N/A,#N/A,FALSE,"Summary";#N/A,#N/A,FALSE,"Assumptions";#N/A,#N/A,FALSE,"Cash Flow";#N/A,#N/A,FALSE,"Residual Calculation";#N/A,#N/A,FALSE,"Pricing Matrix";#N/A,#N/A,FALSE,"Pricing Matrix II";#N/A,#N/A,FALSE,"Expiration Schedule"}</definedName>
    <definedName name="rf" localSheetId="0">[4]Frontsheet!#REF!</definedName>
    <definedName name="rf" localSheetId="5">[4]Frontsheet!#REF!</definedName>
    <definedName name="rf" localSheetId="7">[4]Frontsheet!#REF!</definedName>
    <definedName name="rf" localSheetId="9">[4]Frontsheet!#REF!</definedName>
    <definedName name="rf" localSheetId="11">[4]Frontsheet!#REF!</definedName>
    <definedName name="rf" localSheetId="13">[4]Frontsheet!#REF!</definedName>
    <definedName name="rf" localSheetId="15">[4]Frontsheet!#REF!</definedName>
    <definedName name="rf" localSheetId="17">[4]Frontsheet!#REF!</definedName>
    <definedName name="rf">[4]Frontsheet!#REF!</definedName>
    <definedName name="S_U" localSheetId="0">#REF!</definedName>
    <definedName name="S_U" localSheetId="5">#REF!</definedName>
    <definedName name="S_U" localSheetId="7">#REF!</definedName>
    <definedName name="S_U" localSheetId="9">#REF!</definedName>
    <definedName name="S_U" localSheetId="11">#REF!</definedName>
    <definedName name="S_U" localSheetId="13">#REF!</definedName>
    <definedName name="S_U" localSheetId="15">#REF!</definedName>
    <definedName name="S_U" localSheetId="17">#REF!</definedName>
    <definedName name="S_U">#REF!</definedName>
    <definedName name="Sample1" localSheetId="0">[9]Template!#REF!</definedName>
    <definedName name="Sample1" localSheetId="5">[9]Template!#REF!</definedName>
    <definedName name="Sample1" localSheetId="7">[9]Template!#REF!</definedName>
    <definedName name="Sample1" localSheetId="9">[9]Template!#REF!</definedName>
    <definedName name="Sample1" localSheetId="11">[9]Template!#REF!</definedName>
    <definedName name="Sample1" localSheetId="13">[9]Template!#REF!</definedName>
    <definedName name="Sample1" localSheetId="15">[9]Template!#REF!</definedName>
    <definedName name="Sample1" localSheetId="17">[9]Template!#REF!</definedName>
    <definedName name="Sample1">[9]Template!#REF!</definedName>
    <definedName name="sample2" localSheetId="0">[10]Template!#REF!</definedName>
    <definedName name="sample2" localSheetId="5">[10]Template!#REF!</definedName>
    <definedName name="sample2" localSheetId="7">[10]Template!#REF!</definedName>
    <definedName name="sample2" localSheetId="9">[10]Template!#REF!</definedName>
    <definedName name="sample2" localSheetId="11">[10]Template!#REF!</definedName>
    <definedName name="sample2" localSheetId="13">[10]Template!#REF!</definedName>
    <definedName name="sample2" localSheetId="15">[10]Template!#REF!</definedName>
    <definedName name="sample2" localSheetId="17">[10]Template!#REF!</definedName>
    <definedName name="sample2">[10]Template!#REF!</definedName>
    <definedName name="sample3" localSheetId="0">[10]Template!#REF!</definedName>
    <definedName name="sample3" localSheetId="5">[10]Template!#REF!</definedName>
    <definedName name="sample3" localSheetId="7">[10]Template!#REF!</definedName>
    <definedName name="sample3" localSheetId="9">[10]Template!#REF!</definedName>
    <definedName name="sample3" localSheetId="11">[10]Template!#REF!</definedName>
    <definedName name="sample3" localSheetId="13">[10]Template!#REF!</definedName>
    <definedName name="sample3" localSheetId="15">[10]Template!#REF!</definedName>
    <definedName name="sample3" localSheetId="17">[10]Template!#REF!</definedName>
    <definedName name="sample3">[10]Template!#REF!</definedName>
    <definedName name="sdf" hidden="1">{"Assump",#N/A,TRUE,"Proforma";"first",#N/A,TRUE,"Proforma";"second",#N/A,TRUE,"Proforma";"lease1",#N/A,TRUE,"Proforma";"lease2",#N/A,TRUE,"Proforma"}</definedName>
    <definedName name="sdfgsfgdsfg" localSheetId="0">[4]Frontsheet!#REF!</definedName>
    <definedName name="sdfgsfgdsfg" localSheetId="5">[4]Frontsheet!#REF!</definedName>
    <definedName name="sdfgsfgdsfg" localSheetId="7">[4]Frontsheet!#REF!</definedName>
    <definedName name="sdfgsfgdsfg" localSheetId="9">[4]Frontsheet!#REF!</definedName>
    <definedName name="sdfgsfgdsfg" localSheetId="11">[4]Frontsheet!#REF!</definedName>
    <definedName name="sdfgsfgdsfg" localSheetId="13">[4]Frontsheet!#REF!</definedName>
    <definedName name="sdfgsfgdsfg" localSheetId="15">[4]Frontsheet!#REF!</definedName>
    <definedName name="sdfgsfgdsfg" localSheetId="17">[4]Frontsheet!#REF!</definedName>
    <definedName name="sdfgsfgdsfg">[4]Frontsheet!#REF!</definedName>
    <definedName name="SF">'[11]One Pager - Assumptions'!$H$31</definedName>
    <definedName name="sg" localSheetId="0">[4]Frontsheet!#REF!</definedName>
    <definedName name="sg" localSheetId="5">[4]Frontsheet!#REF!</definedName>
    <definedName name="sg" localSheetId="7">[4]Frontsheet!#REF!</definedName>
    <definedName name="sg" localSheetId="9">[4]Frontsheet!#REF!</definedName>
    <definedName name="sg" localSheetId="11">[4]Frontsheet!#REF!</definedName>
    <definedName name="sg" localSheetId="13">[4]Frontsheet!#REF!</definedName>
    <definedName name="sg" localSheetId="15">[4]Frontsheet!#REF!</definedName>
    <definedName name="sg" localSheetId="17">[4]Frontsheet!#REF!</definedName>
    <definedName name="sg">[4]Frontsheet!#REF!</definedName>
    <definedName name="si" localSheetId="0">[4]Frontsheet!#REF!</definedName>
    <definedName name="si" localSheetId="5">[4]Frontsheet!#REF!</definedName>
    <definedName name="si" localSheetId="7">[4]Frontsheet!#REF!</definedName>
    <definedName name="si" localSheetId="9">[4]Frontsheet!#REF!</definedName>
    <definedName name="si" localSheetId="11">[4]Frontsheet!#REF!</definedName>
    <definedName name="si" localSheetId="13">[4]Frontsheet!#REF!</definedName>
    <definedName name="si" localSheetId="15">[4]Frontsheet!#REF!</definedName>
    <definedName name="si" localSheetId="17">[4]Frontsheet!#REF!</definedName>
    <definedName name="si">[4]Frontsheet!#REF!</definedName>
    <definedName name="tp" localSheetId="0">[4]Frontsheet!#REF!</definedName>
    <definedName name="tp" localSheetId="5">[4]Frontsheet!#REF!</definedName>
    <definedName name="tp" localSheetId="7">[4]Frontsheet!#REF!</definedName>
    <definedName name="tp" localSheetId="9">[4]Frontsheet!#REF!</definedName>
    <definedName name="tp" localSheetId="11">[4]Frontsheet!#REF!</definedName>
    <definedName name="tp" localSheetId="13">[4]Frontsheet!#REF!</definedName>
    <definedName name="tp" localSheetId="15">[4]Frontsheet!#REF!</definedName>
    <definedName name="tp" localSheetId="17">[4]Frontsheet!#REF!</definedName>
    <definedName name="tp">[4]Frontsheet!#REF!</definedName>
    <definedName name="Trended_hard_cost">[6]Input!$K$47</definedName>
    <definedName name="trended_partner_contributions" localSheetId="0">'[6]Trended Cash Flow'!#REF!</definedName>
    <definedName name="trended_partner_contributions" localSheetId="5">'[6]Trended Cash Flow'!#REF!</definedName>
    <definedName name="trended_partner_contributions" localSheetId="7">'[6]Trended Cash Flow'!#REF!</definedName>
    <definedName name="trended_partner_contributions" localSheetId="9">'[6]Trended Cash Flow'!#REF!</definedName>
    <definedName name="trended_partner_contributions" localSheetId="11">'[6]Trended Cash Flow'!#REF!</definedName>
    <definedName name="trended_partner_contributions" localSheetId="13">'[6]Trended Cash Flow'!#REF!</definedName>
    <definedName name="trended_partner_contributions" localSheetId="15">'[6]Trended Cash Flow'!#REF!</definedName>
    <definedName name="trended_partner_contributions" localSheetId="17">'[6]Trended Cash Flow'!#REF!</definedName>
    <definedName name="trended_partner_contributions">'[6]Trended Cash Flow'!#REF!</definedName>
    <definedName name="TT" localSheetId="0">[4]Frontsheet!#REF!</definedName>
    <definedName name="TT" localSheetId="5">[4]Frontsheet!#REF!</definedName>
    <definedName name="TT" localSheetId="7">[4]Frontsheet!#REF!</definedName>
    <definedName name="TT" localSheetId="9">[4]Frontsheet!#REF!</definedName>
    <definedName name="TT" localSheetId="11">[4]Frontsheet!#REF!</definedName>
    <definedName name="TT" localSheetId="13">[4]Frontsheet!#REF!</definedName>
    <definedName name="TT" localSheetId="15">[4]Frontsheet!#REF!</definedName>
    <definedName name="TT" localSheetId="17">[4]Frontsheet!#REF!</definedName>
    <definedName name="TT">[4]Frontsheet!#REF!</definedName>
    <definedName name="units">'[12]Equity Investor Sheet 2538'!$G$132</definedName>
    <definedName name="untrended_dates">'[6]Untrended Cash Flow'!$E$12:$BL$12</definedName>
    <definedName name="untrended_partner_contributions">'[6]Untrended Cash Flow'!$E$154:$BL$154</definedName>
    <definedName name="vital5">'[7]Customize Your Invoice'!$E$15</definedName>
    <definedName name="wetadf" hidden="1">{"Assump",#N/A,TRUE,"Proforma";"first",#N/A,TRUE,"Proforma";"second",#N/A,TRUE,"Proforma";"lease1",#N/A,TRUE,"Proforma";"lease2",#N/A,TRUE,"Proforma"}</definedName>
    <definedName name="wrn.BlackWhite." hidden="1">{#N/A,#N/A,FALSE,"NNN sum";#N/A,#N/A,FALSE,"10-yr Opt. A Sum";#N/A,#N/A,FALSE,"10-yr Opt A Other Costs";#N/A,#N/A,FALSE,"Purchase Sum";#N/A,#N/A,FALSE,"Purchase Other Costs"}</definedName>
    <definedName name="wrn.Complete._.Review." hidden="1">{#N/A,#N/A,FALSE,"Occ and Rate";#N/A,#N/A,FALSE,"PF Input";#N/A,#N/A,FALSE,"Capital Input";#N/A,#N/A,FALSE,"Proforma Five Yr";#N/A,#N/A,FALSE,"Calculations";#N/A,#N/A,FALSE,"Transaction Summary-DTW"}</definedName>
    <definedName name="wrn.cssa." hidden="1">{#N/A,#N/A,FALSE,"WATCHDSC";#N/A,#N/A,FALSE,"2LOSSMOD";#N/A,#N/A,FALSE,"2LOSS";#N/A,#N/A,FALSE,"DSC";#N/A,#N/A,FALSE,"OPERAT";#N/A,#N/A,FALSE,"ADJUST";#N/A,#N/A,FALSE,"LEASE EXPIRE"}</definedName>
    <definedName name="wrn.data." hidden="1">{"data",#N/A,FALSE,"INPUT"}</definedName>
    <definedName name="wrn.GSA._.PRINT." hidden="1">{#N/A,#N/A,FALSE,"DEV COSTS";#N/A,#N/A,FALSE,"10-YR C. F."}</definedName>
    <definedName name="wrn.Investment._.Review." hidden="1">{#N/A,#N/A,FALSE,"Proforma Five Yr";#N/A,#N/A,FALSE,"Capital Input";#N/A,#N/A,FALSE,"Calculations";#N/A,#N/A,FALSE,"Transaction Summary-DTW"}</definedName>
    <definedName name="wrn.MODEL." hidden="1">{"IS",#N/A,FALSE,"Income Statement";"ISR",#N/A,FALSE,"Income Statement Ratios";"BS",#N/A,FALSE,"Balance Sheet";"BSR",#N/A,FALSE,"Balance Sheet Ratios";"CF",#N/A,FALSE,"Cash Flow";"SALES",#N/A,FALSE,"Sales Analysis";"RR",#N/A,FALSE,"Recent Results"}</definedName>
    <definedName name="wrn.Operations._.Review." hidden="1">{#N/A,#N/A,FALSE,"Proforma Five Yr";#N/A,#N/A,FALSE,"Occ and Rate";#N/A,#N/A,FALSE,"PF Input";#N/A,#N/A,FALSE,"Hotcomps"}</definedName>
    <definedName name="wrn.Phase._.I." hidden="1">{#N/A,#N/A,FALSE,"Transaction Summary-DTW";#N/A,#N/A,FALSE,"Proforma Five Yr";#N/A,#N/A,FALSE,"Occ and Rate"}</definedName>
    <definedName name="wrn.print." hidden="1">{"Assump",#N/A,TRUE,"Proforma";"first",#N/A,TRUE,"Proforma";"second",#N/A,TRUE,"Proforma";"lease1",#N/A,TRUE,"Proforma";"lease2",#N/A,TRUE,"Proforma"}</definedName>
    <definedName name="wrn.Proforma._.Review." hidden="1">{#N/A,#N/A,FALSE,"Occ and Rate";#N/A,#N/A,FALSE,"PF Input";#N/A,#N/A,FALSE,"Proforma Five Yr";#N/A,#N/A,FALSE,"Hotcomps"}</definedName>
    <definedName name="wrn.Report." hidden="1">{#N/A,#N/A,FALSE,"Summary";#N/A,#N/A,FALSE,"Assumptions";#N/A,#N/A,FALSE,"Cash Flow";#N/A,#N/A,FALSE,"Residual Calculation";#N/A,#N/A,FALSE,"Pricing Matrix";#N/A,#N/A,FALSE,"Pricing Matrix II";#N/A,#N/A,FALSE,"Expiration Schedule"}</definedName>
    <definedName name="wrn.Total." hidden="1">{#N/A,#N/A,FALSE,"Exec Sum";#N/A,#N/A,FALSE,"Rent Rate Comp";#N/A,#N/A,FALSE,"Rate, NPV Comp";#N/A,#N/A,FALSE,"Opt A NNN";#N/A,#N/A,FALSE,"15-yr Opt. A Sum";#N/A,#N/A,FALSE,"15-yr Opt A Other Costs";#N/A,#N/A,FALSE,"10-yr Opt. A Sum";#N/A,#N/A,FALSE,"10-yr Opt A Other Costs";#N/A,#N/A,FALSE,"NPV Calc"}</definedName>
    <definedName name="wrn.TOTAL._.SHEETS." hidden="1">{#N/A,#N/A,FALSE,"DEV COSTS";#N/A,#N/A,FALSE,"10-YR C. F."}</definedName>
    <definedName name="wrn.WeeklyStatus." hidden="1">{#N/A,#N/A,FALSE,"StatusReport"}</definedName>
    <definedName name="wrn.YTD.Clsngs.Subdiv.Dte." hidden="1">{"Smry.sbtl.subdiv.clsdte",#N/A,FALSE,"97clsngs.612"}</definedName>
    <definedName name="x" hidden="1">{#N/A,#N/A,FALSE,"WATCHDSC";#N/A,#N/A,FALSE,"2LOSSMOD";#N/A,#N/A,FALSE,"2LOSS";#N/A,#N/A,FALSE,"DSC";#N/A,#N/A,FALSE,"OPERAT";#N/A,#N/A,FALSE,"ADJUST";#N/A,#N/A,FALSE,"LEASE EXPIRE"}</definedName>
  </definedNames>
  <calcPr calcId="191028"/>
  <fileRecoveryPr autoRecover="0" repairLoad="1"/>
  <extLst>
    <ext xmlns:x14="http://schemas.microsoft.com/office/spreadsheetml/2009/9/main" uri="{79F54976-1DA5-4618-B147-4CDE4B953A38}">
      <x14:workbookPr defaultImageDpi="32767"/>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G7" i="140" l="1"/>
  <c r="G5" i="140"/>
  <c r="C20" i="199"/>
  <c r="C21" i="199"/>
  <c r="C19" i="199"/>
  <c r="C17" i="199"/>
  <c r="C13" i="199"/>
  <c r="C12" i="199"/>
  <c r="C10" i="199"/>
  <c r="C6" i="199"/>
  <c r="C5" i="199"/>
  <c r="C4" i="199"/>
  <c r="H20" i="197"/>
  <c r="G20" i="197"/>
  <c r="AO29" i="197"/>
  <c r="AO28" i="197"/>
  <c r="AO25" i="197"/>
  <c r="AO24" i="197"/>
  <c r="AO23" i="197"/>
  <c r="AO22" i="197"/>
  <c r="AO21" i="197"/>
  <c r="AO20" i="197"/>
  <c r="AO19" i="197"/>
  <c r="AO18" i="197"/>
  <c r="AO17" i="197"/>
  <c r="AO16" i="197"/>
  <c r="AO15" i="197"/>
  <c r="AO14" i="197"/>
  <c r="AO13" i="197"/>
  <c r="AO12" i="197"/>
  <c r="AO11" i="197"/>
  <c r="AO10" i="197"/>
  <c r="AO9" i="197"/>
  <c r="AO8" i="197"/>
  <c r="AO7" i="197"/>
  <c r="AO6" i="197"/>
  <c r="F20" i="185"/>
  <c r="G20" i="185"/>
  <c r="H20" i="185" s="1"/>
  <c r="G20" i="181"/>
  <c r="F20" i="181"/>
  <c r="E20" i="181"/>
  <c r="E20" i="178"/>
  <c r="D20" i="178"/>
  <c r="C23" i="178"/>
  <c r="I21" i="177"/>
  <c r="I21" i="188"/>
  <c r="C23" i="189"/>
  <c r="F20" i="189"/>
  <c r="E20" i="189"/>
  <c r="D20" i="189"/>
  <c r="I21" i="171"/>
  <c r="F23" i="170"/>
  <c r="E23" i="170"/>
  <c r="F20" i="170"/>
  <c r="E20" i="170"/>
  <c r="H29" i="187"/>
  <c r="O30" i="187"/>
  <c r="N30" i="187"/>
  <c r="M30" i="187"/>
  <c r="L30" i="187"/>
  <c r="K30" i="187"/>
  <c r="J30" i="187"/>
  <c r="I30" i="187"/>
  <c r="H30" i="187"/>
  <c r="G30" i="187"/>
  <c r="F30" i="187"/>
  <c r="E30" i="187"/>
  <c r="D30" i="187"/>
  <c r="C30" i="187"/>
  <c r="C29" i="187"/>
  <c r="E19" i="186"/>
  <c r="I23" i="186"/>
  <c r="L51" i="187"/>
  <c r="L50" i="187"/>
  <c r="M51" i="187"/>
  <c r="M50" i="187"/>
  <c r="L42" i="187"/>
  <c r="M42" i="187" s="1"/>
  <c r="L41" i="187"/>
  <c r="M41" i="187" s="1"/>
  <c r="L33" i="187"/>
  <c r="M33" i="187" s="1"/>
  <c r="L32" i="187"/>
  <c r="M32" i="187" s="1"/>
  <c r="H54" i="187"/>
  <c r="H45" i="187"/>
  <c r="H36" i="187"/>
  <c r="G53" i="178"/>
  <c r="F53" i="178"/>
  <c r="G51" i="178"/>
  <c r="F51" i="178"/>
  <c r="G49" i="178"/>
  <c r="F49" i="178"/>
  <c r="G44" i="178"/>
  <c r="G42" i="178"/>
  <c r="F42" i="178"/>
  <c r="G40" i="178"/>
  <c r="F40" i="178"/>
  <c r="F44" i="178"/>
  <c r="D28" i="178"/>
  <c r="E27" i="178"/>
  <c r="D27" i="178"/>
  <c r="E23" i="178"/>
  <c r="E22" i="178"/>
  <c r="D22" i="178"/>
  <c r="D21" i="178"/>
  <c r="E15" i="178"/>
  <c r="D11" i="178"/>
  <c r="H3" i="159"/>
  <c r="I3" i="159" s="1"/>
  <c r="J3" i="159" s="1"/>
  <c r="K3" i="159" s="1"/>
  <c r="L3" i="159" s="1"/>
  <c r="M3" i="159" s="1"/>
  <c r="N3" i="159" s="1"/>
  <c r="G3" i="159"/>
  <c r="F3" i="159"/>
  <c r="E3" i="159"/>
  <c r="O3" i="189"/>
  <c r="N3" i="189"/>
  <c r="M3" i="189"/>
  <c r="L3" i="189"/>
  <c r="K3" i="189"/>
  <c r="J3" i="189"/>
  <c r="I3" i="189"/>
  <c r="H3" i="189"/>
  <c r="G3" i="189"/>
  <c r="I9" i="142"/>
  <c r="F47" i="178" s="1"/>
  <c r="F57" i="178" s="1"/>
  <c r="I8" i="142"/>
  <c r="F56" i="178" s="1"/>
  <c r="I7" i="142"/>
  <c r="I6" i="142"/>
  <c r="C6" i="198"/>
  <c r="C22" i="199" l="1"/>
  <c r="D22" i="199" s="1"/>
  <c r="D21" i="199"/>
  <c r="D20" i="199"/>
  <c r="C11" i="199"/>
  <c r="C18" i="199"/>
  <c r="C7" i="199"/>
  <c r="D7" i="199" s="1"/>
  <c r="I20" i="185"/>
  <c r="J28" i="186"/>
  <c r="F28" i="177"/>
  <c r="I28" i="177"/>
  <c r="F116" i="198"/>
  <c r="G116" i="198"/>
  <c r="F117" i="198"/>
  <c r="G117" i="198"/>
  <c r="F118" i="198"/>
  <c r="G118" i="198"/>
  <c r="F119" i="198"/>
  <c r="G119" i="198"/>
  <c r="F120" i="198"/>
  <c r="G120" i="198"/>
  <c r="F121" i="198"/>
  <c r="G121" i="198"/>
  <c r="F122" i="198"/>
  <c r="G122" i="198"/>
  <c r="F123" i="198"/>
  <c r="G123" i="198"/>
  <c r="F124" i="198"/>
  <c r="G124" i="198"/>
  <c r="F125" i="198"/>
  <c r="G125" i="198"/>
  <c r="F126" i="198"/>
  <c r="G126" i="198"/>
  <c r="F127" i="198"/>
  <c r="G127" i="198"/>
  <c r="F128" i="198"/>
  <c r="G128" i="198"/>
  <c r="F129" i="198"/>
  <c r="G129" i="198"/>
  <c r="F130" i="198"/>
  <c r="G130" i="198"/>
  <c r="F131" i="198"/>
  <c r="G131" i="198"/>
  <c r="F132" i="198"/>
  <c r="G132" i="198"/>
  <c r="F133" i="198"/>
  <c r="G133" i="198"/>
  <c r="F134" i="198"/>
  <c r="G134" i="198"/>
  <c r="F135" i="198"/>
  <c r="G135" i="198"/>
  <c r="I109" i="198"/>
  <c r="J109" i="198"/>
  <c r="J91" i="198"/>
  <c r="J92" i="198"/>
  <c r="J93" i="198"/>
  <c r="J94" i="198"/>
  <c r="J98" i="198" s="1"/>
  <c r="M94" i="198"/>
  <c r="J95" i="198"/>
  <c r="M95" i="198"/>
  <c r="J96" i="198"/>
  <c r="J97" i="198"/>
  <c r="M97" i="198"/>
  <c r="I98" i="198"/>
  <c r="K98" i="198"/>
  <c r="C103" i="198"/>
  <c r="C104" i="198"/>
  <c r="I62" i="198"/>
  <c r="D4" i="199" l="1"/>
  <c r="D5" i="199"/>
  <c r="D18" i="199"/>
  <c r="D17" i="199"/>
  <c r="C14" i="199"/>
  <c r="D11" i="199"/>
  <c r="D19" i="199"/>
  <c r="D6" i="199"/>
  <c r="K72" i="198"/>
  <c r="K84" i="198"/>
  <c r="J84" i="198" s="1"/>
  <c r="J67" i="198"/>
  <c r="J68" i="198"/>
  <c r="I69" i="198"/>
  <c r="J69" i="198" s="1"/>
  <c r="J70" i="198"/>
  <c r="M70" i="198"/>
  <c r="L71" i="198"/>
  <c r="M71" i="198" s="1"/>
  <c r="O30" i="197"/>
  <c r="N30" i="197"/>
  <c r="M30" i="197"/>
  <c r="L30" i="197"/>
  <c r="K30" i="197"/>
  <c r="J30" i="197"/>
  <c r="I30" i="197"/>
  <c r="F30" i="197"/>
  <c r="E30" i="197"/>
  <c r="D30" i="197"/>
  <c r="G29" i="197"/>
  <c r="C29" i="197"/>
  <c r="E19" i="196"/>
  <c r="J28" i="196"/>
  <c r="O30" i="185"/>
  <c r="N30" i="185"/>
  <c r="M30" i="185"/>
  <c r="L30" i="185"/>
  <c r="K30" i="185"/>
  <c r="J30" i="185"/>
  <c r="E30" i="185"/>
  <c r="D30" i="185"/>
  <c r="F29" i="185"/>
  <c r="C29" i="185"/>
  <c r="F19" i="180"/>
  <c r="E19" i="184"/>
  <c r="J28" i="184"/>
  <c r="E19" i="180"/>
  <c r="O30" i="181"/>
  <c r="N30" i="181"/>
  <c r="M30" i="181"/>
  <c r="L30" i="181"/>
  <c r="K30" i="181"/>
  <c r="J30" i="181"/>
  <c r="I30" i="181"/>
  <c r="H30" i="181"/>
  <c r="D30" i="181"/>
  <c r="E29" i="181"/>
  <c r="C29" i="181"/>
  <c r="J28" i="180"/>
  <c r="C24" i="180"/>
  <c r="H10" i="171"/>
  <c r="K22" i="171"/>
  <c r="E7" i="180"/>
  <c r="E7" i="184" s="1"/>
  <c r="E7" i="196" s="1"/>
  <c r="E6" i="180"/>
  <c r="E6" i="184" s="1"/>
  <c r="E6" i="196" s="1"/>
  <c r="E5" i="180"/>
  <c r="E5" i="184" s="1"/>
  <c r="E5" i="196" s="1"/>
  <c r="E4" i="180"/>
  <c r="E4" i="184" s="1"/>
  <c r="E4" i="196" s="1"/>
  <c r="F43" i="189"/>
  <c r="F45" i="189" s="1"/>
  <c r="E43" i="189"/>
  <c r="E45" i="189" s="1"/>
  <c r="D43" i="189"/>
  <c r="D45" i="189" s="1"/>
  <c r="D46" i="189" s="1"/>
  <c r="F15" i="188"/>
  <c r="G40" i="189" s="1"/>
  <c r="H40" i="189" s="1"/>
  <c r="F14" i="188"/>
  <c r="F13" i="188"/>
  <c r="F12" i="188"/>
  <c r="F11" i="188"/>
  <c r="D14" i="188"/>
  <c r="D13" i="188"/>
  <c r="D12" i="188"/>
  <c r="D11" i="188"/>
  <c r="C6" i="188"/>
  <c r="C5" i="188"/>
  <c r="C4" i="188"/>
  <c r="C15" i="188"/>
  <c r="E7" i="186"/>
  <c r="E6" i="186"/>
  <c r="E5" i="186"/>
  <c r="E4" i="186"/>
  <c r="D6" i="171"/>
  <c r="D5" i="171"/>
  <c r="D4" i="171"/>
  <c r="C6" i="171"/>
  <c r="D23" i="170"/>
  <c r="E44" i="170"/>
  <c r="F34" i="170"/>
  <c r="E34" i="170"/>
  <c r="D34" i="170"/>
  <c r="D36" i="170" s="1"/>
  <c r="F14" i="171"/>
  <c r="F13" i="171"/>
  <c r="F12" i="171"/>
  <c r="F11" i="171"/>
  <c r="D14" i="171"/>
  <c r="D13" i="171"/>
  <c r="D12" i="171"/>
  <c r="D11" i="171"/>
  <c r="C4" i="171"/>
  <c r="C5" i="171"/>
  <c r="C15" i="171"/>
  <c r="C32" i="140" s="1"/>
  <c r="H10" i="196"/>
  <c r="I10" i="196" s="1"/>
  <c r="I18" i="196" s="1"/>
  <c r="J18" i="196" s="1"/>
  <c r="H10" i="184"/>
  <c r="I10" i="184" s="1"/>
  <c r="I18" i="184" s="1"/>
  <c r="J18" i="184" s="1"/>
  <c r="H10" i="180"/>
  <c r="I10" i="180" s="1"/>
  <c r="I18" i="180" s="1"/>
  <c r="J18" i="180" s="1"/>
  <c r="H10" i="177"/>
  <c r="H10" i="188"/>
  <c r="H10" i="186"/>
  <c r="I10" i="186" s="1"/>
  <c r="C54" i="198"/>
  <c r="M52" i="198"/>
  <c r="M53" i="198"/>
  <c r="M54" i="198"/>
  <c r="M55" i="198"/>
  <c r="J56" i="198"/>
  <c r="M57" i="198"/>
  <c r="M58" i="198"/>
  <c r="J59" i="198"/>
  <c r="M59" i="198" s="1"/>
  <c r="M60" i="198"/>
  <c r="M61" i="198"/>
  <c r="K35" i="198"/>
  <c r="L35" i="198"/>
  <c r="K40" i="198"/>
  <c r="L40" i="198"/>
  <c r="K45" i="198"/>
  <c r="L45" i="198"/>
  <c r="K48" i="198"/>
  <c r="L48" i="198"/>
  <c r="R27" i="198"/>
  <c r="P27" i="198"/>
  <c r="R21" i="198"/>
  <c r="P21" i="198"/>
  <c r="J27" i="198"/>
  <c r="H27" i="198"/>
  <c r="J21" i="198"/>
  <c r="H21" i="198"/>
  <c r="K12" i="198"/>
  <c r="I12" i="198"/>
  <c r="M11" i="198"/>
  <c r="J11" i="198"/>
  <c r="J10" i="198"/>
  <c r="M9" i="198"/>
  <c r="J9" i="198"/>
  <c r="M8" i="198"/>
  <c r="J8" i="198"/>
  <c r="J7" i="198"/>
  <c r="J6" i="198"/>
  <c r="J5" i="198"/>
  <c r="J33" i="185"/>
  <c r="H33" i="181"/>
  <c r="D14" i="199" l="1"/>
  <c r="D12" i="199"/>
  <c r="D13" i="199"/>
  <c r="D10" i="199"/>
  <c r="M56" i="198"/>
  <c r="J62" i="198"/>
  <c r="I72" i="198"/>
  <c r="J71" i="198"/>
  <c r="J72" i="198" s="1"/>
  <c r="M62" i="198"/>
  <c r="D15" i="188"/>
  <c r="G42" i="189" s="1"/>
  <c r="E44" i="189"/>
  <c r="F44" i="189" s="1"/>
  <c r="F46" i="189" s="1"/>
  <c r="F15" i="171"/>
  <c r="I18" i="186"/>
  <c r="J18" i="186" s="1"/>
  <c r="G43" i="189"/>
  <c r="H42" i="189"/>
  <c r="H43" i="189" s="1"/>
  <c r="E15" i="188"/>
  <c r="E36" i="170"/>
  <c r="F36" i="170"/>
  <c r="D37" i="170"/>
  <c r="D15" i="171"/>
  <c r="M12" i="198"/>
  <c r="J12" i="198"/>
  <c r="E46" i="189" l="1"/>
  <c r="E15" i="171"/>
  <c r="G31" i="170"/>
  <c r="E35" i="170"/>
  <c r="F35" i="170" s="1"/>
  <c r="F37" i="170" s="1"/>
  <c r="G33" i="170"/>
  <c r="H33" i="170" s="1"/>
  <c r="G45" i="189"/>
  <c r="H45" i="189"/>
  <c r="N11" i="159"/>
  <c r="M11" i="159"/>
  <c r="L11" i="159"/>
  <c r="K11" i="159"/>
  <c r="J11" i="159"/>
  <c r="F11" i="159"/>
  <c r="E11" i="159"/>
  <c r="K10" i="159"/>
  <c r="I9" i="159"/>
  <c r="N8" i="159"/>
  <c r="M8" i="159"/>
  <c r="L8" i="159"/>
  <c r="K8" i="159"/>
  <c r="J8" i="159"/>
  <c r="I8" i="159"/>
  <c r="H8" i="159"/>
  <c r="N7" i="159"/>
  <c r="M7" i="159"/>
  <c r="L7" i="159"/>
  <c r="K7" i="159"/>
  <c r="J7" i="159"/>
  <c r="I7" i="159"/>
  <c r="H7" i="159"/>
  <c r="N5" i="159"/>
  <c r="M5" i="159"/>
  <c r="L5" i="159"/>
  <c r="K5" i="159"/>
  <c r="J5" i="159"/>
  <c r="I5" i="159"/>
  <c r="H5" i="159"/>
  <c r="N20" i="159"/>
  <c r="M20" i="159"/>
  <c r="L20" i="159"/>
  <c r="K20" i="159"/>
  <c r="J20" i="159"/>
  <c r="F20" i="159"/>
  <c r="E20" i="159"/>
  <c r="N19" i="159"/>
  <c r="M19" i="159"/>
  <c r="L19" i="159"/>
  <c r="K19" i="159"/>
  <c r="E19" i="159"/>
  <c r="N18" i="159"/>
  <c r="M18" i="159"/>
  <c r="L18" i="159"/>
  <c r="K18" i="159"/>
  <c r="J18" i="159"/>
  <c r="I18" i="159"/>
  <c r="N17" i="159"/>
  <c r="M17" i="159"/>
  <c r="L17" i="159"/>
  <c r="K17" i="159"/>
  <c r="J17" i="159"/>
  <c r="I17" i="159"/>
  <c r="H17" i="159"/>
  <c r="N16" i="159"/>
  <c r="M16" i="159"/>
  <c r="L16" i="159"/>
  <c r="K16" i="159"/>
  <c r="J16" i="159"/>
  <c r="I16" i="159"/>
  <c r="H16" i="159"/>
  <c r="N14" i="159"/>
  <c r="M14" i="159"/>
  <c r="L14" i="159"/>
  <c r="K14" i="159"/>
  <c r="J14" i="159"/>
  <c r="I14" i="159"/>
  <c r="H14" i="159"/>
  <c r="D20" i="159"/>
  <c r="D19" i="159"/>
  <c r="D18" i="159"/>
  <c r="D11" i="159"/>
  <c r="B18" i="159"/>
  <c r="B11" i="159"/>
  <c r="B20" i="159" s="1"/>
  <c r="B10" i="159"/>
  <c r="B19" i="159" s="1"/>
  <c r="B9" i="159"/>
  <c r="B8" i="159"/>
  <c r="B17" i="159" s="1"/>
  <c r="B7" i="159"/>
  <c r="B16" i="159" s="1"/>
  <c r="B6" i="159"/>
  <c r="B15" i="159" s="1"/>
  <c r="B5" i="159"/>
  <c r="B14" i="159" s="1"/>
  <c r="H45" i="197"/>
  <c r="H4" i="184"/>
  <c r="H6" i="186"/>
  <c r="H5" i="186"/>
  <c r="J42" i="185"/>
  <c r="K42" i="185" s="1"/>
  <c r="K33" i="185"/>
  <c r="B2" i="196"/>
  <c r="B2" i="184"/>
  <c r="B2" i="185"/>
  <c r="G45" i="185"/>
  <c r="H45" i="185" s="1"/>
  <c r="I45" i="185" s="1"/>
  <c r="H42" i="181"/>
  <c r="I42" i="181" s="1"/>
  <c r="I33" i="181"/>
  <c r="F45" i="181"/>
  <c r="G45" i="181" s="1"/>
  <c r="B2" i="181"/>
  <c r="I19" i="196"/>
  <c r="I19" i="184"/>
  <c r="I19" i="180"/>
  <c r="I19" i="186"/>
  <c r="I29" i="178"/>
  <c r="I4" i="178"/>
  <c r="B2" i="178"/>
  <c r="F61" i="189"/>
  <c r="G59" i="189"/>
  <c r="H59" i="189" s="1"/>
  <c r="G50" i="189"/>
  <c r="H50" i="189" s="1"/>
  <c r="G29" i="189"/>
  <c r="G32" i="189"/>
  <c r="H32" i="189" s="1"/>
  <c r="P14" i="140"/>
  <c r="P25" i="140" s="1"/>
  <c r="N11" i="140"/>
  <c r="N10" i="140"/>
  <c r="I25" i="186"/>
  <c r="I25" i="188"/>
  <c r="I25" i="177"/>
  <c r="I25" i="180"/>
  <c r="I25" i="184"/>
  <c r="I11" i="140"/>
  <c r="H11" i="140"/>
  <c r="I10" i="140"/>
  <c r="H10" i="140"/>
  <c r="I25" i="196"/>
  <c r="C27" i="197" s="1"/>
  <c r="C18" i="196"/>
  <c r="C17" i="196"/>
  <c r="C59" i="197"/>
  <c r="E54" i="197"/>
  <c r="F54" i="197" s="1"/>
  <c r="F53" i="197"/>
  <c r="E53" i="197"/>
  <c r="D53" i="197"/>
  <c r="D55" i="197" s="1"/>
  <c r="F44" i="197"/>
  <c r="F46" i="197" s="1"/>
  <c r="E44" i="197"/>
  <c r="D44" i="197"/>
  <c r="F35" i="197"/>
  <c r="F37" i="197" s="1"/>
  <c r="E35" i="197"/>
  <c r="E37" i="197" s="1"/>
  <c r="D35" i="197"/>
  <c r="D37" i="197" s="1"/>
  <c r="C28" i="197"/>
  <c r="G28" i="197" s="1"/>
  <c r="B28" i="197"/>
  <c r="B27" i="197"/>
  <c r="C26" i="197"/>
  <c r="B26" i="197"/>
  <c r="B25" i="197"/>
  <c r="B24" i="197"/>
  <c r="B23" i="197"/>
  <c r="C22" i="197"/>
  <c r="G22" i="197" s="1"/>
  <c r="H22" i="197" s="1"/>
  <c r="B22" i="197"/>
  <c r="B21" i="197"/>
  <c r="C20" i="197"/>
  <c r="B20" i="197"/>
  <c r="B19" i="197"/>
  <c r="B18" i="197"/>
  <c r="B17" i="197"/>
  <c r="B16" i="197"/>
  <c r="C15" i="197"/>
  <c r="G15" i="197" s="1"/>
  <c r="H15" i="197" s="1"/>
  <c r="B15" i="197"/>
  <c r="B14" i="197"/>
  <c r="C13" i="197"/>
  <c r="G13" i="197" s="1"/>
  <c r="B13" i="197"/>
  <c r="B12" i="197"/>
  <c r="C11" i="197"/>
  <c r="B11" i="197"/>
  <c r="B10" i="197"/>
  <c r="B9" i="197"/>
  <c r="B8" i="197"/>
  <c r="B7" i="197"/>
  <c r="P4" i="197"/>
  <c r="Q4" i="197" s="1"/>
  <c r="R4" i="197" s="1"/>
  <c r="S4" i="197" s="1"/>
  <c r="T4" i="197" s="1"/>
  <c r="U4" i="197" s="1"/>
  <c r="V4" i="197" s="1"/>
  <c r="W4" i="197" s="1"/>
  <c r="X4" i="197" s="1"/>
  <c r="Y4" i="197" s="1"/>
  <c r="Z4" i="197" s="1"/>
  <c r="AA4" i="197" s="1"/>
  <c r="AB4" i="197" s="1"/>
  <c r="AC4" i="197" s="1"/>
  <c r="AD4" i="197" s="1"/>
  <c r="AE4" i="197" s="1"/>
  <c r="AF4" i="197" s="1"/>
  <c r="AG4" i="197" s="1"/>
  <c r="AH4" i="197" s="1"/>
  <c r="AI4" i="197" s="1"/>
  <c r="AJ4" i="197" s="1"/>
  <c r="AK4" i="197" s="1"/>
  <c r="AL4" i="197" s="1"/>
  <c r="AM4" i="197" s="1"/>
  <c r="AN4" i="197" s="1"/>
  <c r="O4" i="197"/>
  <c r="I4" i="197"/>
  <c r="L4" i="197" s="1"/>
  <c r="F4" i="197"/>
  <c r="G4" i="197" s="1"/>
  <c r="H4" i="197" s="1"/>
  <c r="J4" i="197" s="1"/>
  <c r="D4" i="197"/>
  <c r="E4" i="197" s="1"/>
  <c r="E3" i="197"/>
  <c r="F3" i="197" s="1"/>
  <c r="G3" i="197" s="1"/>
  <c r="H3" i="197" s="1"/>
  <c r="E2" i="197"/>
  <c r="F2" i="197" s="1"/>
  <c r="G2" i="197" s="1"/>
  <c r="C32" i="196"/>
  <c r="C31" i="196"/>
  <c r="H22" i="196"/>
  <c r="C23" i="196"/>
  <c r="D17" i="196"/>
  <c r="D18" i="196" s="1"/>
  <c r="D13" i="196"/>
  <c r="C13" i="196"/>
  <c r="E12" i="196"/>
  <c r="G50" i="197" s="1"/>
  <c r="E11" i="196"/>
  <c r="I41" i="197" s="1"/>
  <c r="C8" i="196"/>
  <c r="C21" i="197" s="1"/>
  <c r="G21" i="197" s="1"/>
  <c r="H21" i="197" s="1"/>
  <c r="H7" i="196"/>
  <c r="I7" i="196" s="1"/>
  <c r="F7" i="196"/>
  <c r="D7" i="196"/>
  <c r="H6" i="196"/>
  <c r="F6" i="196"/>
  <c r="D6" i="196"/>
  <c r="H5" i="196"/>
  <c r="F5" i="196"/>
  <c r="D5" i="196"/>
  <c r="H4" i="196"/>
  <c r="G4" i="196"/>
  <c r="B6" i="197" s="1"/>
  <c r="F4" i="196"/>
  <c r="D4" i="196"/>
  <c r="G26" i="197" l="1"/>
  <c r="AO26" i="197"/>
  <c r="G27" i="197"/>
  <c r="H27" i="197" s="1"/>
  <c r="AO27" i="197"/>
  <c r="E37" i="170"/>
  <c r="H31" i="170"/>
  <c r="H34" i="170" s="1"/>
  <c r="G34" i="170"/>
  <c r="D8" i="196"/>
  <c r="I34" i="197" s="1"/>
  <c r="J34" i="197" s="1"/>
  <c r="I23" i="196"/>
  <c r="J41" i="197"/>
  <c r="F12" i="196"/>
  <c r="H28" i="197"/>
  <c r="E55" i="197"/>
  <c r="E56" i="197" s="1"/>
  <c r="K4" i="197"/>
  <c r="M4" i="197" s="1"/>
  <c r="N4" i="197" s="1"/>
  <c r="F55" i="197"/>
  <c r="F56" i="197" s="1"/>
  <c r="D46" i="197"/>
  <c r="D47" i="197" s="1"/>
  <c r="J13" i="196"/>
  <c r="J9" i="196"/>
  <c r="J11" i="196"/>
  <c r="J26" i="196"/>
  <c r="J20" i="196"/>
  <c r="J25" i="196"/>
  <c r="F19" i="196"/>
  <c r="J3" i="197"/>
  <c r="I3" i="197"/>
  <c r="K3" i="197" s="1"/>
  <c r="L3" i="197" s="1"/>
  <c r="M3" i="197" s="1"/>
  <c r="N3" i="197" s="1"/>
  <c r="O3" i="197" s="1"/>
  <c r="H50" i="197"/>
  <c r="J10" i="196"/>
  <c r="C12" i="197"/>
  <c r="F38" i="197"/>
  <c r="F47" i="197"/>
  <c r="H2" i="197"/>
  <c r="I2" i="197" s="1"/>
  <c r="J2" i="197" s="1"/>
  <c r="K2" i="197" s="1"/>
  <c r="L2" i="197" s="1"/>
  <c r="F8" i="196"/>
  <c r="I32" i="197" s="1"/>
  <c r="J32" i="197" s="1"/>
  <c r="F11" i="196"/>
  <c r="I14" i="196"/>
  <c r="C24" i="196"/>
  <c r="J7" i="196"/>
  <c r="C9" i="197"/>
  <c r="H9" i="197" s="1"/>
  <c r="I6" i="196"/>
  <c r="I5" i="196"/>
  <c r="I22" i="196"/>
  <c r="E46" i="197"/>
  <c r="E47" i="197" s="1"/>
  <c r="J19" i="196"/>
  <c r="E38" i="197"/>
  <c r="J24" i="196"/>
  <c r="D38" i="197"/>
  <c r="D56" i="197"/>
  <c r="C18" i="180"/>
  <c r="C18" i="184"/>
  <c r="G12" i="197" l="1"/>
  <c r="C19" i="196"/>
  <c r="I4" i="196"/>
  <c r="I15" i="196" s="1"/>
  <c r="H36" i="197"/>
  <c r="G11" i="140"/>
  <c r="G36" i="170"/>
  <c r="H36" i="170"/>
  <c r="F13" i="196"/>
  <c r="E13" i="196" s="1"/>
  <c r="E8" i="196"/>
  <c r="J14" i="196"/>
  <c r="C16" i="197"/>
  <c r="G16" i="197" s="1"/>
  <c r="G44" i="197"/>
  <c r="I50" i="197"/>
  <c r="J5" i="196"/>
  <c r="C7" i="197"/>
  <c r="H7" i="197" s="1"/>
  <c r="C6" i="197"/>
  <c r="H6" i="197" s="1"/>
  <c r="C24" i="197"/>
  <c r="H24" i="197" s="1"/>
  <c r="J22" i="196"/>
  <c r="M2" i="197"/>
  <c r="N2" i="197" s="1"/>
  <c r="O2" i="197" s="1"/>
  <c r="C8" i="197"/>
  <c r="H8" i="197" s="1"/>
  <c r="J6" i="196"/>
  <c r="D18" i="142"/>
  <c r="D17" i="142"/>
  <c r="F35" i="185"/>
  <c r="F37" i="185" s="1"/>
  <c r="E35" i="185"/>
  <c r="D35" i="185"/>
  <c r="D37" i="185" s="1"/>
  <c r="C18" i="186"/>
  <c r="I17" i="196" l="1"/>
  <c r="J4" i="196"/>
  <c r="I8" i="196"/>
  <c r="C10" i="197" s="1"/>
  <c r="H10" i="197" s="1"/>
  <c r="J23" i="196"/>
  <c r="C25" i="197"/>
  <c r="G25" i="197" s="1"/>
  <c r="H25" i="197" s="1"/>
  <c r="J15" i="196"/>
  <c r="C17" i="197"/>
  <c r="J50" i="197"/>
  <c r="H44" i="197"/>
  <c r="G35" i="197"/>
  <c r="J17" i="196"/>
  <c r="C19" i="197"/>
  <c r="G19" i="197" s="1"/>
  <c r="H19" i="197" s="1"/>
  <c r="G46" i="197"/>
  <c r="G47" i="197" s="1"/>
  <c r="G35" i="185"/>
  <c r="E37" i="185"/>
  <c r="D38" i="185"/>
  <c r="J8" i="196" l="1"/>
  <c r="G17" i="197"/>
  <c r="H17" i="197"/>
  <c r="G37" i="197"/>
  <c r="G38" i="197" s="1"/>
  <c r="H35" i="197"/>
  <c r="H46" i="197"/>
  <c r="H47" i="197" s="1"/>
  <c r="G37" i="185"/>
  <c r="E22" i="140"/>
  <c r="C21" i="140"/>
  <c r="C20" i="140"/>
  <c r="C19" i="140"/>
  <c r="C18" i="140"/>
  <c r="C17" i="140"/>
  <c r="C16" i="140"/>
  <c r="D16" i="140" s="1"/>
  <c r="F16" i="140" s="1"/>
  <c r="C15" i="140"/>
  <c r="D15" i="140" s="1"/>
  <c r="Q14" i="140"/>
  <c r="Q25" i="140" s="1"/>
  <c r="O14" i="140"/>
  <c r="O25" i="140" s="1"/>
  <c r="M14" i="140"/>
  <c r="M25" i="140" s="1"/>
  <c r="K14" i="140"/>
  <c r="K25" i="140" s="1"/>
  <c r="I14" i="140"/>
  <c r="I25" i="140" s="1"/>
  <c r="G14" i="140"/>
  <c r="G25" i="140" s="1"/>
  <c r="B2" i="197" s="1"/>
  <c r="H6" i="184"/>
  <c r="I6" i="184" s="1"/>
  <c r="H5" i="184"/>
  <c r="N9" i="140"/>
  <c r="I9" i="140"/>
  <c r="I5" i="140"/>
  <c r="I6" i="140"/>
  <c r="I8" i="140"/>
  <c r="C20" i="180"/>
  <c r="C18" i="177"/>
  <c r="H5" i="188"/>
  <c r="C25" i="188"/>
  <c r="C24" i="171"/>
  <c r="P16" i="140" l="1"/>
  <c r="K16" i="140"/>
  <c r="Q16" i="140"/>
  <c r="I16" i="140"/>
  <c r="O16" i="140"/>
  <c r="G16" i="140"/>
  <c r="M16" i="140"/>
  <c r="D18" i="140"/>
  <c r="F18" i="140" s="1"/>
  <c r="D21" i="140"/>
  <c r="F21" i="140" s="1"/>
  <c r="D17" i="140"/>
  <c r="F17" i="140" s="1"/>
  <c r="D19" i="140"/>
  <c r="F19" i="140" s="1"/>
  <c r="D20" i="140"/>
  <c r="F20" i="140" s="1"/>
  <c r="H37" i="197"/>
  <c r="H38" i="197" s="1"/>
  <c r="I35" i="197"/>
  <c r="F15" i="140"/>
  <c r="C22" i="140"/>
  <c r="C23" i="186"/>
  <c r="C23" i="184"/>
  <c r="C23" i="180"/>
  <c r="H4" i="180"/>
  <c r="H7" i="180"/>
  <c r="C21" i="180"/>
  <c r="N7" i="140"/>
  <c r="I7" i="140"/>
  <c r="B2" i="180"/>
  <c r="I5" i="188"/>
  <c r="E7" i="188"/>
  <c r="F7" i="188" s="1"/>
  <c r="E6" i="188"/>
  <c r="F6" i="188" s="1"/>
  <c r="E5" i="188"/>
  <c r="F5" i="188" s="1"/>
  <c r="E4" i="188"/>
  <c r="F4" i="188" s="1"/>
  <c r="H7" i="188"/>
  <c r="I7" i="188" s="1"/>
  <c r="H7" i="186"/>
  <c r="I7" i="186" s="1"/>
  <c r="C24" i="188"/>
  <c r="I10" i="188" s="1"/>
  <c r="B2" i="188"/>
  <c r="H6" i="188"/>
  <c r="H4" i="188"/>
  <c r="C67" i="189"/>
  <c r="E62" i="189"/>
  <c r="F62" i="189" s="1"/>
  <c r="F63" i="189"/>
  <c r="E61" i="189"/>
  <c r="E63" i="189" s="1"/>
  <c r="D61" i="189"/>
  <c r="D63" i="189" s="1"/>
  <c r="D64" i="189" s="1"/>
  <c r="E53" i="189"/>
  <c r="F53" i="189" s="1"/>
  <c r="F52" i="189"/>
  <c r="E52" i="189"/>
  <c r="D52" i="189"/>
  <c r="F34" i="189"/>
  <c r="E34" i="189"/>
  <c r="D34" i="189"/>
  <c r="D36" i="189" s="1"/>
  <c r="D37" i="189" s="1"/>
  <c r="O29" i="189"/>
  <c r="N29" i="189"/>
  <c r="M29" i="189"/>
  <c r="L29" i="189"/>
  <c r="K29" i="189"/>
  <c r="J29" i="189"/>
  <c r="I29" i="189"/>
  <c r="H29" i="189"/>
  <c r="C28" i="189"/>
  <c r="D28" i="189" s="1"/>
  <c r="E28" i="189" s="1"/>
  <c r="F28" i="189" s="1"/>
  <c r="B28" i="189"/>
  <c r="B27" i="189"/>
  <c r="C26" i="189"/>
  <c r="D26" i="189" s="1"/>
  <c r="B26" i="189"/>
  <c r="B25" i="189"/>
  <c r="B24" i="189"/>
  <c r="B23" i="189"/>
  <c r="C22" i="189"/>
  <c r="B22" i="189"/>
  <c r="B21" i="189"/>
  <c r="B20" i="189"/>
  <c r="B19" i="189"/>
  <c r="B18" i="189"/>
  <c r="B17" i="189"/>
  <c r="B16" i="189"/>
  <c r="C15" i="189"/>
  <c r="B15" i="189"/>
  <c r="B14" i="189"/>
  <c r="C13" i="189"/>
  <c r="D13" i="189" s="1"/>
  <c r="B13" i="189"/>
  <c r="B12" i="189"/>
  <c r="C11" i="189"/>
  <c r="B11" i="189"/>
  <c r="B10" i="189"/>
  <c r="B9" i="189"/>
  <c r="B8" i="189"/>
  <c r="B7" i="189"/>
  <c r="L4" i="189"/>
  <c r="K4" i="189"/>
  <c r="M4" i="189" s="1"/>
  <c r="N4" i="189" s="1"/>
  <c r="G4" i="189"/>
  <c r="H4" i="189" s="1"/>
  <c r="I4" i="189" s="1"/>
  <c r="J4" i="189" s="1"/>
  <c r="O4" i="189" s="1"/>
  <c r="F4" i="189"/>
  <c r="D4" i="189"/>
  <c r="E4" i="189" s="1"/>
  <c r="E3" i="189"/>
  <c r="E2" i="189"/>
  <c r="F2" i="189" s="1"/>
  <c r="G2" i="189" s="1"/>
  <c r="C39" i="188"/>
  <c r="C38" i="188"/>
  <c r="H22" i="188"/>
  <c r="D24" i="188"/>
  <c r="D25" i="188" s="1"/>
  <c r="D20" i="188"/>
  <c r="H7" i="140" s="1"/>
  <c r="C20" i="188"/>
  <c r="E19" i="188"/>
  <c r="G58" i="189" s="1"/>
  <c r="H58" i="189" s="1"/>
  <c r="E18" i="188"/>
  <c r="G49" i="189" s="1"/>
  <c r="C8" i="188"/>
  <c r="D7" i="188"/>
  <c r="D6" i="188"/>
  <c r="I6" i="188"/>
  <c r="D5" i="188"/>
  <c r="G4" i="188"/>
  <c r="B6" i="189" s="1"/>
  <c r="D4" i="188"/>
  <c r="N6" i="140"/>
  <c r="F7" i="186"/>
  <c r="F6" i="186"/>
  <c r="F4" i="186"/>
  <c r="F5" i="186"/>
  <c r="G35" i="187"/>
  <c r="F35" i="187"/>
  <c r="E35" i="187"/>
  <c r="D35" i="187"/>
  <c r="D37" i="187" s="1"/>
  <c r="C59" i="185"/>
  <c r="C59" i="181"/>
  <c r="C59" i="187"/>
  <c r="H4" i="186"/>
  <c r="C58" i="178"/>
  <c r="C60" i="170"/>
  <c r="I12" i="142"/>
  <c r="N8" i="140"/>
  <c r="N5" i="140"/>
  <c r="C17" i="177"/>
  <c r="C23" i="177" s="1"/>
  <c r="C8" i="189" l="1"/>
  <c r="F8" i="189" s="1"/>
  <c r="J6" i="188"/>
  <c r="J9" i="188"/>
  <c r="J13" i="188"/>
  <c r="J11" i="188"/>
  <c r="J26" i="188"/>
  <c r="J24" i="188"/>
  <c r="J20" i="188"/>
  <c r="J25" i="188"/>
  <c r="J5" i="188"/>
  <c r="C9" i="189"/>
  <c r="F9" i="189" s="1"/>
  <c r="J7" i="188"/>
  <c r="I14" i="188"/>
  <c r="J14" i="188" s="1"/>
  <c r="I18" i="188"/>
  <c r="J10" i="188"/>
  <c r="I19" i="188"/>
  <c r="J19" i="188" s="1"/>
  <c r="C30" i="188"/>
  <c r="D22" i="140"/>
  <c r="I23" i="188"/>
  <c r="J23" i="188" s="1"/>
  <c r="H49" i="189"/>
  <c r="O18" i="140"/>
  <c r="G18" i="140"/>
  <c r="Q18" i="140"/>
  <c r="I18" i="140"/>
  <c r="M18" i="140"/>
  <c r="P18" i="140"/>
  <c r="K18" i="140"/>
  <c r="Q19" i="140"/>
  <c r="I19" i="140"/>
  <c r="K19" i="140"/>
  <c r="O19" i="140"/>
  <c r="M19" i="140"/>
  <c r="G19" i="140"/>
  <c r="P19" i="140"/>
  <c r="O20" i="140"/>
  <c r="G20" i="140"/>
  <c r="M20" i="140"/>
  <c r="P20" i="140"/>
  <c r="K20" i="140"/>
  <c r="Q20" i="140"/>
  <c r="I20" i="140"/>
  <c r="P17" i="140"/>
  <c r="K17" i="140"/>
  <c r="M17" i="140"/>
  <c r="O17" i="140"/>
  <c r="G17" i="140"/>
  <c r="Q17" i="140"/>
  <c r="I17" i="140"/>
  <c r="M21" i="140"/>
  <c r="O21" i="140"/>
  <c r="G21" i="140"/>
  <c r="P21" i="140"/>
  <c r="Q21" i="140"/>
  <c r="K21" i="140"/>
  <c r="I21" i="140"/>
  <c r="M15" i="140"/>
  <c r="O15" i="140"/>
  <c r="P15" i="140"/>
  <c r="Q15" i="140"/>
  <c r="G15" i="140"/>
  <c r="I15" i="140"/>
  <c r="K15" i="140"/>
  <c r="F3" i="189"/>
  <c r="F64" i="189"/>
  <c r="F15" i="189"/>
  <c r="D15" i="189"/>
  <c r="F22" i="189"/>
  <c r="E22" i="189"/>
  <c r="H2" i="189"/>
  <c r="F54" i="189"/>
  <c r="F55" i="189" s="1"/>
  <c r="I37" i="197"/>
  <c r="L51" i="197"/>
  <c r="M50" i="197"/>
  <c r="K44" i="197"/>
  <c r="J35" i="197"/>
  <c r="F8" i="188"/>
  <c r="G31" i="189" s="1"/>
  <c r="F19" i="188"/>
  <c r="F8" i="186"/>
  <c r="I22" i="188"/>
  <c r="F26" i="188"/>
  <c r="E36" i="189"/>
  <c r="D54" i="189"/>
  <c r="D55" i="189" s="1"/>
  <c r="D23" i="189" s="1"/>
  <c r="E54" i="189"/>
  <c r="E55" i="189" s="1"/>
  <c r="C12" i="189"/>
  <c r="D12" i="189" s="1"/>
  <c r="D8" i="188"/>
  <c r="F36" i="189"/>
  <c r="C31" i="188"/>
  <c r="F18" i="188"/>
  <c r="C27" i="189"/>
  <c r="D27" i="189" s="1"/>
  <c r="E27" i="189" s="1"/>
  <c r="F27" i="189" s="1"/>
  <c r="E64" i="189"/>
  <c r="E37" i="187"/>
  <c r="D38" i="187"/>
  <c r="G37" i="187"/>
  <c r="F37" i="187"/>
  <c r="F53" i="187"/>
  <c r="F55" i="187" s="1"/>
  <c r="F44" i="187"/>
  <c r="F46" i="187" s="1"/>
  <c r="F4" i="187"/>
  <c r="C17" i="186"/>
  <c r="B2" i="186"/>
  <c r="I54" i="187"/>
  <c r="J54" i="187" s="1"/>
  <c r="K54" i="187" s="1"/>
  <c r="G53" i="187"/>
  <c r="G55" i="187" s="1"/>
  <c r="E53" i="187"/>
  <c r="E55" i="187" s="1"/>
  <c r="D53" i="187"/>
  <c r="D55" i="187" s="1"/>
  <c r="I45" i="187"/>
  <c r="J45" i="187" s="1"/>
  <c r="K45" i="187" s="1"/>
  <c r="G44" i="187"/>
  <c r="E44" i="187"/>
  <c r="E46" i="187" s="1"/>
  <c r="D44" i="187"/>
  <c r="C28" i="187"/>
  <c r="H28" i="187" s="1"/>
  <c r="I28" i="187" s="1"/>
  <c r="J28" i="187" s="1"/>
  <c r="K28" i="187" s="1"/>
  <c r="B28" i="187"/>
  <c r="B27" i="187"/>
  <c r="C26" i="187"/>
  <c r="H26" i="187" s="1"/>
  <c r="B26" i="187"/>
  <c r="B25" i="187"/>
  <c r="B24" i="187"/>
  <c r="B23" i="187"/>
  <c r="C22" i="187"/>
  <c r="J22" i="187" s="1"/>
  <c r="K22" i="187" s="1"/>
  <c r="B22" i="187"/>
  <c r="B21" i="187"/>
  <c r="C20" i="187"/>
  <c r="H20" i="187" s="1"/>
  <c r="I20" i="187" s="1"/>
  <c r="J20" i="187" s="1"/>
  <c r="K20" i="187" s="1"/>
  <c r="B20" i="187"/>
  <c r="B19" i="187"/>
  <c r="B18" i="187"/>
  <c r="B17" i="187"/>
  <c r="B16" i="187"/>
  <c r="C15" i="187"/>
  <c r="H15" i="187" s="1"/>
  <c r="K15" i="187" s="1"/>
  <c r="B15" i="187"/>
  <c r="B14" i="187"/>
  <c r="C13" i="187"/>
  <c r="H13" i="187" s="1"/>
  <c r="B13" i="187"/>
  <c r="B12" i="187"/>
  <c r="C11" i="187"/>
  <c r="H11" i="187" s="1"/>
  <c r="B11" i="187"/>
  <c r="B10" i="187"/>
  <c r="C9" i="187"/>
  <c r="B9" i="187"/>
  <c r="B8" i="187"/>
  <c r="B7" i="187"/>
  <c r="G4" i="187"/>
  <c r="H4" i="187" s="1"/>
  <c r="I4" i="187" s="1"/>
  <c r="J4" i="187" s="1"/>
  <c r="O4" i="187" s="1"/>
  <c r="D4" i="187"/>
  <c r="E4" i="187" s="1"/>
  <c r="E2" i="187"/>
  <c r="F2" i="187" s="1"/>
  <c r="G2" i="187" s="1"/>
  <c r="C32" i="186"/>
  <c r="C31" i="186"/>
  <c r="C27" i="187"/>
  <c r="H27" i="187" s="1"/>
  <c r="I27" i="187" s="1"/>
  <c r="J27" i="187" s="1"/>
  <c r="K27" i="187" s="1"/>
  <c r="H22" i="186"/>
  <c r="D17" i="186"/>
  <c r="D13" i="186"/>
  <c r="H6" i="140" s="1"/>
  <c r="C13" i="186"/>
  <c r="E12" i="186"/>
  <c r="E11" i="186"/>
  <c r="C8" i="186"/>
  <c r="D7" i="186"/>
  <c r="D6" i="186"/>
  <c r="I6" i="186"/>
  <c r="C8" i="187" s="1"/>
  <c r="D5" i="186"/>
  <c r="G4" i="186"/>
  <c r="B6" i="187" s="1"/>
  <c r="D4" i="186"/>
  <c r="C8" i="184"/>
  <c r="C17" i="184"/>
  <c r="F44" i="185"/>
  <c r="F4" i="185"/>
  <c r="G44" i="185"/>
  <c r="G46" i="185" s="1"/>
  <c r="E44" i="185"/>
  <c r="E46" i="185" s="1"/>
  <c r="D44" i="185"/>
  <c r="D46" i="185" s="1"/>
  <c r="D47" i="185" s="1"/>
  <c r="N58" i="185"/>
  <c r="N10" i="159" s="1"/>
  <c r="M58" i="185"/>
  <c r="M10" i="159" s="1"/>
  <c r="L58" i="185"/>
  <c r="L10" i="159" s="1"/>
  <c r="C28" i="185"/>
  <c r="B28" i="185"/>
  <c r="C27" i="185"/>
  <c r="B27" i="185"/>
  <c r="C26" i="185"/>
  <c r="F26" i="185" s="1"/>
  <c r="B26" i="185"/>
  <c r="B25" i="185"/>
  <c r="B24" i="185"/>
  <c r="B23" i="185"/>
  <c r="C22" i="185"/>
  <c r="H22" i="185" s="1"/>
  <c r="I22" i="185" s="1"/>
  <c r="B22" i="185"/>
  <c r="B21" i="185"/>
  <c r="C20" i="185"/>
  <c r="B20" i="185"/>
  <c r="B19" i="185"/>
  <c r="B18" i="185"/>
  <c r="B17" i="185"/>
  <c r="B16" i="185"/>
  <c r="C15" i="185"/>
  <c r="B15" i="185"/>
  <c r="B14" i="185"/>
  <c r="C13" i="185"/>
  <c r="F13" i="185" s="1"/>
  <c r="B13" i="185"/>
  <c r="B12" i="185"/>
  <c r="C11" i="185"/>
  <c r="G11" i="185" s="1"/>
  <c r="B11" i="185"/>
  <c r="B10" i="185"/>
  <c r="C9" i="185"/>
  <c r="B9" i="185"/>
  <c r="B8" i="185"/>
  <c r="B7" i="185"/>
  <c r="O4" i="185"/>
  <c r="J4" i="185"/>
  <c r="L4" i="185" s="1"/>
  <c r="G4" i="185"/>
  <c r="H4" i="185" s="1"/>
  <c r="I4" i="185" s="1"/>
  <c r="D4" i="185"/>
  <c r="E4" i="185" s="1"/>
  <c r="E3" i="185"/>
  <c r="F3" i="185" s="1"/>
  <c r="G3" i="185" s="1"/>
  <c r="H3" i="185" s="1"/>
  <c r="I3" i="185" s="1"/>
  <c r="J3" i="185" s="1"/>
  <c r="K3" i="185" s="1"/>
  <c r="E2" i="185"/>
  <c r="F2" i="185" s="1"/>
  <c r="G2" i="185" s="1"/>
  <c r="C31" i="184"/>
  <c r="C24" i="184"/>
  <c r="H22" i="184"/>
  <c r="D17" i="184"/>
  <c r="D18" i="184" s="1"/>
  <c r="D13" i="184"/>
  <c r="C13" i="184"/>
  <c r="E12" i="184"/>
  <c r="E11" i="184"/>
  <c r="J41" i="185" s="1"/>
  <c r="I23" i="184" s="1"/>
  <c r="F7" i="184"/>
  <c r="D7" i="184"/>
  <c r="F6" i="184"/>
  <c r="D6" i="184"/>
  <c r="F5" i="184"/>
  <c r="D5" i="184"/>
  <c r="G4" i="184"/>
  <c r="B6" i="185" s="1"/>
  <c r="F4" i="184"/>
  <c r="D4" i="184"/>
  <c r="I14" i="180"/>
  <c r="B2" i="177"/>
  <c r="C17" i="180"/>
  <c r="E54" i="181"/>
  <c r="F53" i="181"/>
  <c r="F55" i="181" s="1"/>
  <c r="E53" i="181"/>
  <c r="E55" i="181" s="1"/>
  <c r="D53" i="181"/>
  <c r="D55" i="181" s="1"/>
  <c r="F44" i="181"/>
  <c r="F46" i="181" s="1"/>
  <c r="E44" i="181"/>
  <c r="D44" i="181"/>
  <c r="F35" i="181"/>
  <c r="F37" i="181" s="1"/>
  <c r="E35" i="181"/>
  <c r="D35" i="181"/>
  <c r="C28" i="181"/>
  <c r="E28" i="181" s="1"/>
  <c r="F28" i="181" s="1"/>
  <c r="G28" i="181" s="1"/>
  <c r="B28" i="181"/>
  <c r="C27" i="181"/>
  <c r="E27" i="181" s="1"/>
  <c r="F27" i="181" s="1"/>
  <c r="G27" i="181" s="1"/>
  <c r="B27" i="181"/>
  <c r="C26" i="181"/>
  <c r="E26" i="181" s="1"/>
  <c r="B26" i="181"/>
  <c r="B25" i="181"/>
  <c r="B24" i="181"/>
  <c r="B23" i="181"/>
  <c r="C22" i="181"/>
  <c r="F22" i="181" s="1"/>
  <c r="G22" i="181" s="1"/>
  <c r="B22" i="181"/>
  <c r="B21" i="181"/>
  <c r="C20" i="181"/>
  <c r="B20" i="181"/>
  <c r="B19" i="181"/>
  <c r="B18" i="181"/>
  <c r="B17" i="181"/>
  <c r="B16" i="181"/>
  <c r="C15" i="181"/>
  <c r="B15" i="181"/>
  <c r="B14" i="181"/>
  <c r="C13" i="181"/>
  <c r="E13" i="181" s="1"/>
  <c r="B13" i="181"/>
  <c r="B12" i="181"/>
  <c r="C11" i="181"/>
  <c r="B11" i="181"/>
  <c r="B10" i="181"/>
  <c r="C9" i="181"/>
  <c r="B9" i="181"/>
  <c r="B8" i="181"/>
  <c r="B7" i="181"/>
  <c r="O4" i="181"/>
  <c r="I4" i="181"/>
  <c r="L4" i="181" s="1"/>
  <c r="F4" i="181"/>
  <c r="G4" i="181" s="1"/>
  <c r="H4" i="181" s="1"/>
  <c r="J4" i="181" s="1"/>
  <c r="D4" i="181"/>
  <c r="E4" i="181" s="1"/>
  <c r="E3" i="181"/>
  <c r="E2" i="181"/>
  <c r="F2" i="181" s="1"/>
  <c r="C32" i="180"/>
  <c r="C31" i="180"/>
  <c r="H22" i="180"/>
  <c r="D17" i="180"/>
  <c r="D13" i="180"/>
  <c r="C13" i="180"/>
  <c r="E12" i="180"/>
  <c r="E11" i="180"/>
  <c r="H41" i="181" s="1"/>
  <c r="I23" i="180" s="1"/>
  <c r="C8" i="180"/>
  <c r="F7" i="180"/>
  <c r="D7" i="180"/>
  <c r="H6" i="180"/>
  <c r="F6" i="180"/>
  <c r="D6" i="180"/>
  <c r="H5" i="180"/>
  <c r="I5" i="180" s="1"/>
  <c r="F5" i="180"/>
  <c r="D5" i="180"/>
  <c r="G4" i="180"/>
  <c r="B6" i="181" s="1"/>
  <c r="F4" i="180"/>
  <c r="D4" i="180"/>
  <c r="I25" i="171"/>
  <c r="E11" i="177"/>
  <c r="E17" i="171"/>
  <c r="C32" i="184"/>
  <c r="I8" i="187" l="1"/>
  <c r="H8" i="187"/>
  <c r="J8" i="187"/>
  <c r="K8" i="187"/>
  <c r="H9" i="187"/>
  <c r="J9" i="187"/>
  <c r="K9" i="187"/>
  <c r="I9" i="187"/>
  <c r="E8" i="189"/>
  <c r="C16" i="189"/>
  <c r="D16" i="189" s="1"/>
  <c r="D18" i="180"/>
  <c r="G15" i="181"/>
  <c r="E15" i="181"/>
  <c r="J18" i="188"/>
  <c r="C20" i="189"/>
  <c r="C24" i="189"/>
  <c r="F24" i="189" s="1"/>
  <c r="J22" i="188"/>
  <c r="E9" i="189"/>
  <c r="G22" i="140"/>
  <c r="E8" i="188"/>
  <c r="H31" i="189"/>
  <c r="G33" i="189"/>
  <c r="H33" i="189" s="1"/>
  <c r="I6" i="180"/>
  <c r="J6" i="180" s="1"/>
  <c r="G9" i="181"/>
  <c r="F9" i="181"/>
  <c r="F28" i="185"/>
  <c r="H28" i="185"/>
  <c r="G28" i="185"/>
  <c r="I28" i="185"/>
  <c r="M22" i="140"/>
  <c r="O22" i="140"/>
  <c r="Q22" i="140"/>
  <c r="P22" i="140"/>
  <c r="I12" i="184" s="1"/>
  <c r="K22" i="140"/>
  <c r="I22" i="140"/>
  <c r="H27" i="185"/>
  <c r="G27" i="185"/>
  <c r="F27" i="185"/>
  <c r="I27" i="185"/>
  <c r="I9" i="185"/>
  <c r="H9" i="185"/>
  <c r="G9" i="185"/>
  <c r="I15" i="185"/>
  <c r="F15" i="185"/>
  <c r="I2" i="189"/>
  <c r="J2" i="189" s="1"/>
  <c r="K2" i="189" s="1"/>
  <c r="L2" i="189" s="1"/>
  <c r="M2" i="189" s="1"/>
  <c r="K47" i="197"/>
  <c r="L44" i="197"/>
  <c r="K35" i="197"/>
  <c r="N50" i="197"/>
  <c r="J37" i="197"/>
  <c r="F20" i="188"/>
  <c r="E20" i="188" s="1"/>
  <c r="I4" i="188"/>
  <c r="D8" i="180"/>
  <c r="I22" i="180"/>
  <c r="J22" i="180" s="1"/>
  <c r="H9" i="140"/>
  <c r="E8" i="186"/>
  <c r="F11" i="180"/>
  <c r="I22" i="184"/>
  <c r="J22" i="184" s="1"/>
  <c r="C21" i="189"/>
  <c r="C7" i="189"/>
  <c r="E35" i="189"/>
  <c r="C26" i="188"/>
  <c r="E3" i="187"/>
  <c r="F56" i="187"/>
  <c r="F47" i="187"/>
  <c r="H2" i="187"/>
  <c r="D46" i="187"/>
  <c r="D47" i="187" s="1"/>
  <c r="E56" i="187"/>
  <c r="E47" i="187"/>
  <c r="D8" i="186"/>
  <c r="C12" i="187"/>
  <c r="H12" i="187" s="1"/>
  <c r="I14" i="186"/>
  <c r="J10" i="186"/>
  <c r="I2" i="187"/>
  <c r="J2" i="187" s="1"/>
  <c r="J9" i="186"/>
  <c r="J26" i="186"/>
  <c r="J24" i="186"/>
  <c r="J6" i="186"/>
  <c r="J20" i="186"/>
  <c r="F11" i="186"/>
  <c r="J13" i="186"/>
  <c r="D18" i="186"/>
  <c r="I5" i="186"/>
  <c r="J7" i="186"/>
  <c r="G46" i="187"/>
  <c r="G47" i="187" s="1"/>
  <c r="F19" i="186"/>
  <c r="F12" i="186"/>
  <c r="J25" i="186"/>
  <c r="L4" i="187"/>
  <c r="K4" i="187"/>
  <c r="M4" i="187" s="1"/>
  <c r="N4" i="187" s="1"/>
  <c r="G56" i="187"/>
  <c r="J11" i="186"/>
  <c r="I22" i="186"/>
  <c r="D56" i="187"/>
  <c r="H2" i="185"/>
  <c r="I2" i="185" s="1"/>
  <c r="J2" i="185" s="1"/>
  <c r="D8" i="184"/>
  <c r="J20" i="184"/>
  <c r="J24" i="184"/>
  <c r="J25" i="184"/>
  <c r="J11" i="184"/>
  <c r="J26" i="184"/>
  <c r="G47" i="185"/>
  <c r="F46" i="185"/>
  <c r="F47" i="185" s="1"/>
  <c r="K4" i="185"/>
  <c r="M4" i="185" s="1"/>
  <c r="N4" i="185" s="1"/>
  <c r="E47" i="185"/>
  <c r="J6" i="184"/>
  <c r="C8" i="185"/>
  <c r="J19" i="184"/>
  <c r="C21" i="185"/>
  <c r="K41" i="185"/>
  <c r="J10" i="184"/>
  <c r="C12" i="185"/>
  <c r="F12" i="185" s="1"/>
  <c r="I14" i="184"/>
  <c r="F8" i="184"/>
  <c r="J32" i="185" s="1"/>
  <c r="L3" i="185"/>
  <c r="M3" i="185" s="1"/>
  <c r="N3" i="185" s="1"/>
  <c r="O3" i="185" s="1"/>
  <c r="F12" i="184"/>
  <c r="J9" i="184"/>
  <c r="F19" i="184"/>
  <c r="I5" i="184"/>
  <c r="J13" i="184"/>
  <c r="J7" i="184"/>
  <c r="F11" i="184"/>
  <c r="F3" i="181"/>
  <c r="G3" i="181" s="1"/>
  <c r="H3" i="181" s="1"/>
  <c r="G2" i="181"/>
  <c r="F56" i="181"/>
  <c r="J25" i="180"/>
  <c r="J26" i="180"/>
  <c r="J20" i="180"/>
  <c r="J7" i="180"/>
  <c r="J24" i="180"/>
  <c r="J11" i="180"/>
  <c r="C21" i="181"/>
  <c r="J10" i="180"/>
  <c r="J5" i="180"/>
  <c r="C7" i="181"/>
  <c r="F8" i="180"/>
  <c r="H32" i="181" s="1"/>
  <c r="I32" i="181" s="1"/>
  <c r="C12" i="181"/>
  <c r="E12" i="181" s="1"/>
  <c r="D37" i="181"/>
  <c r="D38" i="181" s="1"/>
  <c r="F47" i="181"/>
  <c r="D56" i="181"/>
  <c r="J13" i="180"/>
  <c r="F12" i="180"/>
  <c r="E37" i="181"/>
  <c r="D46" i="181"/>
  <c r="D47" i="181" s="1"/>
  <c r="E56" i="181"/>
  <c r="J9" i="180"/>
  <c r="E46" i="181"/>
  <c r="E47" i="181" s="1"/>
  <c r="K4" i="181"/>
  <c r="M4" i="181" s="1"/>
  <c r="N4" i="181" s="1"/>
  <c r="F34" i="178"/>
  <c r="E34" i="178"/>
  <c r="E36" i="178" s="1"/>
  <c r="D34" i="178"/>
  <c r="D36" i="178" s="1"/>
  <c r="D38" i="142"/>
  <c r="E7" i="177"/>
  <c r="F7" i="177" s="1"/>
  <c r="E6" i="177"/>
  <c r="F6" i="177" s="1"/>
  <c r="E5" i="177"/>
  <c r="F5" i="177" s="1"/>
  <c r="E4" i="177"/>
  <c r="F4" i="177" s="1"/>
  <c r="E53" i="178"/>
  <c r="F52" i="178"/>
  <c r="E52" i="178"/>
  <c r="D52" i="178"/>
  <c r="E44" i="178"/>
  <c r="F43" i="178"/>
  <c r="F45" i="178" s="1"/>
  <c r="E43" i="178"/>
  <c r="E45" i="178" s="1"/>
  <c r="D43" i="178"/>
  <c r="D45" i="178" s="1"/>
  <c r="O29" i="178"/>
  <c r="N29" i="178"/>
  <c r="M29" i="178"/>
  <c r="L29" i="178"/>
  <c r="K29" i="178"/>
  <c r="J29" i="178"/>
  <c r="H29" i="178"/>
  <c r="G29" i="178"/>
  <c r="C28" i="178"/>
  <c r="E28" i="178" s="1"/>
  <c r="B28" i="178"/>
  <c r="C27" i="178"/>
  <c r="B27" i="178"/>
  <c r="C26" i="178"/>
  <c r="D26" i="178" s="1"/>
  <c r="B26" i="178"/>
  <c r="B25" i="178"/>
  <c r="B24" i="178"/>
  <c r="B23" i="178"/>
  <c r="C22" i="178"/>
  <c r="B22" i="178"/>
  <c r="B21" i="178"/>
  <c r="B20" i="178"/>
  <c r="B19" i="178"/>
  <c r="B18" i="178"/>
  <c r="B17" i="178"/>
  <c r="B16" i="178"/>
  <c r="C15" i="178"/>
  <c r="B15" i="178"/>
  <c r="B14" i="178"/>
  <c r="C13" i="178"/>
  <c r="D13" i="178" s="1"/>
  <c r="B13" i="178"/>
  <c r="B12" i="178"/>
  <c r="C11" i="178"/>
  <c r="B11" i="178"/>
  <c r="B10" i="178"/>
  <c r="C9" i="178"/>
  <c r="B9" i="178"/>
  <c r="B8" i="178"/>
  <c r="B7" i="178"/>
  <c r="J4" i="178"/>
  <c r="L4" i="178" s="1"/>
  <c r="F4" i="178"/>
  <c r="G4" i="178" s="1"/>
  <c r="H4" i="178" s="1"/>
  <c r="O4" i="178" s="1"/>
  <c r="D4" i="178"/>
  <c r="E4" i="178" s="1"/>
  <c r="E3" i="178"/>
  <c r="F3" i="178" s="1"/>
  <c r="E2" i="178"/>
  <c r="F2" i="178" s="1"/>
  <c r="G2" i="178" s="1"/>
  <c r="C24" i="177"/>
  <c r="H22" i="177"/>
  <c r="D17" i="177"/>
  <c r="D18" i="177" s="1"/>
  <c r="D13" i="177"/>
  <c r="H8" i="140" s="1"/>
  <c r="C13" i="177"/>
  <c r="E12" i="177"/>
  <c r="F11" i="177"/>
  <c r="I10" i="177"/>
  <c r="I18" i="177" s="1"/>
  <c r="J18" i="177" s="1"/>
  <c r="C8" i="177"/>
  <c r="D7" i="177"/>
  <c r="H6" i="177"/>
  <c r="I6" i="177" s="1"/>
  <c r="D6" i="177"/>
  <c r="H5" i="177"/>
  <c r="I5" i="177" s="1"/>
  <c r="D5" i="177"/>
  <c r="H4" i="177"/>
  <c r="G4" i="177"/>
  <c r="B6" i="178" s="1"/>
  <c r="D4" i="177"/>
  <c r="E24" i="189" l="1"/>
  <c r="C20" i="178"/>
  <c r="J34" i="185"/>
  <c r="H34" i="181"/>
  <c r="H35" i="189"/>
  <c r="G44" i="189"/>
  <c r="G35" i="170"/>
  <c r="G21" i="181"/>
  <c r="E21" i="181"/>
  <c r="F21" i="181"/>
  <c r="I8" i="188"/>
  <c r="J8" i="188" s="1"/>
  <c r="J4" i="188"/>
  <c r="I19" i="177"/>
  <c r="C21" i="178" s="1"/>
  <c r="E21" i="178" s="1"/>
  <c r="C8" i="181"/>
  <c r="G8" i="181" s="1"/>
  <c r="G34" i="189"/>
  <c r="G36" i="189" s="1"/>
  <c r="I34" i="181"/>
  <c r="C19" i="184"/>
  <c r="J36" i="185"/>
  <c r="G10" i="140"/>
  <c r="G36" i="185"/>
  <c r="H36" i="185" s="1"/>
  <c r="I36" i="185" s="1"/>
  <c r="H36" i="181"/>
  <c r="I36" i="181" s="1"/>
  <c r="I36" i="197"/>
  <c r="G35" i="189"/>
  <c r="G9" i="140"/>
  <c r="F36" i="181"/>
  <c r="G36" i="181" s="1"/>
  <c r="G7" i="181"/>
  <c r="F7" i="181"/>
  <c r="I15" i="188"/>
  <c r="C6" i="189"/>
  <c r="E6" i="189" s="1"/>
  <c r="I17" i="188"/>
  <c r="J17" i="188" s="1"/>
  <c r="I21" i="185"/>
  <c r="H21" i="185"/>
  <c r="G21" i="185"/>
  <c r="F21" i="185"/>
  <c r="I8" i="185"/>
  <c r="H8" i="185"/>
  <c r="G8" i="185"/>
  <c r="K34" i="185"/>
  <c r="D15" i="178"/>
  <c r="E9" i="178"/>
  <c r="D21" i="189"/>
  <c r="E21" i="189"/>
  <c r="F21" i="189"/>
  <c r="N2" i="189"/>
  <c r="O2" i="189" s="1"/>
  <c r="E7" i="189"/>
  <c r="F7" i="189"/>
  <c r="F3" i="187"/>
  <c r="G3" i="187" s="1"/>
  <c r="H3" i="187" s="1"/>
  <c r="I3" i="187" s="1"/>
  <c r="J3" i="187" s="1"/>
  <c r="K3" i="187" s="1"/>
  <c r="L3" i="187" s="1"/>
  <c r="M3" i="187" s="1"/>
  <c r="N3" i="187" s="1"/>
  <c r="O3" i="187" s="1"/>
  <c r="L47" i="197"/>
  <c r="O50" i="197"/>
  <c r="M44" i="197"/>
  <c r="K37" i="197"/>
  <c r="K38" i="197" s="1"/>
  <c r="L35" i="197"/>
  <c r="I4" i="180"/>
  <c r="I17" i="180" s="1"/>
  <c r="C19" i="181" s="1"/>
  <c r="F13" i="180"/>
  <c r="E13" i="180" s="1"/>
  <c r="C24" i="185"/>
  <c r="H24" i="185" s="1"/>
  <c r="I24" i="185" s="1"/>
  <c r="C7" i="178"/>
  <c r="C24" i="181"/>
  <c r="F24" i="181" s="1"/>
  <c r="G24" i="181" s="1"/>
  <c r="I4" i="184"/>
  <c r="I15" i="184" s="1"/>
  <c r="J15" i="184" s="1"/>
  <c r="F12" i="177"/>
  <c r="F13" i="177" s="1"/>
  <c r="E13" i="177" s="1"/>
  <c r="C19" i="186"/>
  <c r="G6" i="140"/>
  <c r="I41" i="181"/>
  <c r="C19" i="180"/>
  <c r="F35" i="189"/>
  <c r="E37" i="189"/>
  <c r="E23" i="189" s="1"/>
  <c r="C24" i="186"/>
  <c r="K2" i="187"/>
  <c r="L2" i="187" s="1"/>
  <c r="F13" i="186"/>
  <c r="E13" i="186" s="1"/>
  <c r="I23" i="177"/>
  <c r="I4" i="186"/>
  <c r="I8" i="186" s="1"/>
  <c r="C21" i="187"/>
  <c r="H21" i="187" s="1"/>
  <c r="I21" i="187" s="1"/>
  <c r="J21" i="187" s="1"/>
  <c r="K21" i="187" s="1"/>
  <c r="J19" i="186"/>
  <c r="H53" i="187"/>
  <c r="J5" i="186"/>
  <c r="C7" i="187"/>
  <c r="J14" i="186"/>
  <c r="C16" i="187"/>
  <c r="H16" i="187" s="1"/>
  <c r="C24" i="187"/>
  <c r="J22" i="186"/>
  <c r="K2" i="185"/>
  <c r="L2" i="185" s="1"/>
  <c r="C25" i="185"/>
  <c r="H25" i="185" s="1"/>
  <c r="I25" i="185" s="1"/>
  <c r="J23" i="184"/>
  <c r="J5" i="184"/>
  <c r="C7" i="185"/>
  <c r="H44" i="185"/>
  <c r="F13" i="184"/>
  <c r="E13" i="184" s="1"/>
  <c r="J14" i="184"/>
  <c r="C16" i="185"/>
  <c r="F16" i="185" s="1"/>
  <c r="I44" i="185"/>
  <c r="I3" i="181"/>
  <c r="K3" i="181" s="1"/>
  <c r="L3" i="181" s="1"/>
  <c r="M3" i="181" s="1"/>
  <c r="N3" i="181" s="1"/>
  <c r="O3" i="181" s="1"/>
  <c r="J3" i="181"/>
  <c r="H2" i="181"/>
  <c r="H53" i="181"/>
  <c r="J19" i="180"/>
  <c r="E8" i="180"/>
  <c r="J14" i="180"/>
  <c r="C16" i="181"/>
  <c r="E16" i="181" s="1"/>
  <c r="C25" i="181"/>
  <c r="F25" i="181" s="1"/>
  <c r="G25" i="181" s="1"/>
  <c r="J23" i="180"/>
  <c r="F36" i="178"/>
  <c r="G3" i="178"/>
  <c r="D37" i="178"/>
  <c r="D46" i="178"/>
  <c r="I22" i="177"/>
  <c r="J22" i="177" s="1"/>
  <c r="D8" i="177"/>
  <c r="I4" i="177" s="1"/>
  <c r="J26" i="177"/>
  <c r="F8" i="177"/>
  <c r="J10" i="177"/>
  <c r="J7" i="177"/>
  <c r="J6" i="177"/>
  <c r="C8" i="178"/>
  <c r="C12" i="178"/>
  <c r="D12" i="178" s="1"/>
  <c r="I14" i="177"/>
  <c r="F19" i="177"/>
  <c r="E46" i="178"/>
  <c r="D54" i="178"/>
  <c r="D55" i="178" s="1"/>
  <c r="J9" i="177"/>
  <c r="F46" i="178"/>
  <c r="E54" i="178"/>
  <c r="E55" i="178" s="1"/>
  <c r="K4" i="178"/>
  <c r="M4" i="178" s="1"/>
  <c r="N4" i="178" s="1"/>
  <c r="F54" i="178"/>
  <c r="F55" i="178" s="1"/>
  <c r="J25" i="177"/>
  <c r="J24" i="177"/>
  <c r="J11" i="177"/>
  <c r="J20" i="177"/>
  <c r="J13" i="177"/>
  <c r="H22" i="171"/>
  <c r="H6" i="171"/>
  <c r="H5" i="171"/>
  <c r="H4" i="171"/>
  <c r="C30" i="171"/>
  <c r="C19" i="171"/>
  <c r="G40" i="170"/>
  <c r="L29" i="170"/>
  <c r="E2" i="170"/>
  <c r="F2" i="170" s="1"/>
  <c r="E43" i="170"/>
  <c r="E45" i="170" s="1"/>
  <c r="F44" i="170"/>
  <c r="E52" i="170"/>
  <c r="E54" i="170" s="1"/>
  <c r="E53" i="170"/>
  <c r="F53" i="170" s="1"/>
  <c r="C28" i="170"/>
  <c r="C26" i="170"/>
  <c r="D26" i="170" s="1"/>
  <c r="C22" i="170"/>
  <c r="C15" i="170"/>
  <c r="C13" i="170"/>
  <c r="D13" i="170" s="1"/>
  <c r="C11" i="170"/>
  <c r="C9" i="170"/>
  <c r="B28" i="170"/>
  <c r="B27" i="170"/>
  <c r="B26" i="170"/>
  <c r="B25" i="170"/>
  <c r="B24" i="170"/>
  <c r="B23" i="170"/>
  <c r="B22" i="170"/>
  <c r="B21" i="170"/>
  <c r="B20" i="170"/>
  <c r="B19" i="170"/>
  <c r="B18" i="170"/>
  <c r="B17" i="170"/>
  <c r="B16" i="170"/>
  <c r="B15" i="170"/>
  <c r="B14" i="170"/>
  <c r="B13" i="170"/>
  <c r="B12" i="170"/>
  <c r="B11" i="170"/>
  <c r="B10" i="170"/>
  <c r="B9" i="170"/>
  <c r="B8" i="170"/>
  <c r="B7" i="170"/>
  <c r="M2" i="187" l="1"/>
  <c r="L36" i="187"/>
  <c r="L34" i="187"/>
  <c r="M34" i="187" s="1"/>
  <c r="L52" i="187"/>
  <c r="M52" i="187" s="1"/>
  <c r="L45" i="187"/>
  <c r="M45" i="187" s="1"/>
  <c r="L54" i="187"/>
  <c r="M54" i="187" s="1"/>
  <c r="K24" i="187"/>
  <c r="J24" i="187"/>
  <c r="K7" i="187"/>
  <c r="I7" i="187"/>
  <c r="J7" i="187"/>
  <c r="H7" i="187"/>
  <c r="C10" i="189"/>
  <c r="E10" i="189" s="1"/>
  <c r="H35" i="170"/>
  <c r="H37" i="170" s="1"/>
  <c r="G38" i="170" s="1"/>
  <c r="G37" i="170"/>
  <c r="H44" i="189"/>
  <c r="H46" i="189" s="1"/>
  <c r="G47" i="189" s="1"/>
  <c r="G46" i="189"/>
  <c r="F8" i="181"/>
  <c r="C17" i="189"/>
  <c r="D17" i="189" s="1"/>
  <c r="J15" i="188"/>
  <c r="J19" i="177"/>
  <c r="K36" i="185"/>
  <c r="F38" i="181"/>
  <c r="F23" i="181" s="1"/>
  <c r="F6" i="189"/>
  <c r="J36" i="197"/>
  <c r="J38" i="197" s="1"/>
  <c r="I39" i="197" s="1"/>
  <c r="I38" i="197"/>
  <c r="C19" i="189"/>
  <c r="F19" i="189" s="1"/>
  <c r="F19" i="181"/>
  <c r="E19" i="181"/>
  <c r="G19" i="181"/>
  <c r="J4" i="180"/>
  <c r="H7" i="185"/>
  <c r="G7" i="185"/>
  <c r="I7" i="185"/>
  <c r="E8" i="178"/>
  <c r="E7" i="178"/>
  <c r="H3" i="178"/>
  <c r="J3" i="178" s="1"/>
  <c r="K3" i="178" s="1"/>
  <c r="L3" i="178" s="1"/>
  <c r="M3" i="178" s="1"/>
  <c r="N3" i="178" s="1"/>
  <c r="O3" i="178" s="1"/>
  <c r="I3" i="178"/>
  <c r="I2" i="178"/>
  <c r="D23" i="178"/>
  <c r="N44" i="197"/>
  <c r="O44" i="197"/>
  <c r="L37" i="197"/>
  <c r="L38" i="197" s="1"/>
  <c r="M35" i="197"/>
  <c r="M47" i="197"/>
  <c r="F28" i="170"/>
  <c r="D28" i="170"/>
  <c r="E28" i="170"/>
  <c r="F9" i="170"/>
  <c r="E9" i="170"/>
  <c r="D15" i="170"/>
  <c r="F15" i="170"/>
  <c r="F22" i="170"/>
  <c r="E22" i="170"/>
  <c r="I8" i="180"/>
  <c r="C10" i="181" s="1"/>
  <c r="I15" i="180"/>
  <c r="C17" i="181" s="1"/>
  <c r="C6" i="181"/>
  <c r="C6" i="185"/>
  <c r="I8" i="184"/>
  <c r="C10" i="185" s="1"/>
  <c r="G8" i="140"/>
  <c r="C19" i="177"/>
  <c r="J4" i="184"/>
  <c r="I17" i="184"/>
  <c r="C19" i="185" s="1"/>
  <c r="H35" i="185"/>
  <c r="H37" i="185" s="1"/>
  <c r="H38" i="185" s="1"/>
  <c r="E38" i="185"/>
  <c r="I35" i="185"/>
  <c r="J5" i="177"/>
  <c r="C25" i="189"/>
  <c r="C17" i="185"/>
  <c r="H17" i="185" s="1"/>
  <c r="G44" i="181"/>
  <c r="G46" i="181" s="1"/>
  <c r="G47" i="181" s="1"/>
  <c r="E38" i="187"/>
  <c r="J17" i="180"/>
  <c r="E38" i="181"/>
  <c r="E23" i="181" s="1"/>
  <c r="G35" i="181"/>
  <c r="G37" i="189"/>
  <c r="F37" i="189"/>
  <c r="F23" i="189" s="1"/>
  <c r="I15" i="186"/>
  <c r="C17" i="187" s="1"/>
  <c r="I44" i="187"/>
  <c r="N2" i="187"/>
  <c r="C6" i="187"/>
  <c r="J4" i="186"/>
  <c r="I53" i="187"/>
  <c r="H44" i="187"/>
  <c r="H46" i="187" s="1"/>
  <c r="H47" i="187" s="1"/>
  <c r="I17" i="186"/>
  <c r="J17" i="186" s="1"/>
  <c r="J8" i="186"/>
  <c r="C10" i="187"/>
  <c r="H55" i="187"/>
  <c r="H56" i="187" s="1"/>
  <c r="M2" i="185"/>
  <c r="H46" i="185"/>
  <c r="H47" i="185" s="1"/>
  <c r="I46" i="185"/>
  <c r="I47" i="185" s="1"/>
  <c r="I2" i="181"/>
  <c r="H55" i="181"/>
  <c r="H56" i="181" s="1"/>
  <c r="G53" i="181"/>
  <c r="G55" i="181" s="1"/>
  <c r="G56" i="181" s="1"/>
  <c r="G31" i="178"/>
  <c r="H2" i="178"/>
  <c r="J2" i="178" s="1"/>
  <c r="K2" i="178" s="1"/>
  <c r="L2" i="178" s="1"/>
  <c r="M2" i="178" s="1"/>
  <c r="C24" i="178"/>
  <c r="C6" i="178"/>
  <c r="I17" i="177"/>
  <c r="I15" i="177"/>
  <c r="I8" i="177"/>
  <c r="J4" i="177"/>
  <c r="C16" i="178"/>
  <c r="D16" i="178" s="1"/>
  <c r="J14" i="177"/>
  <c r="E55" i="170"/>
  <c r="E46" i="170"/>
  <c r="D24" i="178" l="1"/>
  <c r="E24" i="178"/>
  <c r="I10" i="187"/>
  <c r="H10" i="187"/>
  <c r="K10" i="187"/>
  <c r="J10" i="187"/>
  <c r="K17" i="187"/>
  <c r="J17" i="187"/>
  <c r="I17" i="187"/>
  <c r="H17" i="187"/>
  <c r="I6" i="187"/>
  <c r="H6" i="187"/>
  <c r="K6" i="187"/>
  <c r="J6" i="187"/>
  <c r="F10" i="189"/>
  <c r="E17" i="189"/>
  <c r="F17" i="189" s="1"/>
  <c r="H23" i="185"/>
  <c r="E19" i="189"/>
  <c r="D19" i="189"/>
  <c r="F25" i="196"/>
  <c r="J8" i="180"/>
  <c r="G10" i="181"/>
  <c r="F10" i="181"/>
  <c r="J15" i="180"/>
  <c r="E17" i="181"/>
  <c r="F17" i="181"/>
  <c r="G17" i="181" s="1"/>
  <c r="G6" i="181"/>
  <c r="F6" i="181"/>
  <c r="G6" i="185"/>
  <c r="I6" i="185"/>
  <c r="H6" i="185"/>
  <c r="I10" i="185"/>
  <c r="G10" i="185"/>
  <c r="H10" i="185"/>
  <c r="H19" i="185"/>
  <c r="I19" i="185"/>
  <c r="G19" i="185"/>
  <c r="F19" i="185"/>
  <c r="I17" i="185"/>
  <c r="G17" i="185"/>
  <c r="F17" i="185"/>
  <c r="J2" i="181"/>
  <c r="K2" i="181" s="1"/>
  <c r="L2" i="181" s="1"/>
  <c r="E6" i="178"/>
  <c r="F25" i="189"/>
  <c r="E25" i="189"/>
  <c r="O2" i="187"/>
  <c r="L43" i="187" s="1"/>
  <c r="M43" i="187" s="1"/>
  <c r="M37" i="197"/>
  <c r="M38" i="197" s="1"/>
  <c r="O47" i="197"/>
  <c r="N47" i="197"/>
  <c r="O35" i="197"/>
  <c r="N35" i="197"/>
  <c r="G38" i="187"/>
  <c r="J8" i="184"/>
  <c r="H34" i="189"/>
  <c r="H36" i="189" s="1"/>
  <c r="H37" i="189" s="1"/>
  <c r="G38" i="189" s="1"/>
  <c r="F32" i="188" s="1"/>
  <c r="J17" i="184"/>
  <c r="E37" i="178"/>
  <c r="G38" i="185"/>
  <c r="G23" i="185" s="1"/>
  <c r="F38" i="185"/>
  <c r="K32" i="185"/>
  <c r="J35" i="185"/>
  <c r="I37" i="185"/>
  <c r="I38" i="185" s="1"/>
  <c r="I23" i="185" s="1"/>
  <c r="F38" i="187"/>
  <c r="I53" i="181"/>
  <c r="I55" i="181" s="1"/>
  <c r="I56" i="181" s="1"/>
  <c r="H35" i="181"/>
  <c r="J15" i="186"/>
  <c r="H35" i="187"/>
  <c r="H37" i="187" s="1"/>
  <c r="J53" i="187"/>
  <c r="C19" i="187"/>
  <c r="H19" i="187" s="1"/>
  <c r="I19" i="187" s="1"/>
  <c r="J19" i="187" s="1"/>
  <c r="K19" i="187" s="1"/>
  <c r="J44" i="187"/>
  <c r="I55" i="187"/>
  <c r="I56" i="187" s="1"/>
  <c r="I46" i="187"/>
  <c r="I47" i="187" s="1"/>
  <c r="N2" i="185"/>
  <c r="O2" i="185" s="1"/>
  <c r="G37" i="181"/>
  <c r="G38" i="181" s="1"/>
  <c r="G34" i="178"/>
  <c r="N2" i="178"/>
  <c r="O2" i="178" s="1"/>
  <c r="J17" i="177"/>
  <c r="C19" i="178"/>
  <c r="C10" i="178"/>
  <c r="J8" i="177"/>
  <c r="J15" i="177"/>
  <c r="C17" i="178"/>
  <c r="C23" i="171"/>
  <c r="C29" i="171" l="1"/>
  <c r="I10" i="171"/>
  <c r="I21" i="184"/>
  <c r="F23" i="185"/>
  <c r="G23" i="181"/>
  <c r="I21" i="180"/>
  <c r="M2" i="181"/>
  <c r="N2" i="181" s="1"/>
  <c r="O2" i="181" s="1"/>
  <c r="E17" i="178"/>
  <c r="D17" i="178"/>
  <c r="E10" i="178"/>
  <c r="E19" i="178"/>
  <c r="D19" i="178"/>
  <c r="N37" i="197"/>
  <c r="N38" i="197" s="1"/>
  <c r="O37" i="197"/>
  <c r="O38" i="197" s="1"/>
  <c r="F37" i="178"/>
  <c r="J37" i="185"/>
  <c r="J38" i="185" s="1"/>
  <c r="K35" i="185"/>
  <c r="I35" i="181"/>
  <c r="I35" i="187"/>
  <c r="K44" i="187"/>
  <c r="J46" i="187"/>
  <c r="J47" i="187" s="1"/>
  <c r="J55" i="187"/>
  <c r="J56" i="187" s="1"/>
  <c r="H37" i="181"/>
  <c r="H38" i="181" s="1"/>
  <c r="G36" i="178"/>
  <c r="G37" i="178" s="1"/>
  <c r="H38" i="187" l="1"/>
  <c r="H23" i="187"/>
  <c r="K23" i="171"/>
  <c r="I18" i="171"/>
  <c r="J21" i="180"/>
  <c r="C23" i="181"/>
  <c r="J21" i="177"/>
  <c r="I57" i="178"/>
  <c r="I36" i="187"/>
  <c r="C23" i="185"/>
  <c r="J21" i="184"/>
  <c r="K37" i="185"/>
  <c r="K38" i="185" s="1"/>
  <c r="J39" i="185" s="1"/>
  <c r="I37" i="181"/>
  <c r="I38" i="181" s="1"/>
  <c r="H39" i="181" s="1"/>
  <c r="J35" i="187"/>
  <c r="I37" i="187"/>
  <c r="K46" i="187"/>
  <c r="K47" i="187" s="1"/>
  <c r="L44" i="187"/>
  <c r="L53" i="187"/>
  <c r="K53" i="187"/>
  <c r="I6" i="171"/>
  <c r="I5" i="171"/>
  <c r="C12" i="170"/>
  <c r="D12" i="170" s="1"/>
  <c r="I14" i="171"/>
  <c r="C20" i="170" l="1"/>
  <c r="D20" i="170" s="1"/>
  <c r="F25" i="184"/>
  <c r="F25" i="180"/>
  <c r="I38" i="187"/>
  <c r="J36" i="187"/>
  <c r="J23" i="187" s="1"/>
  <c r="I23" i="187"/>
  <c r="J58" i="181"/>
  <c r="J9" i="159" s="1"/>
  <c r="K35" i="187"/>
  <c r="K37" i="187" s="1"/>
  <c r="J37" i="187"/>
  <c r="M44" i="187"/>
  <c r="L46" i="187"/>
  <c r="L47" i="187" s="1"/>
  <c r="L55" i="187"/>
  <c r="L56" i="187" s="1"/>
  <c r="C25" i="187"/>
  <c r="J25" i="187" s="1"/>
  <c r="K25" i="187" s="1"/>
  <c r="J23" i="186"/>
  <c r="M53" i="187"/>
  <c r="K55" i="187"/>
  <c r="K56" i="187" s="1"/>
  <c r="J57" i="178"/>
  <c r="C25" i="178"/>
  <c r="J23" i="177"/>
  <c r="C7" i="170"/>
  <c r="C8" i="170"/>
  <c r="C16" i="170"/>
  <c r="D16" i="170" s="1"/>
  <c r="G2" i="170"/>
  <c r="F52" i="170"/>
  <c r="D52" i="170"/>
  <c r="D54" i="170" s="1"/>
  <c r="D55" i="170" s="1"/>
  <c r="F43" i="170"/>
  <c r="F45" i="170" s="1"/>
  <c r="D43" i="170"/>
  <c r="D45" i="170" s="1"/>
  <c r="E3" i="170"/>
  <c r="F3" i="170" s="1"/>
  <c r="G14" i="142"/>
  <c r="D30" i="142"/>
  <c r="E25" i="178" l="1"/>
  <c r="D25" i="178"/>
  <c r="I43" i="197"/>
  <c r="H45" i="181"/>
  <c r="I45" i="181" s="1"/>
  <c r="I45" i="197"/>
  <c r="J45" i="197" s="1"/>
  <c r="H43" i="181"/>
  <c r="G52" i="197"/>
  <c r="G54" i="197"/>
  <c r="H54" i="197" s="1"/>
  <c r="G60" i="189"/>
  <c r="G53" i="189"/>
  <c r="H53" i="189" s="1"/>
  <c r="G51" i="189"/>
  <c r="G62" i="189"/>
  <c r="H62" i="189" s="1"/>
  <c r="J43" i="185"/>
  <c r="J45" i="185"/>
  <c r="K45" i="185" s="1"/>
  <c r="J38" i="187"/>
  <c r="K36" i="187"/>
  <c r="K23" i="187" s="1"/>
  <c r="F8" i="170"/>
  <c r="E8" i="170"/>
  <c r="F7" i="170"/>
  <c r="E7" i="170"/>
  <c r="K58" i="181"/>
  <c r="K9" i="159" s="1"/>
  <c r="L35" i="187"/>
  <c r="L37" i="187" s="1"/>
  <c r="M46" i="187"/>
  <c r="M47" i="187" s="1"/>
  <c r="L48" i="187" s="1"/>
  <c r="M55" i="187"/>
  <c r="M56" i="187" s="1"/>
  <c r="L57" i="187" s="1"/>
  <c r="F28" i="186" s="1"/>
  <c r="K57" i="178"/>
  <c r="G53" i="170"/>
  <c r="H53" i="170" s="1"/>
  <c r="G42" i="170"/>
  <c r="G51" i="170"/>
  <c r="H51" i="170" s="1"/>
  <c r="H2" i="170"/>
  <c r="I2" i="170" s="1"/>
  <c r="G44" i="170"/>
  <c r="H44" i="170" s="1"/>
  <c r="D46" i="170"/>
  <c r="F54" i="170"/>
  <c r="F46" i="170"/>
  <c r="G43" i="178" l="1"/>
  <c r="G45" i="178" s="1"/>
  <c r="G46" i="178" s="1"/>
  <c r="H44" i="181"/>
  <c r="H46" i="181" s="1"/>
  <c r="H47" i="181" s="1"/>
  <c r="I43" i="181"/>
  <c r="I44" i="181" s="1"/>
  <c r="I46" i="181" s="1"/>
  <c r="I47" i="181" s="1"/>
  <c r="H48" i="181" s="1"/>
  <c r="J54" i="197"/>
  <c r="I54" i="197"/>
  <c r="K54" i="197" s="1"/>
  <c r="L54" i="197" s="1"/>
  <c r="M54" i="197" s="1"/>
  <c r="N54" i="197" s="1"/>
  <c r="O54" i="197" s="1"/>
  <c r="G52" i="178"/>
  <c r="G54" i="178" s="1"/>
  <c r="G55" i="178" s="1"/>
  <c r="K43" i="185"/>
  <c r="K44" i="185" s="1"/>
  <c r="K46" i="185" s="1"/>
  <c r="K47" i="185" s="1"/>
  <c r="J48" i="185" s="1"/>
  <c r="J44" i="185"/>
  <c r="J46" i="185" s="1"/>
  <c r="J47" i="185" s="1"/>
  <c r="H51" i="189"/>
  <c r="H52" i="189" s="1"/>
  <c r="H54" i="189" s="1"/>
  <c r="H55" i="189" s="1"/>
  <c r="G56" i="189" s="1"/>
  <c r="G52" i="189"/>
  <c r="G54" i="189" s="1"/>
  <c r="G55" i="189" s="1"/>
  <c r="H52" i="197"/>
  <c r="G53" i="197"/>
  <c r="G55" i="197" s="1"/>
  <c r="G56" i="197" s="1"/>
  <c r="G61" i="189"/>
  <c r="H60" i="189"/>
  <c r="H61" i="189" s="1"/>
  <c r="H63" i="189" s="1"/>
  <c r="H64" i="189" s="1"/>
  <c r="G65" i="189" s="1"/>
  <c r="J43" i="197"/>
  <c r="J44" i="197" s="1"/>
  <c r="J46" i="197" s="1"/>
  <c r="J47" i="197" s="1"/>
  <c r="I48" i="197" s="1"/>
  <c r="I44" i="197"/>
  <c r="I46" i="197" s="1"/>
  <c r="I47" i="197" s="1"/>
  <c r="K38" i="187"/>
  <c r="I21" i="186" s="1"/>
  <c r="L58" i="181"/>
  <c r="L9" i="159" s="1"/>
  <c r="M35" i="187"/>
  <c r="M37" i="187" s="1"/>
  <c r="L57" i="178"/>
  <c r="H42" i="170"/>
  <c r="G43" i="170"/>
  <c r="J2" i="170"/>
  <c r="F55" i="170"/>
  <c r="J21" i="186" l="1"/>
  <c r="C23" i="187"/>
  <c r="H58" i="181"/>
  <c r="H9" i="159" s="1"/>
  <c r="I28" i="188"/>
  <c r="G63" i="189"/>
  <c r="G64" i="189" s="1"/>
  <c r="G66" i="189" s="1"/>
  <c r="G23" i="197"/>
  <c r="F28" i="180"/>
  <c r="I29" i="180"/>
  <c r="H53" i="197"/>
  <c r="H55" i="197" s="1"/>
  <c r="H56" i="197" s="1"/>
  <c r="H23" i="197" s="1"/>
  <c r="J52" i="197"/>
  <c r="J53" i="197" s="1"/>
  <c r="J55" i="197" s="1"/>
  <c r="J56" i="197" s="1"/>
  <c r="I57" i="197" s="1"/>
  <c r="F28" i="196" s="1"/>
  <c r="F29" i="196" s="1"/>
  <c r="I52" i="197"/>
  <c r="I29" i="196"/>
  <c r="F35" i="188"/>
  <c r="J58" i="185"/>
  <c r="J10" i="159" s="1"/>
  <c r="F28" i="184"/>
  <c r="I29" i="184"/>
  <c r="M36" i="187"/>
  <c r="L38" i="187"/>
  <c r="M58" i="181"/>
  <c r="M9" i="159" s="1"/>
  <c r="M57" i="178"/>
  <c r="J21" i="171"/>
  <c r="K2" i="170"/>
  <c r="E18" i="171"/>
  <c r="G49" i="170" s="1"/>
  <c r="I23" i="171" s="1"/>
  <c r="J23" i="171" s="1"/>
  <c r="C8" i="171"/>
  <c r="G4" i="171"/>
  <c r="B6" i="170" s="1"/>
  <c r="I19" i="171" l="1"/>
  <c r="J19" i="171" s="1"/>
  <c r="C33" i="140"/>
  <c r="J20" i="171"/>
  <c r="J26" i="171"/>
  <c r="J11" i="171"/>
  <c r="J9" i="171"/>
  <c r="J7" i="171"/>
  <c r="J24" i="171"/>
  <c r="J13" i="171"/>
  <c r="J25" i="171"/>
  <c r="J10" i="171"/>
  <c r="J6" i="171"/>
  <c r="J18" i="171"/>
  <c r="J14" i="171"/>
  <c r="J5" i="171"/>
  <c r="I21" i="196"/>
  <c r="J21" i="196" s="1"/>
  <c r="J21" i="188"/>
  <c r="G7" i="159"/>
  <c r="K52" i="197"/>
  <c r="I53" i="197"/>
  <c r="I55" i="197" s="1"/>
  <c r="I56" i="197" s="1"/>
  <c r="I58" i="197" s="1"/>
  <c r="J11" i="140"/>
  <c r="J29" i="196"/>
  <c r="I32" i="196"/>
  <c r="J32" i="196" s="1"/>
  <c r="G8" i="159"/>
  <c r="M38" i="187"/>
  <c r="L39" i="187" s="1"/>
  <c r="F36" i="188"/>
  <c r="J7" i="140"/>
  <c r="J28" i="188"/>
  <c r="I31" i="188"/>
  <c r="J31" i="188" s="1"/>
  <c r="F29" i="180"/>
  <c r="F25" i="171"/>
  <c r="C23" i="170"/>
  <c r="L2" i="170"/>
  <c r="H49" i="170"/>
  <c r="G52" i="170"/>
  <c r="G54" i="170" s="1"/>
  <c r="G55" i="170" s="1"/>
  <c r="H40" i="170"/>
  <c r="H43" i="170" s="1"/>
  <c r="G45" i="170"/>
  <c r="G46" i="170" s="1"/>
  <c r="F18" i="171"/>
  <c r="F17" i="171"/>
  <c r="F25" i="186" l="1"/>
  <c r="F29" i="186" s="1"/>
  <c r="I29" i="186"/>
  <c r="L58" i="187"/>
  <c r="C23" i="197"/>
  <c r="C34" i="140"/>
  <c r="L52" i="197"/>
  <c r="K53" i="197"/>
  <c r="K55" i="197" s="1"/>
  <c r="K56" i="197" s="1"/>
  <c r="N58" i="181"/>
  <c r="N9" i="159" s="1"/>
  <c r="J29" i="180"/>
  <c r="C21" i="170"/>
  <c r="I32" i="186"/>
  <c r="J32" i="186" s="1"/>
  <c r="F29" i="184"/>
  <c r="J10" i="140"/>
  <c r="M2" i="170"/>
  <c r="N2" i="170" s="1"/>
  <c r="O2" i="170" s="1"/>
  <c r="H45" i="170"/>
  <c r="H46" i="170" s="1"/>
  <c r="G47" i="170" s="1"/>
  <c r="H52" i="170"/>
  <c r="H54" i="170" s="1"/>
  <c r="H55" i="170" s="1"/>
  <c r="G56" i="170" s="1"/>
  <c r="H9" i="174"/>
  <c r="H8" i="174"/>
  <c r="K7" i="174"/>
  <c r="K5" i="174"/>
  <c r="K4" i="174"/>
  <c r="I25" i="174"/>
  <c r="G25" i="174" s="1"/>
  <c r="H7" i="174"/>
  <c r="H6" i="174"/>
  <c r="H5" i="174"/>
  <c r="H4" i="174"/>
  <c r="D19" i="171"/>
  <c r="H5" i="140" s="1"/>
  <c r="H12" i="140" s="1"/>
  <c r="D7" i="171"/>
  <c r="E7" i="171"/>
  <c r="E6" i="171"/>
  <c r="E5" i="171"/>
  <c r="E4" i="171"/>
  <c r="D23" i="171"/>
  <c r="D24" i="171" s="1"/>
  <c r="B2" i="171"/>
  <c r="D4" i="170"/>
  <c r="J6" i="140" l="1"/>
  <c r="D34" i="140"/>
  <c r="D32" i="140"/>
  <c r="D33" i="140"/>
  <c r="F21" i="170"/>
  <c r="E21" i="170"/>
  <c r="D21" i="170"/>
  <c r="M52" i="197"/>
  <c r="L53" i="197"/>
  <c r="L55" i="197" s="1"/>
  <c r="L56" i="197" s="1"/>
  <c r="J29" i="186"/>
  <c r="F34" i="171"/>
  <c r="I32" i="180"/>
  <c r="J32" i="180" s="1"/>
  <c r="J9" i="140"/>
  <c r="I32" i="184"/>
  <c r="J32" i="184" s="1"/>
  <c r="J29" i="184"/>
  <c r="C31" i="177"/>
  <c r="C37" i="171"/>
  <c r="C32" i="177"/>
  <c r="C38" i="171"/>
  <c r="I22" i="171"/>
  <c r="J22" i="171" s="1"/>
  <c r="E4" i="170"/>
  <c r="F4" i="171"/>
  <c r="F5" i="171"/>
  <c r="F7" i="171"/>
  <c r="F6" i="171"/>
  <c r="D8" i="171"/>
  <c r="F19" i="171"/>
  <c r="E19" i="171" s="1"/>
  <c r="N52" i="197" l="1"/>
  <c r="M53" i="197"/>
  <c r="M55" i="197" s="1"/>
  <c r="M56" i="197" s="1"/>
  <c r="B2" i="187"/>
  <c r="B2" i="189"/>
  <c r="F29" i="177"/>
  <c r="J8" i="140"/>
  <c r="N57" i="178"/>
  <c r="C24" i="170"/>
  <c r="C25" i="171"/>
  <c r="I4" i="171"/>
  <c r="J4" i="171" s="1"/>
  <c r="F4" i="170"/>
  <c r="G4" i="170" s="1"/>
  <c r="H4" i="170" s="1"/>
  <c r="I4" i="170" s="1"/>
  <c r="O4" i="170" s="1"/>
  <c r="J4" i="170"/>
  <c r="G3" i="170"/>
  <c r="H3" i="170" s="1"/>
  <c r="I3" i="170" s="1"/>
  <c r="J3" i="170" s="1"/>
  <c r="F8" i="171"/>
  <c r="G58" i="170" s="1"/>
  <c r="B2" i="170"/>
  <c r="F31" i="171" l="1"/>
  <c r="I28" i="171"/>
  <c r="G59" i="170"/>
  <c r="O52" i="197"/>
  <c r="O53" i="197" s="1"/>
  <c r="O55" i="197" s="1"/>
  <c r="O56" i="197" s="1"/>
  <c r="N53" i="197"/>
  <c r="N55" i="197" s="1"/>
  <c r="N56" i="197" s="1"/>
  <c r="E24" i="170"/>
  <c r="F24" i="170"/>
  <c r="I31" i="177"/>
  <c r="J31" i="177" s="1"/>
  <c r="J28" i="177"/>
  <c r="F32" i="171"/>
  <c r="F33" i="171" s="1"/>
  <c r="I17" i="171"/>
  <c r="J17" i="171" s="1"/>
  <c r="I15" i="171"/>
  <c r="I8" i="171"/>
  <c r="J8" i="171" s="1"/>
  <c r="K4" i="170"/>
  <c r="M4" i="170" s="1"/>
  <c r="N4" i="170" s="1"/>
  <c r="L4" i="170"/>
  <c r="K3" i="170"/>
  <c r="M3" i="170" s="1"/>
  <c r="N3" i="170" s="1"/>
  <c r="O3" i="170" s="1"/>
  <c r="L3" i="170"/>
  <c r="C6" i="170"/>
  <c r="E8" i="171"/>
  <c r="I12" i="196"/>
  <c r="I12" i="180"/>
  <c r="I12" i="177"/>
  <c r="I12" i="188"/>
  <c r="J12" i="188" s="1"/>
  <c r="I12" i="186"/>
  <c r="I12" i="171"/>
  <c r="J12" i="171" s="1"/>
  <c r="F22" i="140"/>
  <c r="D12" i="140"/>
  <c r="C17" i="170" l="1"/>
  <c r="J15" i="171"/>
  <c r="C14" i="197"/>
  <c r="J12" i="196"/>
  <c r="I16" i="196"/>
  <c r="E6" i="170"/>
  <c r="F6" i="170"/>
  <c r="E17" i="170"/>
  <c r="D17" i="170"/>
  <c r="C14" i="189"/>
  <c r="D14" i="189" s="1"/>
  <c r="E14" i="189" s="1"/>
  <c r="F14" i="189" s="1"/>
  <c r="I16" i="188"/>
  <c r="I16" i="171"/>
  <c r="J16" i="171" s="1"/>
  <c r="C14" i="185"/>
  <c r="J12" i="184"/>
  <c r="I16" i="184"/>
  <c r="I27" i="184" s="1"/>
  <c r="I16" i="180"/>
  <c r="C14" i="178"/>
  <c r="J12" i="177"/>
  <c r="I16" i="177"/>
  <c r="C19" i="170"/>
  <c r="C25" i="170"/>
  <c r="F25" i="170" s="1"/>
  <c r="C10" i="170"/>
  <c r="F10" i="170" s="1"/>
  <c r="G12" i="140"/>
  <c r="E14" i="178" l="1"/>
  <c r="D14" i="178"/>
  <c r="E18" i="184"/>
  <c r="L10" i="140" s="1"/>
  <c r="I31" i="184"/>
  <c r="G14" i="197"/>
  <c r="I27" i="188"/>
  <c r="I29" i="188" s="1"/>
  <c r="J16" i="188"/>
  <c r="K10" i="140"/>
  <c r="O10" i="140" s="1"/>
  <c r="I30" i="184"/>
  <c r="H14" i="185"/>
  <c r="I14" i="185"/>
  <c r="F14" i="185"/>
  <c r="G14" i="185"/>
  <c r="I27" i="196"/>
  <c r="C18" i="197"/>
  <c r="C30" i="197" s="1"/>
  <c r="J16" i="196"/>
  <c r="D19" i="170"/>
  <c r="E19" i="170"/>
  <c r="F19" i="170"/>
  <c r="C14" i="170"/>
  <c r="C18" i="189"/>
  <c r="E17" i="184"/>
  <c r="C30" i="184" s="1"/>
  <c r="C14" i="187"/>
  <c r="J12" i="186"/>
  <c r="I16" i="186"/>
  <c r="I27" i="186" s="1"/>
  <c r="C14" i="181"/>
  <c r="I27" i="180"/>
  <c r="J12" i="180"/>
  <c r="J27" i="184"/>
  <c r="J16" i="184"/>
  <c r="C18" i="185"/>
  <c r="C30" i="185" s="1"/>
  <c r="J16" i="177"/>
  <c r="C18" i="178"/>
  <c r="I27" i="177"/>
  <c r="J16" i="180"/>
  <c r="C18" i="181"/>
  <c r="C18" i="170"/>
  <c r="I30" i="186" l="1"/>
  <c r="E18" i="186"/>
  <c r="E17" i="186"/>
  <c r="I31" i="186"/>
  <c r="D18" i="178"/>
  <c r="E18" i="178"/>
  <c r="H14" i="187"/>
  <c r="I32" i="188"/>
  <c r="J32" i="188" s="1"/>
  <c r="K7" i="140"/>
  <c r="O7" i="140" s="1"/>
  <c r="E24" i="188"/>
  <c r="M7" i="140" s="1"/>
  <c r="H14" i="197"/>
  <c r="I30" i="188"/>
  <c r="J27" i="188"/>
  <c r="E25" i="188"/>
  <c r="L7" i="140" s="1"/>
  <c r="I30" i="196"/>
  <c r="E17" i="196"/>
  <c r="E18" i="196"/>
  <c r="I31" i="196"/>
  <c r="E17" i="180"/>
  <c r="E18" i="180"/>
  <c r="F18" i="180" s="1"/>
  <c r="C30" i="181"/>
  <c r="I30" i="180"/>
  <c r="I31" i="180"/>
  <c r="G18" i="197"/>
  <c r="G30" i="197" s="1"/>
  <c r="H18" i="185"/>
  <c r="G18" i="185"/>
  <c r="G30" i="185" s="1"/>
  <c r="F18" i="185"/>
  <c r="F30" i="185" s="1"/>
  <c r="I18" i="185"/>
  <c r="I30" i="185" s="1"/>
  <c r="M10" i="140"/>
  <c r="F60" i="185"/>
  <c r="F59" i="185"/>
  <c r="G59" i="185" s="1"/>
  <c r="H59" i="185" s="1"/>
  <c r="I59" i="185" s="1"/>
  <c r="F18" i="181"/>
  <c r="E18" i="181"/>
  <c r="G18" i="181"/>
  <c r="G14" i="181"/>
  <c r="E14" i="181"/>
  <c r="F14" i="181"/>
  <c r="I29" i="177"/>
  <c r="I30" i="177"/>
  <c r="K8" i="140"/>
  <c r="O8" i="140" s="1"/>
  <c r="I32" i="177"/>
  <c r="J32" i="177" s="1"/>
  <c r="C29" i="178"/>
  <c r="C29" i="189"/>
  <c r="E18" i="189"/>
  <c r="D18" i="189"/>
  <c r="F18" i="189"/>
  <c r="F58" i="197"/>
  <c r="E58" i="197"/>
  <c r="D58" i="197"/>
  <c r="K11" i="140"/>
  <c r="O11" i="140" s="1"/>
  <c r="J27" i="196"/>
  <c r="D18" i="170"/>
  <c r="F18" i="170"/>
  <c r="E18" i="170"/>
  <c r="E14" i="170"/>
  <c r="D14" i="170"/>
  <c r="F14" i="170"/>
  <c r="K9" i="140"/>
  <c r="O9" i="140" s="1"/>
  <c r="J27" i="180"/>
  <c r="E20" i="184"/>
  <c r="K6" i="140"/>
  <c r="O6" i="140" s="1"/>
  <c r="J27" i="186"/>
  <c r="J16" i="186"/>
  <c r="C18" i="187"/>
  <c r="H18" i="187" s="1"/>
  <c r="I18" i="187" s="1"/>
  <c r="J18" i="187" s="1"/>
  <c r="K18" i="187" s="1"/>
  <c r="F17" i="184"/>
  <c r="F30" i="184"/>
  <c r="D58" i="185"/>
  <c r="D10" i="159" s="1"/>
  <c r="E18" i="177"/>
  <c r="L8" i="140" s="1"/>
  <c r="J27" i="177"/>
  <c r="E17" i="177"/>
  <c r="I14" i="187" l="1"/>
  <c r="H60" i="187"/>
  <c r="H59" i="187"/>
  <c r="F24" i="188"/>
  <c r="D67" i="189"/>
  <c r="F67" i="189" s="1"/>
  <c r="F37" i="188"/>
  <c r="D68" i="189"/>
  <c r="E30" i="181"/>
  <c r="E58" i="181" s="1"/>
  <c r="F30" i="181"/>
  <c r="F58" i="181" s="1"/>
  <c r="F38" i="188"/>
  <c r="E27" i="188"/>
  <c r="F25" i="188"/>
  <c r="F29" i="188" s="1"/>
  <c r="L9" i="140"/>
  <c r="E29" i="188"/>
  <c r="G30" i="181"/>
  <c r="G58" i="181" s="1"/>
  <c r="C30" i="180" s="1"/>
  <c r="E22" i="180"/>
  <c r="F17" i="180"/>
  <c r="F20" i="180" s="1"/>
  <c r="F22" i="180" s="1"/>
  <c r="H30" i="185"/>
  <c r="H5" i="185" s="1"/>
  <c r="F20" i="184"/>
  <c r="F22" i="184" s="1"/>
  <c r="E22" i="184"/>
  <c r="H18" i="197"/>
  <c r="H30" i="197" s="1"/>
  <c r="G59" i="197"/>
  <c r="G60" i="197"/>
  <c r="I58" i="185"/>
  <c r="I10" i="159" s="1"/>
  <c r="I5" i="185"/>
  <c r="E59" i="181"/>
  <c r="E60" i="181"/>
  <c r="F58" i="187"/>
  <c r="G58" i="187"/>
  <c r="G6" i="159" s="1"/>
  <c r="M58" i="187"/>
  <c r="M6" i="159" s="1"/>
  <c r="M6" i="140"/>
  <c r="M11" i="140"/>
  <c r="F17" i="196"/>
  <c r="F30" i="196"/>
  <c r="E20" i="196"/>
  <c r="E22" i="196" s="1"/>
  <c r="L11" i="140"/>
  <c r="F18" i="196"/>
  <c r="F31" i="196"/>
  <c r="N58" i="187"/>
  <c r="E58" i="187"/>
  <c r="E6" i="159" s="1"/>
  <c r="D58" i="187"/>
  <c r="D6" i="159" s="1"/>
  <c r="F31" i="180"/>
  <c r="M9" i="140"/>
  <c r="D58" i="181"/>
  <c r="D9" i="159" s="1"/>
  <c r="E20" i="180"/>
  <c r="F30" i="180"/>
  <c r="D59" i="178"/>
  <c r="M8" i="140"/>
  <c r="E58" i="185"/>
  <c r="E10" i="159" s="1"/>
  <c r="F30" i="186"/>
  <c r="F17" i="186"/>
  <c r="G5" i="185"/>
  <c r="F31" i="177"/>
  <c r="F18" i="177"/>
  <c r="C30" i="177"/>
  <c r="F17" i="177"/>
  <c r="E20" i="177"/>
  <c r="F30" i="177"/>
  <c r="D58" i="178"/>
  <c r="E22" i="177"/>
  <c r="J14" i="187" l="1"/>
  <c r="I5" i="187"/>
  <c r="E67" i="189"/>
  <c r="G67" i="189" s="1"/>
  <c r="D69" i="189"/>
  <c r="D70" i="189" s="1"/>
  <c r="E68" i="189" s="1"/>
  <c r="F39" i="188"/>
  <c r="C34" i="188" s="1"/>
  <c r="E5" i="181"/>
  <c r="F27" i="188"/>
  <c r="F5" i="181"/>
  <c r="H58" i="185"/>
  <c r="F59" i="181"/>
  <c r="G5" i="181"/>
  <c r="F63" i="181"/>
  <c r="N4" i="159"/>
  <c r="N6" i="159"/>
  <c r="F9" i="159"/>
  <c r="G63" i="181"/>
  <c r="G9" i="159"/>
  <c r="F15" i="159"/>
  <c r="F6" i="159"/>
  <c r="L4" i="159"/>
  <c r="L6" i="159"/>
  <c r="M4" i="159"/>
  <c r="I63" i="185"/>
  <c r="I64" i="185" s="1"/>
  <c r="I19" i="159" s="1"/>
  <c r="G58" i="197"/>
  <c r="G63" i="197"/>
  <c r="G64" i="197" s="1"/>
  <c r="G5" i="197"/>
  <c r="H58" i="197"/>
  <c r="H63" i="197"/>
  <c r="H5" i="197"/>
  <c r="F58" i="185"/>
  <c r="F10" i="159" s="1"/>
  <c r="F5" i="185"/>
  <c r="G58" i="185"/>
  <c r="E9" i="159"/>
  <c r="F20" i="196"/>
  <c r="F22" i="196" s="1"/>
  <c r="F32" i="196"/>
  <c r="C27" i="196" s="1"/>
  <c r="F32" i="180"/>
  <c r="C27" i="180" s="1"/>
  <c r="L5" i="187"/>
  <c r="I58" i="187"/>
  <c r="I6" i="159" s="1"/>
  <c r="H58" i="187"/>
  <c r="H5" i="187"/>
  <c r="N5" i="187"/>
  <c r="M5" i="187"/>
  <c r="G15" i="159"/>
  <c r="D15" i="159"/>
  <c r="E61" i="181"/>
  <c r="E62" i="181" s="1"/>
  <c r="E69" i="189"/>
  <c r="E70" i="189" s="1"/>
  <c r="F68" i="189" s="1"/>
  <c r="F69" i="189" s="1"/>
  <c r="F70" i="189" s="1"/>
  <c r="G68" i="189" s="1"/>
  <c r="G69" i="189" s="1"/>
  <c r="G70" i="189" s="1"/>
  <c r="G72" i="189" s="1"/>
  <c r="G16" i="159" s="1"/>
  <c r="F32" i="177"/>
  <c r="C27" i="177" s="1"/>
  <c r="F20" i="177"/>
  <c r="E58" i="178"/>
  <c r="D60" i="178"/>
  <c r="F22" i="177"/>
  <c r="J29" i="170"/>
  <c r="M29" i="170"/>
  <c r="O29" i="170"/>
  <c r="G29" i="170"/>
  <c r="G5" i="159" s="1"/>
  <c r="H29" i="170"/>
  <c r="K29" i="170"/>
  <c r="I29" i="170"/>
  <c r="N29" i="170"/>
  <c r="K14" i="187" l="1"/>
  <c r="H6" i="159"/>
  <c r="H10" i="159"/>
  <c r="H63" i="185"/>
  <c r="H64" i="185" s="1"/>
  <c r="H19" i="159" s="1"/>
  <c r="G59" i="181"/>
  <c r="F64" i="181"/>
  <c r="F18" i="159" s="1"/>
  <c r="H4" i="159"/>
  <c r="C9" i="159"/>
  <c r="G11" i="159"/>
  <c r="G20" i="159"/>
  <c r="G63" i="185"/>
  <c r="G64" i="185" s="1"/>
  <c r="G19" i="159" s="1"/>
  <c r="G10" i="159"/>
  <c r="I4" i="159"/>
  <c r="E63" i="181"/>
  <c r="F63" i="185"/>
  <c r="F64" i="185" s="1"/>
  <c r="F19" i="159" s="1"/>
  <c r="C58" i="197"/>
  <c r="G4" i="159"/>
  <c r="C30" i="196"/>
  <c r="C58" i="185"/>
  <c r="P10" i="140" s="1"/>
  <c r="C58" i="181"/>
  <c r="P9" i="140" s="1"/>
  <c r="H63" i="187"/>
  <c r="H64" i="187" s="1"/>
  <c r="E15" i="159"/>
  <c r="I63" i="187"/>
  <c r="I59" i="187"/>
  <c r="F61" i="185"/>
  <c r="J59" i="185"/>
  <c r="F58" i="178"/>
  <c r="D61" i="178"/>
  <c r="E59" i="178" s="1"/>
  <c r="E60" i="178" s="1"/>
  <c r="J58" i="187" l="1"/>
  <c r="J5" i="187"/>
  <c r="K58" i="187"/>
  <c r="K5" i="187"/>
  <c r="H15" i="159"/>
  <c r="C10" i="159"/>
  <c r="E64" i="181"/>
  <c r="E18" i="159" s="1"/>
  <c r="G64" i="181"/>
  <c r="G18" i="159" s="1"/>
  <c r="H59" i="181"/>
  <c r="C28" i="196"/>
  <c r="P11" i="140"/>
  <c r="I64" i="187"/>
  <c r="I15" i="159" s="1"/>
  <c r="C28" i="184"/>
  <c r="F62" i="185"/>
  <c r="G60" i="185" s="1"/>
  <c r="G61" i="185" s="1"/>
  <c r="C28" i="180"/>
  <c r="J59" i="187"/>
  <c r="F60" i="181"/>
  <c r="F61" i="181" s="1"/>
  <c r="F62" i="181" s="1"/>
  <c r="E61" i="178"/>
  <c r="F35" i="171"/>
  <c r="J5" i="140" s="1"/>
  <c r="C58" i="187" l="1"/>
  <c r="K6" i="159"/>
  <c r="K63" i="187"/>
  <c r="K4" i="159"/>
  <c r="J6" i="159"/>
  <c r="J63" i="187"/>
  <c r="J64" i="187" s="1"/>
  <c r="J15" i="159" s="1"/>
  <c r="J4" i="159"/>
  <c r="G62" i="185"/>
  <c r="H60" i="185" s="1"/>
  <c r="H61" i="185" s="1"/>
  <c r="F59" i="178"/>
  <c r="F60" i="178" s="1"/>
  <c r="F61" i="178" s="1"/>
  <c r="F63" i="178" s="1"/>
  <c r="H61" i="187"/>
  <c r="H59" i="197"/>
  <c r="H64" i="197" s="1"/>
  <c r="G61" i="197"/>
  <c r="K59" i="187"/>
  <c r="K64" i="187" s="1"/>
  <c r="G60" i="181"/>
  <c r="G61" i="181" s="1"/>
  <c r="G62" i="181" s="1"/>
  <c r="H60" i="181" s="1"/>
  <c r="H61" i="181" s="1"/>
  <c r="H62" i="181" s="1"/>
  <c r="G17" i="159"/>
  <c r="J28" i="171"/>
  <c r="I31" i="171"/>
  <c r="J31" i="171" s="1"/>
  <c r="N12" i="140"/>
  <c r="C28" i="186" l="1"/>
  <c r="P6" i="140"/>
  <c r="C6" i="159"/>
  <c r="H62" i="187"/>
  <c r="I60" i="187" s="1"/>
  <c r="I61" i="187" s="1"/>
  <c r="I62" i="187" s="1"/>
  <c r="J60" i="187" s="1"/>
  <c r="J61" i="187" s="1"/>
  <c r="J62" i="187" s="1"/>
  <c r="K60" i="187" s="1"/>
  <c r="K61" i="187" s="1"/>
  <c r="K62" i="187" s="1"/>
  <c r="L60" i="187" s="1"/>
  <c r="H64" i="181"/>
  <c r="H18" i="159" s="1"/>
  <c r="C18" i="159" s="1"/>
  <c r="H11" i="159"/>
  <c r="H20" i="159"/>
  <c r="K13" i="159"/>
  <c r="K15" i="159"/>
  <c r="G62" i="197"/>
  <c r="H60" i="197" s="1"/>
  <c r="H61" i="197" s="1"/>
  <c r="H62" i="197" s="1"/>
  <c r="I60" i="197" s="1"/>
  <c r="H62" i="185"/>
  <c r="I59" i="197"/>
  <c r="L59" i="187"/>
  <c r="J12" i="140"/>
  <c r="C22" i="159" s="1"/>
  <c r="H13" i="159" l="1"/>
  <c r="I60" i="185"/>
  <c r="I61" i="185" s="1"/>
  <c r="I62" i="185" s="1"/>
  <c r="J60" i="185" s="1"/>
  <c r="J61" i="185" s="1"/>
  <c r="J62" i="185" s="1"/>
  <c r="J64" i="185" s="1"/>
  <c r="J19" i="159" s="1"/>
  <c r="C19" i="159" s="1"/>
  <c r="I61" i="197"/>
  <c r="I62" i="197" s="1"/>
  <c r="I64" i="197" s="1"/>
  <c r="L61" i="187"/>
  <c r="L62" i="187" s="1"/>
  <c r="L64" i="187" s="1"/>
  <c r="C64" i="187" s="1"/>
  <c r="L13" i="159" l="1"/>
  <c r="L15" i="159"/>
  <c r="M13" i="159"/>
  <c r="M15" i="159"/>
  <c r="C64" i="185"/>
  <c r="J13" i="159"/>
  <c r="I20" i="159" l="1"/>
  <c r="C20" i="159" s="1"/>
  <c r="I11" i="159"/>
  <c r="C11" i="159" s="1"/>
  <c r="C64" i="197"/>
  <c r="I13" i="159"/>
  <c r="N15" i="159"/>
  <c r="C15" i="159" s="1"/>
  <c r="Q10" i="140"/>
  <c r="Q6" i="140" l="1"/>
  <c r="N13" i="159"/>
  <c r="C29" i="184"/>
  <c r="C29" i="186" l="1"/>
  <c r="C64" i="181"/>
  <c r="C29" i="196" l="1"/>
  <c r="Q11" i="140"/>
  <c r="C29" i="180"/>
  <c r="Q9" i="140"/>
  <c r="C27" i="170" l="1"/>
  <c r="I27" i="171"/>
  <c r="F27" i="170" l="1"/>
  <c r="E27" i="170"/>
  <c r="E29" i="170" s="1"/>
  <c r="E59" i="170" s="1"/>
  <c r="D27" i="170"/>
  <c r="D29" i="170" s="1"/>
  <c r="D59" i="170" s="1"/>
  <c r="E23" i="171"/>
  <c r="D60" i="170" s="1"/>
  <c r="J27" i="171"/>
  <c r="I32" i="171"/>
  <c r="J32" i="171" s="1"/>
  <c r="C29" i="170"/>
  <c r="E24" i="171"/>
  <c r="F24" i="171" s="1"/>
  <c r="I30" i="171"/>
  <c r="K5" i="140"/>
  <c r="O5" i="140" s="1"/>
  <c r="F29" i="170"/>
  <c r="F59" i="170" s="1"/>
  <c r="C59" i="170" l="1"/>
  <c r="D5" i="159"/>
  <c r="D5" i="170"/>
  <c r="F5" i="159"/>
  <c r="F5" i="170"/>
  <c r="E5" i="159"/>
  <c r="E5" i="170"/>
  <c r="M5" i="140"/>
  <c r="M12" i="140" s="1"/>
  <c r="F36" i="171"/>
  <c r="D61" i="170"/>
  <c r="E26" i="171"/>
  <c r="F23" i="171"/>
  <c r="F26" i="171" s="1"/>
  <c r="F37" i="171"/>
  <c r="L5" i="140"/>
  <c r="E28" i="171"/>
  <c r="K12" i="140"/>
  <c r="O12" i="140" s="1"/>
  <c r="D64" i="170" l="1"/>
  <c r="D65" i="170" s="1"/>
  <c r="D14" i="159" s="1"/>
  <c r="C5" i="159"/>
  <c r="F64" i="170"/>
  <c r="E64" i="170"/>
  <c r="C23" i="159"/>
  <c r="C24" i="159" s="1"/>
  <c r="E60" i="170"/>
  <c r="F38" i="171"/>
  <c r="C33" i="171" s="1"/>
  <c r="D62" i="170"/>
  <c r="D63" i="170" s="1"/>
  <c r="E61" i="170" s="1"/>
  <c r="F28" i="171"/>
  <c r="E65" i="170" l="1"/>
  <c r="E14" i="159" s="1"/>
  <c r="F60" i="170"/>
  <c r="F65" i="170" s="1"/>
  <c r="F14" i="159" s="1"/>
  <c r="E62" i="170"/>
  <c r="E63" i="170" s="1"/>
  <c r="F61" i="170" s="1"/>
  <c r="P5" i="140"/>
  <c r="C34" i="171"/>
  <c r="G60" i="170" l="1"/>
  <c r="G65" i="170" s="1"/>
  <c r="G14" i="159" s="1"/>
  <c r="C14" i="159" s="1"/>
  <c r="F62" i="170"/>
  <c r="F63" i="170" s="1"/>
  <c r="C65" i="170" l="1"/>
  <c r="G13" i="159"/>
  <c r="G61" i="170"/>
  <c r="G62" i="170" s="1"/>
  <c r="G63" i="170" s="1"/>
  <c r="C35" i="171" l="1"/>
  <c r="Q5" i="140" l="1"/>
  <c r="F18" i="184"/>
  <c r="F31" i="184" l="1"/>
  <c r="F32" i="184" s="1"/>
  <c r="C27" i="184" s="1"/>
  <c r="D29" i="189"/>
  <c r="E29" i="189"/>
  <c r="F29" i="189"/>
  <c r="D5" i="189" l="1"/>
  <c r="D66" i="189"/>
  <c r="D7" i="159" s="1"/>
  <c r="E5" i="189"/>
  <c r="E66" i="189"/>
  <c r="F66" i="189"/>
  <c r="F5" i="189"/>
  <c r="F71" i="189" l="1"/>
  <c r="F72" i="189" s="1"/>
  <c r="F16" i="159" s="1"/>
  <c r="F7" i="159"/>
  <c r="E71" i="189"/>
  <c r="E72" i="189" s="1"/>
  <c r="E16" i="159" s="1"/>
  <c r="E7" i="159"/>
  <c r="C66" i="189"/>
  <c r="D71" i="189"/>
  <c r="C7" i="159" l="1"/>
  <c r="D72" i="189"/>
  <c r="C35" i="188"/>
  <c r="P7" i="140"/>
  <c r="C72" i="189" l="1"/>
  <c r="Q7" i="140" s="1"/>
  <c r="D16" i="159"/>
  <c r="C16" i="159" s="1"/>
  <c r="D29" i="178"/>
  <c r="D57" i="178" s="1"/>
  <c r="E29" i="178"/>
  <c r="E57" i="178" s="1"/>
  <c r="F29" i="178"/>
  <c r="C36" i="188" l="1"/>
  <c r="F8" i="159"/>
  <c r="E5" i="178"/>
  <c r="E8" i="159"/>
  <c r="D5" i="178"/>
  <c r="D4" i="159" l="1"/>
  <c r="D8" i="159"/>
  <c r="C8" i="159" s="1"/>
  <c r="E62" i="178"/>
  <c r="E63" i="178" s="1"/>
  <c r="E4" i="159"/>
  <c r="F4" i="159"/>
  <c r="C57" i="178"/>
  <c r="D62" i="178"/>
  <c r="D63" i="178" s="1"/>
  <c r="D17" i="159" s="1"/>
  <c r="C4" i="159" l="1"/>
  <c r="E13" i="159"/>
  <c r="E17" i="159"/>
  <c r="F13" i="159"/>
  <c r="F17" i="159"/>
  <c r="C63" i="178"/>
  <c r="C29" i="177" s="1"/>
  <c r="D13" i="159"/>
  <c r="C12" i="159"/>
  <c r="P12" i="140" s="1"/>
  <c r="P8" i="140"/>
  <c r="C28" i="177"/>
  <c r="C17" i="159" l="1"/>
  <c r="Q8" i="140"/>
  <c r="C21" i="159"/>
  <c r="Q12" i="140" s="1"/>
  <c r="C13" i="159"/>
  <c r="L6" i="140"/>
  <c r="L12" i="140" s="1"/>
  <c r="F31" i="186"/>
  <c r="F32" i="186" s="1"/>
  <c r="C27" i="186" s="1"/>
  <c r="F18" i="186"/>
  <c r="F20" i="186" s="1"/>
  <c r="F22" i="186" s="1"/>
  <c r="E20" i="186"/>
  <c r="E22" i="186" s="1"/>
</calcChain>
</file>

<file path=xl/sharedStrings.xml><?xml version="1.0" encoding="utf-8"?>
<sst xmlns="http://schemas.openxmlformats.org/spreadsheetml/2006/main" count="4962" uniqueCount="679">
  <si>
    <t>Office</t>
  </si>
  <si>
    <t>Retail</t>
  </si>
  <si>
    <t>Development Costs</t>
  </si>
  <si>
    <t>High</t>
  </si>
  <si>
    <t>Low</t>
  </si>
  <si>
    <t>RESIDENTIAL</t>
  </si>
  <si>
    <t>Demolition</t>
  </si>
  <si>
    <t>RETAIL</t>
  </si>
  <si>
    <t>PARKING STRUCTURES</t>
  </si>
  <si>
    <t>Studio</t>
  </si>
  <si>
    <t>1BR</t>
  </si>
  <si>
    <t>2BR</t>
  </si>
  <si>
    <t>3BR</t>
  </si>
  <si>
    <t>Market Rate Housing Rents and Sales Prices</t>
  </si>
  <si>
    <t>Affordable Rental</t>
  </si>
  <si>
    <t>Market Rate Rental</t>
  </si>
  <si>
    <t>Parking Mix</t>
  </si>
  <si>
    <t>Type</t>
  </si>
  <si>
    <t>Basis</t>
  </si>
  <si>
    <t>Parking Costs</t>
  </si>
  <si>
    <t>Hard Cost Contingency</t>
  </si>
  <si>
    <t>Municipal Fees and Allowances</t>
  </si>
  <si>
    <t>Share of Infrastructure</t>
  </si>
  <si>
    <t>Legal</t>
  </si>
  <si>
    <t>Estimate</t>
  </si>
  <si>
    <t>Land Closing Costs/commissions</t>
  </si>
  <si>
    <t xml:space="preserve">Design </t>
  </si>
  <si>
    <t>Developer Fee</t>
  </si>
  <si>
    <t>Construction Management Fee</t>
  </si>
  <si>
    <t>Insurance</t>
  </si>
  <si>
    <t>Marketing, FFE and Preleasing</t>
  </si>
  <si>
    <t>Operating Deficit</t>
  </si>
  <si>
    <t>Commercial Tenant Improvements</t>
  </si>
  <si>
    <t>Construction Loan Origination</t>
  </si>
  <si>
    <t>Construction Interest</t>
  </si>
  <si>
    <t>Development Program</t>
  </si>
  <si>
    <t>Development Component</t>
  </si>
  <si>
    <t>Location of Development Component</t>
  </si>
  <si>
    <t>Land Use</t>
  </si>
  <si>
    <t>Total Project Costs</t>
  </si>
  <si>
    <t>GAP</t>
  </si>
  <si>
    <t>Leveraged IRR</t>
  </si>
  <si>
    <t>TOTALS</t>
  </si>
  <si>
    <t>Infrastructure Allocation</t>
  </si>
  <si>
    <t>Item</t>
  </si>
  <si>
    <t>Total Cost</t>
  </si>
  <si>
    <t>TOTAL</t>
  </si>
  <si>
    <t>Configuration</t>
  </si>
  <si>
    <t>Label</t>
  </si>
  <si>
    <r>
      <rPr>
        <b/>
        <sz val="11"/>
        <color theme="1"/>
        <rFont val="Arial"/>
        <family val="2"/>
      </rPr>
      <t>Rental</t>
    </r>
    <r>
      <rPr>
        <sz val="11"/>
        <color theme="1"/>
        <rFont val="Arial"/>
        <family val="2"/>
      </rPr>
      <t>: Residential Market Rate/Mixed use</t>
    </r>
  </si>
  <si>
    <t>Type III  6 stories</t>
  </si>
  <si>
    <t>Includes Retail and/or office components</t>
  </si>
  <si>
    <t>RES-Market-MU-Rental</t>
  </si>
  <si>
    <t>3 years</t>
  </si>
  <si>
    <r>
      <rPr>
        <b/>
        <sz val="11"/>
        <color theme="1"/>
        <rFont val="Arial"/>
        <family val="2"/>
      </rPr>
      <t>Rental</t>
    </r>
    <r>
      <rPr>
        <sz val="11"/>
        <color theme="1"/>
        <rFont val="Arial"/>
        <family val="2"/>
      </rPr>
      <t>: Retail/office stand alone</t>
    </r>
  </si>
  <si>
    <t>Type V--1 to 2 stories</t>
  </si>
  <si>
    <t>May include Retail and/or office components</t>
  </si>
  <si>
    <t>Suburban retail/office</t>
  </si>
  <si>
    <t>2 years</t>
  </si>
  <si>
    <r>
      <rPr>
        <b/>
        <sz val="11"/>
        <color theme="1"/>
        <rFont val="Arial"/>
        <family val="2"/>
      </rPr>
      <t>Rental</t>
    </r>
    <r>
      <rPr>
        <sz val="11"/>
        <color theme="1"/>
        <rFont val="Arial"/>
        <family val="2"/>
      </rPr>
      <t>: Office stand alone</t>
    </r>
  </si>
  <si>
    <t>Type 5-up to 4 stories  Type III up to 6 stories   Type I--up to 30 stories</t>
  </si>
  <si>
    <t>May include Retail</t>
  </si>
  <si>
    <r>
      <rPr>
        <b/>
        <sz val="11"/>
        <color theme="1"/>
        <rFont val="Arial"/>
        <family val="2"/>
      </rPr>
      <t>Rental</t>
    </r>
    <r>
      <rPr>
        <sz val="11"/>
        <color theme="1"/>
        <rFont val="Arial"/>
        <family val="2"/>
      </rPr>
      <t>: Residential Market Rate</t>
    </r>
  </si>
  <si>
    <t>RES-Market-Rental</t>
  </si>
  <si>
    <t>20% to 30% depending on building type</t>
  </si>
  <si>
    <t>2 years to 3 years</t>
  </si>
  <si>
    <r>
      <rPr>
        <b/>
        <sz val="11"/>
        <color theme="1"/>
        <rFont val="Arial"/>
        <family val="2"/>
      </rPr>
      <t>For Sale</t>
    </r>
    <r>
      <rPr>
        <sz val="11"/>
        <color theme="1"/>
        <rFont val="Arial"/>
        <family val="2"/>
      </rPr>
      <t>: Residential Market Rate</t>
    </r>
  </si>
  <si>
    <t>Type V--low density  Type I-high density</t>
  </si>
  <si>
    <t>RES-Market-Sale</t>
  </si>
  <si>
    <t>20% for low density     30% for high density</t>
  </si>
  <si>
    <t>2 years for low density                      3 years for high density</t>
  </si>
  <si>
    <r>
      <rPr>
        <b/>
        <sz val="11"/>
        <color theme="1"/>
        <rFont val="Arial"/>
        <family val="2"/>
      </rPr>
      <t>Rental</t>
    </r>
    <r>
      <rPr>
        <sz val="11"/>
        <color theme="1"/>
        <rFont val="Arial"/>
        <family val="2"/>
      </rPr>
      <t>: Residential Affordable Mixed use</t>
    </r>
  </si>
  <si>
    <t>Type III--6 stories</t>
  </si>
  <si>
    <t>RES-AFF-MU</t>
  </si>
  <si>
    <r>
      <rPr>
        <b/>
        <sz val="11"/>
        <color theme="1"/>
        <rFont val="Arial"/>
        <family val="2"/>
      </rPr>
      <t>For Sale</t>
    </r>
    <r>
      <rPr>
        <sz val="11"/>
        <color theme="1"/>
        <rFont val="Arial"/>
        <family val="2"/>
      </rPr>
      <t>: Residential Affordable</t>
    </r>
  </si>
  <si>
    <t>RES-AFF</t>
  </si>
  <si>
    <r>
      <t>Hotel: Lodging</t>
    </r>
    <r>
      <rPr>
        <sz val="11"/>
        <color theme="1"/>
        <rFont val="Arial"/>
        <family val="2"/>
      </rPr>
      <t xml:space="preserve"> and amenity income</t>
    </r>
  </si>
  <si>
    <t>Type I-high density</t>
  </si>
  <si>
    <t>HOTEL</t>
  </si>
  <si>
    <r>
      <t xml:space="preserve">Industrial Park:  </t>
    </r>
    <r>
      <rPr>
        <sz val="11"/>
        <color theme="1"/>
        <rFont val="Arial"/>
        <family val="2"/>
      </rPr>
      <t>Warehouse and manufacturing</t>
    </r>
  </si>
  <si>
    <t>Type V or III</t>
  </si>
  <si>
    <t>May include office components</t>
  </si>
  <si>
    <t>Industrial</t>
  </si>
  <si>
    <t>20% or 30% depending on building height</t>
  </si>
  <si>
    <t># of Units</t>
  </si>
  <si>
    <t>Total Annual</t>
  </si>
  <si>
    <t>Studios</t>
  </si>
  <si>
    <t>Totals:</t>
  </si>
  <si>
    <t>COMMERCIAL SPACE</t>
  </si>
  <si>
    <t>NNN Rent</t>
  </si>
  <si>
    <t>Residential</t>
  </si>
  <si>
    <t>Per Unit</t>
  </si>
  <si>
    <t>Gross Income</t>
  </si>
  <si>
    <t>$/SF</t>
  </si>
  <si>
    <t>Effective Gross Income</t>
  </si>
  <si>
    <t>Net Operating Income</t>
  </si>
  <si>
    <t>BASIS</t>
  </si>
  <si>
    <t xml:space="preserve">   Budget     </t>
  </si>
  <si>
    <t>Parking stalls</t>
  </si>
  <si>
    <t>Taxes</t>
  </si>
  <si>
    <t>Additional Contingency</t>
  </si>
  <si>
    <t>Total Project Cost</t>
  </si>
  <si>
    <t>Yield on cost</t>
  </si>
  <si>
    <t>Return on cost</t>
  </si>
  <si>
    <t>Total</t>
  </si>
  <si>
    <t>Total Sources</t>
  </si>
  <si>
    <t>SALES ANALYSIS</t>
  </si>
  <si>
    <t>LESS: Construction Debt</t>
  </si>
  <si>
    <t>LESS: Investor Equity</t>
  </si>
  <si>
    <t>Net Profit</t>
  </si>
  <si>
    <t>YIELD INDICATORS</t>
  </si>
  <si>
    <t>Debt Yield</t>
  </si>
  <si>
    <t>Hard Cost Draw Percentage</t>
  </si>
  <si>
    <t>Address</t>
  </si>
  <si>
    <t>City</t>
  </si>
  <si>
    <t>State</t>
  </si>
  <si>
    <t>Purchase Date</t>
  </si>
  <si>
    <t>Purchase Price</t>
  </si>
  <si>
    <t>Cap Rate (%)</t>
  </si>
  <si>
    <t>Size (SF)</t>
  </si>
  <si>
    <t>NOI / SF</t>
  </si>
  <si>
    <t>Year Built</t>
  </si>
  <si>
    <t>Rent ($/SF)</t>
  </si>
  <si>
    <t>Tenant</t>
  </si>
  <si>
    <t>Tenant Description</t>
  </si>
  <si>
    <t>Sum / Average</t>
  </si>
  <si>
    <t>Rents, Sales Prices, NOI &amp; Cap Rates</t>
  </si>
  <si>
    <t>Project Cost Estimating Parameters</t>
  </si>
  <si>
    <t>1 - King County Courthouse</t>
  </si>
  <si>
    <t>TBD</t>
  </si>
  <si>
    <t>Development Types</t>
  </si>
  <si>
    <t>Existing SF</t>
  </si>
  <si>
    <t>Proposed Commercial SF</t>
  </si>
  <si>
    <t>Expected Value</t>
  </si>
  <si>
    <t>Equity Portion</t>
  </si>
  <si>
    <t>Debt Portion</t>
  </si>
  <si>
    <t>Unleveraged IRR</t>
  </si>
  <si>
    <t>Construction Period</t>
  </si>
  <si>
    <t>Close-Out Period</t>
  </si>
  <si>
    <t>Pre-Development Period</t>
  </si>
  <si>
    <t>Demolition Period</t>
  </si>
  <si>
    <t>Development Schedule</t>
  </si>
  <si>
    <t>Median</t>
  </si>
  <si>
    <t>Region</t>
  </si>
  <si>
    <t>Market Grade Apartment</t>
  </si>
  <si>
    <t>Condominium</t>
  </si>
  <si>
    <t>Shell &amp; Core</t>
  </si>
  <si>
    <t>Tenant Improvement</t>
  </si>
  <si>
    <t>Life Sciences / Lab</t>
  </si>
  <si>
    <t>Office / Commercial</t>
  </si>
  <si>
    <t>Fashion' Center</t>
  </si>
  <si>
    <t>Above Grade-Multi-Level (330 SF / Stall)</t>
  </si>
  <si>
    <t>Above Grade-Multi-Level (400 SF / Stall)</t>
  </si>
  <si>
    <t>Multi-Family</t>
  </si>
  <si>
    <t>Seattle Submarket Vacancy Rate</t>
  </si>
  <si>
    <t>Average Seattle Submarket Rent per Unit</t>
  </si>
  <si>
    <t>Average Close-In Seattle Rent per Unit</t>
  </si>
  <si>
    <t>N/A</t>
  </si>
  <si>
    <t>Seattle CBD Class A Gross Rate PSF</t>
  </si>
  <si>
    <t>Average Seattle Submarket Rent PSF</t>
  </si>
  <si>
    <t>Average Close-In Seattle Rent PSF</t>
  </si>
  <si>
    <t>Pioneer Square Class A Gross Rate PSF</t>
  </si>
  <si>
    <t>Downtown Seattle Class A Gross Rate PSF</t>
  </si>
  <si>
    <t>Puget Sound Total Class A Gross Rate PSF</t>
  </si>
  <si>
    <t>Seattle CBD</t>
  </si>
  <si>
    <t>Pioneer Square</t>
  </si>
  <si>
    <t>Puget Sound Total</t>
  </si>
  <si>
    <t>Downtown Seattle Total</t>
  </si>
  <si>
    <t>Direct Vacancy Rate</t>
  </si>
  <si>
    <t>Office Vacancy &amp; Availability</t>
  </si>
  <si>
    <t>Net Absorption SF</t>
  </si>
  <si>
    <t>Q3 2023</t>
  </si>
  <si>
    <t>PSF Asking Rate Figures</t>
  </si>
  <si>
    <t>Capitalization Rates - Stabilized Asset</t>
  </si>
  <si>
    <t>4.50% - 5.00%</t>
  </si>
  <si>
    <t>Low / High (H1 2023)</t>
  </si>
  <si>
    <t>Seattle Capitalization Rate (H1 2023)</t>
  </si>
  <si>
    <t>6.25% - 7.00%</t>
  </si>
  <si>
    <t>Seattle Downtown</t>
  </si>
  <si>
    <t>Community Retail</t>
  </si>
  <si>
    <t>Neighborhood Retail</t>
  </si>
  <si>
    <t>Community Retail Net PSF</t>
  </si>
  <si>
    <t>Neighborhood Retail Net PSF</t>
  </si>
  <si>
    <t>Integra Figure</t>
  </si>
  <si>
    <t>Integra Vacancy Rate</t>
  </si>
  <si>
    <t>Total Inventory SF</t>
  </si>
  <si>
    <t>SF</t>
  </si>
  <si>
    <t>Total Retail</t>
  </si>
  <si>
    <t>2023 Mid Year</t>
  </si>
  <si>
    <t>For Sale Residential</t>
  </si>
  <si>
    <t>1 Bedroom / 1 Bath</t>
  </si>
  <si>
    <t>2 Bedroom / 2 Bath</t>
  </si>
  <si>
    <t>3 Bedroom / 3 Bath</t>
  </si>
  <si>
    <t>Net Saleable Square Feet</t>
  </si>
  <si>
    <t>$ / SF</t>
  </si>
  <si>
    <t>Total $</t>
  </si>
  <si>
    <t>Average Size (SF)</t>
  </si>
  <si>
    <t>1BR For Rent</t>
  </si>
  <si>
    <t>1BR For Sale</t>
  </si>
  <si>
    <t>2BR For Rent</t>
  </si>
  <si>
    <t>2BR For Sale</t>
  </si>
  <si>
    <t>3BR For Rent</t>
  </si>
  <si>
    <t>3BR For Sale</t>
  </si>
  <si>
    <t>Studio For Rent</t>
  </si>
  <si>
    <t>Studio For Sale</t>
  </si>
  <si>
    <t>-</t>
  </si>
  <si>
    <t>Financing Assumptions</t>
  </si>
  <si>
    <t>Building Type</t>
  </si>
  <si>
    <t>Commercial Component</t>
  </si>
  <si>
    <t>Return On Cost Requirement</t>
  </si>
  <si>
    <t>Typical Construction Period</t>
  </si>
  <si>
    <t>Canada - USD FX</t>
  </si>
  <si>
    <t>Size (Acres)</t>
  </si>
  <si>
    <t>$/Acre</t>
  </si>
  <si>
    <t>Notes</t>
  </si>
  <si>
    <t>1001 S Jackson Street</t>
  </si>
  <si>
    <t>Improvements (Y/N)</t>
  </si>
  <si>
    <t>Seattle</t>
  </si>
  <si>
    <t>WA</t>
  </si>
  <si>
    <t>High Density Residential</t>
  </si>
  <si>
    <t>508 Denny Way</t>
  </si>
  <si>
    <t>Yes (22,162 SF - Retail)</t>
  </si>
  <si>
    <t>Yes (9,409 SF - Auto)</t>
  </si>
  <si>
    <t>Hospitality</t>
  </si>
  <si>
    <t>Proposed to be redveloped into a hospitality building (details are scant).</t>
  </si>
  <si>
    <t>No</t>
  </si>
  <si>
    <t>Proposed Use</t>
  </si>
  <si>
    <t>Proposed to be redeveloped into a 71-unit apartment building with a 7,580 SF cultural center.</t>
  </si>
  <si>
    <t>1314 E Union</t>
  </si>
  <si>
    <t>Yes (10,279 SF - Retail)</t>
  </si>
  <si>
    <t>Buyer intends to develop apartments in the future.</t>
  </si>
  <si>
    <t>112-130 5th Ave N</t>
  </si>
  <si>
    <t>Yes (17,732 SF - Retail/Office)</t>
  </si>
  <si>
    <t>1221 S Main Street</t>
  </si>
  <si>
    <t>Low Income Housing</t>
  </si>
  <si>
    <t>Buyer intends to develop low income housing in the future.</t>
  </si>
  <si>
    <t>Yes (13,874 SF - Retail)</t>
  </si>
  <si>
    <t>2700 1st Ave</t>
  </si>
  <si>
    <t>Yes (20,920 SF - Religious)</t>
  </si>
  <si>
    <t>Bosa Properties intends to develop a 15-storey multi-family project called Belltown on First.</t>
  </si>
  <si>
    <t>213 Terry Avenue</t>
  </si>
  <si>
    <t>2302 &amp; 2310 4th Avenue</t>
  </si>
  <si>
    <t>The buyer will be redeveloping the property into a Multi-Family building. The plan as approved by the city calls for 285 residences, retail space and about 180 underground parking stalls. In addition, the interiors of the 36-unit Franklin are to be renovated. The site includes the vacant property between the Franklin and Seattle Fire Station 2.</t>
  </si>
  <si>
    <t>Yes (12,632 SF - Office)</t>
  </si>
  <si>
    <t>1729 17th Avenue</t>
  </si>
  <si>
    <t>On 2/14/2022 0.25 acres of land located at 1017 E Republican St Seattle, WA sold for $5,560,000 or $22,240,000 per acre. The buyers plan to build an 8-story 155 unit multi-family building after demolishing the existing three single family homes.</t>
  </si>
  <si>
    <t>Yes (3 Single Family Homes)</t>
  </si>
  <si>
    <t>1017 E Republican Street</t>
  </si>
  <si>
    <t>Averages</t>
  </si>
  <si>
    <t>701-711 E Pike Street</t>
  </si>
  <si>
    <t>6% Vacancy at Sale</t>
  </si>
  <si>
    <t>600 7th Avenue</t>
  </si>
  <si>
    <t>1300 East Pike Street</t>
  </si>
  <si>
    <t>1729 12th Ave</t>
  </si>
  <si>
    <t>80 South Main Street</t>
  </si>
  <si>
    <t>206 Bell Street</t>
  </si>
  <si>
    <t>1812 Broadway</t>
  </si>
  <si>
    <t>2100 4th Avenue</t>
  </si>
  <si>
    <t>1763 4th Avenue South</t>
  </si>
  <si>
    <t>1932 1st Avenue</t>
  </si>
  <si>
    <t>1201 Pine Street</t>
  </si>
  <si>
    <t>1912 / 1995</t>
  </si>
  <si>
    <t>119 Cedar Street (Unit A)</t>
  </si>
  <si>
    <t>213 1st Avenue South</t>
  </si>
  <si>
    <t>1900 / 1970</t>
  </si>
  <si>
    <t>1953 Westlake Avenue</t>
  </si>
  <si>
    <t>2019 / 2021</t>
  </si>
  <si>
    <t>2412 2nd Avenue</t>
  </si>
  <si>
    <t>1404 4th Avenue</t>
  </si>
  <si>
    <t>1700 7th Avenue</t>
  </si>
  <si>
    <t>920 5th Avenue (Madison Center)</t>
  </si>
  <si>
    <t>1101 &amp; 1191 2nd Avenue</t>
  </si>
  <si>
    <t>On 6/5/2023, Pebblebrook Hotel Trust sold the hospitality property in Seattle, WA to Pacifica Hotel Co for $33.7 MM or $269,600 per room.
At the time of sale the, the hotels NOI was $0.8 million and a 2.3% cap rate.
The 125-room hotel is located at 1100 Fifth Avenue in Seattle, WA and is known as Kimpton Hotel Vintage Seattle Downtown.
Pebblebrook Hotel Trust stated that the proceeds from the sale of Hotel Vintage Seattle will be used for general corporate purposes, which may include reducing outstanding debt and repurchasing common and preferred shares.
The sale price is broken down as follows:
Land: $3,369,767
Building Improvements including fixtures: $24,889,152
FF&amp;E and Personal Property: $286,430
Retail Inventory, Food and Beverage: $50,000
Liquor License: $50,000
Total: $33,700,000</t>
  </si>
  <si>
    <t>Kimpton Hotel Vintage Seattle Downtown</t>
  </si>
  <si>
    <t>Size (Rooms)</t>
  </si>
  <si>
    <t>NOI / Room</t>
  </si>
  <si>
    <t>$/Room</t>
  </si>
  <si>
    <t>1922 / 2014</t>
  </si>
  <si>
    <t>Kimpton Hotel Monaco Seattle Downtown</t>
  </si>
  <si>
    <t>On 5/9/2023, Pebblebrook Hotel Trust sold the hospitality property in Seattle, WA, known as Kimpton Hotel Monaco Seattle Downtown to InnVest Hotels for $63.25 MM or $334,656.
The sale included the Furniture, Fixtures, and Equipment which was valued at $5,624,008.50. The recorded price was $57,625,991.50. The cap rate at the time of sale was 2.53%
Kimpton Hotel Monaco Seattle Downtown is located at 1101 4th Ave in Seattle, WA and consists of 189 rooms.
The hotel will continue to be managed by Kimpton Hotels &amp; Restaurants
According to the buyer the hotel will undergo a comprehensive renovation, this marks as the first acquisition in the United States for InnVest Hotels.
For the seller proceeds from the sale of Hotel Monaco Seattle will be used for general corporate purposes, which may include reducing the Company’s outstanding debt and repurchasing common and preferred shares.</t>
  </si>
  <si>
    <t>The Charter Seattle, Curio Collection by Hilton</t>
  </si>
  <si>
    <t>On 10/24/2022, a total of 229 rooms at 1610 2nd Ave in Seattle, WA sold for $107,797,00, or $470,729 per room. The price includes the value of the furniture, fixtures, and equipment which comes out to be $ 24,717,000.
Completed in 2018 and is located on the corner of Stewart Street, the 16-story hotel has 229 rooms. It operates as part of Hilton's Curio Collection.</t>
  </si>
  <si>
    <t>Pan Pacific Seattle</t>
  </si>
  <si>
    <t>2006 / 2010</t>
  </si>
  <si>
    <t>On 10/19/2022, KHP Capital Partners under the fund name "KHP Fund V" acquired Pan Pacific Hotel from Hersha Hospitality Trust for $69,615,000 or $455,000 per key, the price included FF&amp;E which was $18.36MM. The hotel property is located at 2125 Terry Ave in Seattle, WA.
At the time of sale, the property transferred with a 2.9 % cap rate.
According to the seller the disposition fit their investment strategy for the year, helping them reduce dept load while generating unrestricted cash.</t>
  </si>
  <si>
    <t>The Arctic Club Seattle - a DoubleTree by Hilton Hotel</t>
  </si>
  <si>
    <t>1916 / 2006</t>
  </si>
  <si>
    <t>On 7/22/2022, GF Hotels &amp; Resorts sold the 120-room hotel, known as The Artic Club Seattle in Seattle, WA, for $30,320,000 to Oxford Collection.
Property was acquired as-is in distress sale due to seller's recent foreclosure.
Known as The Artic Club Seattle, the property is located at 700-706 3rd Ave, in Seattle WA, it was constructed in 1907 and renovated in 2006.</t>
  </si>
  <si>
    <t>Homewood Suites by Hilton Seattle Convention Center Pike Street</t>
  </si>
  <si>
    <t>1990 / 2019</t>
  </si>
  <si>
    <t>On June 24, 2022, Homewood Suites, a 195 room hotel located at 1011 Pike St in Seattle, WA sold for $59,944,432. The buyer also paid an additional $20,055,568 for the FF&amp;E.
The sale was part of the sellers commitment to reduce net leverage and better position their portfolio for long-term, sustainable growth.</t>
  </si>
  <si>
    <t>Development Name</t>
  </si>
  <si>
    <t>Unit Type</t>
  </si>
  <si>
    <t>KODA Condominiums</t>
  </si>
  <si>
    <t>450 South Main Street, Seattle, WA</t>
  </si>
  <si>
    <t>The Emerald</t>
  </si>
  <si>
    <t>121 Stewart Street, Seattle, WA</t>
  </si>
  <si>
    <t>SPIRE</t>
  </si>
  <si>
    <t>2510 6th Avenue, Seattle, WA</t>
  </si>
  <si>
    <t>Gridiron</t>
  </si>
  <si>
    <t>590 1st Avenue South, Seattle, WA</t>
  </si>
  <si>
    <t>Completion Date</t>
  </si>
  <si>
    <t>Under Construction</t>
  </si>
  <si>
    <t>October 2020 (Units for Sale)</t>
  </si>
  <si>
    <t>Spring 2021 (Units for Sale)</t>
  </si>
  <si>
    <t>2018 (Units for Sale)</t>
  </si>
  <si>
    <t>Preserved / Demolished</t>
  </si>
  <si>
    <t>Preserved</t>
  </si>
  <si>
    <t>Residential Condominium Hard Costs for Construction</t>
  </si>
  <si>
    <t>Office Shell &amp; Core Hard Costs for Construction</t>
  </si>
  <si>
    <t>Retail Hard Costs for Construction</t>
  </si>
  <si>
    <t>Equity Multiple</t>
  </si>
  <si>
    <t>Land</t>
  </si>
  <si>
    <t>Recoveries</t>
  </si>
  <si>
    <t>(Y/N)</t>
  </si>
  <si>
    <t>Utilities</t>
  </si>
  <si>
    <t>Yes</t>
  </si>
  <si>
    <t>Repairs &amp; Management</t>
  </si>
  <si>
    <t>Recovered $</t>
  </si>
  <si>
    <t>Cost $/SF GLA</t>
  </si>
  <si>
    <t>Commercial Operating Expenses (Year 1)</t>
  </si>
  <si>
    <t>Vacancy Allowance (5% of EGI)</t>
  </si>
  <si>
    <t>Downtime (Months)</t>
  </si>
  <si>
    <t>Tenant Improvement (New $/SF)</t>
  </si>
  <si>
    <t>Tenant Improvement (Renew $/SF)</t>
  </si>
  <si>
    <t>Leasing Commissions (New % - 5 Yr Deal)</t>
  </si>
  <si>
    <t>Leasing Commissions (Renew % - 5 Yr Deal)</t>
  </si>
  <si>
    <t>Renewal Probability</t>
  </si>
  <si>
    <t>Terminal Sale (Less 2% Sale Costs)</t>
  </si>
  <si>
    <t>Construction Period?</t>
  </si>
  <si>
    <t>Commercial Market Leasing Assumptions</t>
  </si>
  <si>
    <t>Category</t>
  </si>
  <si>
    <t>Rental Rate</t>
  </si>
  <si>
    <t>Sales Proceeds - Residential</t>
  </si>
  <si>
    <t>Sales Proceeds - Commercial</t>
  </si>
  <si>
    <t>Total Sales Proceeds</t>
  </si>
  <si>
    <t>Total Proceeds</t>
  </si>
  <si>
    <t>N/A (Mixed Use)</t>
  </si>
  <si>
    <t>Retail Cash Flow</t>
  </si>
  <si>
    <t>Residential Condominium Component</t>
  </si>
  <si>
    <t>Sales</t>
  </si>
  <si>
    <t>Unleveraged Cash Flow / IRR</t>
  </si>
  <si>
    <t>Leveraged Cash Flow / IRR</t>
  </si>
  <si>
    <t>Year</t>
  </si>
  <si>
    <t>Debt Payments</t>
  </si>
  <si>
    <t>Equity Payment</t>
  </si>
  <si>
    <t>0-12 Storeys</t>
  </si>
  <si>
    <t>CAD - Low</t>
  </si>
  <si>
    <t>CAD - High</t>
  </si>
  <si>
    <t>USD - High</t>
  </si>
  <si>
    <t>USD - Low</t>
  </si>
  <si>
    <t>13-39 Storeys</t>
  </si>
  <si>
    <t>Condominiums/Apartments</t>
  </si>
  <si>
    <t>40-60 Storeys</t>
  </si>
  <si>
    <t>60+ Storeys</t>
  </si>
  <si>
    <t>Office Buildings</t>
  </si>
  <si>
    <t>5-30 Storeys (Class B)</t>
  </si>
  <si>
    <t>0-4 Storeys (Class B)</t>
  </si>
  <si>
    <t>5-30 Storeys (Class A)</t>
  </si>
  <si>
    <t>31-60 Storeys (Class A)</t>
  </si>
  <si>
    <t>Interior Fitout (Class B)</t>
  </si>
  <si>
    <t>Interior Fitout (Class A)</t>
  </si>
  <si>
    <t>Utilized Rate</t>
  </si>
  <si>
    <t>Strip Plaza</t>
  </si>
  <si>
    <t>Supermarket</t>
  </si>
  <si>
    <t>Big Box Store</t>
  </si>
  <si>
    <t>Enclosed Mall</t>
  </si>
  <si>
    <t>Hotels</t>
  </si>
  <si>
    <t>Budget</t>
  </si>
  <si>
    <t>Suite Hotel</t>
  </si>
  <si>
    <t>4 Star Full Service</t>
  </si>
  <si>
    <t>Parking</t>
  </si>
  <si>
    <t>Surface Parking</t>
  </si>
  <si>
    <t>Underground Parking Garages</t>
  </si>
  <si>
    <t>Land Closing Costs/Commissions</t>
  </si>
  <si>
    <t>Estimated Abatement</t>
  </si>
  <si>
    <t>See Cash Flow</t>
  </si>
  <si>
    <t>Commercial Interior Fitout Cost</t>
  </si>
  <si>
    <t>Commercial Brokerage Commission</t>
  </si>
  <si>
    <t>Management Fee</t>
  </si>
  <si>
    <t>Estimate from City of Seattle</t>
  </si>
  <si>
    <t>Parcel Allocation</t>
  </si>
  <si>
    <t>Downtime</t>
  </si>
  <si>
    <t>($)</t>
  </si>
  <si>
    <t>Building Metrics</t>
  </si>
  <si>
    <t>Total Land (Acres)</t>
  </si>
  <si>
    <t>Total Gross Buildable Area (SF)</t>
  </si>
  <si>
    <t>Total Gross Saleable/Leasable Area (SF)</t>
  </si>
  <si>
    <t>Amount</t>
  </si>
  <si>
    <t>Parking Count - Residential</t>
  </si>
  <si>
    <t>Parking Count - Commercial</t>
  </si>
  <si>
    <t>(Residential Sale per Unit - Gross)</t>
  </si>
  <si>
    <t>(Residential Sale per Unit - Net)</t>
  </si>
  <si>
    <t>Conversion/Demolition</t>
  </si>
  <si>
    <t>Conversion</t>
  </si>
  <si>
    <t>Gap Funding Amount</t>
  </si>
  <si>
    <t>Total Private Funding</t>
  </si>
  <si>
    <t>Exit Cap Rate - Retail</t>
  </si>
  <si>
    <t>Exit Cap Rate - Office</t>
  </si>
  <si>
    <t>Interest Portion</t>
  </si>
  <si>
    <t>Principal Portion</t>
  </si>
  <si>
    <t>Demolished</t>
  </si>
  <si>
    <t>Net Leasable Square Feet</t>
  </si>
  <si>
    <t>$ / Month</t>
  </si>
  <si>
    <t>Annual Rent</t>
  </si>
  <si>
    <t>Residential Cash Flow</t>
  </si>
  <si>
    <t>Office Cash Flow</t>
  </si>
  <si>
    <t>Residential Operating Expenses (Year 1)</t>
  </si>
  <si>
    <t>Remaining Debt Balance</t>
  </si>
  <si>
    <t>Exit Cap Rate Assumptions</t>
  </si>
  <si>
    <t>4 - King County Administration Building</t>
  </si>
  <si>
    <t>For Rent Residential</t>
  </si>
  <si>
    <t>Commercial Space</t>
  </si>
  <si>
    <t>Yield Indicators</t>
  </si>
  <si>
    <t>Sales Analysis</t>
  </si>
  <si>
    <t>Retail Hard Costs for Construction (50%)</t>
  </si>
  <si>
    <t>Proposed Residential SF</t>
  </si>
  <si>
    <t>Stories</t>
  </si>
  <si>
    <t>LTV Percentage</t>
  </si>
  <si>
    <t>Equity Percentage</t>
  </si>
  <si>
    <t>Capital Assumptions</t>
  </si>
  <si>
    <t>Interest Rate</t>
  </si>
  <si>
    <t>2 - King County Correctional Facility</t>
  </si>
  <si>
    <t>Retail &amp; Office</t>
  </si>
  <si>
    <t>Residential, Retail &amp; Office</t>
  </si>
  <si>
    <t>Chinook</t>
  </si>
  <si>
    <t>3 - Chinook Building</t>
  </si>
  <si>
    <t>For Lease Residential</t>
  </si>
  <si>
    <t>Office Shell &amp; Core Hard Costs for Construction (0%)</t>
  </si>
  <si>
    <t>Parking stalls (0%)</t>
  </si>
  <si>
    <t>King's Court</t>
  </si>
  <si>
    <t>Hawk's Nest</t>
  </si>
  <si>
    <t>County Center</t>
  </si>
  <si>
    <t>5 - Goat Hill Site</t>
  </si>
  <si>
    <t>Goat Hill</t>
  </si>
  <si>
    <t>Retail &amp; Residential</t>
  </si>
  <si>
    <t>Preserved / Constructed</t>
  </si>
  <si>
    <t>Floor Space Index</t>
  </si>
  <si>
    <t>Parking Area (SF)</t>
  </si>
  <si>
    <t>Roof Public Space</t>
  </si>
  <si>
    <t>Housing Terrace</t>
  </si>
  <si>
    <t>Garage Roof (Rooftop Community Garden)</t>
  </si>
  <si>
    <t>Public Terrace (Housing)</t>
  </si>
  <si>
    <t>Public Terraces (Office)</t>
  </si>
  <si>
    <t>Site Size (Acres)</t>
  </si>
  <si>
    <t>None</t>
  </si>
  <si>
    <t>The Argyle</t>
  </si>
  <si>
    <t>Construction Cost</t>
  </si>
  <si>
    <t>71-87 Yesler Way</t>
  </si>
  <si>
    <t>Davidson Galleries</t>
  </si>
  <si>
    <t>Gallery</t>
  </si>
  <si>
    <t>103-107 1st Avenue South</t>
  </si>
  <si>
    <t>208 James Street</t>
  </si>
  <si>
    <t>Foggy Tea</t>
  </si>
  <si>
    <t>Food &amp; Beverage</t>
  </si>
  <si>
    <t>521 Stadium Place South</t>
  </si>
  <si>
    <t>308-316 Occidental Avenue South</t>
  </si>
  <si>
    <t>159 South Jackson Street</t>
  </si>
  <si>
    <t>Sales Comparables - Retail</t>
  </si>
  <si>
    <t>Lease Comparables - Retail</t>
  </si>
  <si>
    <t>Occupied by Chase Bank on a long-term lease.</t>
  </si>
  <si>
    <t>Investment Sale (No further details)</t>
  </si>
  <si>
    <t>The class C building was built in 1920.</t>
  </si>
  <si>
    <t>The building, which completed construction in 1975, is located on .21 acres of land and is zoned IG2 U/85. The buyer plans to operate their business on the premises.</t>
  </si>
  <si>
    <t>The Paul G Allen Foundation sold a 19,800 square foot movie theater to SIFF (Seattle International Film Festival) for $5,000,000, or $253 per square foot. The theater shuttered its operations in 2020 and remained closed until the time of sale. The theater was closed at the time of sale, and the new buyer plans to reopen it under their operation.</t>
  </si>
  <si>
    <t>Lease Comparables - Office</t>
  </si>
  <si>
    <t>Sales Comparables - Office</t>
  </si>
  <si>
    <t>605 5th Avenue South</t>
  </si>
  <si>
    <t>Start Date</t>
  </si>
  <si>
    <t>Paula's Choice</t>
  </si>
  <si>
    <t>Skincare Company</t>
  </si>
  <si>
    <t>119 South Main Street</t>
  </si>
  <si>
    <t>308-316 Occidential Avenue South</t>
  </si>
  <si>
    <t>1109 1st Avenue South</t>
  </si>
  <si>
    <t>701 5th Avenue</t>
  </si>
  <si>
    <t>Hiya</t>
  </si>
  <si>
    <t>Fraud Call Protection Company</t>
  </si>
  <si>
    <t>800 5th Avenue</t>
  </si>
  <si>
    <t>Helsell Fetterman</t>
  </si>
  <si>
    <t>Law Firm</t>
  </si>
  <si>
    <t>The class C building was built in 1948 and was only one third occupied at time of sale.</t>
  </si>
  <si>
    <t>The property is leased to Mens Warehouse on the first floor and ERA Living, a retirement community operator, occupies the top three floors.</t>
  </si>
  <si>
    <t>The subject property is a 760,971 SF, 37-story office building located at 920 5th Ave in Seattle, WA. Originally developed by the joint venture of Schnitzer West and Barings. The building sits on a .66-acre lot. It was constructed in 2017 in the Seattle CBD submarket. At the time of sale Madison Centre was 92% leased.</t>
  </si>
  <si>
    <t>Second &amp; Seneca, located at 1191 Second Ave.- 22 stories -amenities include a gym and shower facility, state-of-the art conference and training center, onsite cafe and bike storage. Eastdil Secured brokered the sale, 93% leased and traded at 4.5% cap rate. Standard arms-length transaction with a few seller credits due to unpaid leasing costs.</t>
  </si>
  <si>
    <t>Asking Rent ($/Month)</t>
  </si>
  <si>
    <t>The 96-unit property is located at 600 7th Ave in Seattle, WA. (6.3% Vacancy at Sale)</t>
  </si>
  <si>
    <t>The 45 unit property is located at 1300 E Pike St in Seattle, WA and is known as the Solis. (0% Vacancy at Sale)</t>
  </si>
  <si>
    <t>This 50-unit multifamily building was delivered in 1925 on .44 acres of land zoned NC3-75 and features studio, one-, and two-bedroom units. At the time of sale, there were 0 vacancies allowing for a 4.05% cap rate valuation.</t>
  </si>
  <si>
    <t>The brokers reported a cap rate of 4.7 percent which translates to an NOI of $709,700.</t>
  </si>
  <si>
    <t>The property was 89% occupied at the time of sale.</t>
  </si>
  <si>
    <t>The seller completed the community in 2021. At the time of sale the occupancy was at 96% and the property transferred with a 4.5% cap rate.</t>
  </si>
  <si>
    <t>Lease Comparables - Multi-Family</t>
  </si>
  <si>
    <t>Sales Comparables - Multi-Family</t>
  </si>
  <si>
    <t>Building Name</t>
  </si>
  <si>
    <t>123 Broadway</t>
  </si>
  <si>
    <t>1600 2nd Avenue</t>
  </si>
  <si>
    <t>Helios</t>
  </si>
  <si>
    <t>Batik Apartments</t>
  </si>
  <si>
    <t>1301 4th Avenue</t>
  </si>
  <si>
    <t>The Cobb</t>
  </si>
  <si>
    <t>1221 1st Avenue</t>
  </si>
  <si>
    <t>Harbor Steps</t>
  </si>
  <si>
    <t>Studio Average</t>
  </si>
  <si>
    <t>Zig</t>
  </si>
  <si>
    <t>800 Seneca Street</t>
  </si>
  <si>
    <t>Low $/PSF</t>
  </si>
  <si>
    <t>High $/PSF</t>
  </si>
  <si>
    <t>$ / SF Sale / $ per month</t>
  </si>
  <si>
    <t>Development Profit (Return on Cost)</t>
  </si>
  <si>
    <t>1 Bedroom</t>
  </si>
  <si>
    <t>1430 2nd Avenue</t>
  </si>
  <si>
    <t>West Edge</t>
  </si>
  <si>
    <t>520 Terry Avenue</t>
  </si>
  <si>
    <t>Saxton</t>
  </si>
  <si>
    <t>1 Bedroom Average</t>
  </si>
  <si>
    <t>2 Bedroom</t>
  </si>
  <si>
    <t>2 Bedroom Average</t>
  </si>
  <si>
    <t>3 Bedroom Average</t>
  </si>
  <si>
    <t>910 8th Avenue</t>
  </si>
  <si>
    <t>M Street</t>
  </si>
  <si>
    <t>112 Boren Avenue North</t>
  </si>
  <si>
    <t>Onni South Lake Union</t>
  </si>
  <si>
    <t>3 Bedroom</t>
  </si>
  <si>
    <t>The Ivey on Boren</t>
  </si>
  <si>
    <t>2019 Boren Avenue</t>
  </si>
  <si>
    <t>118 Broadway East</t>
  </si>
  <si>
    <t>Connection on Broadway</t>
  </si>
  <si>
    <t>2801 Western Avenue</t>
  </si>
  <si>
    <t>Olympus</t>
  </si>
  <si>
    <t>1100 University Street</t>
  </si>
  <si>
    <t>Panorama</t>
  </si>
  <si>
    <t>Commercial Stalls</t>
  </si>
  <si>
    <t>Residential Stalls</t>
  </si>
  <si>
    <t>SF per Space (including circulation)</t>
  </si>
  <si>
    <t>Site Cost (25% Market Value of Land)</t>
  </si>
  <si>
    <t>Public Space (Retail Roof)</t>
  </si>
  <si>
    <t>Public Space (working with Retail)</t>
  </si>
  <si>
    <t>Less: Construction Debt</t>
  </si>
  <si>
    <t>Less: Investor Equity</t>
  </si>
  <si>
    <t>Parking Income</t>
  </si>
  <si>
    <t>Parking Stalls</t>
  </si>
  <si>
    <t>The Yesler</t>
  </si>
  <si>
    <t>7 - Yesler Building</t>
  </si>
  <si>
    <t>Operating Expenses (Development Deficit in Above Budget)</t>
  </si>
  <si>
    <t>Retail Hard Costs for Construction (0%)</t>
  </si>
  <si>
    <t>Parking Stalls (Parking Preserved)</t>
  </si>
  <si>
    <t>Exit Cap Rate - Affordable Rental</t>
  </si>
  <si>
    <t>Demolition (Included for Building Transformation)</t>
  </si>
  <si>
    <t>Year 0</t>
  </si>
  <si>
    <t>Year 1</t>
  </si>
  <si>
    <t>Year 2</t>
  </si>
  <si>
    <t>Year 3</t>
  </si>
  <si>
    <t>Year 4</t>
  </si>
  <si>
    <t>Year 5</t>
  </si>
  <si>
    <t>Year 6</t>
  </si>
  <si>
    <t>Year 7</t>
  </si>
  <si>
    <t>Year 8</t>
  </si>
  <si>
    <t>Year 9</t>
  </si>
  <si>
    <t>Year 10</t>
  </si>
  <si>
    <t>Total Draw (All Sites)</t>
  </si>
  <si>
    <t>Return on Cost</t>
  </si>
  <si>
    <t>Total Unleveraged Annual Cash Flow</t>
  </si>
  <si>
    <t>City of Seattle Fee Estimator</t>
  </si>
  <si>
    <t>Retail/Office Brokerage</t>
  </si>
  <si>
    <t>6.00% on a 5-Year Term</t>
  </si>
  <si>
    <t>$245 - $290, Depending on Quality &amp; Storey Count</t>
  </si>
  <si>
    <t>$245 - $290, Depending on Quality &amp; Storey Count (Utilized Office Figures)</t>
  </si>
  <si>
    <t>$260 - $305, Depending on Quality &amp; Storey Count</t>
  </si>
  <si>
    <t>$120 PSF Above-Grade, $130 PSF Below Grade</t>
  </si>
  <si>
    <t>10% of Above Costs</t>
  </si>
  <si>
    <t>Utilized City of Seattle's Fee Estimator</t>
  </si>
  <si>
    <t>Site-Dependent Assumption</t>
  </si>
  <si>
    <t>$400,000 per Site</t>
  </si>
  <si>
    <t>2% of Land Acquisition Price</t>
  </si>
  <si>
    <t>4% of Total Hard Costs</t>
  </si>
  <si>
    <t>3% of Project Budget</t>
  </si>
  <si>
    <t>2% of Total Hard Costs</t>
  </si>
  <si>
    <t>Taxes During Construction</t>
  </si>
  <si>
    <t>$6,000 per Unit</t>
  </si>
  <si>
    <t>$140 PSF (Retail/Office)</t>
  </si>
  <si>
    <t>1% of Loan Amount (Estimated to Eliminate Circular Reference)</t>
  </si>
  <si>
    <t>7% of Loan Amount (Estimated to Eliminate Circular Reference)</t>
  </si>
  <si>
    <t>Residential User Monthly Rental Rate</t>
  </si>
  <si>
    <t>Commercial User Monthly Rental Rate</t>
  </si>
  <si>
    <t>Affordable User Monthly Rental Rate</t>
  </si>
  <si>
    <t>6- 420 4th Avenue Building + Argyle</t>
  </si>
  <si>
    <t>Capitalization Rate - Regular</t>
  </si>
  <si>
    <t>Capitalization Rate - Affordable Housing</t>
  </si>
  <si>
    <t>Multi-Family Accepted Assumptions</t>
  </si>
  <si>
    <t>Rental Rate - Affordable Housing</t>
  </si>
  <si>
    <t>75% of Regular</t>
  </si>
  <si>
    <t>CBRE Figure (Q3 2023)</t>
  </si>
  <si>
    <t>Multi-Family Sales Research</t>
  </si>
  <si>
    <t>Sales Rate - Regular (Studio)</t>
  </si>
  <si>
    <t>Sales Rate - Regular (1 Bedroom)</t>
  </si>
  <si>
    <t>Sales Rate - Regular (2 Bedroom)</t>
  </si>
  <si>
    <t>Sales Rate - Regular (3 Bedroom)</t>
  </si>
  <si>
    <t>Multi-Family Sales Accepted Assumptions ($/PSF)</t>
  </si>
  <si>
    <t>Multi-Family Rental Market Research</t>
  </si>
  <si>
    <t>Land Sales Research</t>
  </si>
  <si>
    <t>The new owner will be redeveloping the property into 350-unit Multi-Family property called The Cascara. (SOLD BY SEATTLE HOUSING AUTHORITY)</t>
  </si>
  <si>
    <t>Regular Land Sales</t>
  </si>
  <si>
    <t>Land Sales Accepted Assumptions ($/Acre)</t>
  </si>
  <si>
    <t>Affordable / Infrastructure Land Sale*</t>
  </si>
  <si>
    <t>*(Utilized Seattle Housing Authority Comparable)*</t>
  </si>
  <si>
    <t>Affordable Income For Rent Residential</t>
  </si>
  <si>
    <t>$/Month (Incl Utilities)</t>
  </si>
  <si>
    <t>Residential Cash Flow - Affordable Units</t>
  </si>
  <si>
    <t>Residential Cash Flow - Regular Units</t>
  </si>
  <si>
    <t>Yes / No (Affordable)</t>
  </si>
  <si>
    <t>Amortization Period</t>
  </si>
  <si>
    <t>30 Years</t>
  </si>
  <si>
    <t>#</t>
  </si>
  <si>
    <t>%</t>
  </si>
  <si>
    <t>Regular Units</t>
  </si>
  <si>
    <t>Affordable Units</t>
  </si>
  <si>
    <t>Assessed Value</t>
  </si>
  <si>
    <t>Parking Stalls (0%)</t>
  </si>
  <si>
    <t>Gap Funding Amount (Assumed Land Discount)</t>
  </si>
  <si>
    <t>Gap Funding (Assumed Land Discount)</t>
  </si>
  <si>
    <t>Office Market Research</t>
  </si>
  <si>
    <t>Caller ID Protection</t>
  </si>
  <si>
    <t>Capitalization Rate</t>
  </si>
  <si>
    <t>Lease Rate - NNN</t>
  </si>
  <si>
    <t>CBRE Figure Q3 2023</t>
  </si>
  <si>
    <t>Office Vacancy Rates</t>
  </si>
  <si>
    <t>Retail Market Research</t>
  </si>
  <si>
    <t>Office Accepted Assumptions</t>
  </si>
  <si>
    <t>Retail Accepted Assumptions</t>
  </si>
  <si>
    <t>Vancouver Construction Cost Guide 2023 (Source: Altus)</t>
  </si>
  <si>
    <t>West Region (Source: Cummings)</t>
  </si>
  <si>
    <t>Above Grade Parking Garages</t>
  </si>
  <si>
    <t>Cost Market Research</t>
  </si>
  <si>
    <t>Retail*</t>
  </si>
  <si>
    <t>*Retail figures not utilized due to product type discussed. Office build out cost has been utilized for retail space in this model.*</t>
  </si>
  <si>
    <t>Inflation Rate (All Properties, Income/Expenses)</t>
  </si>
  <si>
    <t>Total Leveraged Annual Cash Flow</t>
  </si>
  <si>
    <t>May 1, 2024 to April 30, 2025</t>
  </si>
  <si>
    <t>May 1, 2025 to January 31, 2026</t>
  </si>
  <si>
    <t>February 1, 2026 to April 30, 2026</t>
  </si>
  <si>
    <t>May 1, 2025 to April 30, 2026</t>
  </si>
  <si>
    <t>February 1, 2027 to April 30, 2027</t>
  </si>
  <si>
    <t>May 1, 2026 to January 31, 2028</t>
  </si>
  <si>
    <t>February 1, 2028 to April 30, 2028</t>
  </si>
  <si>
    <t>May 1, 2026 to April 30, 2027</t>
  </si>
  <si>
    <t>May 1, 2027 to August 31, 2027</t>
  </si>
  <si>
    <t>September 1, 2027 to April 31, 2029</t>
  </si>
  <si>
    <t>May 1, 2029 to April 31, 2030</t>
  </si>
  <si>
    <t>May 1, 2027 to April 31, 2028</t>
  </si>
  <si>
    <t>May 1, 2028 to January 31, 2029</t>
  </si>
  <si>
    <t>February 1, 2029 to April 31, 2029</t>
  </si>
  <si>
    <t>May 1, 2025 to January 31, 2027</t>
  </si>
  <si>
    <t>May 1, 2028 to April 31, 2029</t>
  </si>
  <si>
    <t>May 1, 2029 to December 31, 2029</t>
  </si>
  <si>
    <t>January 1, 2029 to December 31, 2031</t>
  </si>
  <si>
    <t>January 1, 2032 to April 30, 2032</t>
  </si>
  <si>
    <t>Rental Rate - Affordable (1 Bedroom)</t>
  </si>
  <si>
    <t>Rental Rate - Regular (Studio)</t>
  </si>
  <si>
    <t>Rental Rate - Regular (1 Bedroom)</t>
  </si>
  <si>
    <t>Rental Rate - Regular (2 Bedroom)</t>
  </si>
  <si>
    <t>Rental Rate - Regular (3 Bedroom)</t>
  </si>
  <si>
    <t>Rental Rate - Affordable (Studio)</t>
  </si>
  <si>
    <t>Rental Rate - Affordable (2 Bedroom)</t>
  </si>
  <si>
    <t>Rental Rate - Affordable (3 Bedroom)</t>
  </si>
  <si>
    <t>Sources</t>
  </si>
  <si>
    <t>Debt</t>
  </si>
  <si>
    <t>Equity</t>
  </si>
  <si>
    <t>Gap Funding</t>
  </si>
  <si>
    <t>Uses</t>
  </si>
  <si>
    <t>Building</t>
  </si>
  <si>
    <t>Infrastructure</t>
  </si>
  <si>
    <t>Financial</t>
  </si>
  <si>
    <t>Total Program</t>
  </si>
  <si>
    <t>Retail SF</t>
  </si>
  <si>
    <t>Office SF</t>
  </si>
  <si>
    <t>Affordable SF - Rental</t>
  </si>
  <si>
    <t>Regular SF - Rental</t>
  </si>
  <si>
    <t>Regular SF - Sale</t>
  </si>
  <si>
    <r>
      <rPr>
        <b/>
        <sz val="10"/>
        <color theme="1"/>
        <rFont val="Arial"/>
        <family val="2"/>
      </rPr>
      <t>TEAM:</t>
    </r>
    <r>
      <rPr>
        <sz val="10"/>
        <color theme="1"/>
        <rFont val="Arial"/>
        <family val="2"/>
      </rPr>
      <t xml:space="preserve"> The Stitch 2024-14202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</si>
</sst>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5">
    <numFmt numFmtId="5" formatCode="&quot;$&quot;#,##0_);\(&quot;$&quot;#,##0\)"/>
    <numFmt numFmtId="6" formatCode="&quot;$&quot;#,##0_);[Red]\(&quot;$&quot;#,##0\)"/>
    <numFmt numFmtId="7" formatCode="&quot;$&quot;#,##0.00_);\(&quot;$&quot;#,##0.0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quot;$&quot;#,##0;[Red]\-&quot;$&quot;#,##0"/>
    <numFmt numFmtId="165" formatCode="&quot;$&quot;#,##0.00"/>
    <numFmt numFmtId="166" formatCode="&quot;$&quot;#,##0"/>
    <numFmt numFmtId="167" formatCode="0.0%"/>
    <numFmt numFmtId="168" formatCode="_(* #,##0_);_(* \(#,##0\);_(* &quot;-&quot;??_);_(@_)"/>
    <numFmt numFmtId="169" formatCode="#,##0.0"/>
    <numFmt numFmtId="170" formatCode="0.0"/>
    <numFmt numFmtId="171" formatCode="[$-409]mmm\-yy;@"/>
    <numFmt numFmtId="172" formatCode="&quot;LESS:&quot;\ #%\ \ &quot;Selling Costs&quot;"/>
    <numFmt numFmtId="173" formatCode="&quot;Density=&quot;#\ &quot;Units/Acre&quot;"/>
    <numFmt numFmtId="174" formatCode="##,###&quot; SF&quot;"/>
    <numFmt numFmtId="175" formatCode="&quot;Studio---&quot;#%"/>
    <numFmt numFmtId="176" formatCode="###\ &quot;Units&quot;"/>
    <numFmt numFmtId="177" formatCode="##%\ \ \ &quot;Debt&quot;"/>
    <numFmt numFmtId="178" formatCode="##%\ \ \ &quot;Equity&quot;"/>
    <numFmt numFmtId="179" formatCode="#.##%\ "/>
    <numFmt numFmtId="180" formatCode="&quot;$&quot;#,##0;\(&quot;$&quot;#,##0\)"/>
    <numFmt numFmtId="181" formatCode="&quot;$&quot;#,##0.0;\(&quot;$&quot;#,##0.0\)"/>
    <numFmt numFmtId="182" formatCode="&quot;$&quot;#,##0.00;\(&quot;$&quot;#,##0.00\)"/>
    <numFmt numFmtId="183" formatCode="0.0_)\%;\(0.0\)\%;0.0_)\%;@_)_%"/>
    <numFmt numFmtId="184" formatCode="#,##0.0_)_%;\(#,##0.0\)_%;0.0_)_%;@_)_%"/>
    <numFmt numFmtId="185" formatCode="#,##0.0_);\(#,##0.0\);#,##0.0_);@_)"/>
    <numFmt numFmtId="186" formatCode="#,##0.0_);\(#,##0.0\)"/>
    <numFmt numFmtId="187" formatCode="&quot;$&quot;_(#,##0.00_);&quot;$&quot;\(#,##0.00\);&quot;$&quot;_(0.00_);@_)"/>
    <numFmt numFmtId="188" formatCode="&quot;$&quot;_(#,##0.00_);&quot;$&quot;\(#,##0.00\)"/>
    <numFmt numFmtId="189" formatCode="&quot;\&quot;_(#,##0.00_);&quot;\&quot;\(#,##0.00\)"/>
    <numFmt numFmtId="190" formatCode="#,##0.00_);\(#,##0.00\);0.00_);@_)"/>
    <numFmt numFmtId="191" formatCode="\€_(#,##0.00_);\€\(#,##0.00\);\€_(0.00_);@_)"/>
    <numFmt numFmtId="192" formatCode="#,##0_)\x;\(#,##0\)\x;0_)\x;@_)_x"/>
    <numFmt numFmtId="193" formatCode="#,##0.0_)\x;\(#,##0.0\)\x"/>
    <numFmt numFmtId="194" formatCode="#,##0_)_x;\(#,##0\)_x;0_)_x;@_)_x"/>
    <numFmt numFmtId="195" formatCode="m/d/yy\ h:mm\ AM/PM"/>
    <numFmt numFmtId="196" formatCode="#,##0.0_)_x;\(#,##0.0\)_x"/>
    <numFmt numFmtId="197" formatCode="0.0_)\%;\(0.0\)\%"/>
    <numFmt numFmtId="198" formatCode="mmmm\ d\,\ yyyy"/>
    <numFmt numFmtId="199" formatCode="#,##0.0_)_%;\(#,##0.0\)_%"/>
    <numFmt numFmtId="200" formatCode="General_)"/>
    <numFmt numFmtId="201" formatCode="0.0\ \x"/>
    <numFmt numFmtId="202" formatCode="&quot;$&quot;#,##0.000_);\(&quot;$&quot;#,##0.000\)"/>
    <numFmt numFmtId="203" formatCode="m\-d\-yy"/>
    <numFmt numFmtId="204" formatCode="#,##0_);\(#,##0\);&quot;- &quot;"/>
    <numFmt numFmtId="205" formatCode="0.0%;\(0.0%\);&quot;- &quot;"/>
    <numFmt numFmtId="206" formatCode="mm/dd/yy_)"/>
    <numFmt numFmtId="207" formatCode="#,##0;\-#,##0;&quot;-&quot;"/>
    <numFmt numFmtId="208" formatCode="#,##0.00;\(#,##0.00"/>
    <numFmt numFmtId="209" formatCode="d\ mmm\ yy"/>
    <numFmt numFmtId="210" formatCode="#,##0.0_);[Red]\(#,##0.0\)"/>
    <numFmt numFmtId="211" formatCode="_(* #,##0.0_);_(* \(#,##0.0\);_(* &quot;-&quot;?_);_(@_)"/>
    <numFmt numFmtId="212" formatCode="#,##0_%_);\(#,##0\)_%;**;@_%_)"/>
    <numFmt numFmtId="213" formatCode="#,##0_%_);\(#,##0\)_%;#,##0_%_);@_%_)"/>
    <numFmt numFmtId="214" formatCode="&quot;$&quot;#,##0\ ;\(&quot;$&quot;#,##0\)"/>
    <numFmt numFmtId="215" formatCode="&quot;$&quot;#,##0.0\ ;\(&quot;$&quot;#,##0.0\)"/>
    <numFmt numFmtId="216" formatCode="0.00\x"/>
    <numFmt numFmtId="217" formatCode="m/d/yyyy\ \ h:mm\ AM/PM"/>
    <numFmt numFmtId="218" formatCode="#,##0;\(#,##0\)"/>
    <numFmt numFmtId="219" formatCode="#,##0.0;\(#,##0.0\)"/>
    <numFmt numFmtId="220" formatCode="\ #,##0.0_);\(#,##0.0\);\-\ \ ??"/>
    <numFmt numFmtId="221" formatCode="&quot;$&quot;#,##0.0_);\(&quot;$&quot;#,##0.0\)"/>
    <numFmt numFmtId="222" formatCode="&quot;$&quot;#,##0.0"/>
    <numFmt numFmtId="223" formatCode="_-* #,##0.00\ [$€-1]_-;\-* #,##0.00\ [$€-1]_-;_-* &quot;-&quot;??\ [$€-1]_-"/>
    <numFmt numFmtId="224" formatCode="00"/>
    <numFmt numFmtId="225" formatCode=";;;"/>
    <numFmt numFmtId="226" formatCode="0.00_)"/>
    <numFmt numFmtId="227" formatCode="mm/yyyy"/>
    <numFmt numFmtId="228" formatCode="&quot;Standard&quot;_);;&quot;Reverse&quot;_)"/>
    <numFmt numFmtId="229" formatCode="_-* #,##0_-;\-* #,##0_-;_-* &quot;-&quot;_-;_-@_-"/>
    <numFmt numFmtId="230" formatCode="_-* #,##0.00_-;\-* #,##0.00_-;_-* &quot;-&quot;??_-;_-@_-"/>
    <numFmt numFmtId="231" formatCode="#,##0.00&quot; F&quot;_);\(#,##0.00&quot; F&quot;\)"/>
    <numFmt numFmtId="232" formatCode="#,##0&quot; $&quot;;\-#,##0&quot; $&quot;"/>
    <numFmt numFmtId="233" formatCode="_-* #,##0\ _F_-;\-* #,##0\ _F_-;_-* &quot;-&quot;\ _F_-;_-@_-"/>
    <numFmt numFmtId="234" formatCode="_-* #,##0.00\ &quot;F&quot;_-;\-* #,##0.00\ &quot;F&quot;_-;_-* &quot;-&quot;??\ &quot;F&quot;_-;_-@_-"/>
    <numFmt numFmtId="235" formatCode="_-* #,##0\ &quot;Esc.&quot;_-;\-* #,##0\ &quot;Esc.&quot;_-;_-* &quot;-&quot;\ &quot;Esc.&quot;_-;_-@_-"/>
    <numFmt numFmtId="236" formatCode="#,##0.00&quot;$&quot;;[Red]\-#,##0.00&quot;$&quot;"/>
    <numFmt numFmtId="237" formatCode="#,##0&quot; F&quot;_);[Red]\(#,##0&quot; F&quot;\)"/>
    <numFmt numFmtId="238" formatCode="#,##0.00&quot; F&quot;_);[Red]\(#,##0.00&quot; F&quot;\)"/>
    <numFmt numFmtId="239" formatCode="_-* #,##0\ &quot;F&quot;_-;\-* #,##0\ &quot;F&quot;_-;_-* &quot;-&quot;\ &quot;F&quot;_-;_-@_-"/>
    <numFmt numFmtId="240" formatCode="0.0_x_);\(0.0\)_x"/>
    <numFmt numFmtId="241" formatCode="0.0\x_);\(0.0\x\)"/>
    <numFmt numFmtId="242" formatCode="0.0\x_)_);&quot;NM&quot;_x_)_);0.0\x_)_);@_%_)"/>
    <numFmt numFmtId="243" formatCode="_(* #,##0.0000_);_(* \(#,##0.0000\);_(* &quot;-&quot;??_);_(@_)"/>
    <numFmt numFmtId="244" formatCode="0.0%;\(0.0%\)"/>
    <numFmt numFmtId="245" formatCode="#,##0_ "/>
    <numFmt numFmtId="246" formatCode="&quot;$&quot;#,##0.00_);\(&quot;$&quot;#,##0.00\);\-\ ??"/>
    <numFmt numFmtId="247" formatCode="[&lt;=9999999]###\-####;\(###\)\ ###\-####"/>
    <numFmt numFmtId="248" formatCode="#,##0.0\%_);\(#,##0.0\%\);#,##0.0\%_);@_%_)"/>
    <numFmt numFmtId="249" formatCode="#,##0.0_x\);\(#,##0.0\)"/>
    <numFmt numFmtId="250" formatCode="_(&quot;$&quot;* #,##0.0000000000000_);_(&quot;$&quot;* \(#,##0.0000000000000\);_(&quot;$&quot;* &quot;-&quot;??_);_(@_)"/>
    <numFmt numFmtId="251" formatCode="_-* #,##0\ _E_s_c_._-;\-* #,##0\ _E_s_c_._-;_-* &quot;-&quot;\ _E_s_c_._-;_-@_-"/>
    <numFmt numFmtId="252" formatCode="_(&quot;$&quot;* #,##0.000_);_(&quot;$&quot;* \(#,##0.000\);_(&quot;$&quot;* &quot;-&quot;??_);_(@_)"/>
    <numFmt numFmtId="253" formatCode="_-&quot;L.&quot;\ * #,##0_-;\-&quot;L.&quot;\ * #,##0_-;_-&quot;L.&quot;\ * &quot;-&quot;_-;_-@_-"/>
    <numFmt numFmtId="254" formatCode="_-&quot;L.&quot;\ * #,##0.00_-;\-&quot;L.&quot;\ * #,##0.00_-;_-&quot;L.&quot;\ * &quot;-&quot;??_-;_-@_-"/>
    <numFmt numFmtId="255" formatCode="0\ \ ;\(0\)\ \ \ "/>
    <numFmt numFmtId="256" formatCode="&quot;Yes&quot;;;&quot;No&quot;"/>
    <numFmt numFmtId="257" formatCode="#,###\ &quot;SF Retail Income&quot;"/>
    <numFmt numFmtId="258" formatCode="##%\ &quot;of GMP costs&quot;"/>
    <numFmt numFmtId="259" formatCode="&quot;$&quot;##,###\ &quot;per unit&quot;"/>
    <numFmt numFmtId="260" formatCode="##%\ &quot;of total hard costs&quot;"/>
    <numFmt numFmtId="261" formatCode="##.00%\ &quot;of loan amount&quot;"/>
    <numFmt numFmtId="262" formatCode="&quot;Residual land value at&quot;\ ##%\ &quot;ROC&quot;"/>
    <numFmt numFmtId="263" formatCode="#\ &quot;Months of OPEX&quot;"/>
    <numFmt numFmtId="264" formatCode="#.#%\ &quot;of soft costs&quot;"/>
    <numFmt numFmtId="265" formatCode="#%\ &quot;on a five year term&quot;"/>
    <numFmt numFmtId="266" formatCode="##%\ &quot;of Project Budget&quot;"/>
    <numFmt numFmtId="267" formatCode="&quot;$&quot;##,###\ &quot;per stall&quot;"/>
    <numFmt numFmtId="268" formatCode="&quot;Gap at&quot;\ ##%"/>
    <numFmt numFmtId="269" formatCode="##%\ &quot;of loan amount&quot;"/>
    <numFmt numFmtId="270" formatCode="&quot;Building footprint at&quot;\ ##\ &quot;stories&quot;"/>
    <numFmt numFmtId="271" formatCode="&quot;Building area at&quot;\ ##%\ &quot;circulation&quot;"/>
    <numFmt numFmtId="272" formatCode="&quot;Parking area at&quot;\ ###\ &quot;sf per stall&quot;"/>
    <numFmt numFmtId="273" formatCode="&quot;Fee/unit=&quot;&quot;$&quot;##,###"/>
    <numFmt numFmtId="274" formatCode="&quot;$&quot;###\ &quot;per SF net lease or sale&quot;"/>
    <numFmt numFmtId="275" formatCode="m/d/yy;@"/>
    <numFmt numFmtId="276" formatCode="&quot;Feasible Project Costs at&quot;\ ##%\ &quot;ROC&quot;"/>
    <numFmt numFmtId="277" formatCode="[$-1009]d/mmm/yy;@"/>
    <numFmt numFmtId="278" formatCode="[$-409]d/mmm/yyyy;@"/>
    <numFmt numFmtId="279" formatCode="&quot;$&quot;###\ &quot;per SF net saleable&quot;"/>
    <numFmt numFmtId="280" formatCode="&quot;$&quot;##,###\ &quot;per net leasable&quot;"/>
    <numFmt numFmtId="281" formatCode="##%\ &quot;of Above Costs&quot;"/>
    <numFmt numFmtId="282" formatCode="&quot;$&quot;##,###\ &quot;per acre&quot;"/>
    <numFmt numFmtId="283" formatCode="&quot;$&quot;###\ &quot;per SF&quot;"/>
    <numFmt numFmtId="284" formatCode="#,###\ &quot;SF Commercial Income&quot;"/>
    <numFmt numFmtId="285" formatCode="##%\ &quot;of land acquisition price&quot;"/>
    <numFmt numFmtId="286" formatCode="#,##0\ &quot;SF&quot;"/>
    <numFmt numFmtId="287" formatCode="##\ &quot;Stories&quot;"/>
    <numFmt numFmtId="288" formatCode="##,###\ &quot;Stories&quot;"/>
    <numFmt numFmtId="289" formatCode="#,##0.000000"/>
    <numFmt numFmtId="290" formatCode="0##.#####%\ &quot;of land value&quot;"/>
  </numFmts>
  <fonts count="206">
    <font>
      <sz val="11"/>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Times New Roman"/>
      <family val="2"/>
    </font>
    <font>
      <sz val="12"/>
      <color theme="1"/>
      <name val="Calibri"/>
      <family val="2"/>
      <scheme val="minor"/>
    </font>
    <font>
      <sz val="12"/>
      <color theme="1"/>
      <name val="Calibri"/>
      <family val="2"/>
      <scheme val="minor"/>
    </font>
    <font>
      <sz val="12"/>
      <color theme="1"/>
      <name val="Times New Roman"/>
      <family val="2"/>
    </font>
    <font>
      <sz val="12"/>
      <color theme="1"/>
      <name val="Times New Roman"/>
      <family val="2"/>
    </font>
    <font>
      <sz val="12"/>
      <color theme="1"/>
      <name val="Calibri"/>
      <family val="2"/>
      <scheme val="minor"/>
    </font>
    <font>
      <sz val="11"/>
      <color theme="1"/>
      <name val="Calibri"/>
      <family val="2"/>
      <scheme val="minor"/>
    </font>
    <font>
      <sz val="12"/>
      <name val="Times New Roman"/>
      <family val="1"/>
    </font>
    <font>
      <sz val="10"/>
      <name val="Times New Roman"/>
      <family val="1"/>
    </font>
    <font>
      <b/>
      <sz val="10"/>
      <name val="Times New Roman"/>
      <family val="1"/>
    </font>
    <font>
      <b/>
      <sz val="12"/>
      <name val="Times New Roman"/>
      <family val="1"/>
    </font>
    <font>
      <b/>
      <sz val="11"/>
      <name val="Times New Roman"/>
      <family val="1"/>
    </font>
    <font>
      <sz val="12"/>
      <name val="Arial"/>
      <family val="2"/>
    </font>
    <font>
      <b/>
      <sz val="8"/>
      <name val="Times New Roman"/>
      <family val="1"/>
    </font>
    <font>
      <sz val="10"/>
      <name val="Arial"/>
      <family val="2"/>
    </font>
    <font>
      <sz val="14"/>
      <name val="Times New Roman"/>
      <family val="1"/>
    </font>
    <font>
      <sz val="12"/>
      <name val="Times New Roman"/>
      <family val="1"/>
    </font>
    <font>
      <sz val="12"/>
      <name val="Arial MT"/>
    </font>
    <font>
      <b/>
      <sz val="18"/>
      <name val="Times New Roman"/>
      <family val="1"/>
    </font>
    <font>
      <b/>
      <sz val="16"/>
      <name val="Times New Roman"/>
      <family val="1"/>
    </font>
    <font>
      <b/>
      <sz val="14"/>
      <name val="Times New Roman"/>
      <family val="1"/>
    </font>
    <font>
      <u/>
      <sz val="11"/>
      <color theme="11"/>
      <name val="Calibri"/>
      <family val="2"/>
      <scheme val="minor"/>
    </font>
    <font>
      <b/>
      <sz val="10"/>
      <name val="Arial"/>
      <family val="2"/>
    </font>
    <font>
      <sz val="10"/>
      <color indexed="8"/>
      <name val="Arial"/>
      <family val="2"/>
    </font>
    <font>
      <sz val="8"/>
      <name val="Times New Roman"/>
      <family val="1"/>
    </font>
    <font>
      <sz val="11"/>
      <name val="ＭＳ Ｐゴシック"/>
      <family val="2"/>
      <charset val="128"/>
    </font>
    <font>
      <sz val="8"/>
      <name val="Palatino"/>
      <family val="1"/>
    </font>
    <font>
      <b/>
      <sz val="22"/>
      <color indexed="18"/>
      <name val="Arial"/>
      <family val="2"/>
    </font>
    <font>
      <b/>
      <sz val="14"/>
      <color indexed="18"/>
      <name val="Arial"/>
      <family val="2"/>
    </font>
    <font>
      <sz val="9"/>
      <color indexed="8"/>
      <name val="Arial"/>
      <family val="2"/>
    </font>
    <font>
      <b/>
      <sz val="10"/>
      <color indexed="18"/>
      <name val="Arial"/>
      <family val="2"/>
    </font>
    <font>
      <b/>
      <u val="singleAccounting"/>
      <sz val="10"/>
      <color indexed="18"/>
      <name val="Arial"/>
      <family val="2"/>
    </font>
    <font>
      <sz val="10"/>
      <color indexed="8"/>
      <name val="Palatino"/>
      <family val="1"/>
    </font>
    <font>
      <b/>
      <sz val="12"/>
      <name val="Helv"/>
    </font>
    <font>
      <b/>
      <i/>
      <sz val="10"/>
      <name val="Helv"/>
      <family val="2"/>
    </font>
    <font>
      <b/>
      <sz val="8"/>
      <name val="Helv"/>
      <family val="2"/>
    </font>
    <font>
      <sz val="7"/>
      <color indexed="12"/>
      <name val="Times New Roman"/>
      <family val="1"/>
    </font>
    <font>
      <sz val="9"/>
      <name val="Tahoma"/>
      <family val="2"/>
    </font>
    <font>
      <sz val="8"/>
      <name val="Times"/>
      <family val="1"/>
    </font>
    <font>
      <sz val="9"/>
      <color indexed="8"/>
      <name val="Times New Roman"/>
      <family val="1"/>
    </font>
    <font>
      <sz val="8"/>
      <color indexed="12"/>
      <name val="Tms Rmn"/>
    </font>
    <font>
      <sz val="10"/>
      <color indexed="12"/>
      <name val="Times New Roman"/>
      <family val="1"/>
    </font>
    <font>
      <sz val="12"/>
      <name val="Tms Rmn"/>
      <family val="1"/>
    </font>
    <font>
      <b/>
      <sz val="12"/>
      <name val="SWISS"/>
    </font>
    <font>
      <b/>
      <i/>
      <sz val="10"/>
      <color indexed="30"/>
      <name val="Comic Sans MS"/>
      <family val="4"/>
    </font>
    <font>
      <sz val="8"/>
      <color indexed="30"/>
      <name val="Comic Sans MS"/>
      <family val="4"/>
    </font>
    <font>
      <b/>
      <sz val="8"/>
      <color indexed="30"/>
      <name val="Comic Sans MS"/>
      <family val="4"/>
    </font>
    <font>
      <sz val="10"/>
      <color indexed="30"/>
      <name val="Comic Sans MS"/>
      <family val="4"/>
    </font>
    <font>
      <sz val="8"/>
      <name val="Helvetica-Narrow"/>
    </font>
    <font>
      <u val="singleAccounting"/>
      <sz val="10"/>
      <name val="Arial"/>
      <family val="2"/>
    </font>
    <font>
      <sz val="12"/>
      <name val="±¼¸²Ã¼"/>
      <family val="3"/>
      <charset val="129"/>
    </font>
    <font>
      <sz val="9"/>
      <color indexed="8"/>
      <name val="Helvetica-Narrow"/>
    </font>
    <font>
      <sz val="8"/>
      <color indexed="13"/>
      <name val="Helvetica-Narrow"/>
    </font>
    <font>
      <b/>
      <sz val="7"/>
      <name val="Helvetica-Narrow"/>
      <family val="2"/>
    </font>
    <font>
      <b/>
      <sz val="7"/>
      <name val="GillSans"/>
    </font>
    <font>
      <b/>
      <sz val="9"/>
      <name val="Tahoma"/>
      <family val="2"/>
    </font>
    <font>
      <sz val="12"/>
      <color indexed="24"/>
      <name val="Arial"/>
      <family val="2"/>
    </font>
    <font>
      <sz val="10"/>
      <name val="Helv"/>
    </font>
    <font>
      <sz val="12"/>
      <name val="Helv"/>
    </font>
    <font>
      <b/>
      <sz val="24"/>
      <name val="Courier New"/>
      <family val="3"/>
    </font>
    <font>
      <b/>
      <sz val="10"/>
      <color indexed="30"/>
      <name val="Comic Sans MS"/>
      <family val="4"/>
    </font>
    <font>
      <sz val="12"/>
      <color indexed="30"/>
      <name val="Comic Sans MS"/>
      <family val="4"/>
    </font>
    <font>
      <sz val="10"/>
      <name val="MS Serif"/>
      <family val="1"/>
    </font>
    <font>
      <sz val="10"/>
      <name val="Courier"/>
      <family val="3"/>
    </font>
    <font>
      <sz val="10"/>
      <name val="Book Antiqua"/>
      <family val="1"/>
    </font>
    <font>
      <sz val="10"/>
      <name val="Times New Roman Special G1"/>
    </font>
    <font>
      <sz val="10"/>
      <color indexed="24"/>
      <name val="Arial"/>
      <family val="2"/>
    </font>
    <font>
      <sz val="9"/>
      <name val="Times New Roman"/>
      <family val="1"/>
    </font>
    <font>
      <u/>
      <sz val="8"/>
      <color indexed="12"/>
      <name val="Times New Roman"/>
      <family val="1"/>
    </font>
    <font>
      <sz val="9"/>
      <name val="Arial"/>
      <family val="2"/>
    </font>
    <font>
      <sz val="8"/>
      <color indexed="12"/>
      <name val="Times New Roman"/>
      <family val="1"/>
    </font>
    <font>
      <u val="doubleAccounting"/>
      <sz val="10"/>
      <name val="Arial"/>
      <family val="2"/>
    </font>
    <font>
      <sz val="14"/>
      <color indexed="8"/>
      <name val="Times New Roman"/>
      <family val="1"/>
    </font>
    <font>
      <b/>
      <sz val="10"/>
      <color indexed="8"/>
      <name val="Times New Roman"/>
      <family val="1"/>
    </font>
    <font>
      <sz val="8"/>
      <color indexed="8"/>
      <name val="Times New Roman"/>
      <family val="1"/>
    </font>
    <font>
      <i/>
      <sz val="9"/>
      <name val="Times New Roman"/>
      <family val="1"/>
    </font>
    <font>
      <i/>
      <sz val="10"/>
      <name val="Times New Roman"/>
      <family val="1"/>
    </font>
    <font>
      <i/>
      <sz val="9"/>
      <color indexed="8"/>
      <name val="Times New Roman"/>
      <family val="1"/>
    </font>
    <font>
      <b/>
      <sz val="9"/>
      <name val="Times New Roman"/>
      <family val="1"/>
    </font>
    <font>
      <sz val="22"/>
      <name val="Times New Roman"/>
      <family val="1"/>
    </font>
    <font>
      <b/>
      <i/>
      <sz val="8"/>
      <color indexed="12"/>
      <name val="Arial"/>
      <family val="2"/>
    </font>
    <font>
      <sz val="10"/>
      <color indexed="16"/>
      <name val="MS Serif"/>
      <family val="1"/>
    </font>
    <font>
      <sz val="7"/>
      <name val="Palatino"/>
      <family val="1"/>
    </font>
    <font>
      <sz val="9"/>
      <name val="CharterITC BT"/>
      <family val="1"/>
    </font>
    <font>
      <b/>
      <sz val="10"/>
      <name val="Tahoma"/>
      <family val="2"/>
    </font>
    <font>
      <sz val="8"/>
      <name val="Arial"/>
      <family val="2"/>
    </font>
    <font>
      <b/>
      <sz val="12"/>
      <color indexed="9"/>
      <name val="Tms Rmn"/>
    </font>
    <font>
      <u/>
      <sz val="12"/>
      <name val="Tahoma"/>
      <family val="2"/>
    </font>
    <font>
      <i/>
      <u/>
      <sz val="11"/>
      <name val="Tahoma"/>
      <family val="2"/>
    </font>
    <font>
      <u/>
      <sz val="11"/>
      <name val="Tahoma"/>
      <family val="2"/>
    </font>
    <font>
      <i/>
      <u/>
      <sz val="10"/>
      <name val="Tahoma"/>
      <family val="2"/>
    </font>
    <font>
      <u/>
      <sz val="10"/>
      <name val="Tahoma"/>
      <family val="2"/>
    </font>
    <font>
      <i/>
      <u/>
      <sz val="9"/>
      <name val="Tahoma"/>
      <family val="2"/>
    </font>
    <font>
      <u/>
      <sz val="9"/>
      <name val="Tahoma"/>
      <family val="2"/>
    </font>
    <font>
      <b/>
      <u/>
      <sz val="11"/>
      <color indexed="37"/>
      <name val="Arial"/>
      <family val="2"/>
    </font>
    <font>
      <b/>
      <sz val="12"/>
      <name val="Arial"/>
      <family val="2"/>
    </font>
    <font>
      <b/>
      <i/>
      <sz val="22"/>
      <name val="Times New Roman"/>
      <family val="1"/>
    </font>
    <font>
      <b/>
      <sz val="8"/>
      <name val="MS Sans Serif"/>
      <family val="2"/>
    </font>
    <font>
      <b/>
      <sz val="24"/>
      <name val="Geneva"/>
      <family val="2"/>
    </font>
    <font>
      <b/>
      <u/>
      <sz val="8"/>
      <name val="Arial"/>
      <family val="2"/>
    </font>
    <font>
      <sz val="10"/>
      <color indexed="12"/>
      <name val="Arial"/>
      <family val="2"/>
    </font>
    <font>
      <i/>
      <sz val="10"/>
      <name val="Arial"/>
      <family val="2"/>
    </font>
    <font>
      <sz val="10"/>
      <color indexed="16"/>
      <name val="MS Sans Serif"/>
      <family val="2"/>
    </font>
    <font>
      <sz val="10"/>
      <name val="Geneva"/>
      <family val="2"/>
    </font>
    <font>
      <sz val="14"/>
      <name val="Architecture"/>
      <family val="2"/>
    </font>
    <font>
      <sz val="7"/>
      <name val="Small Fonts"/>
      <family val="2"/>
    </font>
    <font>
      <sz val="11"/>
      <name val="明朝"/>
      <family val="1"/>
      <charset val="128"/>
    </font>
    <font>
      <sz val="10"/>
      <name val="Palatino"/>
      <family val="1"/>
    </font>
    <font>
      <sz val="10"/>
      <name val="ＭＳ Ｐゴシック"/>
      <family val="3"/>
      <charset val="128"/>
    </font>
    <font>
      <sz val="11"/>
      <name val="Times New Roman"/>
      <family val="1"/>
    </font>
    <font>
      <sz val="11"/>
      <name val="‚l‚r –¾’©"/>
      <family val="3"/>
      <charset val="128"/>
    </font>
    <font>
      <b/>
      <i/>
      <sz val="10"/>
      <color indexed="8"/>
      <name val="Arial"/>
      <family val="2"/>
    </font>
    <font>
      <b/>
      <sz val="10"/>
      <color indexed="8"/>
      <name val="Arial"/>
      <family val="2"/>
    </font>
    <font>
      <b/>
      <i/>
      <sz val="22"/>
      <color indexed="8"/>
      <name val="Times New Roman"/>
      <family val="1"/>
    </font>
    <font>
      <b/>
      <sz val="26"/>
      <name val="Times New Roman"/>
      <family val="1"/>
    </font>
    <font>
      <sz val="10"/>
      <color indexed="16"/>
      <name val="Helvetica-Black"/>
    </font>
    <font>
      <b/>
      <sz val="14"/>
      <color indexed="12"/>
      <name val="Arial"/>
      <family val="2"/>
    </font>
    <font>
      <sz val="22"/>
      <name val="UBSHeadline"/>
      <family val="1"/>
    </font>
    <font>
      <sz val="10"/>
      <name val="Tms Rmn"/>
      <family val="1"/>
    </font>
    <font>
      <sz val="10"/>
      <name val="MS Sans Serif"/>
      <family val="2"/>
    </font>
    <font>
      <b/>
      <sz val="10"/>
      <name val="MS Sans Serif"/>
      <family val="2"/>
    </font>
    <font>
      <sz val="8"/>
      <name val="Wingdings"/>
      <charset val="2"/>
    </font>
    <font>
      <sz val="8"/>
      <name val="Helv"/>
    </font>
    <font>
      <sz val="10"/>
      <name val="GillSans Light"/>
    </font>
    <font>
      <sz val="9.5"/>
      <color indexed="23"/>
      <name val="Helvetica-Black"/>
    </font>
    <font>
      <b/>
      <sz val="16"/>
      <color indexed="16"/>
      <name val="Arial"/>
      <family val="2"/>
    </font>
    <font>
      <sz val="8"/>
      <name val="MS Sans Serif"/>
      <family val="2"/>
    </font>
    <font>
      <sz val="10"/>
      <color indexed="14"/>
      <name val="Century Schoolbook"/>
      <family val="1"/>
    </font>
    <font>
      <b/>
      <sz val="11"/>
      <name val="Helv"/>
    </font>
    <font>
      <b/>
      <u/>
      <sz val="10"/>
      <name val="Tahoma"/>
      <family val="2"/>
    </font>
    <font>
      <b/>
      <sz val="9"/>
      <name val="Arial"/>
      <family val="2"/>
    </font>
    <font>
      <b/>
      <sz val="9"/>
      <name val="Palatino"/>
      <family val="1"/>
    </font>
    <font>
      <sz val="9"/>
      <color indexed="21"/>
      <name val="Helvetica-Black"/>
    </font>
    <font>
      <b/>
      <sz val="10"/>
      <name val="Palatino"/>
      <family val="1"/>
    </font>
    <font>
      <b/>
      <sz val="8"/>
      <name val="Arial"/>
      <family val="2"/>
    </font>
    <font>
      <b/>
      <sz val="7"/>
      <name val="Arial"/>
      <family val="2"/>
    </font>
    <font>
      <sz val="9"/>
      <name val="Helvetica-Black"/>
    </font>
    <font>
      <sz val="9"/>
      <name val="Palatino"/>
      <family val="1"/>
    </font>
    <font>
      <sz val="12"/>
      <color indexed="8"/>
      <name val="Palatino"/>
      <family val="1"/>
    </font>
    <font>
      <sz val="11"/>
      <color indexed="8"/>
      <name val="Helvetica-Black"/>
    </font>
    <font>
      <b/>
      <sz val="11"/>
      <name val="Tahoma"/>
      <family val="2"/>
    </font>
    <font>
      <u/>
      <sz val="8"/>
      <name val="Times New Roman"/>
      <family val="1"/>
    </font>
    <font>
      <b/>
      <sz val="12"/>
      <name val="CG Times (W1)"/>
      <family val="1"/>
    </font>
    <font>
      <b/>
      <i/>
      <sz val="12"/>
      <name val="CG Times (W1)"/>
      <family val="1"/>
    </font>
    <font>
      <b/>
      <i/>
      <sz val="24"/>
      <name val="Arial"/>
      <family val="2"/>
    </font>
    <font>
      <sz val="12"/>
      <name val="Tahoma"/>
      <family val="2"/>
    </font>
    <font>
      <i/>
      <sz val="11"/>
      <name val="Tahoma"/>
      <family val="2"/>
    </font>
    <font>
      <sz val="11"/>
      <name val="Tahoma"/>
      <family val="2"/>
    </font>
    <font>
      <i/>
      <sz val="10"/>
      <name val="Tahoma"/>
      <family val="2"/>
    </font>
    <font>
      <sz val="10"/>
      <name val="Tahoma"/>
      <family val="2"/>
    </font>
    <font>
      <i/>
      <sz val="9"/>
      <name val="Tahoma"/>
      <family val="2"/>
    </font>
    <font>
      <b/>
      <sz val="10"/>
      <color indexed="30"/>
      <name val="Arial"/>
      <family val="2"/>
    </font>
    <font>
      <b/>
      <sz val="7"/>
      <color indexed="12"/>
      <name val="Arial"/>
      <family val="2"/>
    </font>
    <font>
      <u/>
      <sz val="8"/>
      <color indexed="8"/>
      <name val="Arial"/>
      <family val="2"/>
    </font>
    <font>
      <sz val="8"/>
      <color indexed="12"/>
      <name val="Arial"/>
      <family val="2"/>
    </font>
    <font>
      <sz val="10"/>
      <color indexed="9"/>
      <name val="Tms Rmn"/>
    </font>
    <font>
      <sz val="7"/>
      <name val="Times New Roman"/>
      <family val="1"/>
    </font>
    <font>
      <b/>
      <i/>
      <sz val="8"/>
      <name val="Helv"/>
    </font>
    <font>
      <sz val="10"/>
      <name val="ＭＳ 明朝"/>
      <family val="1"/>
      <charset val="128"/>
    </font>
    <font>
      <sz val="9"/>
      <color indexed="8"/>
      <name val="ＭＳ Ｐゴシック"/>
      <family val="3"/>
      <charset val="128"/>
    </font>
    <font>
      <u/>
      <sz val="11"/>
      <color theme="10"/>
      <name val="Calibri"/>
      <family val="2"/>
      <scheme val="minor"/>
    </font>
    <font>
      <sz val="10"/>
      <color theme="1"/>
      <name val="Calibri"/>
      <family val="2"/>
      <scheme val="minor"/>
    </font>
    <font>
      <sz val="11"/>
      <color rgb="FF006100"/>
      <name val="Calibri"/>
      <family val="2"/>
      <scheme val="minor"/>
    </font>
    <font>
      <b/>
      <sz val="13"/>
      <color theme="1"/>
      <name val="Arial"/>
      <family val="2"/>
    </font>
    <font>
      <sz val="8"/>
      <name val="Calibri"/>
      <family val="2"/>
      <scheme val="minor"/>
    </font>
    <font>
      <u/>
      <sz val="12"/>
      <color theme="10"/>
      <name val="Calibri"/>
      <family val="2"/>
      <scheme val="minor"/>
    </font>
    <font>
      <sz val="11"/>
      <color theme="1"/>
      <name val="Arial"/>
      <family val="2"/>
    </font>
    <font>
      <b/>
      <sz val="11"/>
      <color theme="1"/>
      <name val="Arial"/>
      <family val="2"/>
    </font>
    <font>
      <sz val="10"/>
      <color theme="1"/>
      <name val="Arial"/>
      <family val="2"/>
    </font>
    <font>
      <b/>
      <sz val="10"/>
      <color theme="0"/>
      <name val="Arial"/>
      <family val="2"/>
    </font>
    <font>
      <b/>
      <sz val="10"/>
      <color theme="1"/>
      <name val="Arial"/>
      <family val="2"/>
    </font>
    <font>
      <sz val="11"/>
      <color rgb="FF00B0F0"/>
      <name val="Arial"/>
      <family val="2"/>
    </font>
    <font>
      <sz val="10"/>
      <color rgb="FF00B0F0"/>
      <name val="Arial"/>
      <family val="2"/>
    </font>
    <font>
      <b/>
      <sz val="12"/>
      <color theme="1"/>
      <name val="Arial"/>
      <family val="2"/>
    </font>
    <font>
      <sz val="12"/>
      <color theme="1"/>
      <name val="Arial"/>
      <family val="2"/>
    </font>
    <font>
      <b/>
      <sz val="12"/>
      <color theme="0"/>
      <name val="Arial"/>
      <family val="2"/>
    </font>
    <font>
      <b/>
      <sz val="48"/>
      <color theme="0"/>
      <name val="Arial"/>
      <family val="2"/>
    </font>
    <font>
      <sz val="11"/>
      <name val="Arial"/>
      <family val="2"/>
    </font>
    <font>
      <sz val="36"/>
      <color theme="1"/>
      <name val="Arial"/>
      <family val="2"/>
    </font>
    <font>
      <sz val="48"/>
      <color theme="0"/>
      <name val="Arial"/>
      <family val="2"/>
    </font>
    <font>
      <b/>
      <sz val="40"/>
      <color theme="1"/>
      <name val="Arial"/>
      <family val="2"/>
    </font>
    <font>
      <b/>
      <sz val="36"/>
      <color theme="1"/>
      <name val="Arial"/>
      <family val="2"/>
    </font>
    <font>
      <sz val="12"/>
      <color theme="0"/>
      <name val="Arial"/>
      <family val="2"/>
    </font>
    <font>
      <b/>
      <sz val="16"/>
      <color theme="0"/>
      <name val="Arial"/>
      <family val="2"/>
    </font>
    <font>
      <b/>
      <sz val="11"/>
      <color theme="0"/>
      <name val="Arial"/>
      <family val="2"/>
    </font>
    <font>
      <b/>
      <sz val="14"/>
      <name val="Arial"/>
      <family val="2"/>
    </font>
    <font>
      <b/>
      <sz val="11"/>
      <name val="Arial"/>
      <family val="2"/>
    </font>
    <font>
      <b/>
      <sz val="12"/>
      <color rgb="FF4C4C4C"/>
      <name val="Arial"/>
      <family val="2"/>
    </font>
    <font>
      <sz val="12"/>
      <color rgb="FF4C4C4C"/>
      <name val="Arial"/>
      <family val="2"/>
    </font>
    <font>
      <b/>
      <sz val="9"/>
      <color theme="0"/>
      <name val="Arial"/>
      <family val="2"/>
    </font>
    <font>
      <sz val="11"/>
      <name val="Calibri"/>
      <family val="2"/>
      <scheme val="minor"/>
    </font>
    <font>
      <b/>
      <sz val="11"/>
      <color theme="1"/>
      <name val="Calibri"/>
      <family val="2"/>
      <scheme val="minor"/>
    </font>
    <font>
      <b/>
      <sz val="11"/>
      <color theme="0"/>
      <name val="Calibri"/>
      <family val="2"/>
      <scheme val="minor"/>
    </font>
    <font>
      <i/>
      <sz val="11"/>
      <color theme="1"/>
      <name val="Calibri"/>
      <family val="2"/>
      <scheme val="minor"/>
    </font>
    <font>
      <b/>
      <sz val="11"/>
      <name val="Calibri"/>
      <family val="2"/>
      <scheme val="minor"/>
    </font>
    <font>
      <i/>
      <sz val="10"/>
      <color theme="1"/>
      <name val="Arial"/>
      <family val="2"/>
    </font>
    <font>
      <b/>
      <i/>
      <sz val="10"/>
      <name val="Arial"/>
      <family val="2"/>
    </font>
    <font>
      <i/>
      <sz val="12"/>
      <color theme="1"/>
      <name val="Arial"/>
      <family val="2"/>
    </font>
    <font>
      <i/>
      <sz val="11"/>
      <color theme="1"/>
      <name val="Arial"/>
      <family val="2"/>
    </font>
    <font>
      <b/>
      <i/>
      <sz val="11"/>
      <name val="Calibri"/>
      <family val="2"/>
      <scheme val="minor"/>
    </font>
    <font>
      <b/>
      <sz val="28"/>
      <color theme="1"/>
      <name val="Arial"/>
      <family val="2"/>
    </font>
    <font>
      <b/>
      <i/>
      <sz val="12"/>
      <color theme="1"/>
      <name val="Arial"/>
      <family val="2"/>
    </font>
  </fonts>
  <fills count="30">
    <fill>
      <patternFill patternType="none"/>
    </fill>
    <fill>
      <patternFill patternType="gray125"/>
    </fill>
    <fill>
      <patternFill patternType="solid">
        <fgColor indexed="8"/>
        <bgColor indexed="64"/>
      </patternFill>
    </fill>
    <fill>
      <patternFill patternType="solid">
        <fgColor rgb="FFFFFF00"/>
        <bgColor indexed="64"/>
      </patternFill>
    </fill>
    <fill>
      <patternFill patternType="solid">
        <fgColor theme="3" tint="-0.249977111117893"/>
        <bgColor indexed="64"/>
      </patternFill>
    </fill>
    <fill>
      <patternFill patternType="solid">
        <fgColor indexed="43"/>
      </patternFill>
    </fill>
    <fill>
      <patternFill patternType="solid">
        <fgColor indexed="44"/>
        <bgColor indexed="64"/>
      </patternFill>
    </fill>
    <fill>
      <patternFill patternType="lightGray">
        <fgColor indexed="15"/>
      </patternFill>
    </fill>
    <fill>
      <patternFill patternType="solid">
        <fgColor indexed="24"/>
        <bgColor indexed="64"/>
      </patternFill>
    </fill>
    <fill>
      <patternFill patternType="solid">
        <fgColor indexed="9"/>
        <bgColor indexed="64"/>
      </patternFill>
    </fill>
    <fill>
      <patternFill patternType="solid">
        <fgColor indexed="22"/>
        <bgColor indexed="64"/>
      </patternFill>
    </fill>
    <fill>
      <patternFill patternType="solid">
        <fgColor indexed="65"/>
        <bgColor indexed="64"/>
      </patternFill>
    </fill>
    <fill>
      <patternFill patternType="solid">
        <fgColor indexed="26"/>
        <bgColor indexed="64"/>
      </patternFill>
    </fill>
    <fill>
      <patternFill patternType="solid">
        <fgColor indexed="42"/>
        <bgColor indexed="64"/>
      </patternFill>
    </fill>
    <fill>
      <patternFill patternType="solid">
        <fgColor indexed="10"/>
        <bgColor indexed="10"/>
      </patternFill>
    </fill>
    <fill>
      <patternFill patternType="solid">
        <fgColor indexed="22"/>
        <bgColor indexed="22"/>
      </patternFill>
    </fill>
    <fill>
      <patternFill patternType="solid">
        <fgColor indexed="41"/>
        <bgColor indexed="64"/>
      </patternFill>
    </fill>
    <fill>
      <patternFill patternType="mediumGray">
        <fgColor indexed="22"/>
      </patternFill>
    </fill>
    <fill>
      <patternFill patternType="darkVertical"/>
    </fill>
    <fill>
      <patternFill patternType="solid">
        <fgColor indexed="63"/>
        <bgColor indexed="64"/>
      </patternFill>
    </fill>
    <fill>
      <patternFill patternType="solid">
        <fgColor indexed="16"/>
        <bgColor indexed="64"/>
      </patternFill>
    </fill>
    <fill>
      <patternFill patternType="solid">
        <fgColor indexed="43"/>
        <bgColor indexed="64"/>
      </patternFill>
    </fill>
    <fill>
      <patternFill patternType="solid">
        <fgColor indexed="13"/>
      </patternFill>
    </fill>
    <fill>
      <patternFill patternType="solid">
        <fgColor rgb="FFC6EFCE"/>
      </patternFill>
    </fill>
    <fill>
      <patternFill patternType="solid">
        <fgColor theme="0"/>
        <bgColor indexed="64"/>
      </patternFill>
    </fill>
    <fill>
      <patternFill patternType="solid">
        <fgColor theme="4" tint="-0.499984740745262"/>
        <bgColor indexed="64"/>
      </patternFill>
    </fill>
    <fill>
      <patternFill patternType="solid">
        <fgColor theme="0" tint="-0.34998626667073579"/>
        <bgColor indexed="64"/>
      </patternFill>
    </fill>
    <fill>
      <patternFill patternType="solid">
        <fgColor theme="4" tint="0.79998168889431442"/>
        <bgColor indexed="64"/>
      </patternFill>
    </fill>
    <fill>
      <patternFill patternType="solid">
        <fgColor theme="0" tint="-0.249977111117893"/>
        <bgColor indexed="64"/>
      </patternFill>
    </fill>
    <fill>
      <patternFill patternType="solid">
        <fgColor theme="1"/>
        <bgColor indexed="64"/>
      </patternFill>
    </fill>
  </fills>
  <borders count="248">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diagonal/>
    </border>
    <border>
      <left/>
      <right/>
      <top style="thin">
        <color auto="1"/>
      </top>
      <bottom style="thin">
        <color auto="1"/>
      </bottom>
      <diagonal/>
    </border>
    <border>
      <left/>
      <right/>
      <top style="thin">
        <color auto="1"/>
      </top>
      <bottom style="double">
        <color auto="1"/>
      </bottom>
      <diagonal/>
    </border>
    <border>
      <left/>
      <right style="medium">
        <color auto="1"/>
      </right>
      <top/>
      <bottom/>
      <diagonal/>
    </border>
    <border>
      <left/>
      <right/>
      <top style="medium">
        <color auto="1"/>
      </top>
      <bottom style="medium">
        <color auto="1"/>
      </bottom>
      <diagonal/>
    </border>
    <border>
      <left/>
      <right/>
      <top style="thin">
        <color auto="1"/>
      </top>
      <bottom/>
      <diagonal/>
    </border>
    <border>
      <left style="thin">
        <color auto="1"/>
      </left>
      <right/>
      <top/>
      <bottom/>
      <diagonal/>
    </border>
    <border>
      <left/>
      <right/>
      <top/>
      <bottom style="thin">
        <color auto="1"/>
      </bottom>
      <diagonal/>
    </border>
    <border>
      <left/>
      <right style="thin">
        <color auto="1"/>
      </right>
      <top/>
      <bottom/>
      <diagonal/>
    </border>
    <border>
      <left style="medium">
        <color auto="1"/>
      </left>
      <right/>
      <top/>
      <bottom/>
      <diagonal/>
    </border>
    <border>
      <left/>
      <right/>
      <top style="hair">
        <color indexed="8"/>
      </top>
      <bottom style="hair">
        <color indexed="8"/>
      </bottom>
      <diagonal/>
    </border>
    <border>
      <left/>
      <right/>
      <top/>
      <bottom style="medium">
        <color indexed="18"/>
      </bottom>
      <diagonal/>
    </border>
    <border>
      <left style="hair">
        <color auto="1"/>
      </left>
      <right style="hair">
        <color auto="1"/>
      </right>
      <top style="hair">
        <color auto="1"/>
      </top>
      <bottom style="hair">
        <color auto="1"/>
      </bottom>
      <diagonal/>
    </border>
    <border>
      <left style="double">
        <color auto="1"/>
      </left>
      <right/>
      <top/>
      <bottom style="hair">
        <color auto="1"/>
      </bottom>
      <diagonal/>
    </border>
    <border>
      <left/>
      <right/>
      <top style="thick">
        <color indexed="30"/>
      </top>
      <bottom/>
      <diagonal/>
    </border>
    <border>
      <left style="thin">
        <color indexed="30"/>
      </left>
      <right style="thin">
        <color indexed="30"/>
      </right>
      <top/>
      <bottom style="double">
        <color indexed="30"/>
      </bottom>
      <diagonal/>
    </border>
    <border>
      <left/>
      <right/>
      <top/>
      <bottom style="thin">
        <color indexed="30"/>
      </bottom>
      <diagonal/>
    </border>
    <border>
      <left/>
      <right/>
      <top/>
      <bottom style="medium">
        <color auto="1"/>
      </bottom>
      <diagonal/>
    </border>
    <border>
      <left/>
      <right/>
      <top/>
      <bottom style="thin">
        <color indexed="22"/>
      </bottom>
      <diagonal/>
    </border>
    <border>
      <left/>
      <right/>
      <top/>
      <bottom style="thick">
        <color indexed="30"/>
      </bottom>
      <diagonal/>
    </border>
    <border>
      <left style="thin">
        <color indexed="30"/>
      </left>
      <right style="thin">
        <color indexed="30"/>
      </right>
      <top/>
      <bottom style="thin">
        <color indexed="30"/>
      </bottom>
      <diagonal/>
    </border>
    <border>
      <left/>
      <right/>
      <top/>
      <bottom style="hair">
        <color auto="1"/>
      </bottom>
      <diagonal/>
    </border>
    <border>
      <left/>
      <right/>
      <top/>
      <bottom style="thin">
        <color auto="1"/>
      </bottom>
      <diagonal/>
    </border>
    <border>
      <left style="thin">
        <color indexed="30"/>
      </left>
      <right/>
      <top/>
      <bottom/>
      <diagonal/>
    </border>
    <border>
      <left style="thin">
        <color indexed="30"/>
      </left>
      <right style="thin">
        <color indexed="30"/>
      </right>
      <top/>
      <bottom/>
      <diagonal/>
    </border>
    <border>
      <left/>
      <right/>
      <top/>
      <bottom style="dotted">
        <color auto="1"/>
      </bottom>
      <diagonal/>
    </border>
    <border>
      <left/>
      <right/>
      <top/>
      <bottom style="medium">
        <color indexed="63"/>
      </bottom>
      <diagonal/>
    </border>
    <border>
      <left/>
      <right/>
      <top style="hair">
        <color auto="1"/>
      </top>
      <bottom/>
      <diagonal/>
    </border>
    <border>
      <left/>
      <right/>
      <top/>
      <bottom style="thin">
        <color indexed="23"/>
      </bottom>
      <diagonal/>
    </border>
    <border>
      <left/>
      <right/>
      <top style="thick">
        <color indexed="17"/>
      </top>
      <bottom/>
      <diagonal/>
    </border>
    <border>
      <left/>
      <right/>
      <top/>
      <bottom style="thick">
        <color indexed="18"/>
      </bottom>
      <diagonal/>
    </border>
    <border>
      <left/>
      <right/>
      <top/>
      <bottom style="thin">
        <color indexed="18"/>
      </bottom>
      <diagonal/>
    </border>
    <border>
      <left style="dashed">
        <color auto="1"/>
      </left>
      <right style="dashed">
        <color auto="1"/>
      </right>
      <top style="dashed">
        <color auto="1"/>
      </top>
      <bottom style="dashed">
        <color auto="1"/>
      </bottom>
      <diagonal/>
    </border>
    <border>
      <left/>
      <right/>
      <top/>
      <bottom style="hair">
        <color indexed="22"/>
      </bottom>
      <diagonal/>
    </border>
    <border>
      <left/>
      <right/>
      <top/>
      <bottom style="thick">
        <color auto="1"/>
      </bottom>
      <diagonal/>
    </border>
    <border>
      <left style="double">
        <color auto="1"/>
      </left>
      <right style="double">
        <color auto="1"/>
      </right>
      <top style="double">
        <color auto="1"/>
      </top>
      <bottom style="double">
        <color auto="1"/>
      </bottom>
      <diagonal/>
    </border>
    <border>
      <left style="thin">
        <color indexed="30"/>
      </left>
      <right/>
      <top/>
      <bottom style="thin">
        <color indexed="30"/>
      </bottom>
      <diagonal/>
    </border>
    <border>
      <left/>
      <right style="thin">
        <color indexed="30"/>
      </right>
      <top/>
      <bottom/>
      <diagonal/>
    </border>
    <border>
      <left style="thin">
        <color auto="1"/>
      </left>
      <right style="thin">
        <color auto="1"/>
      </right>
      <top style="hair">
        <color auto="1"/>
      </top>
      <bottom style="hair">
        <color auto="1"/>
      </bottom>
      <diagonal/>
    </border>
    <border>
      <left style="thick">
        <color indexed="30"/>
      </left>
      <right style="thin">
        <color indexed="30"/>
      </right>
      <top style="thick">
        <color indexed="30"/>
      </top>
      <bottom style="thick">
        <color indexed="30"/>
      </bottom>
      <diagonal/>
    </border>
    <border>
      <left/>
      <right/>
      <top style="thin">
        <color auto="1"/>
      </top>
      <bottom style="hair">
        <color indexed="22"/>
      </bottom>
      <diagonal/>
    </border>
    <border>
      <left style="medium">
        <color indexed="8"/>
      </left>
      <right/>
      <top style="medium">
        <color indexed="8"/>
      </top>
      <bottom style="thin">
        <color indexed="8"/>
      </bottom>
      <diagonal/>
    </border>
    <border>
      <left/>
      <right/>
      <top/>
      <bottom style="medium">
        <color indexed="45"/>
      </bottom>
      <diagonal/>
    </border>
    <border>
      <left style="thin">
        <color auto="1"/>
      </left>
      <right style="thin">
        <color auto="1"/>
      </right>
      <top/>
      <bottom/>
      <diagonal/>
    </border>
    <border>
      <left/>
      <right/>
      <top/>
      <bottom style="thin">
        <color indexed="45"/>
      </bottom>
      <diagonal/>
    </border>
    <border>
      <left/>
      <right/>
      <top style="medium">
        <color indexed="45"/>
      </top>
      <bottom/>
      <diagonal/>
    </border>
    <border>
      <left/>
      <right/>
      <top/>
      <bottom style="double">
        <color indexed="45"/>
      </bottom>
      <diagonal/>
    </border>
    <border>
      <left/>
      <right/>
      <top style="medium">
        <color indexed="23"/>
      </top>
      <bottom style="medium">
        <color indexed="23"/>
      </bottom>
      <diagonal/>
    </border>
    <border>
      <left/>
      <right/>
      <top style="medium">
        <color auto="1"/>
      </top>
      <bottom style="thin">
        <color auto="1"/>
      </bottom>
      <diagonal/>
    </border>
    <border>
      <left style="medium">
        <color auto="1"/>
      </left>
      <right style="medium">
        <color auto="1"/>
      </right>
      <top style="medium">
        <color auto="1"/>
      </top>
      <bottom style="medium">
        <color auto="1"/>
      </bottom>
      <diagonal/>
    </border>
    <border>
      <left style="dotted">
        <color auto="1"/>
      </left>
      <right style="dotted">
        <color auto="1"/>
      </right>
      <top style="dotted">
        <color auto="1"/>
      </top>
      <bottom style="dotted">
        <color auto="1"/>
      </bottom>
      <diagonal/>
    </border>
    <border>
      <left style="thin">
        <color auto="1"/>
      </left>
      <right/>
      <top/>
      <bottom/>
      <diagonal/>
    </border>
    <border>
      <left style="thin">
        <color indexed="8"/>
      </left>
      <right/>
      <top style="thin">
        <color indexed="8"/>
      </top>
      <bottom/>
      <diagonal/>
    </border>
    <border>
      <left style="thin">
        <color auto="1"/>
      </left>
      <right style="thin">
        <color auto="1"/>
      </right>
      <top/>
      <bottom style="medium">
        <color auto="1"/>
      </bottom>
      <diagonal/>
    </border>
    <border>
      <left style="medium">
        <color auto="1"/>
      </left>
      <right style="medium">
        <color auto="1"/>
      </right>
      <top/>
      <bottom style="medium">
        <color auto="1"/>
      </bottom>
      <diagonal/>
    </border>
    <border>
      <left/>
      <right/>
      <top/>
      <bottom style="thick">
        <color theme="4" tint="0.39997558519241921"/>
      </bottom>
      <diagonal/>
    </border>
    <border>
      <left/>
      <right style="medium">
        <color auto="1"/>
      </right>
      <top style="thin">
        <color auto="1"/>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auto="1"/>
      </bottom>
      <diagonal/>
    </border>
    <border>
      <left/>
      <right/>
      <top style="medium">
        <color indexed="64"/>
      </top>
      <bottom style="medium">
        <color auto="1"/>
      </bottom>
      <diagonal/>
    </border>
    <border>
      <left/>
      <right style="medium">
        <color indexed="64"/>
      </right>
      <top style="medium">
        <color indexed="64"/>
      </top>
      <bottom style="medium">
        <color auto="1"/>
      </bottom>
      <diagonal/>
    </border>
    <border>
      <left style="thin">
        <color indexed="64"/>
      </left>
      <right style="thin">
        <color indexed="64"/>
      </right>
      <top/>
      <bottom/>
      <diagonal/>
    </border>
    <border>
      <left style="thin">
        <color auto="1"/>
      </left>
      <right/>
      <top/>
      <bottom style="medium">
        <color indexed="64"/>
      </bottom>
      <diagonal/>
    </border>
    <border>
      <left/>
      <right style="thin">
        <color auto="1"/>
      </right>
      <top/>
      <bottom style="medium">
        <color indexed="64"/>
      </bottom>
      <diagonal/>
    </border>
    <border>
      <left style="medium">
        <color auto="1"/>
      </left>
      <right style="thin">
        <color auto="1"/>
      </right>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bottom style="medium">
        <color indexed="64"/>
      </bottom>
      <diagonal/>
    </border>
    <border>
      <left/>
      <right/>
      <top style="medium">
        <color indexed="64"/>
      </top>
      <bottom/>
      <diagonal/>
    </border>
    <border>
      <left style="medium">
        <color auto="1"/>
      </left>
      <right/>
      <top style="thin">
        <color auto="1"/>
      </top>
      <bottom/>
      <diagonal/>
    </border>
    <border>
      <left/>
      <right style="medium">
        <color auto="1"/>
      </right>
      <top style="thin">
        <color indexed="64"/>
      </top>
      <bottom style="medium">
        <color indexed="64"/>
      </bottom>
      <diagonal/>
    </border>
    <border>
      <left style="medium">
        <color auto="1"/>
      </left>
      <right style="medium">
        <color auto="1"/>
      </right>
      <top style="thin">
        <color auto="1"/>
      </top>
      <bottom style="thin">
        <color auto="1"/>
      </bottom>
      <diagonal/>
    </border>
    <border>
      <left style="thin">
        <color auto="1"/>
      </left>
      <right/>
      <top style="thin">
        <color indexed="64"/>
      </top>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auto="1"/>
      </left>
      <right/>
      <top style="thin">
        <color auto="1"/>
      </top>
      <bottom style="medium">
        <color auto="1"/>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top style="thick">
        <color indexed="64"/>
      </top>
      <bottom/>
      <diagonal/>
    </border>
    <border>
      <left/>
      <right style="thick">
        <color indexed="64"/>
      </right>
      <top style="thick">
        <color indexed="64"/>
      </top>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top style="thin">
        <color indexed="64"/>
      </top>
      <bottom/>
      <diagonal/>
    </border>
    <border>
      <left/>
      <right style="thick">
        <color indexed="64"/>
      </right>
      <top style="thin">
        <color indexed="64"/>
      </top>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top/>
      <bottom style="thin">
        <color indexed="64"/>
      </bottom>
      <diagonal/>
    </border>
    <border>
      <left/>
      <right/>
      <top/>
      <bottom style="thin">
        <color indexed="64"/>
      </bottom>
      <diagonal/>
    </border>
    <border>
      <left style="thick">
        <color indexed="64"/>
      </left>
      <right/>
      <top/>
      <bottom style="thick">
        <color indexed="64"/>
      </bottom>
      <diagonal/>
    </border>
    <border>
      <left/>
      <right style="thick">
        <color indexed="64"/>
      </right>
      <top/>
      <bottom style="thick">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auto="1"/>
      </right>
      <top/>
      <bottom style="thin">
        <color indexed="64"/>
      </bottom>
      <diagonal/>
    </border>
    <border>
      <left style="medium">
        <color indexed="64"/>
      </left>
      <right/>
      <top/>
      <bottom style="thin">
        <color indexed="64"/>
      </bottom>
      <diagonal/>
    </border>
    <border>
      <left style="thin">
        <color auto="1"/>
      </left>
      <right style="medium">
        <color auto="1"/>
      </right>
      <top/>
      <bottom/>
      <diagonal/>
    </border>
    <border>
      <left/>
      <right style="medium">
        <color auto="1"/>
      </right>
      <top style="thin">
        <color indexed="64"/>
      </top>
      <bottom style="thin">
        <color auto="1"/>
      </bottom>
      <diagonal/>
    </border>
    <border>
      <left/>
      <right/>
      <top style="thin">
        <color auto="1"/>
      </top>
      <bottom style="hair">
        <color auto="1"/>
      </bottom>
      <diagonal/>
    </border>
    <border>
      <left style="medium">
        <color auto="1"/>
      </left>
      <right style="thin">
        <color auto="1"/>
      </right>
      <top style="thin">
        <color auto="1"/>
      </top>
      <bottom style="hair">
        <color auto="1"/>
      </bottom>
      <diagonal/>
    </border>
    <border>
      <left style="thin">
        <color indexed="64"/>
      </left>
      <right style="thin">
        <color indexed="64"/>
      </right>
      <top style="thin">
        <color auto="1"/>
      </top>
      <bottom style="hair">
        <color auto="1"/>
      </bottom>
      <diagonal/>
    </border>
    <border>
      <left style="thin">
        <color auto="1"/>
      </left>
      <right style="medium">
        <color indexed="64"/>
      </right>
      <top style="thin">
        <color auto="1"/>
      </top>
      <bottom style="hair">
        <color auto="1"/>
      </bottom>
      <diagonal/>
    </border>
    <border>
      <left/>
      <right/>
      <top style="hair">
        <color auto="1"/>
      </top>
      <bottom style="hair">
        <color auto="1"/>
      </bottom>
      <diagonal/>
    </border>
    <border>
      <left style="medium">
        <color auto="1"/>
      </left>
      <right style="thin">
        <color auto="1"/>
      </right>
      <top style="hair">
        <color auto="1"/>
      </top>
      <bottom style="hair">
        <color auto="1"/>
      </bottom>
      <diagonal/>
    </border>
    <border>
      <left style="thin">
        <color auto="1"/>
      </left>
      <right style="medium">
        <color indexed="64"/>
      </right>
      <top style="hair">
        <color auto="1"/>
      </top>
      <bottom style="hair">
        <color auto="1"/>
      </bottom>
      <diagonal/>
    </border>
    <border>
      <left style="medium">
        <color indexed="64"/>
      </left>
      <right/>
      <top style="thin">
        <color auto="1"/>
      </top>
      <bottom style="hair">
        <color auto="1"/>
      </bottom>
      <diagonal/>
    </border>
    <border>
      <left style="medium">
        <color indexed="64"/>
      </left>
      <right/>
      <top style="hair">
        <color auto="1"/>
      </top>
      <bottom style="hair">
        <color auto="1"/>
      </bottom>
      <diagonal/>
    </border>
    <border>
      <left style="medium">
        <color auto="1"/>
      </left>
      <right/>
      <top style="hair">
        <color auto="1"/>
      </top>
      <bottom style="medium">
        <color indexed="64"/>
      </bottom>
      <diagonal/>
    </border>
    <border>
      <left/>
      <right/>
      <top style="hair">
        <color auto="1"/>
      </top>
      <bottom style="medium">
        <color indexed="64"/>
      </bottom>
      <diagonal/>
    </border>
    <border>
      <left/>
      <right style="medium">
        <color indexed="64"/>
      </right>
      <top style="hair">
        <color auto="1"/>
      </top>
      <bottom style="medium">
        <color indexed="64"/>
      </bottom>
      <diagonal/>
    </border>
    <border>
      <left/>
      <right style="thin">
        <color auto="1"/>
      </right>
      <top style="hair">
        <color auto="1"/>
      </top>
      <bottom style="medium">
        <color indexed="64"/>
      </bottom>
      <diagonal/>
    </border>
    <border>
      <left style="thin">
        <color indexed="64"/>
      </left>
      <right style="thin">
        <color indexed="64"/>
      </right>
      <top style="hair">
        <color auto="1"/>
      </top>
      <bottom style="medium">
        <color indexed="64"/>
      </bottom>
      <diagonal/>
    </border>
    <border>
      <left style="thin">
        <color indexed="64"/>
      </left>
      <right style="medium">
        <color indexed="64"/>
      </right>
      <top style="hair">
        <color auto="1"/>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thin">
        <color auto="1"/>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right style="medium">
        <color auto="1"/>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style="thin">
        <color auto="1"/>
      </right>
      <top style="medium">
        <color indexed="64"/>
      </top>
      <bottom style="hair">
        <color auto="1"/>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auto="1"/>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medium">
        <color auto="1"/>
      </right>
      <top style="medium">
        <color auto="1"/>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style="thin">
        <color auto="1"/>
      </right>
      <top style="medium">
        <color auto="1"/>
      </top>
      <bottom style="thin">
        <color auto="1"/>
      </bottom>
      <diagonal/>
    </border>
    <border>
      <left style="thin">
        <color indexed="64"/>
      </left>
      <right/>
      <top style="medium">
        <color indexed="64"/>
      </top>
      <bottom style="thin">
        <color indexed="64"/>
      </bottom>
      <diagonal/>
    </border>
    <border>
      <left style="thin">
        <color auto="1"/>
      </left>
      <right/>
      <top/>
      <bottom style="thin">
        <color auto="1"/>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auto="1"/>
      </top>
      <bottom style="medium">
        <color indexed="64"/>
      </bottom>
      <diagonal/>
    </border>
    <border>
      <left style="medium">
        <color indexed="64"/>
      </left>
      <right style="thin">
        <color indexed="64"/>
      </right>
      <top style="medium">
        <color indexed="64"/>
      </top>
      <bottom style="medium">
        <color indexed="64"/>
      </bottom>
      <diagonal/>
    </border>
    <border>
      <left style="thin">
        <color auto="1"/>
      </left>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auto="1"/>
      </top>
      <bottom/>
      <diagonal/>
    </border>
    <border>
      <left style="thin">
        <color auto="1"/>
      </left>
      <right/>
      <top style="thin">
        <color auto="1"/>
      </top>
      <bottom style="hair">
        <color auto="1"/>
      </bottom>
      <diagonal/>
    </border>
    <border>
      <left/>
      <right style="medium">
        <color auto="1"/>
      </right>
      <top style="thin">
        <color auto="1"/>
      </top>
      <bottom style="hair">
        <color auto="1"/>
      </bottom>
      <diagonal/>
    </border>
    <border>
      <left style="thin">
        <color auto="1"/>
      </left>
      <right/>
      <top style="hair">
        <color auto="1"/>
      </top>
      <bottom style="hair">
        <color auto="1"/>
      </bottom>
      <diagonal/>
    </border>
    <border>
      <left style="medium">
        <color auto="1"/>
      </left>
      <right style="thin">
        <color indexed="64"/>
      </right>
      <top style="hair">
        <color auto="1"/>
      </top>
      <bottom style="thin">
        <color indexed="64"/>
      </bottom>
      <diagonal/>
    </border>
    <border>
      <left/>
      <right/>
      <top style="hair">
        <color auto="1"/>
      </top>
      <bottom style="thin">
        <color indexed="64"/>
      </bottom>
      <diagonal/>
    </border>
    <border>
      <left style="thin">
        <color indexed="64"/>
      </left>
      <right style="thin">
        <color indexed="64"/>
      </right>
      <top style="hair">
        <color auto="1"/>
      </top>
      <bottom style="thin">
        <color indexed="64"/>
      </bottom>
      <diagonal/>
    </border>
    <border>
      <left/>
      <right/>
      <top style="medium">
        <color indexed="64"/>
      </top>
      <bottom style="thin">
        <color auto="1"/>
      </bottom>
      <diagonal/>
    </border>
    <border>
      <left/>
      <right style="thin">
        <color auto="1"/>
      </right>
      <top style="thin">
        <color indexed="64"/>
      </top>
      <bottom style="hair">
        <color auto="1"/>
      </bottom>
      <diagonal/>
    </border>
    <border>
      <left style="medium">
        <color auto="1"/>
      </left>
      <right/>
      <top style="hair">
        <color auto="1"/>
      </top>
      <bottom style="thin">
        <color auto="1"/>
      </bottom>
      <diagonal/>
    </border>
    <border>
      <left/>
      <right style="thin">
        <color auto="1"/>
      </right>
      <top style="hair">
        <color auto="1"/>
      </top>
      <bottom style="thin">
        <color auto="1"/>
      </bottom>
      <diagonal/>
    </border>
    <border>
      <left style="thin">
        <color auto="1"/>
      </left>
      <right/>
      <top style="hair">
        <color auto="1"/>
      </top>
      <bottom style="thin">
        <color auto="1"/>
      </bottom>
      <diagonal/>
    </border>
    <border>
      <left style="thin">
        <color indexed="64"/>
      </left>
      <right style="medium">
        <color indexed="64"/>
      </right>
      <top style="hair">
        <color auto="1"/>
      </top>
      <bottom style="thin">
        <color auto="1"/>
      </bottom>
      <diagonal/>
    </border>
    <border>
      <left style="medium">
        <color indexed="64"/>
      </left>
      <right style="thin">
        <color indexed="64"/>
      </right>
      <top style="hair">
        <color indexed="64"/>
      </top>
      <bottom style="medium">
        <color indexed="64"/>
      </bottom>
      <diagonal/>
    </border>
    <border>
      <left style="medium">
        <color indexed="64"/>
      </left>
      <right style="thin">
        <color auto="1"/>
      </right>
      <top/>
      <bottom style="hair">
        <color auto="1"/>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bottom style="thin">
        <color indexed="64"/>
      </bottom>
      <diagonal/>
    </border>
    <border>
      <left/>
      <right style="thin">
        <color auto="1"/>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auto="1"/>
      </right>
      <top style="hair">
        <color auto="1"/>
      </top>
      <bottom/>
      <diagonal/>
    </border>
    <border>
      <left style="medium">
        <color indexed="64"/>
      </left>
      <right style="thin">
        <color indexed="64"/>
      </right>
      <top style="hair">
        <color auto="1"/>
      </top>
      <bottom/>
      <diagonal/>
    </border>
    <border>
      <left style="thin">
        <color auto="1"/>
      </left>
      <right style="thin">
        <color indexed="64"/>
      </right>
      <top style="hair">
        <color auto="1"/>
      </top>
      <bottom/>
      <diagonal/>
    </border>
    <border>
      <left/>
      <right style="medium">
        <color auto="1"/>
      </right>
      <top/>
      <bottom style="hair">
        <color indexed="64"/>
      </bottom>
      <diagonal/>
    </border>
    <border>
      <left style="thin">
        <color indexed="64"/>
      </left>
      <right style="medium">
        <color indexed="64"/>
      </right>
      <top style="medium">
        <color indexed="64"/>
      </top>
      <bottom/>
      <diagonal/>
    </border>
    <border>
      <left style="thick">
        <color indexed="64"/>
      </left>
      <right/>
      <top style="thin">
        <color indexed="64"/>
      </top>
      <bottom style="thick">
        <color indexed="64"/>
      </bottom>
      <diagonal/>
    </border>
    <border>
      <left/>
      <right/>
      <top style="thin">
        <color auto="1"/>
      </top>
      <bottom style="thick">
        <color indexed="64"/>
      </bottom>
      <diagonal/>
    </border>
    <border>
      <left/>
      <right style="thick">
        <color indexed="64"/>
      </right>
      <top style="thin">
        <color indexed="64"/>
      </top>
      <bottom style="thick">
        <color indexed="64"/>
      </bottom>
      <diagonal/>
    </border>
    <border>
      <left style="thin">
        <color indexed="64"/>
      </left>
      <right/>
      <top style="medium">
        <color indexed="64"/>
      </top>
      <bottom style="medium">
        <color indexed="64"/>
      </bottom>
      <diagonal/>
    </border>
    <border>
      <left style="medium">
        <color auto="1"/>
      </left>
      <right style="medium">
        <color auto="1"/>
      </right>
      <top/>
      <bottom/>
      <diagonal/>
    </border>
    <border>
      <left/>
      <right style="thin">
        <color indexed="64"/>
      </right>
      <top style="medium">
        <color indexed="64"/>
      </top>
      <bottom/>
      <diagonal/>
    </border>
    <border>
      <left/>
      <right/>
      <top style="thin">
        <color auto="1"/>
      </top>
      <bottom style="medium">
        <color auto="1"/>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style="thin">
        <color auto="1"/>
      </left>
      <right/>
      <top style="medium">
        <color auto="1"/>
      </top>
      <bottom style="hair">
        <color auto="1"/>
      </bottom>
      <diagonal/>
    </border>
    <border>
      <left/>
      <right style="thin">
        <color indexed="64"/>
      </right>
      <top style="medium">
        <color indexed="64"/>
      </top>
      <bottom style="thin">
        <color auto="1"/>
      </bottom>
      <diagonal/>
    </border>
    <border>
      <left/>
      <right/>
      <top/>
      <bottom style="thick">
        <color indexed="64"/>
      </bottom>
      <diagonal/>
    </border>
    <border>
      <left/>
      <right/>
      <top style="thick">
        <color indexed="64"/>
      </top>
      <bottom/>
      <diagonal/>
    </border>
    <border>
      <left/>
      <right style="thick">
        <color indexed="64"/>
      </right>
      <top/>
      <bottom style="thin">
        <color indexed="64"/>
      </bottom>
      <diagonal/>
    </border>
    <border>
      <left style="thin">
        <color auto="1"/>
      </left>
      <right style="medium">
        <color auto="1"/>
      </right>
      <top/>
      <bottom style="hair">
        <color indexed="64"/>
      </bottom>
      <diagonal/>
    </border>
    <border>
      <left style="thin">
        <color indexed="64"/>
      </left>
      <right/>
      <top style="hair">
        <color indexed="64"/>
      </top>
      <bottom style="medium">
        <color auto="1"/>
      </bottom>
      <diagonal/>
    </border>
    <border>
      <left/>
      <right style="thin">
        <color auto="1"/>
      </right>
      <top/>
      <bottom style="thin">
        <color auto="1"/>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auto="1"/>
      </left>
      <right style="medium">
        <color auto="1"/>
      </right>
      <top style="thin">
        <color auto="1"/>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ck">
        <color indexed="64"/>
      </left>
      <right/>
      <top/>
      <bottom/>
      <diagonal/>
    </border>
    <border>
      <left/>
      <right style="thick">
        <color indexed="64"/>
      </right>
      <top/>
      <bottom/>
      <diagonal/>
    </border>
    <border>
      <left style="thick">
        <color indexed="64"/>
      </left>
      <right/>
      <top style="thin">
        <color auto="1"/>
      </top>
      <bottom style="medium">
        <color auto="1"/>
      </bottom>
      <diagonal/>
    </border>
    <border>
      <left/>
      <right style="thick">
        <color indexed="64"/>
      </right>
      <top style="thin">
        <color indexed="64"/>
      </top>
      <bottom style="medium">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style="medium">
        <color indexed="64"/>
      </top>
      <bottom style="thin">
        <color indexed="64"/>
      </bottom>
      <diagonal/>
    </border>
    <border>
      <left/>
      <right style="thick">
        <color indexed="64"/>
      </right>
      <top style="medium">
        <color indexed="64"/>
      </top>
      <bottom style="thin">
        <color indexed="64"/>
      </bottom>
      <diagonal/>
    </border>
    <border>
      <left style="thin">
        <color auto="1"/>
      </left>
      <right style="medium">
        <color indexed="64"/>
      </right>
      <top style="hair">
        <color auto="1"/>
      </top>
      <bottom/>
      <diagonal/>
    </border>
    <border>
      <left/>
      <right style="thin">
        <color indexed="64"/>
      </right>
      <top/>
      <bottom/>
      <diagonal/>
    </border>
    <border>
      <left style="thick">
        <color indexed="64"/>
      </left>
      <right/>
      <top style="medium">
        <color indexed="64"/>
      </top>
      <bottom/>
      <diagonal/>
    </border>
    <border>
      <left style="thick">
        <color indexed="64"/>
      </left>
      <right/>
      <top style="thin">
        <color auto="1"/>
      </top>
      <bottom style="hair">
        <color auto="1"/>
      </bottom>
      <diagonal/>
    </border>
    <border>
      <left style="thick">
        <color indexed="64"/>
      </left>
      <right/>
      <top style="hair">
        <color auto="1"/>
      </top>
      <bottom style="hair">
        <color auto="1"/>
      </bottom>
      <diagonal/>
    </border>
    <border>
      <left style="thick">
        <color indexed="64"/>
      </left>
      <right/>
      <top style="hair">
        <color auto="1"/>
      </top>
      <bottom style="thin">
        <color auto="1"/>
      </bottom>
      <diagonal/>
    </border>
    <border>
      <left style="thin">
        <color indexed="64"/>
      </left>
      <right style="thin">
        <color indexed="64"/>
      </right>
      <top style="thin">
        <color indexed="64"/>
      </top>
      <bottom style="thick">
        <color indexed="64"/>
      </bottom>
      <diagonal/>
    </border>
    <border>
      <left style="thick">
        <color indexed="64"/>
      </left>
      <right style="thin">
        <color indexed="64"/>
      </right>
      <top style="thin">
        <color indexed="64"/>
      </top>
      <bottom/>
      <diagonal/>
    </border>
    <border>
      <left style="thick">
        <color indexed="64"/>
      </left>
      <right style="thin">
        <color auto="1"/>
      </right>
      <top/>
      <bottom style="hair">
        <color auto="1"/>
      </bottom>
      <diagonal/>
    </border>
    <border>
      <left style="thick">
        <color indexed="64"/>
      </left>
      <right style="thin">
        <color indexed="64"/>
      </right>
      <top style="hair">
        <color auto="1"/>
      </top>
      <bottom/>
      <diagonal/>
    </border>
    <border>
      <left style="thick">
        <color indexed="64"/>
      </left>
      <right style="thin">
        <color indexed="64"/>
      </right>
      <top/>
      <bottom style="thin">
        <color indexed="64"/>
      </bottom>
      <diagonal/>
    </border>
    <border>
      <left style="thick">
        <color indexed="64"/>
      </left>
      <right/>
      <top style="hair">
        <color auto="1"/>
      </top>
      <bottom style="thick">
        <color indexed="64"/>
      </bottom>
      <diagonal/>
    </border>
    <border>
      <left style="thick">
        <color indexed="64"/>
      </left>
      <right/>
      <top style="hair">
        <color auto="1"/>
      </top>
      <bottom style="medium">
        <color indexed="64"/>
      </bottom>
      <diagonal/>
    </border>
    <border>
      <left style="thin">
        <color indexed="64"/>
      </left>
      <right style="thick">
        <color indexed="64"/>
      </right>
      <top style="thin">
        <color indexed="64"/>
      </top>
      <bottom/>
      <diagonal/>
    </border>
    <border>
      <left style="thin">
        <color auto="1"/>
      </left>
      <right style="thick">
        <color indexed="64"/>
      </right>
      <top/>
      <bottom/>
      <diagonal/>
    </border>
    <border>
      <left style="thin">
        <color indexed="64"/>
      </left>
      <right style="thick">
        <color indexed="64"/>
      </right>
      <top/>
      <bottom style="thin">
        <color indexed="64"/>
      </bottom>
      <diagonal/>
    </border>
    <border>
      <left style="thin">
        <color auto="1"/>
      </left>
      <right/>
      <top/>
      <bottom style="thick">
        <color indexed="64"/>
      </bottom>
      <diagonal/>
    </border>
    <border>
      <left/>
      <right style="thin">
        <color auto="1"/>
      </right>
      <top/>
      <bottom style="thick">
        <color indexed="64"/>
      </bottom>
      <diagonal/>
    </border>
    <border>
      <left style="thin">
        <color indexed="64"/>
      </left>
      <right style="thick">
        <color indexed="64"/>
      </right>
      <top/>
      <bottom style="thick">
        <color indexed="64"/>
      </bottom>
      <diagonal/>
    </border>
    <border>
      <left/>
      <right style="medium">
        <color indexed="64"/>
      </right>
      <top style="thick">
        <color indexed="64"/>
      </top>
      <bottom/>
      <diagonal/>
    </border>
    <border>
      <left/>
      <right style="thick">
        <color indexed="64"/>
      </right>
      <top style="thin">
        <color indexed="64"/>
      </top>
      <bottom style="hair">
        <color auto="1"/>
      </bottom>
      <diagonal/>
    </border>
    <border>
      <left/>
      <right style="thick">
        <color indexed="64"/>
      </right>
      <top style="hair">
        <color indexed="64"/>
      </top>
      <bottom style="hair">
        <color indexed="64"/>
      </bottom>
      <diagonal/>
    </border>
    <border>
      <left/>
      <right style="thick">
        <color indexed="64"/>
      </right>
      <top style="hair">
        <color auto="1"/>
      </top>
      <bottom style="thin">
        <color auto="1"/>
      </bottom>
      <diagonal/>
    </border>
    <border>
      <left style="thin">
        <color indexed="64"/>
      </left>
      <right/>
      <top style="hair">
        <color indexed="64"/>
      </top>
      <bottom style="thick">
        <color indexed="64"/>
      </bottom>
      <diagonal/>
    </border>
    <border>
      <left/>
      <right/>
      <top style="hair">
        <color auto="1"/>
      </top>
      <bottom style="thick">
        <color indexed="64"/>
      </bottom>
      <diagonal/>
    </border>
    <border>
      <left/>
      <right style="thick">
        <color indexed="64"/>
      </right>
      <top style="hair">
        <color auto="1"/>
      </top>
      <bottom style="thick">
        <color indexed="64"/>
      </bottom>
      <diagonal/>
    </border>
    <border>
      <left/>
      <right style="thick">
        <color indexed="64"/>
      </right>
      <top/>
      <bottom style="hair">
        <color auto="1"/>
      </bottom>
      <diagonal/>
    </border>
    <border>
      <left/>
      <right style="medium">
        <color indexed="64"/>
      </right>
      <top/>
      <bottom style="thick">
        <color indexed="64"/>
      </bottom>
      <diagonal/>
    </border>
    <border>
      <left/>
      <right style="thin">
        <color auto="1"/>
      </right>
      <top style="hair">
        <color indexed="64"/>
      </top>
      <bottom style="thick">
        <color indexed="64"/>
      </bottom>
      <diagonal/>
    </border>
    <border>
      <left style="thick">
        <color indexed="64"/>
      </left>
      <right/>
      <top style="thick">
        <color indexed="64"/>
      </top>
      <bottom style="hair">
        <color indexed="64"/>
      </bottom>
      <diagonal/>
    </border>
    <border>
      <left/>
      <right style="thin">
        <color auto="1"/>
      </right>
      <top style="thick">
        <color indexed="64"/>
      </top>
      <bottom style="hair">
        <color indexed="64"/>
      </bottom>
      <diagonal/>
    </border>
    <border>
      <left style="medium">
        <color indexed="64"/>
      </left>
      <right/>
      <top style="thick">
        <color indexed="64"/>
      </top>
      <bottom/>
      <diagonal/>
    </border>
    <border>
      <left/>
      <right style="thin">
        <color indexed="64"/>
      </right>
      <top style="thin">
        <color indexed="64"/>
      </top>
      <bottom style="thick">
        <color indexed="64"/>
      </bottom>
      <diagonal/>
    </border>
    <border>
      <left style="medium">
        <color auto="1"/>
      </left>
      <right/>
      <top/>
      <bottom style="medium">
        <color indexed="64"/>
      </bottom>
      <diagonal/>
    </border>
    <border>
      <left style="thin">
        <color auto="1"/>
      </left>
      <right/>
      <top/>
      <bottom style="medium">
        <color auto="1"/>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s>
  <cellStyleXfs count="1362">
    <xf numFmtId="0" fontId="0" fillId="0" borderId="0"/>
    <xf numFmtId="9" fontId="11" fillId="0" borderId="0" applyFont="0" applyFill="0" applyBorder="0" applyAlignment="0" applyProtection="0"/>
    <xf numFmtId="0" fontId="11" fillId="0" borderId="0"/>
    <xf numFmtId="43" fontId="11" fillId="0" borderId="0" applyFont="0" applyFill="0" applyBorder="0" applyAlignment="0" applyProtection="0"/>
    <xf numFmtId="44" fontId="11" fillId="0" borderId="0" applyFont="0" applyFill="0" applyBorder="0" applyAlignment="0" applyProtection="0"/>
    <xf numFmtId="0" fontId="11" fillId="0" borderId="0"/>
    <xf numFmtId="0" fontId="11" fillId="0" borderId="0"/>
    <xf numFmtId="9" fontId="11" fillId="0" borderId="0" applyFont="0" applyFill="0" applyBorder="0" applyAlignment="0" applyProtection="0"/>
    <xf numFmtId="9" fontId="11" fillId="0" borderId="0" applyFont="0" applyFill="0" applyBorder="0" applyAlignment="0" applyProtection="0"/>
    <xf numFmtId="0" fontId="18" fillId="0" borderId="0"/>
    <xf numFmtId="9" fontId="18"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9" fontId="10" fillId="0" borderId="0" applyFont="0" applyFill="0" applyBorder="0" applyAlignment="0" applyProtection="0"/>
    <xf numFmtId="0" fontId="11" fillId="0" borderId="0"/>
    <xf numFmtId="0" fontId="19" fillId="0" borderId="0"/>
    <xf numFmtId="9" fontId="19" fillId="0" borderId="0" applyFont="0" applyFill="0" applyBorder="0" applyAlignment="0" applyProtection="0"/>
    <xf numFmtId="43" fontId="19" fillId="0" borderId="0" applyFont="0" applyFill="0" applyBorder="0" applyAlignment="0" applyProtection="0"/>
    <xf numFmtId="0" fontId="20" fillId="0" borderId="0"/>
    <xf numFmtId="43" fontId="20" fillId="0" borderId="0" applyFont="0" applyFill="0" applyBorder="0" applyAlignment="0" applyProtection="0"/>
    <xf numFmtId="0" fontId="10" fillId="0" borderId="0"/>
    <xf numFmtId="43" fontId="18" fillId="0" borderId="0" applyFont="0" applyFill="0" applyBorder="0" applyAlignment="0" applyProtection="0"/>
    <xf numFmtId="0" fontId="21" fillId="0" borderId="0"/>
    <xf numFmtId="9" fontId="18" fillId="0" borderId="0" applyFon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9" fillId="0" borderId="0"/>
    <xf numFmtId="9" fontId="9" fillId="0" borderId="0" applyFont="0" applyFill="0" applyBorder="0" applyAlignment="0" applyProtection="0"/>
    <xf numFmtId="0" fontId="8" fillId="0" borderId="0"/>
    <xf numFmtId="9" fontId="8" fillId="0" borderId="0" applyFont="0" applyFill="0" applyBorder="0" applyAlignment="0" applyProtection="0"/>
    <xf numFmtId="180" fontId="28" fillId="0" borderId="0">
      <alignment horizontal="right"/>
    </xf>
    <xf numFmtId="181" fontId="28" fillId="0" borderId="0">
      <alignment horizontal="right"/>
    </xf>
    <xf numFmtId="182" fontId="28" fillId="0" borderId="0">
      <alignment horizontal="right"/>
    </xf>
    <xf numFmtId="183" fontId="18" fillId="0" borderId="0" applyFont="0" applyFill="0" applyBorder="0" applyAlignment="0" applyProtection="0"/>
    <xf numFmtId="184"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184" fontId="18" fillId="0" borderId="0" applyFont="0" applyFill="0" applyBorder="0" applyAlignment="0" applyProtection="0"/>
    <xf numFmtId="184"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185" fontId="18" fillId="0" borderId="0" applyFont="0" applyFill="0" applyBorder="0" applyAlignment="0" applyProtection="0"/>
    <xf numFmtId="186" fontId="18" fillId="0" borderId="0" applyFont="0" applyFill="0" applyBorder="0" applyAlignment="0" applyProtection="0"/>
    <xf numFmtId="186" fontId="18" fillId="0" borderId="0" applyFont="0" applyFill="0" applyBorder="0" applyAlignment="0" applyProtection="0"/>
    <xf numFmtId="185"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185"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185"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185"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185" fontId="18" fillId="0" borderId="0" applyFont="0" applyFill="0" applyBorder="0" applyAlignment="0" applyProtection="0"/>
    <xf numFmtId="185" fontId="18" fillId="0" borderId="0" applyFont="0" applyFill="0" applyBorder="0" applyAlignment="0" applyProtection="0"/>
    <xf numFmtId="186"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185"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185"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185" fontId="18" fillId="0" borderId="0" applyFont="0" applyFill="0" applyBorder="0" applyAlignment="0" applyProtection="0"/>
    <xf numFmtId="185" fontId="18" fillId="0" borderId="0" applyFont="0" applyFill="0" applyBorder="0" applyAlignment="0" applyProtection="0"/>
    <xf numFmtId="186"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185"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185"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185" fontId="18" fillId="0" borderId="0" applyFont="0" applyFill="0" applyBorder="0" applyAlignment="0" applyProtection="0"/>
    <xf numFmtId="186" fontId="18" fillId="0" borderId="0" applyFont="0" applyFill="0" applyBorder="0" applyAlignment="0" applyProtection="0"/>
    <xf numFmtId="0" fontId="18" fillId="0" borderId="0" applyFont="0" applyFill="0" applyBorder="0" applyAlignment="0" applyProtection="0"/>
    <xf numFmtId="186" fontId="18" fillId="0" borderId="0" applyFont="0" applyFill="0" applyBorder="0" applyAlignment="0" applyProtection="0"/>
    <xf numFmtId="0" fontId="18" fillId="0" borderId="0" applyFont="0" applyFill="0" applyBorder="0" applyAlignment="0" applyProtection="0"/>
    <xf numFmtId="185" fontId="18" fillId="0" borderId="0" applyFont="0" applyFill="0" applyBorder="0" applyAlignment="0" applyProtection="0"/>
    <xf numFmtId="186" fontId="18" fillId="0" borderId="0" applyFont="0" applyFill="0" applyBorder="0" applyAlignment="0" applyProtection="0"/>
    <xf numFmtId="186" fontId="18" fillId="0" borderId="0" applyFont="0" applyFill="0" applyBorder="0" applyAlignment="0" applyProtection="0"/>
    <xf numFmtId="185" fontId="18" fillId="0" borderId="0" applyFont="0" applyFill="0" applyBorder="0" applyAlignment="0" applyProtection="0"/>
    <xf numFmtId="185" fontId="18" fillId="0" borderId="0" applyFont="0" applyFill="0" applyBorder="0" applyAlignment="0" applyProtection="0"/>
    <xf numFmtId="0" fontId="18" fillId="0" borderId="0" applyFont="0" applyFill="0" applyBorder="0" applyAlignment="0" applyProtection="0"/>
    <xf numFmtId="185" fontId="18" fillId="0" borderId="0" applyFont="0" applyFill="0" applyBorder="0" applyAlignment="0" applyProtection="0"/>
    <xf numFmtId="185" fontId="18" fillId="0" borderId="0" applyFont="0" applyFill="0" applyBorder="0" applyAlignment="0" applyProtection="0"/>
    <xf numFmtId="185" fontId="18" fillId="0" borderId="0" applyFont="0" applyFill="0" applyBorder="0" applyAlignment="0" applyProtection="0"/>
    <xf numFmtId="185" fontId="18" fillId="0" borderId="0" applyFont="0" applyFill="0" applyBorder="0" applyAlignment="0" applyProtection="0"/>
    <xf numFmtId="186" fontId="29"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186" fontId="18" fillId="0" borderId="0" applyFont="0" applyFill="0" applyBorder="0" applyAlignment="0" applyProtection="0"/>
    <xf numFmtId="0" fontId="18" fillId="0" borderId="0" applyFont="0" applyFill="0" applyBorder="0" applyAlignment="0" applyProtection="0"/>
    <xf numFmtId="185" fontId="18" fillId="0" borderId="0" applyFont="0" applyFill="0" applyBorder="0" applyAlignment="0" applyProtection="0"/>
    <xf numFmtId="185"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185"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185" fontId="18" fillId="0" borderId="0" applyFont="0" applyFill="0" applyBorder="0" applyAlignment="0" applyProtection="0"/>
    <xf numFmtId="185" fontId="18" fillId="0" borderId="0" applyFont="0" applyFill="0" applyBorder="0" applyAlignment="0" applyProtection="0"/>
    <xf numFmtId="185" fontId="18" fillId="0" borderId="0" applyFont="0" applyFill="0" applyBorder="0" applyAlignment="0" applyProtection="0"/>
    <xf numFmtId="186" fontId="18" fillId="0" borderId="0" applyFont="0" applyFill="0" applyBorder="0" applyAlignment="0" applyProtection="0"/>
    <xf numFmtId="186" fontId="18" fillId="0" borderId="0" applyFont="0" applyFill="0" applyBorder="0" applyAlignment="0" applyProtection="0"/>
    <xf numFmtId="185" fontId="18" fillId="0" borderId="0" applyFont="0" applyFill="0" applyBorder="0" applyAlignment="0" applyProtection="0"/>
    <xf numFmtId="185" fontId="18" fillId="0" borderId="0" applyFont="0" applyFill="0" applyBorder="0" applyAlignment="0" applyProtection="0"/>
    <xf numFmtId="186" fontId="29" fillId="0" borderId="0" applyFont="0" applyFill="0" applyBorder="0" applyAlignment="0" applyProtection="0"/>
    <xf numFmtId="185" fontId="18" fillId="0" borderId="0" applyFont="0" applyFill="0" applyBorder="0" applyAlignment="0" applyProtection="0"/>
    <xf numFmtId="185" fontId="18" fillId="0" borderId="0" applyFont="0" applyFill="0" applyBorder="0" applyAlignment="0" applyProtection="0"/>
    <xf numFmtId="185" fontId="18" fillId="0" borderId="0" applyFont="0" applyFill="0" applyBorder="0" applyAlignment="0" applyProtection="0"/>
    <xf numFmtId="185" fontId="18" fillId="0" borderId="0" applyFont="0" applyFill="0" applyBorder="0" applyAlignment="0" applyProtection="0"/>
    <xf numFmtId="186" fontId="18" fillId="0" borderId="0" applyFont="0" applyFill="0" applyBorder="0" applyAlignment="0" applyProtection="0"/>
    <xf numFmtId="185" fontId="18" fillId="0" borderId="0" applyFont="0" applyFill="0" applyBorder="0" applyAlignment="0" applyProtection="0"/>
    <xf numFmtId="185"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185"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185"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185" fontId="18" fillId="0" borderId="0" applyFont="0" applyFill="0" applyBorder="0" applyAlignment="0" applyProtection="0"/>
    <xf numFmtId="186" fontId="18" fillId="0" borderId="0" applyFont="0" applyFill="0" applyBorder="0" applyAlignment="0" applyProtection="0"/>
    <xf numFmtId="0" fontId="18" fillId="0" borderId="0" applyFont="0" applyFill="0" applyBorder="0" applyAlignment="0" applyProtection="0"/>
    <xf numFmtId="185" fontId="18" fillId="0" borderId="0" applyFont="0" applyFill="0" applyBorder="0" applyAlignment="0" applyProtection="0"/>
    <xf numFmtId="186" fontId="18" fillId="0" borderId="0" applyFont="0" applyFill="0" applyBorder="0" applyAlignment="0" applyProtection="0"/>
    <xf numFmtId="186" fontId="18" fillId="0" borderId="0" applyFont="0" applyFill="0" applyBorder="0" applyAlignment="0" applyProtection="0"/>
    <xf numFmtId="186" fontId="18" fillId="0" borderId="0" applyFont="0" applyFill="0" applyBorder="0" applyAlignment="0" applyProtection="0"/>
    <xf numFmtId="185" fontId="18" fillId="0" borderId="0" applyFont="0" applyFill="0" applyBorder="0" applyAlignment="0" applyProtection="0"/>
    <xf numFmtId="186" fontId="18" fillId="0" borderId="0" applyFont="0" applyFill="0" applyBorder="0" applyAlignment="0" applyProtection="0"/>
    <xf numFmtId="185" fontId="18" fillId="0" borderId="0" applyFont="0" applyFill="0" applyBorder="0" applyAlignment="0" applyProtection="0"/>
    <xf numFmtId="185"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185"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185"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185" fontId="18" fillId="0" borderId="0" applyFont="0" applyFill="0" applyBorder="0" applyAlignment="0" applyProtection="0"/>
    <xf numFmtId="185" fontId="18" fillId="0" borderId="0" applyFont="0" applyFill="0" applyBorder="0" applyAlignment="0" applyProtection="0"/>
    <xf numFmtId="185" fontId="18" fillId="0" borderId="0" applyFont="0" applyFill="0" applyBorder="0" applyAlignment="0" applyProtection="0"/>
    <xf numFmtId="185" fontId="18" fillId="0" borderId="0" applyFont="0" applyFill="0" applyBorder="0" applyAlignment="0" applyProtection="0"/>
    <xf numFmtId="186" fontId="18" fillId="0" borderId="0" applyFont="0" applyFill="0" applyBorder="0" applyAlignment="0" applyProtection="0"/>
    <xf numFmtId="186" fontId="18" fillId="0" borderId="0" applyFont="0" applyFill="0" applyBorder="0" applyAlignment="0" applyProtection="0"/>
    <xf numFmtId="186" fontId="18" fillId="0" borderId="0" applyFont="0" applyFill="0" applyBorder="0" applyAlignment="0" applyProtection="0"/>
    <xf numFmtId="186" fontId="18" fillId="0" borderId="0" applyFont="0" applyFill="0" applyBorder="0" applyAlignment="0" applyProtection="0"/>
    <xf numFmtId="185" fontId="18" fillId="0" borderId="0" applyFont="0" applyFill="0" applyBorder="0" applyAlignment="0" applyProtection="0"/>
    <xf numFmtId="185" fontId="18" fillId="0" borderId="0" applyFont="0" applyFill="0" applyBorder="0" applyAlignment="0" applyProtection="0"/>
    <xf numFmtId="186" fontId="18" fillId="0" borderId="0" applyFont="0" applyFill="0" applyBorder="0" applyAlignment="0" applyProtection="0"/>
    <xf numFmtId="186" fontId="18" fillId="0" borderId="0" applyFont="0" applyFill="0" applyBorder="0" applyAlignment="0" applyProtection="0"/>
    <xf numFmtId="185" fontId="18" fillId="0" borderId="0" applyFont="0" applyFill="0" applyBorder="0" applyAlignment="0" applyProtection="0"/>
    <xf numFmtId="185" fontId="18" fillId="0" borderId="0" applyFont="0" applyFill="0" applyBorder="0" applyAlignment="0" applyProtection="0"/>
    <xf numFmtId="186"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185"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185"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185" fontId="18" fillId="0" borderId="0" applyFont="0" applyFill="0" applyBorder="0" applyAlignment="0" applyProtection="0"/>
    <xf numFmtId="186" fontId="18" fillId="0" borderId="0" applyFont="0" applyFill="0" applyBorder="0" applyAlignment="0" applyProtection="0"/>
    <xf numFmtId="186" fontId="18" fillId="0" borderId="0" applyFont="0" applyFill="0" applyBorder="0" applyAlignment="0" applyProtection="0"/>
    <xf numFmtId="186" fontId="18" fillId="0" borderId="0" applyFont="0" applyFill="0" applyBorder="0" applyAlignment="0" applyProtection="0"/>
    <xf numFmtId="186" fontId="18" fillId="0" borderId="0" applyFont="0" applyFill="0" applyBorder="0" applyAlignment="0" applyProtection="0"/>
    <xf numFmtId="186" fontId="18" fillId="0" borderId="0" applyFont="0" applyFill="0" applyBorder="0" applyAlignment="0" applyProtection="0"/>
    <xf numFmtId="185" fontId="18" fillId="0" borderId="0" applyFont="0" applyFill="0" applyBorder="0" applyAlignment="0" applyProtection="0"/>
    <xf numFmtId="186" fontId="18" fillId="0" borderId="0" applyFont="0" applyFill="0" applyBorder="0" applyAlignment="0" applyProtection="0"/>
    <xf numFmtId="186" fontId="18" fillId="0" borderId="0" applyFont="0" applyFill="0" applyBorder="0" applyAlignment="0" applyProtection="0"/>
    <xf numFmtId="186" fontId="18" fillId="0" borderId="0" applyFont="0" applyFill="0" applyBorder="0" applyAlignment="0" applyProtection="0"/>
    <xf numFmtId="185" fontId="18" fillId="0" borderId="0" applyFont="0" applyFill="0" applyBorder="0" applyAlignment="0" applyProtection="0"/>
    <xf numFmtId="186" fontId="18" fillId="0" borderId="0" applyFont="0" applyFill="0" applyBorder="0" applyAlignment="0" applyProtection="0"/>
    <xf numFmtId="186" fontId="18" fillId="0" borderId="0" applyFont="0" applyFill="0" applyBorder="0" applyAlignment="0" applyProtection="0"/>
    <xf numFmtId="186" fontId="18" fillId="0" borderId="0" applyFont="0" applyFill="0" applyBorder="0" applyAlignment="0" applyProtection="0"/>
    <xf numFmtId="186" fontId="18" fillId="0" borderId="0" applyFont="0" applyFill="0" applyBorder="0" applyAlignment="0" applyProtection="0"/>
    <xf numFmtId="185" fontId="18" fillId="0" borderId="0" applyFont="0" applyFill="0" applyBorder="0" applyAlignment="0" applyProtection="0"/>
    <xf numFmtId="186" fontId="18" fillId="0" borderId="0" applyFont="0" applyFill="0" applyBorder="0" applyAlignment="0" applyProtection="0"/>
    <xf numFmtId="186" fontId="18" fillId="0" borderId="0" applyFont="0" applyFill="0" applyBorder="0" applyAlignment="0" applyProtection="0"/>
    <xf numFmtId="185" fontId="18" fillId="0" borderId="0" applyFont="0" applyFill="0" applyBorder="0" applyAlignment="0" applyProtection="0"/>
    <xf numFmtId="186" fontId="29" fillId="0" borderId="0" applyFont="0" applyFill="0" applyBorder="0" applyAlignment="0" applyProtection="0"/>
    <xf numFmtId="185" fontId="18" fillId="0" borderId="0" applyFont="0" applyFill="0" applyBorder="0" applyAlignment="0" applyProtection="0"/>
    <xf numFmtId="185"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185"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185"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185" fontId="18" fillId="0" borderId="0" applyFont="0" applyFill="0" applyBorder="0" applyAlignment="0" applyProtection="0"/>
    <xf numFmtId="187" fontId="18" fillId="0" borderId="0" applyFont="0" applyFill="0" applyBorder="0" applyAlignment="0" applyProtection="0"/>
    <xf numFmtId="188" fontId="18" fillId="0" borderId="0" applyFont="0" applyFill="0" applyBorder="0" applyAlignment="0" applyProtection="0"/>
    <xf numFmtId="188" fontId="18"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187"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187" fontId="18" fillId="0" borderId="0" applyFont="0" applyFill="0" applyBorder="0" applyAlignment="0" applyProtection="0"/>
    <xf numFmtId="187"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187" fontId="18" fillId="0" borderId="0" applyFont="0" applyFill="0" applyBorder="0" applyAlignment="0" applyProtection="0"/>
    <xf numFmtId="187" fontId="18" fillId="0" borderId="0" applyFont="0" applyFill="0" applyBorder="0" applyAlignment="0" applyProtection="0"/>
    <xf numFmtId="188"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187" fontId="18" fillId="0" borderId="0" applyFont="0" applyFill="0" applyBorder="0" applyAlignment="0" applyProtection="0"/>
    <xf numFmtId="187"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187" fontId="18" fillId="0" borderId="0" applyFont="0" applyFill="0" applyBorder="0" applyAlignment="0" applyProtection="0"/>
    <xf numFmtId="188"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187" fontId="18" fillId="0" borderId="0" applyFont="0" applyFill="0" applyBorder="0" applyAlignment="0" applyProtection="0"/>
    <xf numFmtId="187"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188"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188" fontId="18" fillId="0" borderId="0" applyFont="0" applyFill="0" applyBorder="0" applyAlignment="0" applyProtection="0"/>
    <xf numFmtId="188"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188" fontId="18" fillId="0" borderId="0" applyFont="0" applyFill="0" applyBorder="0" applyAlignment="0" applyProtection="0"/>
    <xf numFmtId="187" fontId="18" fillId="0" borderId="0" applyFont="0" applyFill="0" applyBorder="0" applyAlignment="0" applyProtection="0"/>
    <xf numFmtId="188" fontId="18" fillId="0" borderId="0" applyFont="0" applyFill="0" applyBorder="0" applyAlignment="0" applyProtection="0"/>
    <xf numFmtId="188" fontId="18" fillId="0" borderId="0" applyFont="0" applyFill="0" applyBorder="0" applyAlignment="0" applyProtection="0"/>
    <xf numFmtId="187" fontId="18" fillId="0" borderId="0" applyFont="0" applyFill="0" applyBorder="0" applyAlignment="0" applyProtection="0"/>
    <xf numFmtId="187" fontId="18" fillId="0" borderId="0" applyFont="0" applyFill="0" applyBorder="0" applyAlignment="0" applyProtection="0"/>
    <xf numFmtId="187" fontId="18" fillId="0" borderId="0" applyFont="0" applyFill="0" applyBorder="0" applyAlignment="0" applyProtection="0"/>
    <xf numFmtId="0" fontId="18" fillId="0" borderId="0" applyFont="0" applyFill="0" applyBorder="0" applyAlignment="0" applyProtection="0"/>
    <xf numFmtId="187" fontId="18" fillId="0" borderId="0" applyFont="0" applyFill="0" applyBorder="0" applyAlignment="0" applyProtection="0"/>
    <xf numFmtId="0" fontId="30" fillId="0" borderId="0" applyFont="0" applyFill="0" applyBorder="0" applyAlignment="0" applyProtection="0"/>
    <xf numFmtId="187" fontId="18" fillId="0" borderId="0" applyFont="0" applyFill="0" applyBorder="0" applyAlignment="0" applyProtection="0"/>
    <xf numFmtId="187" fontId="18" fillId="0" borderId="0" applyFont="0" applyFill="0" applyBorder="0" applyAlignment="0" applyProtection="0"/>
    <xf numFmtId="188" fontId="18" fillId="0" borderId="0" applyFont="0" applyFill="0" applyBorder="0" applyAlignment="0" applyProtection="0"/>
    <xf numFmtId="187" fontId="18" fillId="0" borderId="0" applyFont="0" applyFill="0" applyBorder="0" applyAlignment="0" applyProtection="0"/>
    <xf numFmtId="189" fontId="29" fillId="0" borderId="0" applyFont="0" applyFill="0" applyBorder="0" applyAlignment="0" applyProtection="0"/>
    <xf numFmtId="188"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188" fontId="18" fillId="0" borderId="0" applyFont="0" applyFill="0" applyBorder="0" applyAlignment="0" applyProtection="0"/>
    <xf numFmtId="0" fontId="18" fillId="0" borderId="0" applyFont="0" applyFill="0" applyBorder="0" applyAlignment="0" applyProtection="0"/>
    <xf numFmtId="187" fontId="18" fillId="0" borderId="0" applyFont="0" applyFill="0" applyBorder="0" applyAlignment="0" applyProtection="0"/>
    <xf numFmtId="187" fontId="18" fillId="0" borderId="0" applyFont="0" applyFill="0" applyBorder="0" applyAlignment="0" applyProtection="0"/>
    <xf numFmtId="187"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187" fontId="18" fillId="0" borderId="0" applyFont="0" applyFill="0" applyBorder="0" applyAlignment="0" applyProtection="0"/>
    <xf numFmtId="187" fontId="18" fillId="0" borderId="0" applyFont="0" applyFill="0" applyBorder="0" applyAlignment="0" applyProtection="0"/>
    <xf numFmtId="188" fontId="18" fillId="0" borderId="0" applyFont="0" applyFill="0" applyBorder="0" applyAlignment="0" applyProtection="0"/>
    <xf numFmtId="188" fontId="18" fillId="0" borderId="0" applyFont="0" applyFill="0" applyBorder="0" applyAlignment="0" applyProtection="0"/>
    <xf numFmtId="187"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188" fontId="18" fillId="0" borderId="0" applyFont="0" applyFill="0" applyBorder="0" applyAlignment="0" applyProtection="0"/>
    <xf numFmtId="188"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187" fontId="18" fillId="0" borderId="0" applyFont="0" applyFill="0" applyBorder="0" applyAlignment="0" applyProtection="0"/>
    <xf numFmtId="189" fontId="29" fillId="0" borderId="0" applyFont="0" applyFill="0" applyBorder="0" applyAlignment="0" applyProtection="0"/>
    <xf numFmtId="187" fontId="18" fillId="0" borderId="0" applyFont="0" applyFill="0" applyBorder="0" applyAlignment="0" applyProtection="0"/>
    <xf numFmtId="187" fontId="18" fillId="0" borderId="0" applyFont="0" applyFill="0" applyBorder="0" applyAlignment="0" applyProtection="0"/>
    <xf numFmtId="187" fontId="18" fillId="0" borderId="0" applyFont="0" applyFill="0" applyBorder="0" applyAlignment="0" applyProtection="0"/>
    <xf numFmtId="187" fontId="18" fillId="0" borderId="0" applyFont="0" applyFill="0" applyBorder="0" applyAlignment="0" applyProtection="0"/>
    <xf numFmtId="188" fontId="18" fillId="0" borderId="0" applyFont="0" applyFill="0" applyBorder="0" applyAlignment="0" applyProtection="0"/>
    <xf numFmtId="187" fontId="18" fillId="0" borderId="0" applyFont="0" applyFill="0" applyBorder="0" applyAlignment="0" applyProtection="0"/>
    <xf numFmtId="167" fontId="30" fillId="0" borderId="0" applyFont="0" applyFill="0" applyBorder="0" applyAlignment="0" applyProtection="0"/>
    <xf numFmtId="187"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187" fontId="18" fillId="0" borderId="0" applyFont="0" applyFill="0" applyBorder="0" applyAlignment="0" applyProtection="0"/>
    <xf numFmtId="187"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188" fontId="18" fillId="0" borderId="0" applyFont="0" applyFill="0" applyBorder="0" applyAlignment="0" applyProtection="0"/>
    <xf numFmtId="0" fontId="18" fillId="0" borderId="0" applyFont="0" applyFill="0" applyBorder="0" applyAlignment="0" applyProtection="0"/>
    <xf numFmtId="187" fontId="18" fillId="0" borderId="0" applyFont="0" applyFill="0" applyBorder="0" applyAlignment="0" applyProtection="0"/>
    <xf numFmtId="188"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188" fontId="18" fillId="0" borderId="0" applyFont="0" applyFill="0" applyBorder="0" applyAlignment="0" applyProtection="0"/>
    <xf numFmtId="188"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188" fontId="18" fillId="0" borderId="0" applyFont="0" applyFill="0" applyBorder="0" applyAlignment="0" applyProtection="0"/>
    <xf numFmtId="188" fontId="18" fillId="0" borderId="0" applyFont="0" applyFill="0" applyBorder="0" applyAlignment="0" applyProtection="0"/>
    <xf numFmtId="187"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188" fontId="18" fillId="0" borderId="0" applyFont="0" applyFill="0" applyBorder="0" applyAlignment="0" applyProtection="0"/>
    <xf numFmtId="188"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188" fontId="18" fillId="0" borderId="0" applyFont="0" applyFill="0" applyBorder="0" applyAlignment="0" applyProtection="0"/>
    <xf numFmtId="187"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188" fontId="18" fillId="0" borderId="0" applyFont="0" applyFill="0" applyBorder="0" applyAlignment="0" applyProtection="0"/>
    <xf numFmtId="188"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187"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187" fontId="18" fillId="0" borderId="0" applyFont="0" applyFill="0" applyBorder="0" applyAlignment="0" applyProtection="0"/>
    <xf numFmtId="187"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187" fontId="18" fillId="0" borderId="0" applyFont="0" applyFill="0" applyBorder="0" applyAlignment="0" applyProtection="0"/>
    <xf numFmtId="188" fontId="18" fillId="0" borderId="0" applyFont="0" applyFill="0" applyBorder="0" applyAlignment="0" applyProtection="0"/>
    <xf numFmtId="187" fontId="18" fillId="0" borderId="0" applyFont="0" applyFill="0" applyBorder="0" applyAlignment="0" applyProtection="0"/>
    <xf numFmtId="187" fontId="18" fillId="0" borderId="0" applyFont="0" applyFill="0" applyBorder="0" applyAlignment="0" applyProtection="0"/>
    <xf numFmtId="188" fontId="18" fillId="0" borderId="0" applyFont="0" applyFill="0" applyBorder="0" applyAlignment="0" applyProtection="0"/>
    <xf numFmtId="188" fontId="18" fillId="0" borderId="0" applyFont="0" applyFill="0" applyBorder="0" applyAlignment="0" applyProtection="0"/>
    <xf numFmtId="188" fontId="18" fillId="0" borderId="0" applyFont="0" applyFill="0" applyBorder="0" applyAlignment="0" applyProtection="0"/>
    <xf numFmtId="0" fontId="18" fillId="0" borderId="0" applyFont="0" applyFill="0" applyBorder="0" applyAlignment="0" applyProtection="0"/>
    <xf numFmtId="188" fontId="18" fillId="0" borderId="0" applyFont="0" applyFill="0" applyBorder="0" applyAlignment="0" applyProtection="0"/>
    <xf numFmtId="188" fontId="18" fillId="0" borderId="0" applyFont="0" applyFill="0" applyBorder="0" applyAlignment="0" applyProtection="0"/>
    <xf numFmtId="187"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187" fontId="18" fillId="0" borderId="0" applyFont="0" applyFill="0" applyBorder="0" applyAlignment="0" applyProtection="0"/>
    <xf numFmtId="188" fontId="18" fillId="0" borderId="0" applyFont="0" applyFill="0" applyBorder="0" applyAlignment="0" applyProtection="0"/>
    <xf numFmtId="188" fontId="18" fillId="0" borderId="0" applyFont="0" applyFill="0" applyBorder="0" applyAlignment="0" applyProtection="0"/>
    <xf numFmtId="188"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188" fontId="18" fillId="0" borderId="0" applyFont="0" applyFill="0" applyBorder="0" applyAlignment="0" applyProtection="0"/>
    <xf numFmtId="187" fontId="18" fillId="0" borderId="0" applyFont="0" applyFill="0" applyBorder="0" applyAlignment="0" applyProtection="0"/>
    <xf numFmtId="187" fontId="18" fillId="0" borderId="0" applyFont="0" applyFill="0" applyBorder="0" applyAlignment="0" applyProtection="0"/>
    <xf numFmtId="188"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187" fontId="18" fillId="0" borderId="0" applyFont="0" applyFill="0" applyBorder="0" applyAlignment="0" applyProtection="0"/>
    <xf numFmtId="187"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188" fontId="18" fillId="0" borderId="0" applyFont="0" applyFill="0" applyBorder="0" applyAlignment="0" applyProtection="0"/>
    <xf numFmtId="188" fontId="18" fillId="0" borderId="0" applyFont="0" applyFill="0" applyBorder="0" applyAlignment="0" applyProtection="0"/>
    <xf numFmtId="188" fontId="18" fillId="0" borderId="0" applyFont="0" applyFill="0" applyBorder="0" applyAlignment="0" applyProtection="0"/>
    <xf numFmtId="188" fontId="18" fillId="0" borderId="0" applyFont="0" applyFill="0" applyBorder="0" applyAlignment="0" applyProtection="0"/>
    <xf numFmtId="188" fontId="18" fillId="0" borderId="0" applyFont="0" applyFill="0" applyBorder="0" applyAlignment="0" applyProtection="0"/>
    <xf numFmtId="187" fontId="18" fillId="0" borderId="0" applyFont="0" applyFill="0" applyBorder="0" applyAlignment="0" applyProtection="0"/>
    <xf numFmtId="188" fontId="18" fillId="0" borderId="0" applyFont="0" applyFill="0" applyBorder="0" applyAlignment="0" applyProtection="0"/>
    <xf numFmtId="188"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188" fontId="18" fillId="0" borderId="0" applyFont="0" applyFill="0" applyBorder="0" applyAlignment="0" applyProtection="0"/>
    <xf numFmtId="188"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188" fontId="18" fillId="0" borderId="0" applyFont="0" applyFill="0" applyBorder="0" applyAlignment="0" applyProtection="0"/>
    <xf numFmtId="0" fontId="18" fillId="0" borderId="0" applyFont="0" applyFill="0" applyBorder="0" applyAlignment="0" applyProtection="0"/>
    <xf numFmtId="188" fontId="18" fillId="0" borderId="0" applyFont="0" applyFill="0" applyBorder="0" applyAlignment="0" applyProtection="0"/>
    <xf numFmtId="0" fontId="18" fillId="0" borderId="0" applyFont="0" applyFill="0" applyBorder="0" applyAlignment="0" applyProtection="0"/>
    <xf numFmtId="188" fontId="18" fillId="0" borderId="0" applyFont="0" applyFill="0" applyBorder="0" applyAlignment="0" applyProtection="0"/>
    <xf numFmtId="188" fontId="18" fillId="0" borderId="0" applyFont="0" applyFill="0" applyBorder="0" applyAlignment="0" applyProtection="0"/>
    <xf numFmtId="188" fontId="18" fillId="0" borderId="0" applyFont="0" applyFill="0" applyBorder="0" applyAlignment="0" applyProtection="0"/>
    <xf numFmtId="0" fontId="18" fillId="0" borderId="0" applyFont="0" applyFill="0" applyBorder="0" applyAlignment="0" applyProtection="0"/>
    <xf numFmtId="188" fontId="18" fillId="0" borderId="0" applyFont="0" applyFill="0" applyBorder="0" applyAlignment="0" applyProtection="0"/>
    <xf numFmtId="187" fontId="18" fillId="0" borderId="0" applyFont="0" applyFill="0" applyBorder="0" applyAlignment="0" applyProtection="0"/>
    <xf numFmtId="188" fontId="18" fillId="0" borderId="0" applyFont="0" applyFill="0" applyBorder="0" applyAlignment="0" applyProtection="0"/>
    <xf numFmtId="188" fontId="18" fillId="0" borderId="0" applyFont="0" applyFill="0" applyBorder="0" applyAlignment="0" applyProtection="0"/>
    <xf numFmtId="188" fontId="18" fillId="0" borderId="0" applyFont="0" applyFill="0" applyBorder="0" applyAlignment="0" applyProtection="0"/>
    <xf numFmtId="188"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188" fontId="18" fillId="0" borderId="0" applyFont="0" applyFill="0" applyBorder="0" applyAlignment="0" applyProtection="0"/>
    <xf numFmtId="188"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187" fontId="18" fillId="0" borderId="0" applyFont="0" applyFill="0" applyBorder="0" applyAlignment="0" applyProtection="0"/>
    <xf numFmtId="188" fontId="18" fillId="0" borderId="0" applyFont="0" applyFill="0" applyBorder="0" applyAlignment="0" applyProtection="0"/>
    <xf numFmtId="188" fontId="18" fillId="0" borderId="0" applyFont="0" applyFill="0" applyBorder="0" applyAlignment="0" applyProtection="0"/>
    <xf numFmtId="187"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188" fontId="18" fillId="0" borderId="0" applyFont="0" applyFill="0" applyBorder="0" applyAlignment="0" applyProtection="0"/>
    <xf numFmtId="188"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189" fontId="29" fillId="0" borderId="0" applyFont="0" applyFill="0" applyBorder="0" applyAlignment="0" applyProtection="0"/>
    <xf numFmtId="187" fontId="18" fillId="0" borderId="0" applyFont="0" applyFill="0" applyBorder="0" applyAlignment="0" applyProtection="0"/>
    <xf numFmtId="187"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187" fontId="18" fillId="0" borderId="0" applyFont="0" applyFill="0" applyBorder="0" applyAlignment="0" applyProtection="0"/>
    <xf numFmtId="187"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190" fontId="18" fillId="0" borderId="0" applyFont="0" applyFill="0" applyBorder="0" applyAlignment="0" applyProtection="0"/>
    <xf numFmtId="39" fontId="18" fillId="0" borderId="0" applyFont="0" applyFill="0" applyBorder="0" applyAlignment="0" applyProtection="0"/>
    <xf numFmtId="19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190" fontId="18" fillId="0" borderId="0" applyFont="0" applyFill="0" applyBorder="0" applyAlignment="0" applyProtection="0"/>
    <xf numFmtId="19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190" fontId="18" fillId="0" borderId="0" applyFont="0" applyFill="0" applyBorder="0" applyAlignment="0" applyProtection="0"/>
    <xf numFmtId="190" fontId="18" fillId="0" borderId="0" applyFont="0" applyFill="0" applyBorder="0" applyAlignment="0" applyProtection="0"/>
    <xf numFmtId="3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190" fontId="18" fillId="0" borderId="0" applyFont="0" applyFill="0" applyBorder="0" applyAlignment="0" applyProtection="0"/>
    <xf numFmtId="19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190" fontId="18" fillId="0" borderId="0" applyFont="0" applyFill="0" applyBorder="0" applyAlignment="0" applyProtection="0"/>
    <xf numFmtId="3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190" fontId="18" fillId="0" borderId="0" applyFont="0" applyFill="0" applyBorder="0" applyAlignment="0" applyProtection="0"/>
    <xf numFmtId="19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39" fontId="18" fillId="0" borderId="0" applyFont="0" applyFill="0" applyBorder="0" applyAlignment="0" applyProtection="0"/>
    <xf numFmtId="39" fontId="18" fillId="0" borderId="0" applyFont="0" applyFill="0" applyBorder="0" applyAlignment="0" applyProtection="0"/>
    <xf numFmtId="190" fontId="18" fillId="0" borderId="0" applyFont="0" applyFill="0" applyBorder="0" applyAlignment="0" applyProtection="0"/>
    <xf numFmtId="39" fontId="18" fillId="0" borderId="0" applyFont="0" applyFill="0" applyBorder="0" applyAlignment="0" applyProtection="0"/>
    <xf numFmtId="39" fontId="18" fillId="0" borderId="0" applyFont="0" applyFill="0" applyBorder="0" applyAlignment="0" applyProtection="0"/>
    <xf numFmtId="190" fontId="18" fillId="0" borderId="0" applyFont="0" applyFill="0" applyBorder="0" applyAlignment="0" applyProtection="0"/>
    <xf numFmtId="190" fontId="18" fillId="0" borderId="0" applyFont="0" applyFill="0" applyBorder="0" applyAlignment="0" applyProtection="0"/>
    <xf numFmtId="190" fontId="18" fillId="0" borderId="0" applyFont="0" applyFill="0" applyBorder="0" applyAlignment="0" applyProtection="0"/>
    <xf numFmtId="0" fontId="18" fillId="0" borderId="0" applyFont="0" applyFill="0" applyBorder="0" applyAlignment="0" applyProtection="0"/>
    <xf numFmtId="190" fontId="18" fillId="0" borderId="0" applyFont="0" applyFill="0" applyBorder="0" applyAlignment="0" applyProtection="0"/>
    <xf numFmtId="190" fontId="18" fillId="0" borderId="0" applyFont="0" applyFill="0" applyBorder="0" applyAlignment="0" applyProtection="0"/>
    <xf numFmtId="190" fontId="18" fillId="0" borderId="0" applyFont="0" applyFill="0" applyBorder="0" applyAlignment="0" applyProtection="0"/>
    <xf numFmtId="190" fontId="18" fillId="0" borderId="0" applyFont="0" applyFill="0" applyBorder="0" applyAlignment="0" applyProtection="0"/>
    <xf numFmtId="39" fontId="29"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39" fontId="18" fillId="0" borderId="0" applyFont="0" applyFill="0" applyBorder="0" applyAlignment="0" applyProtection="0"/>
    <xf numFmtId="190" fontId="18" fillId="0" borderId="0" applyFont="0" applyFill="0" applyBorder="0" applyAlignment="0" applyProtection="0"/>
    <xf numFmtId="190" fontId="18" fillId="0" borderId="0" applyFont="0" applyFill="0" applyBorder="0" applyAlignment="0" applyProtection="0"/>
    <xf numFmtId="19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190" fontId="18" fillId="0" borderId="0" applyFont="0" applyFill="0" applyBorder="0" applyAlignment="0" applyProtection="0"/>
    <xf numFmtId="190" fontId="18" fillId="0" borderId="0" applyFont="0" applyFill="0" applyBorder="0" applyAlignment="0" applyProtection="0"/>
    <xf numFmtId="39" fontId="18" fillId="0" borderId="0" applyFont="0" applyFill="0" applyBorder="0" applyAlignment="0" applyProtection="0"/>
    <xf numFmtId="39" fontId="18" fillId="0" borderId="0" applyFont="0" applyFill="0" applyBorder="0" applyAlignment="0" applyProtection="0"/>
    <xf numFmtId="190" fontId="18" fillId="0" borderId="0" applyFont="0" applyFill="0" applyBorder="0" applyAlignment="0" applyProtection="0"/>
    <xf numFmtId="190" fontId="18" fillId="0" borderId="0" applyFont="0" applyFill="0" applyBorder="0" applyAlignment="0" applyProtection="0"/>
    <xf numFmtId="39" fontId="29" fillId="0" borderId="0" applyFont="0" applyFill="0" applyBorder="0" applyAlignment="0" applyProtection="0"/>
    <xf numFmtId="190" fontId="18" fillId="0" borderId="0" applyFont="0" applyFill="0" applyBorder="0" applyAlignment="0" applyProtection="0"/>
    <xf numFmtId="190" fontId="18" fillId="0" borderId="0" applyFont="0" applyFill="0" applyBorder="0" applyAlignment="0" applyProtection="0"/>
    <xf numFmtId="190" fontId="18" fillId="0" borderId="0" applyFont="0" applyFill="0" applyBorder="0" applyAlignment="0" applyProtection="0"/>
    <xf numFmtId="190" fontId="18" fillId="0" borderId="0" applyFont="0" applyFill="0" applyBorder="0" applyAlignment="0" applyProtection="0"/>
    <xf numFmtId="39" fontId="18" fillId="0" borderId="0" applyFont="0" applyFill="0" applyBorder="0" applyAlignment="0" applyProtection="0"/>
    <xf numFmtId="190" fontId="18" fillId="0" borderId="0" applyFont="0" applyFill="0" applyBorder="0" applyAlignment="0" applyProtection="0"/>
    <xf numFmtId="19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190" fontId="18" fillId="0" borderId="0" applyFont="0" applyFill="0" applyBorder="0" applyAlignment="0" applyProtection="0"/>
    <xf numFmtId="19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39" fontId="18" fillId="0" borderId="0" applyFont="0" applyFill="0" applyBorder="0" applyAlignment="0" applyProtection="0"/>
    <xf numFmtId="0" fontId="18" fillId="0" borderId="0" applyFont="0" applyFill="0" applyBorder="0" applyAlignment="0" applyProtection="0"/>
    <xf numFmtId="190" fontId="18" fillId="0" borderId="0" applyFont="0" applyFill="0" applyBorder="0" applyAlignment="0" applyProtection="0"/>
    <xf numFmtId="39" fontId="18" fillId="0" borderId="0" applyFont="0" applyFill="0" applyBorder="0" applyAlignment="0" applyProtection="0"/>
    <xf numFmtId="39" fontId="18" fillId="0" borderId="0" applyFont="0" applyFill="0" applyBorder="0" applyAlignment="0" applyProtection="0"/>
    <xf numFmtId="39" fontId="18" fillId="0" borderId="0" applyFont="0" applyFill="0" applyBorder="0" applyAlignment="0" applyProtection="0"/>
    <xf numFmtId="190" fontId="18" fillId="0" borderId="0" applyFont="0" applyFill="0" applyBorder="0" applyAlignment="0" applyProtection="0"/>
    <xf numFmtId="39" fontId="18" fillId="0" borderId="0" applyFont="0" applyFill="0" applyBorder="0" applyAlignment="0" applyProtection="0"/>
    <xf numFmtId="190" fontId="18" fillId="0" borderId="0" applyFont="0" applyFill="0" applyBorder="0" applyAlignment="0" applyProtection="0"/>
    <xf numFmtId="19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190" fontId="18" fillId="0" borderId="0" applyFont="0" applyFill="0" applyBorder="0" applyAlignment="0" applyProtection="0"/>
    <xf numFmtId="19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190" fontId="18" fillId="0" borderId="0" applyFont="0" applyFill="0" applyBorder="0" applyAlignment="0" applyProtection="0"/>
    <xf numFmtId="190" fontId="18" fillId="0" borderId="0" applyFont="0" applyFill="0" applyBorder="0" applyAlignment="0" applyProtection="0"/>
    <xf numFmtId="190" fontId="18" fillId="0" borderId="0" applyFont="0" applyFill="0" applyBorder="0" applyAlignment="0" applyProtection="0"/>
    <xf numFmtId="39" fontId="18" fillId="0" borderId="0" applyFont="0" applyFill="0" applyBorder="0" applyAlignment="0" applyProtection="0"/>
    <xf numFmtId="39" fontId="18" fillId="0" borderId="0" applyFont="0" applyFill="0" applyBorder="0" applyAlignment="0" applyProtection="0"/>
    <xf numFmtId="39" fontId="18" fillId="0" borderId="0" applyFont="0" applyFill="0" applyBorder="0" applyAlignment="0" applyProtection="0"/>
    <xf numFmtId="39" fontId="18" fillId="0" borderId="0" applyFont="0" applyFill="0" applyBorder="0" applyAlignment="0" applyProtection="0"/>
    <xf numFmtId="190" fontId="18" fillId="0" borderId="0" applyFont="0" applyFill="0" applyBorder="0" applyAlignment="0" applyProtection="0"/>
    <xf numFmtId="190" fontId="18" fillId="0" borderId="0" applyFont="0" applyFill="0" applyBorder="0" applyAlignment="0" applyProtection="0"/>
    <xf numFmtId="39" fontId="18" fillId="0" borderId="0" applyFont="0" applyFill="0" applyBorder="0" applyAlignment="0" applyProtection="0"/>
    <xf numFmtId="39" fontId="18" fillId="0" borderId="0" applyFont="0" applyFill="0" applyBorder="0" applyAlignment="0" applyProtection="0"/>
    <xf numFmtId="190" fontId="18" fillId="0" borderId="0" applyFont="0" applyFill="0" applyBorder="0" applyAlignment="0" applyProtection="0"/>
    <xf numFmtId="190" fontId="18" fillId="0" borderId="0" applyFont="0" applyFill="0" applyBorder="0" applyAlignment="0" applyProtection="0"/>
    <xf numFmtId="3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190" fontId="18" fillId="0" borderId="0" applyFont="0" applyFill="0" applyBorder="0" applyAlignment="0" applyProtection="0"/>
    <xf numFmtId="19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39" fontId="18" fillId="0" borderId="0" applyFont="0" applyFill="0" applyBorder="0" applyAlignment="0" applyProtection="0"/>
    <xf numFmtId="39" fontId="18" fillId="0" borderId="0" applyFont="0" applyFill="0" applyBorder="0" applyAlignment="0" applyProtection="0"/>
    <xf numFmtId="39" fontId="18" fillId="0" borderId="0" applyFont="0" applyFill="0" applyBorder="0" applyAlignment="0" applyProtection="0"/>
    <xf numFmtId="39" fontId="18" fillId="0" borderId="0" applyFont="0" applyFill="0" applyBorder="0" applyAlignment="0" applyProtection="0"/>
    <xf numFmtId="39" fontId="18" fillId="0" borderId="0" applyFont="0" applyFill="0" applyBorder="0" applyAlignment="0" applyProtection="0"/>
    <xf numFmtId="190" fontId="18" fillId="0" borderId="0" applyFont="0" applyFill="0" applyBorder="0" applyAlignment="0" applyProtection="0"/>
    <xf numFmtId="39" fontId="18" fillId="0" borderId="0" applyFont="0" applyFill="0" applyBorder="0" applyAlignment="0" applyProtection="0"/>
    <xf numFmtId="39" fontId="18" fillId="0" borderId="0" applyFont="0" applyFill="0" applyBorder="0" applyAlignment="0" applyProtection="0"/>
    <xf numFmtId="39" fontId="18" fillId="0" borderId="0" applyFont="0" applyFill="0" applyBorder="0" applyAlignment="0" applyProtection="0"/>
    <xf numFmtId="190" fontId="18" fillId="0" borderId="0" applyFont="0" applyFill="0" applyBorder="0" applyAlignment="0" applyProtection="0"/>
    <xf numFmtId="39" fontId="18" fillId="0" borderId="0" applyFont="0" applyFill="0" applyBorder="0" applyAlignment="0" applyProtection="0"/>
    <xf numFmtId="39" fontId="18" fillId="0" borderId="0" applyFont="0" applyFill="0" applyBorder="0" applyAlignment="0" applyProtection="0"/>
    <xf numFmtId="39" fontId="18" fillId="0" borderId="0" applyFont="0" applyFill="0" applyBorder="0" applyAlignment="0" applyProtection="0"/>
    <xf numFmtId="39" fontId="18" fillId="0" borderId="0" applyFont="0" applyFill="0" applyBorder="0" applyAlignment="0" applyProtection="0"/>
    <xf numFmtId="190" fontId="18" fillId="0" borderId="0" applyFont="0" applyFill="0" applyBorder="0" applyAlignment="0" applyProtection="0"/>
    <xf numFmtId="39" fontId="18" fillId="0" borderId="0" applyFont="0" applyFill="0" applyBorder="0" applyAlignment="0" applyProtection="0"/>
    <xf numFmtId="39" fontId="18" fillId="0" borderId="0" applyFont="0" applyFill="0" applyBorder="0" applyAlignment="0" applyProtection="0"/>
    <xf numFmtId="190" fontId="18" fillId="0" borderId="0" applyFont="0" applyFill="0" applyBorder="0" applyAlignment="0" applyProtection="0"/>
    <xf numFmtId="39" fontId="29" fillId="0" borderId="0" applyFont="0" applyFill="0" applyBorder="0" applyAlignment="0" applyProtection="0"/>
    <xf numFmtId="190" fontId="18" fillId="0" borderId="0" applyFont="0" applyFill="0" applyBorder="0" applyAlignment="0" applyProtection="0"/>
    <xf numFmtId="19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190" fontId="18" fillId="0" borderId="0" applyFont="0" applyFill="0" applyBorder="0" applyAlignment="0" applyProtection="0"/>
    <xf numFmtId="19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191"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191"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31" fillId="0" borderId="0" applyNumberFormat="0" applyFill="0" applyBorder="0" applyAlignment="0" applyProtection="0"/>
    <xf numFmtId="0" fontId="18" fillId="5" borderId="0" applyNumberFormat="0" applyFont="0" applyAlignment="0" applyProtection="0"/>
    <xf numFmtId="192" fontId="18" fillId="0" borderId="0" applyFont="0" applyFill="0" applyBorder="0" applyAlignment="0" applyProtection="0"/>
    <xf numFmtId="193" fontId="18" fillId="0" borderId="0" applyFont="0" applyFill="0" applyBorder="0" applyAlignment="0" applyProtection="0"/>
    <xf numFmtId="167" fontId="30" fillId="0" borderId="0" applyFont="0" applyFill="0" applyBorder="0" applyAlignment="0" applyProtection="0"/>
    <xf numFmtId="192" fontId="18" fillId="0" borderId="0" applyFont="0" applyFill="0" applyBorder="0" applyAlignment="0" applyProtection="0"/>
    <xf numFmtId="192" fontId="18" fillId="0" borderId="0" applyFont="0" applyFill="0" applyBorder="0" applyAlignment="0" applyProtection="0"/>
    <xf numFmtId="192" fontId="18" fillId="0" borderId="0" applyFont="0" applyFill="0" applyBorder="0" applyAlignment="0" applyProtection="0"/>
    <xf numFmtId="193" fontId="18" fillId="0" borderId="0" applyFont="0" applyFill="0" applyBorder="0" applyAlignment="0" applyProtection="0"/>
    <xf numFmtId="192" fontId="18" fillId="0" borderId="0" applyFont="0" applyFill="0" applyBorder="0" applyAlignment="0" applyProtection="0"/>
    <xf numFmtId="193" fontId="18" fillId="0" borderId="0" applyFont="0" applyFill="0" applyBorder="0" applyAlignment="0" applyProtection="0"/>
    <xf numFmtId="193" fontId="18" fillId="0" borderId="0" applyFont="0" applyFill="0" applyBorder="0" applyAlignment="0" applyProtection="0"/>
    <xf numFmtId="192" fontId="18" fillId="0" borderId="0" applyFont="0" applyFill="0" applyBorder="0" applyAlignment="0" applyProtection="0"/>
    <xf numFmtId="193" fontId="18" fillId="0" borderId="0" applyFont="0" applyFill="0" applyBorder="0" applyAlignment="0" applyProtection="0"/>
    <xf numFmtId="193" fontId="18" fillId="0" borderId="0" applyFont="0" applyFill="0" applyBorder="0" applyAlignment="0" applyProtection="0"/>
    <xf numFmtId="192" fontId="18" fillId="0" borderId="0" applyFont="0" applyFill="0" applyBorder="0" applyAlignment="0" applyProtection="0"/>
    <xf numFmtId="192" fontId="18" fillId="0" borderId="0" applyFont="0" applyFill="0" applyBorder="0" applyAlignment="0" applyProtection="0"/>
    <xf numFmtId="192" fontId="18" fillId="0" borderId="0" applyFont="0" applyFill="0" applyBorder="0" applyAlignment="0" applyProtection="0"/>
    <xf numFmtId="167" fontId="30" fillId="0" borderId="0" applyFont="0" applyFill="0" applyBorder="0" applyAlignment="0" applyProtection="0"/>
    <xf numFmtId="192" fontId="18" fillId="0" borderId="0" applyFont="0" applyFill="0" applyBorder="0" applyAlignment="0" applyProtection="0"/>
    <xf numFmtId="192" fontId="18" fillId="0" borderId="0" applyFont="0" applyFill="0" applyBorder="0" applyAlignment="0" applyProtection="0"/>
    <xf numFmtId="192" fontId="18" fillId="0" borderId="0" applyFont="0" applyFill="0" applyBorder="0" applyAlignment="0" applyProtection="0"/>
    <xf numFmtId="193" fontId="29" fillId="0" borderId="0" applyFont="0" applyFill="0" applyBorder="0" applyAlignment="0" applyProtection="0"/>
    <xf numFmtId="193" fontId="18" fillId="0" borderId="0" applyFont="0" applyFill="0" applyBorder="0" applyAlignment="0" applyProtection="0"/>
    <xf numFmtId="192" fontId="18" fillId="0" borderId="0" applyFont="0" applyFill="0" applyBorder="0" applyAlignment="0" applyProtection="0"/>
    <xf numFmtId="192" fontId="18" fillId="0" borderId="0" applyFont="0" applyFill="0" applyBorder="0" applyAlignment="0" applyProtection="0"/>
    <xf numFmtId="193" fontId="18" fillId="0" borderId="0" applyFont="0" applyFill="0" applyBorder="0" applyAlignment="0" applyProtection="0"/>
    <xf numFmtId="193" fontId="18" fillId="0" borderId="0" applyFont="0" applyFill="0" applyBorder="0" applyAlignment="0" applyProtection="0"/>
    <xf numFmtId="192" fontId="18" fillId="0" borderId="0" applyFont="0" applyFill="0" applyBorder="0" applyAlignment="0" applyProtection="0"/>
    <xf numFmtId="192" fontId="18" fillId="0" borderId="0" applyFont="0" applyFill="0" applyBorder="0" applyAlignment="0" applyProtection="0"/>
    <xf numFmtId="193" fontId="29" fillId="0" borderId="0" applyFont="0" applyFill="0" applyBorder="0" applyAlignment="0" applyProtection="0"/>
    <xf numFmtId="192" fontId="18" fillId="0" borderId="0" applyFont="0" applyFill="0" applyBorder="0" applyAlignment="0" applyProtection="0"/>
    <xf numFmtId="192" fontId="18" fillId="0" borderId="0" applyFont="0" applyFill="0" applyBorder="0" applyAlignment="0" applyProtection="0"/>
    <xf numFmtId="192" fontId="18" fillId="0" borderId="0" applyFont="0" applyFill="0" applyBorder="0" applyAlignment="0" applyProtection="0"/>
    <xf numFmtId="192" fontId="18" fillId="0" borderId="0" applyFont="0" applyFill="0" applyBorder="0" applyAlignment="0" applyProtection="0"/>
    <xf numFmtId="193" fontId="18" fillId="0" borderId="0" applyFont="0" applyFill="0" applyBorder="0" applyAlignment="0" applyProtection="0"/>
    <xf numFmtId="192" fontId="18" fillId="0" borderId="0" applyFont="0" applyFill="0" applyBorder="0" applyAlignment="0" applyProtection="0"/>
    <xf numFmtId="192" fontId="18" fillId="0" borderId="0" applyFont="0" applyFill="0" applyBorder="0" applyAlignment="0" applyProtection="0"/>
    <xf numFmtId="193" fontId="18" fillId="0" borderId="0" applyFont="0" applyFill="0" applyBorder="0" applyAlignment="0" applyProtection="0"/>
    <xf numFmtId="192" fontId="18" fillId="0" borderId="0" applyFont="0" applyFill="0" applyBorder="0" applyAlignment="0" applyProtection="0"/>
    <xf numFmtId="193" fontId="18" fillId="0" borderId="0" applyFont="0" applyFill="0" applyBorder="0" applyAlignment="0" applyProtection="0"/>
    <xf numFmtId="193" fontId="18" fillId="0" borderId="0" applyFont="0" applyFill="0" applyBorder="0" applyAlignment="0" applyProtection="0"/>
    <xf numFmtId="193" fontId="18" fillId="0" borderId="0" applyFont="0" applyFill="0" applyBorder="0" applyAlignment="0" applyProtection="0"/>
    <xf numFmtId="192" fontId="18" fillId="0" borderId="0" applyFont="0" applyFill="0" applyBorder="0" applyAlignment="0" applyProtection="0"/>
    <xf numFmtId="193" fontId="18" fillId="0" borderId="0" applyFont="0" applyFill="0" applyBorder="0" applyAlignment="0" applyProtection="0"/>
    <xf numFmtId="192" fontId="18" fillId="0" borderId="0" applyFont="0" applyFill="0" applyBorder="0" applyAlignment="0" applyProtection="0"/>
    <xf numFmtId="192" fontId="18" fillId="0" borderId="0" applyFont="0" applyFill="0" applyBorder="0" applyAlignment="0" applyProtection="0"/>
    <xf numFmtId="192" fontId="18" fillId="0" borderId="0" applyFont="0" applyFill="0" applyBorder="0" applyAlignment="0" applyProtection="0"/>
    <xf numFmtId="192" fontId="18" fillId="0" borderId="0" applyFont="0" applyFill="0" applyBorder="0" applyAlignment="0" applyProtection="0"/>
    <xf numFmtId="193" fontId="18" fillId="0" borderId="0" applyFont="0" applyFill="0" applyBorder="0" applyAlignment="0" applyProtection="0"/>
    <xf numFmtId="193" fontId="18" fillId="0" borderId="0" applyFont="0" applyFill="0" applyBorder="0" applyAlignment="0" applyProtection="0"/>
    <xf numFmtId="193" fontId="18" fillId="0" borderId="0" applyFont="0" applyFill="0" applyBorder="0" applyAlignment="0" applyProtection="0"/>
    <xf numFmtId="193" fontId="18" fillId="0" borderId="0" applyFont="0" applyFill="0" applyBorder="0" applyAlignment="0" applyProtection="0"/>
    <xf numFmtId="192" fontId="18" fillId="0" borderId="0" applyFont="0" applyFill="0" applyBorder="0" applyAlignment="0" applyProtection="0"/>
    <xf numFmtId="192" fontId="18" fillId="0" borderId="0" applyFont="0" applyFill="0" applyBorder="0" applyAlignment="0" applyProtection="0"/>
    <xf numFmtId="193" fontId="18" fillId="0" borderId="0" applyFont="0" applyFill="0" applyBorder="0" applyAlignment="0" applyProtection="0"/>
    <xf numFmtId="192" fontId="18" fillId="0" borderId="0" applyFont="0" applyFill="0" applyBorder="0" applyAlignment="0" applyProtection="0"/>
    <xf numFmtId="192" fontId="18" fillId="0" borderId="0" applyFont="0" applyFill="0" applyBorder="0" applyAlignment="0" applyProtection="0"/>
    <xf numFmtId="193" fontId="18" fillId="0" borderId="0" applyFont="0" applyFill="0" applyBorder="0" applyAlignment="0" applyProtection="0"/>
    <xf numFmtId="193" fontId="18" fillId="0" borderId="0" applyFont="0" applyFill="0" applyBorder="0" applyAlignment="0" applyProtection="0"/>
    <xf numFmtId="193" fontId="18" fillId="0" borderId="0" applyFont="0" applyFill="0" applyBorder="0" applyAlignment="0" applyProtection="0"/>
    <xf numFmtId="193" fontId="18" fillId="0" borderId="0" applyFont="0" applyFill="0" applyBorder="0" applyAlignment="0" applyProtection="0"/>
    <xf numFmtId="193" fontId="18" fillId="0" borderId="0" applyFont="0" applyFill="0" applyBorder="0" applyAlignment="0" applyProtection="0"/>
    <xf numFmtId="193" fontId="18" fillId="0" borderId="0" applyFont="0" applyFill="0" applyBorder="0" applyAlignment="0" applyProtection="0"/>
    <xf numFmtId="192" fontId="18" fillId="0" borderId="0" applyFont="0" applyFill="0" applyBorder="0" applyAlignment="0" applyProtection="0"/>
    <xf numFmtId="193" fontId="18" fillId="0" borderId="0" applyFont="0" applyFill="0" applyBorder="0" applyAlignment="0" applyProtection="0"/>
    <xf numFmtId="193" fontId="18" fillId="0" borderId="0" applyFont="0" applyFill="0" applyBorder="0" applyAlignment="0" applyProtection="0"/>
    <xf numFmtId="193" fontId="18" fillId="0" borderId="0" applyFont="0" applyFill="0" applyBorder="0" applyAlignment="0" applyProtection="0"/>
    <xf numFmtId="192" fontId="18" fillId="0" borderId="0" applyFont="0" applyFill="0" applyBorder="0" applyAlignment="0" applyProtection="0"/>
    <xf numFmtId="193" fontId="18" fillId="0" borderId="0" applyFont="0" applyFill="0" applyBorder="0" applyAlignment="0" applyProtection="0"/>
    <xf numFmtId="193" fontId="18" fillId="0" borderId="0" applyFont="0" applyFill="0" applyBorder="0" applyAlignment="0" applyProtection="0"/>
    <xf numFmtId="193" fontId="18" fillId="0" borderId="0" applyFont="0" applyFill="0" applyBorder="0" applyAlignment="0" applyProtection="0"/>
    <xf numFmtId="193" fontId="18" fillId="0" borderId="0" applyFont="0" applyFill="0" applyBorder="0" applyAlignment="0" applyProtection="0"/>
    <xf numFmtId="192" fontId="18" fillId="0" borderId="0" applyFont="0" applyFill="0" applyBorder="0" applyAlignment="0" applyProtection="0"/>
    <xf numFmtId="193" fontId="18" fillId="0" borderId="0" applyFont="0" applyFill="0" applyBorder="0" applyAlignment="0" applyProtection="0"/>
    <xf numFmtId="193" fontId="18" fillId="0" borderId="0" applyFont="0" applyFill="0" applyBorder="0" applyAlignment="0" applyProtection="0"/>
    <xf numFmtId="192" fontId="18" fillId="0" borderId="0" applyFont="0" applyFill="0" applyBorder="0" applyAlignment="0" applyProtection="0"/>
    <xf numFmtId="193" fontId="29" fillId="0" borderId="0" applyFont="0" applyFill="0" applyBorder="0" applyAlignment="0" applyProtection="0"/>
    <xf numFmtId="192" fontId="18" fillId="0" borderId="0" applyFont="0" applyFill="0" applyBorder="0" applyAlignment="0" applyProtection="0"/>
    <xf numFmtId="192" fontId="18" fillId="0" borderId="0" applyFont="0" applyFill="0" applyBorder="0" applyAlignment="0" applyProtection="0"/>
    <xf numFmtId="194" fontId="18" fillId="0" borderId="0" applyFont="0" applyFill="0" applyBorder="0" applyProtection="0">
      <alignment horizontal="right"/>
    </xf>
    <xf numFmtId="195" fontId="30" fillId="0" borderId="0" applyFont="0" applyFill="0" applyBorder="0" applyAlignment="0" applyProtection="0"/>
    <xf numFmtId="194" fontId="18" fillId="0" borderId="0" applyFont="0" applyFill="0" applyBorder="0" applyProtection="0">
      <alignment horizontal="right"/>
    </xf>
    <xf numFmtId="195" fontId="30" fillId="0" borderId="0" applyFont="0" applyFill="0" applyBorder="0" applyAlignment="0" applyProtection="0"/>
    <xf numFmtId="194" fontId="18" fillId="0" borderId="0" applyFont="0" applyFill="0" applyBorder="0" applyProtection="0">
      <alignment horizontal="right"/>
    </xf>
    <xf numFmtId="194" fontId="18" fillId="0" borderId="0" applyFont="0" applyFill="0" applyBorder="0" applyProtection="0">
      <alignment horizontal="right"/>
    </xf>
    <xf numFmtId="196" fontId="29" fillId="0" borderId="0" applyFont="0" applyFill="0" applyBorder="0" applyAlignment="0" applyProtection="0"/>
    <xf numFmtId="194" fontId="18" fillId="0" borderId="0" applyFont="0" applyFill="0" applyBorder="0" applyProtection="0">
      <alignment horizontal="right"/>
    </xf>
    <xf numFmtId="196" fontId="29" fillId="0" borderId="0" applyFont="0" applyFill="0" applyBorder="0" applyAlignment="0" applyProtection="0"/>
    <xf numFmtId="194" fontId="18" fillId="0" borderId="0" applyFont="0" applyFill="0" applyBorder="0" applyProtection="0">
      <alignment horizontal="right"/>
    </xf>
    <xf numFmtId="196" fontId="29" fillId="0" borderId="0" applyFont="0" applyFill="0" applyBorder="0" applyAlignment="0" applyProtection="0"/>
    <xf numFmtId="197" fontId="29" fillId="0" borderId="0" applyFont="0" applyFill="0" applyBorder="0" applyAlignment="0" applyProtection="0"/>
    <xf numFmtId="198" fontId="30" fillId="0" borderId="0" applyFont="0" applyFill="0" applyBorder="0" applyAlignment="0" applyProtection="0"/>
    <xf numFmtId="198" fontId="30" fillId="0" borderId="0" applyFont="0" applyFill="0" applyBorder="0" applyAlignment="0" applyProtection="0"/>
    <xf numFmtId="199" fontId="29" fillId="0" borderId="0" applyFont="0" applyFill="0" applyBorder="0" applyAlignment="0" applyProtection="0"/>
    <xf numFmtId="200" fontId="30" fillId="0" borderId="0" applyFont="0" applyFill="0" applyBorder="0" applyAlignment="0" applyProtection="0"/>
    <xf numFmtId="200" fontId="30" fillId="0" borderId="0" applyFont="0" applyFill="0" applyBorder="0" applyAlignment="0" applyProtection="0"/>
    <xf numFmtId="0" fontId="32" fillId="0" borderId="0" applyNumberFormat="0" applyFill="0" applyBorder="0" applyProtection="0">
      <alignment vertical="top"/>
    </xf>
    <xf numFmtId="0" fontId="33" fillId="0" borderId="12" applyNumberFormat="0" applyFill="0" applyAlignment="0" applyProtection="0"/>
    <xf numFmtId="0" fontId="34" fillId="0" borderId="13" applyNumberFormat="0" applyFill="0" applyProtection="0">
      <alignment horizontal="center"/>
    </xf>
    <xf numFmtId="0" fontId="34" fillId="0" borderId="0" applyNumberFormat="0" applyFill="0" applyBorder="0" applyProtection="0">
      <alignment horizontal="left"/>
    </xf>
    <xf numFmtId="0" fontId="35" fillId="0" borderId="0" applyNumberFormat="0" applyFill="0" applyBorder="0" applyProtection="0">
      <alignment horizontal="centerContinuous"/>
    </xf>
    <xf numFmtId="201" fontId="36" fillId="0" borderId="0">
      <alignment horizontal="left"/>
      <protection locked="0"/>
    </xf>
    <xf numFmtId="38" fontId="12" fillId="0" borderId="14"/>
    <xf numFmtId="39" fontId="37" fillId="0" borderId="0">
      <alignment horizontal="center"/>
    </xf>
    <xf numFmtId="39" fontId="37" fillId="0" borderId="0">
      <alignment horizontal="center"/>
    </xf>
    <xf numFmtId="39" fontId="37" fillId="0" borderId="0">
      <alignment horizontal="center"/>
    </xf>
    <xf numFmtId="39" fontId="37" fillId="0" borderId="0">
      <alignment horizontal="center"/>
    </xf>
    <xf numFmtId="39" fontId="37" fillId="0" borderId="0">
      <alignment horizontal="center"/>
    </xf>
    <xf numFmtId="39" fontId="37" fillId="0" borderId="0">
      <alignment horizontal="center"/>
    </xf>
    <xf numFmtId="39" fontId="37" fillId="0" borderId="0">
      <alignment horizontal="center"/>
    </xf>
    <xf numFmtId="39" fontId="37" fillId="0" borderId="0">
      <alignment horizontal="center"/>
    </xf>
    <xf numFmtId="39" fontId="37" fillId="0" borderId="0">
      <alignment horizontal="center"/>
    </xf>
    <xf numFmtId="39" fontId="37" fillId="0" borderId="0">
      <alignment horizontal="center"/>
    </xf>
    <xf numFmtId="39" fontId="37" fillId="0" borderId="0">
      <alignment horizontal="center"/>
    </xf>
    <xf numFmtId="0" fontId="37" fillId="0" borderId="0">
      <alignment horizontal="center"/>
    </xf>
    <xf numFmtId="0" fontId="37" fillId="0" borderId="0">
      <alignment horizontal="center"/>
    </xf>
    <xf numFmtId="0" fontId="37" fillId="0" borderId="0">
      <alignment horizontal="center"/>
    </xf>
    <xf numFmtId="0" fontId="37" fillId="0" borderId="0">
      <alignment horizontal="center"/>
    </xf>
    <xf numFmtId="0" fontId="37" fillId="0" borderId="0">
      <alignment horizontal="center"/>
    </xf>
    <xf numFmtId="0" fontId="37" fillId="0" borderId="0">
      <alignment horizontal="center"/>
    </xf>
    <xf numFmtId="0" fontId="37" fillId="0" borderId="0">
      <alignment horizontal="center"/>
    </xf>
    <xf numFmtId="0" fontId="37" fillId="0" borderId="0">
      <alignment horizontal="center"/>
    </xf>
    <xf numFmtId="0" fontId="37" fillId="0" borderId="0">
      <alignment horizontal="center"/>
    </xf>
    <xf numFmtId="0" fontId="37" fillId="0" borderId="0">
      <alignment horizontal="center"/>
    </xf>
    <xf numFmtId="0" fontId="37" fillId="0" borderId="0">
      <alignment horizontal="center"/>
    </xf>
    <xf numFmtId="0" fontId="37" fillId="0" borderId="0">
      <alignment horizontal="center"/>
    </xf>
    <xf numFmtId="0" fontId="37" fillId="0" borderId="0">
      <alignment horizontal="center"/>
    </xf>
    <xf numFmtId="0" fontId="37" fillId="0" borderId="0">
      <alignment horizontal="center"/>
    </xf>
    <xf numFmtId="0" fontId="37" fillId="0" borderId="0">
      <alignment horizontal="center"/>
    </xf>
    <xf numFmtId="0" fontId="37" fillId="0" borderId="0">
      <alignment horizontal="center"/>
    </xf>
    <xf numFmtId="0" fontId="37" fillId="0" borderId="0">
      <alignment horizontal="center"/>
    </xf>
    <xf numFmtId="0" fontId="37" fillId="0" borderId="0">
      <alignment horizontal="center"/>
    </xf>
    <xf numFmtId="0" fontId="37" fillId="0" borderId="0">
      <alignment horizontal="center"/>
    </xf>
    <xf numFmtId="0" fontId="37" fillId="0" borderId="0">
      <alignment horizontal="center"/>
    </xf>
    <xf numFmtId="0" fontId="37" fillId="0" borderId="0">
      <alignment horizontal="center"/>
    </xf>
    <xf numFmtId="0" fontId="37" fillId="0" borderId="0">
      <alignment horizontal="center"/>
    </xf>
    <xf numFmtId="0" fontId="37" fillId="0" borderId="0">
      <alignment horizontal="center"/>
    </xf>
    <xf numFmtId="0" fontId="37" fillId="0" borderId="0">
      <alignment horizontal="center"/>
    </xf>
    <xf numFmtId="0" fontId="37" fillId="0" borderId="0">
      <alignment horizontal="center"/>
    </xf>
    <xf numFmtId="0" fontId="37" fillId="0" borderId="0">
      <alignment horizontal="center"/>
    </xf>
    <xf numFmtId="39" fontId="37" fillId="0" borderId="0">
      <alignment horizontal="center"/>
    </xf>
    <xf numFmtId="39" fontId="37" fillId="0" borderId="0">
      <alignment horizontal="center"/>
    </xf>
    <xf numFmtId="0" fontId="38" fillId="0" borderId="0">
      <alignment horizontal="center"/>
    </xf>
    <xf numFmtId="0" fontId="38" fillId="0" borderId="0">
      <alignment horizontal="center"/>
    </xf>
    <xf numFmtId="0" fontId="38" fillId="0" borderId="0">
      <alignment horizontal="center"/>
    </xf>
    <xf numFmtId="0" fontId="38" fillId="0" borderId="0">
      <alignment horizontal="center"/>
    </xf>
    <xf numFmtId="0" fontId="38" fillId="0" borderId="0">
      <alignment horizontal="center"/>
    </xf>
    <xf numFmtId="0" fontId="38" fillId="0" borderId="0">
      <alignment horizontal="center"/>
    </xf>
    <xf numFmtId="0" fontId="38" fillId="0" borderId="0">
      <alignment horizontal="center"/>
    </xf>
    <xf numFmtId="0" fontId="38" fillId="0" borderId="0">
      <alignment horizontal="center"/>
    </xf>
    <xf numFmtId="0" fontId="38" fillId="0" borderId="0">
      <alignment horizontal="center"/>
    </xf>
    <xf numFmtId="0" fontId="38" fillId="0" borderId="0">
      <alignment horizontal="center"/>
    </xf>
    <xf numFmtId="0" fontId="38" fillId="0" borderId="0">
      <alignment horizontal="center"/>
    </xf>
    <xf numFmtId="0" fontId="38" fillId="0" borderId="0">
      <alignment horizontal="center"/>
    </xf>
    <xf numFmtId="0" fontId="38" fillId="0" borderId="0">
      <alignment horizontal="center"/>
    </xf>
    <xf numFmtId="0" fontId="38" fillId="0" borderId="0">
      <alignment horizontal="center"/>
    </xf>
    <xf numFmtId="0" fontId="38" fillId="0" borderId="0">
      <alignment horizontal="center"/>
    </xf>
    <xf numFmtId="0" fontId="38" fillId="0" borderId="0">
      <alignment horizontal="center"/>
    </xf>
    <xf numFmtId="0" fontId="38" fillId="0" borderId="0">
      <alignment horizontal="center"/>
    </xf>
    <xf numFmtId="0" fontId="38" fillId="0" borderId="0">
      <alignment horizontal="center"/>
    </xf>
    <xf numFmtId="0" fontId="38" fillId="0" borderId="0">
      <alignment horizontal="center"/>
    </xf>
    <xf numFmtId="0" fontId="38" fillId="0" borderId="0">
      <alignment horizontal="center"/>
    </xf>
    <xf numFmtId="0" fontId="38" fillId="0" borderId="0">
      <alignment horizontal="center"/>
    </xf>
    <xf numFmtId="0" fontId="38" fillId="0" borderId="0">
      <alignment horizontal="center"/>
    </xf>
    <xf numFmtId="0" fontId="38" fillId="0" borderId="0">
      <alignment horizontal="center"/>
    </xf>
    <xf numFmtId="0" fontId="38" fillId="0" borderId="0">
      <alignment horizontal="center"/>
    </xf>
    <xf numFmtId="0" fontId="38" fillId="0" borderId="0">
      <alignment horizontal="center"/>
    </xf>
    <xf numFmtId="0" fontId="38" fillId="0" borderId="0">
      <alignment horizontal="center"/>
    </xf>
    <xf numFmtId="39" fontId="39" fillId="0" borderId="0">
      <alignment horizontal="center"/>
    </xf>
    <xf numFmtId="202" fontId="40" fillId="0" borderId="0">
      <protection locked="0"/>
    </xf>
    <xf numFmtId="39" fontId="39" fillId="0" borderId="0">
      <alignment horizontal="center"/>
    </xf>
    <xf numFmtId="39" fontId="39" fillId="0" borderId="0">
      <alignment horizontal="center"/>
    </xf>
    <xf numFmtId="39" fontId="39" fillId="0" borderId="0">
      <alignment horizontal="center"/>
    </xf>
    <xf numFmtId="39" fontId="39" fillId="0" borderId="0">
      <alignment horizontal="center"/>
    </xf>
    <xf numFmtId="39" fontId="39" fillId="0" borderId="0">
      <alignment horizontal="center"/>
    </xf>
    <xf numFmtId="39" fontId="39" fillId="0" borderId="0">
      <alignment horizontal="center"/>
    </xf>
    <xf numFmtId="39" fontId="39" fillId="0" borderId="0">
      <alignment horizontal="center"/>
    </xf>
    <xf numFmtId="39" fontId="39" fillId="0" borderId="0">
      <alignment horizontal="center"/>
    </xf>
    <xf numFmtId="39" fontId="39" fillId="0" borderId="0">
      <alignment horizontal="center"/>
    </xf>
    <xf numFmtId="39" fontId="39" fillId="0" borderId="0">
      <alignment horizontal="center"/>
    </xf>
    <xf numFmtId="39" fontId="39" fillId="0" borderId="0">
      <alignment horizontal="center"/>
    </xf>
    <xf numFmtId="39" fontId="39" fillId="0" borderId="0">
      <alignment horizontal="center"/>
    </xf>
    <xf numFmtId="14" fontId="41" fillId="0" borderId="0"/>
    <xf numFmtId="203" fontId="26" fillId="6" borderId="15">
      <alignment horizontal="center" vertical="center"/>
    </xf>
    <xf numFmtId="0" fontId="42" fillId="0" borderId="0"/>
    <xf numFmtId="37" fontId="24" fillId="0" borderId="0" applyFont="0" applyAlignment="0">
      <alignment horizontal="centerContinuous" vertical="top"/>
    </xf>
    <xf numFmtId="0" fontId="28" fillId="0" borderId="0">
      <alignment horizontal="center" wrapText="1"/>
      <protection locked="0"/>
    </xf>
    <xf numFmtId="0" fontId="18" fillId="0" borderId="0" applyNumberFormat="0" applyFill="0" applyBorder="0" applyAlignment="0" applyProtection="0"/>
    <xf numFmtId="0" fontId="16" fillId="0" borderId="0" applyNumberFormat="0" applyFill="0" applyBorder="0" applyAlignment="0" applyProtection="0"/>
    <xf numFmtId="0" fontId="18" fillId="0" borderId="0" applyNumberFormat="0" applyFill="0" applyBorder="0" applyAlignment="0" applyProtection="0"/>
    <xf numFmtId="204" fontId="18" fillId="0" borderId="0" applyFont="0" applyFill="0" applyBorder="0" applyAlignment="0"/>
    <xf numFmtId="205" fontId="43" fillId="0" borderId="0" applyFont="0" applyFill="0" applyBorder="0" applyAlignment="0">
      <alignment horizontal="right"/>
    </xf>
    <xf numFmtId="0" fontId="44" fillId="0" borderId="0" applyNumberFormat="0" applyFill="0" applyBorder="0" applyAlignment="0" applyProtection="0"/>
    <xf numFmtId="0" fontId="40" fillId="0" borderId="0">
      <protection locked="0"/>
    </xf>
    <xf numFmtId="206" fontId="40" fillId="0" borderId="0">
      <alignment horizontal="right"/>
      <protection locked="0"/>
    </xf>
    <xf numFmtId="7" fontId="45" fillId="0" borderId="0">
      <alignment horizontal="right"/>
      <protection locked="0"/>
    </xf>
    <xf numFmtId="200" fontId="40" fillId="0" borderId="0">
      <alignment horizontal="right"/>
      <protection locked="0"/>
    </xf>
    <xf numFmtId="0" fontId="46" fillId="0" borderId="0" applyNumberFormat="0" applyFill="0" applyBorder="0" applyAlignment="0" applyProtection="0"/>
    <xf numFmtId="0" fontId="47" fillId="0" borderId="0"/>
    <xf numFmtId="0" fontId="48" fillId="0" borderId="16"/>
    <xf numFmtId="0" fontId="49" fillId="6" borderId="17" applyAlignment="0">
      <alignment horizontal="center"/>
    </xf>
    <xf numFmtId="0" fontId="50" fillId="0" borderId="18"/>
    <xf numFmtId="0" fontId="28" fillId="0" borderId="19" applyNumberFormat="0" applyFont="0" applyFill="0" applyAlignment="0" applyProtection="0"/>
    <xf numFmtId="200" fontId="18" fillId="0" borderId="20" applyNumberFormat="0" applyFill="0" applyAlignment="0" applyProtection="0"/>
    <xf numFmtId="0" fontId="51" fillId="0" borderId="21"/>
    <xf numFmtId="0" fontId="51" fillId="0" borderId="22"/>
    <xf numFmtId="0" fontId="52" fillId="0" borderId="0"/>
    <xf numFmtId="0" fontId="53" fillId="0" borderId="0" applyFont="0" applyFill="0" applyBorder="0" applyAlignment="0" applyProtection="0"/>
    <xf numFmtId="0" fontId="54" fillId="0" borderId="0"/>
    <xf numFmtId="207" fontId="27"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208" fontId="55" fillId="0" borderId="8" applyFill="0" applyBorder="0" applyAlignment="0" applyProtection="0">
      <alignment horizontal="right"/>
    </xf>
    <xf numFmtId="209" fontId="56" fillId="0" borderId="0" applyFont="0" applyFill="0"/>
    <xf numFmtId="39" fontId="28" fillId="7" borderId="0" applyNumberFormat="0" applyFont="0" applyBorder="0" applyAlignment="0"/>
    <xf numFmtId="210" fontId="18" fillId="0" borderId="0" applyFill="0" applyBorder="0" applyProtection="0"/>
    <xf numFmtId="0" fontId="14" fillId="0" borderId="9" applyNumberFormat="0" applyFont="0" applyFill="0" applyProtection="0">
      <alignment horizontal="centerContinuous" vertical="center"/>
    </xf>
    <xf numFmtId="0" fontId="57" fillId="0" borderId="23" applyNumberFormat="0" applyFill="0" applyProtection="0">
      <alignment horizontal="center" vertical="center"/>
    </xf>
    <xf numFmtId="0" fontId="58" fillId="0" borderId="24" applyNumberFormat="0" applyFill="0" applyBorder="0" applyProtection="0">
      <alignment horizontal="right" vertical="center"/>
    </xf>
    <xf numFmtId="0" fontId="14" fillId="0" borderId="0" applyNumberFormat="0" applyFill="0" applyBorder="0" applyProtection="0">
      <alignment horizontal="center" vertical="center"/>
    </xf>
    <xf numFmtId="0" fontId="59" fillId="6" borderId="0" applyNumberFormat="0">
      <alignment horizontal="center"/>
    </xf>
    <xf numFmtId="0" fontId="18" fillId="0" borderId="0" applyFont="0" applyFill="0" applyBorder="0" applyAlignment="0" applyProtection="0"/>
    <xf numFmtId="211" fontId="18" fillId="0" borderId="0" applyFont="0" applyFill="0" applyBorder="0" applyAlignment="0" applyProtection="0"/>
    <xf numFmtId="0" fontId="30" fillId="0" borderId="0" applyFont="0" applyFill="0" applyBorder="0" applyAlignment="0" applyProtection="0">
      <alignment horizontal="right"/>
    </xf>
    <xf numFmtId="212" fontId="30"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3" fontId="60" fillId="0" borderId="0" applyFont="0" applyFill="0" applyBorder="0" applyAlignment="0" applyProtection="0"/>
    <xf numFmtId="0" fontId="61" fillId="0" borderId="0"/>
    <xf numFmtId="0" fontId="62" fillId="0" borderId="0"/>
    <xf numFmtId="3" fontId="63" fillId="0" borderId="0" applyFill="0" applyBorder="0" applyAlignment="0" applyProtection="0"/>
    <xf numFmtId="0" fontId="61" fillId="0" borderId="0"/>
    <xf numFmtId="41" fontId="49" fillId="0" borderId="25">
      <alignment horizontal="center"/>
      <protection locked="0" hidden="1"/>
    </xf>
    <xf numFmtId="41" fontId="49" fillId="0" borderId="26">
      <alignment horizontal="center"/>
      <protection locked="0"/>
    </xf>
    <xf numFmtId="41" fontId="64" fillId="0" borderId="16">
      <protection hidden="1"/>
    </xf>
    <xf numFmtId="41" fontId="65" fillId="0" borderId="16"/>
    <xf numFmtId="41" fontId="49" fillId="0" borderId="16">
      <alignment horizontal="right"/>
    </xf>
    <xf numFmtId="0" fontId="66" fillId="0" borderId="0" applyNumberFormat="0" applyAlignment="0">
      <alignment horizontal="left"/>
    </xf>
    <xf numFmtId="0" fontId="67" fillId="0" borderId="0" applyNumberFormat="0" applyAlignment="0"/>
    <xf numFmtId="0" fontId="62" fillId="0" borderId="0"/>
    <xf numFmtId="0" fontId="61" fillId="0" borderId="0"/>
    <xf numFmtId="0" fontId="18" fillId="0" borderId="0" applyFont="0" applyFill="0" applyBorder="0" applyAlignment="0" applyProtection="0"/>
    <xf numFmtId="8" fontId="68" fillId="0" borderId="0" applyBorder="0"/>
    <xf numFmtId="0" fontId="30" fillId="0" borderId="0" applyFont="0" applyFill="0" applyBorder="0" applyAlignment="0" applyProtection="0">
      <alignment horizontal="right"/>
    </xf>
    <xf numFmtId="44" fontId="69"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214" fontId="70" fillId="0" borderId="0" applyFont="0" applyFill="0" applyBorder="0" applyAlignment="0" applyProtection="0"/>
    <xf numFmtId="215" fontId="71" fillId="0" borderId="0"/>
    <xf numFmtId="44" fontId="64" fillId="0" borderId="16">
      <alignment horizontal="center"/>
      <protection hidden="1"/>
    </xf>
    <xf numFmtId="39" fontId="41" fillId="0" borderId="0">
      <alignment horizontal="right"/>
    </xf>
    <xf numFmtId="14" fontId="49" fillId="0" borderId="26">
      <alignment horizontal="center"/>
    </xf>
    <xf numFmtId="0" fontId="30" fillId="0" borderId="0" applyFont="0" applyFill="0" applyBorder="0" applyAlignment="0" applyProtection="0"/>
    <xf numFmtId="216" fontId="18" fillId="0" borderId="0">
      <alignment horizontal="right"/>
    </xf>
    <xf numFmtId="14" fontId="27" fillId="0" borderId="0" applyFill="0" applyBorder="0" applyAlignment="0"/>
    <xf numFmtId="14" fontId="28" fillId="0" borderId="0">
      <alignment horizontal="right"/>
    </xf>
    <xf numFmtId="14" fontId="72" fillId="0" borderId="0">
      <alignment horizontal="right"/>
      <protection locked="0"/>
    </xf>
    <xf numFmtId="217" fontId="73" fillId="0" borderId="0" applyFill="0" applyProtection="0">
      <alignment vertical="center"/>
    </xf>
    <xf numFmtId="218" fontId="28" fillId="0" borderId="0">
      <alignment horizontal="right"/>
    </xf>
    <xf numFmtId="219" fontId="28" fillId="0" borderId="0">
      <alignment horizontal="right"/>
    </xf>
    <xf numFmtId="220" fontId="18" fillId="0" borderId="0">
      <alignment horizontal="right"/>
    </xf>
    <xf numFmtId="8" fontId="18" fillId="0" borderId="0" applyFill="0" applyBorder="0" applyProtection="0"/>
    <xf numFmtId="221" fontId="28" fillId="0" borderId="0"/>
    <xf numFmtId="221" fontId="74" fillId="0" borderId="0">
      <protection locked="0"/>
    </xf>
    <xf numFmtId="7" fontId="28" fillId="0" borderId="0"/>
    <xf numFmtId="0" fontId="30" fillId="0" borderId="27" applyNumberFormat="0" applyFont="0" applyFill="0" applyAlignment="0" applyProtection="0"/>
    <xf numFmtId="42" fontId="75" fillId="0" borderId="0" applyFill="0" applyBorder="0" applyAlignment="0" applyProtection="0"/>
    <xf numFmtId="170" fontId="12" fillId="8" borderId="0">
      <alignment vertical="center"/>
    </xf>
    <xf numFmtId="170" fontId="13" fillId="0" borderId="0">
      <alignment vertical="center"/>
    </xf>
    <xf numFmtId="170" fontId="13" fillId="0" borderId="0">
      <alignment vertical="center"/>
    </xf>
    <xf numFmtId="170" fontId="76" fillId="9" borderId="28" applyNumberFormat="0" applyAlignment="0">
      <alignment horizontal="center" vertical="center"/>
    </xf>
    <xf numFmtId="170" fontId="77" fillId="9" borderId="0">
      <alignment horizontal="center" vertical="center"/>
    </xf>
    <xf numFmtId="14" fontId="12" fillId="9" borderId="0">
      <alignment horizontal="center" vertical="center"/>
    </xf>
    <xf numFmtId="17" fontId="71" fillId="9" borderId="0">
      <alignment horizontal="center" vertical="center"/>
    </xf>
    <xf numFmtId="170" fontId="19" fillId="0" borderId="0">
      <alignment vertical="center"/>
    </xf>
    <xf numFmtId="170" fontId="78" fillId="9" borderId="0">
      <alignment vertical="center"/>
    </xf>
    <xf numFmtId="170" fontId="79" fillId="9" borderId="0">
      <alignment vertical="center"/>
    </xf>
    <xf numFmtId="167" fontId="80" fillId="9" borderId="29">
      <alignment vertical="center"/>
    </xf>
    <xf numFmtId="0" fontId="12" fillId="9" borderId="29">
      <alignment vertical="center"/>
    </xf>
    <xf numFmtId="37" fontId="71" fillId="9" borderId="0">
      <alignment horizontal="left" vertical="center"/>
    </xf>
    <xf numFmtId="170" fontId="71" fillId="9" borderId="0">
      <alignment horizontal="center" vertical="center"/>
    </xf>
    <xf numFmtId="222" fontId="43" fillId="9" borderId="0">
      <alignment horizontal="right" vertical="center"/>
    </xf>
    <xf numFmtId="165" fontId="43" fillId="9" borderId="0">
      <alignment horizontal="right" vertical="center"/>
    </xf>
    <xf numFmtId="167" fontId="81" fillId="9" borderId="0">
      <alignment horizontal="right" vertical="center"/>
    </xf>
    <xf numFmtId="167" fontId="81" fillId="9" borderId="7">
      <alignment horizontal="right" vertical="center"/>
    </xf>
    <xf numFmtId="165" fontId="82" fillId="9" borderId="29">
      <alignment horizontal="right" vertical="center"/>
    </xf>
    <xf numFmtId="169" fontId="33" fillId="9" borderId="0">
      <alignment horizontal="right" vertical="center"/>
    </xf>
    <xf numFmtId="4" fontId="43" fillId="9" borderId="0">
      <alignment horizontal="right" vertical="center"/>
    </xf>
    <xf numFmtId="169" fontId="71" fillId="9" borderId="24">
      <alignment horizontal="right" vertical="center"/>
    </xf>
    <xf numFmtId="165" fontId="71" fillId="9" borderId="24">
      <alignment horizontal="right" vertical="center"/>
    </xf>
    <xf numFmtId="165" fontId="82" fillId="9" borderId="0">
      <alignment horizontal="right" vertical="center"/>
    </xf>
    <xf numFmtId="216" fontId="71" fillId="9" borderId="0">
      <alignment horizontal="right" vertical="center"/>
    </xf>
    <xf numFmtId="170" fontId="12" fillId="0" borderId="0">
      <alignment vertical="center"/>
    </xf>
    <xf numFmtId="170" fontId="19" fillId="9" borderId="24" applyBorder="0">
      <alignment horizontal="left" vertical="center"/>
    </xf>
    <xf numFmtId="170" fontId="83" fillId="9" borderId="0">
      <alignment horizontal="left" vertical="center"/>
    </xf>
    <xf numFmtId="170" fontId="19" fillId="9" borderId="30">
      <alignment horizontal="left"/>
    </xf>
    <xf numFmtId="170" fontId="28" fillId="9" borderId="31">
      <alignment vertical="center"/>
    </xf>
    <xf numFmtId="170" fontId="28" fillId="9" borderId="32">
      <alignment vertical="center"/>
    </xf>
    <xf numFmtId="170" fontId="28" fillId="9" borderId="7">
      <alignment vertical="center"/>
    </xf>
    <xf numFmtId="170" fontId="13" fillId="9" borderId="33">
      <alignment horizontal="center" vertical="center"/>
    </xf>
    <xf numFmtId="170" fontId="13" fillId="0" borderId="0">
      <alignment vertical="center"/>
    </xf>
    <xf numFmtId="170" fontId="13" fillId="0" borderId="0">
      <alignment vertical="center"/>
    </xf>
    <xf numFmtId="170" fontId="13" fillId="0" borderId="0">
      <alignment vertical="center"/>
    </xf>
    <xf numFmtId="167" fontId="84" fillId="0" borderId="34" applyNumberFormat="0" applyAlignment="0" applyProtection="0">
      <alignment vertical="top"/>
    </xf>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85" fillId="0" borderId="0" applyNumberFormat="0" applyAlignment="0">
      <alignment horizontal="left"/>
    </xf>
    <xf numFmtId="223" fontId="18" fillId="0" borderId="0" applyFont="0" applyFill="0" applyBorder="0" applyAlignment="0" applyProtection="0"/>
    <xf numFmtId="0" fontId="18" fillId="0" borderId="35" applyNumberFormat="0" applyFont="0" applyFill="0" applyAlignment="0" applyProtection="0"/>
    <xf numFmtId="0" fontId="18" fillId="0" borderId="35" applyNumberFormat="0" applyFont="0" applyFill="0" applyAlignment="0" applyProtection="0"/>
    <xf numFmtId="0" fontId="18" fillId="0" borderId="35" applyNumberFormat="0" applyFont="0" applyFill="0" applyAlignment="0" applyProtection="0"/>
    <xf numFmtId="0" fontId="18" fillId="0" borderId="35" applyNumberFormat="0" applyFont="0" applyFill="0" applyAlignment="0" applyProtection="0"/>
    <xf numFmtId="0" fontId="18" fillId="0" borderId="35" applyNumberFormat="0" applyFont="0" applyFill="0" applyAlignment="0" applyProtection="0"/>
    <xf numFmtId="0" fontId="18" fillId="0" borderId="35" applyNumberFormat="0" applyFont="0" applyFill="0" applyAlignment="0" applyProtection="0"/>
    <xf numFmtId="0" fontId="11" fillId="0" borderId="0" applyNumberFormat="0" applyFill="0" applyBorder="0" applyAlignment="0" applyProtection="0"/>
    <xf numFmtId="167" fontId="41" fillId="0" borderId="0" applyBorder="0"/>
    <xf numFmtId="224" fontId="12" fillId="0" borderId="0">
      <protection locked="0"/>
    </xf>
    <xf numFmtId="0" fontId="62" fillId="0" borderId="0"/>
    <xf numFmtId="0" fontId="86" fillId="0" borderId="0" applyFill="0" applyBorder="0" applyProtection="0">
      <alignment horizontal="left"/>
    </xf>
    <xf numFmtId="213" fontId="87" fillId="0" borderId="0"/>
    <xf numFmtId="0" fontId="88" fillId="0" borderId="0">
      <alignment horizontal="left" indent="2"/>
    </xf>
    <xf numFmtId="38" fontId="89" fillId="10" borderId="0" applyNumberFormat="0" applyBorder="0" applyAlignment="0" applyProtection="0"/>
    <xf numFmtId="0" fontId="30" fillId="0" borderId="0" applyFont="0" applyFill="0" applyBorder="0" applyAlignment="0" applyProtection="0">
      <alignment horizontal="right"/>
    </xf>
    <xf numFmtId="0" fontId="90" fillId="11" borderId="0"/>
    <xf numFmtId="0" fontId="18" fillId="0" borderId="0"/>
    <xf numFmtId="0" fontId="91" fillId="0" borderId="0" applyNumberFormat="0" applyFill="0" applyBorder="0" applyAlignment="0" applyProtection="0">
      <alignment horizontal="left"/>
    </xf>
    <xf numFmtId="0" fontId="92" fillId="0" borderId="0" applyNumberFormat="0" applyFill="0" applyBorder="0" applyAlignment="0" applyProtection="0">
      <alignment horizontal="left"/>
    </xf>
    <xf numFmtId="0" fontId="93" fillId="0" borderId="0" applyNumberFormat="0" applyFill="0" applyBorder="0" applyAlignment="0" applyProtection="0">
      <alignment horizontal="left"/>
    </xf>
    <xf numFmtId="0" fontId="94" fillId="0" borderId="0" applyNumberFormat="0" applyFill="0" applyBorder="0" applyAlignment="0" applyProtection="0">
      <alignment horizontal="left"/>
    </xf>
    <xf numFmtId="0" fontId="95" fillId="0" borderId="0" applyNumberFormat="0" applyFill="0" applyAlignment="0" applyProtection="0">
      <alignment horizontal="left"/>
    </xf>
    <xf numFmtId="0" fontId="94" fillId="0" borderId="0" applyNumberFormat="0" applyFill="0" applyBorder="0" applyAlignment="0" applyProtection="0">
      <alignment horizontal="left"/>
    </xf>
    <xf numFmtId="0" fontId="95" fillId="0" borderId="0" applyNumberFormat="0" applyFill="0" applyBorder="0" applyAlignment="0" applyProtection="0">
      <alignment horizontal="left"/>
    </xf>
    <xf numFmtId="0" fontId="96" fillId="0" borderId="0" applyNumberFormat="0" applyFill="0" applyBorder="0" applyAlignment="0" applyProtection="0">
      <alignment horizontal="left"/>
    </xf>
    <xf numFmtId="0" fontId="97" fillId="0" borderId="0" applyNumberFormat="0" applyFill="0" applyBorder="0" applyAlignment="0" applyProtection="0">
      <alignment horizontal="left"/>
    </xf>
    <xf numFmtId="0" fontId="98" fillId="0" borderId="0" applyNumberFormat="0" applyFill="0" applyBorder="0" applyAlignment="0" applyProtection="0"/>
    <xf numFmtId="0" fontId="99" fillId="0" borderId="6" applyNumberFormat="0" applyAlignment="0" applyProtection="0">
      <alignment horizontal="left" vertical="center"/>
    </xf>
    <xf numFmtId="0" fontId="99" fillId="0" borderId="3">
      <alignment horizontal="left" vertical="center"/>
    </xf>
    <xf numFmtId="8" fontId="37" fillId="0" borderId="0" applyProtection="0">
      <alignment horizontal="center"/>
    </xf>
    <xf numFmtId="0" fontId="23" fillId="0" borderId="0">
      <alignment horizontal="right"/>
    </xf>
    <xf numFmtId="0" fontId="23" fillId="0" borderId="0">
      <alignment horizontal="left"/>
    </xf>
    <xf numFmtId="0" fontId="18" fillId="0" borderId="0">
      <protection locked="0"/>
    </xf>
    <xf numFmtId="0" fontId="18" fillId="0" borderId="0">
      <protection locked="0"/>
    </xf>
    <xf numFmtId="0" fontId="100" fillId="0" borderId="36" applyNumberFormat="0" applyFill="0" applyBorder="0" applyAlignment="0" applyProtection="0">
      <alignment horizontal="left"/>
    </xf>
    <xf numFmtId="0" fontId="101" fillId="0" borderId="0">
      <alignment horizontal="center"/>
    </xf>
    <xf numFmtId="0" fontId="102" fillId="0" borderId="9"/>
    <xf numFmtId="0" fontId="18" fillId="6" borderId="5" applyNumberFormat="0" applyFont="0" applyBorder="0" applyAlignment="0" applyProtection="0"/>
    <xf numFmtId="0" fontId="18" fillId="6" borderId="5" applyNumberFormat="0" applyFont="0" applyBorder="0" applyAlignment="0" applyProtection="0"/>
    <xf numFmtId="0" fontId="18" fillId="6" borderId="5" applyNumberFormat="0" applyFont="0" applyBorder="0" applyAlignment="0" applyProtection="0"/>
    <xf numFmtId="0" fontId="18" fillId="6" borderId="5" applyNumberFormat="0" applyFont="0" applyBorder="0" applyAlignment="0" applyProtection="0"/>
    <xf numFmtId="0" fontId="18" fillId="6" borderId="5" applyNumberFormat="0" applyFont="0" applyBorder="0" applyAlignment="0" applyProtection="0"/>
    <xf numFmtId="0" fontId="18" fillId="6" borderId="5" applyNumberFormat="0" applyFont="0" applyBorder="0" applyAlignment="0" applyProtection="0"/>
    <xf numFmtId="3" fontId="52" fillId="0" borderId="0" applyNumberFormat="0" applyFill="0" applyBorder="0" applyAlignment="0" applyProtection="0"/>
    <xf numFmtId="225" fontId="12" fillId="0" borderId="0"/>
    <xf numFmtId="225" fontId="103" fillId="0" borderId="0" applyFont="0" applyFill="0" applyBorder="0" applyAlignment="0" applyProtection="0"/>
    <xf numFmtId="0" fontId="104" fillId="0" borderId="37" applyNumberFormat="0" applyFill="0" applyAlignment="0" applyProtection="0"/>
    <xf numFmtId="37" fontId="41" fillId="0" borderId="0" applyBorder="0"/>
    <xf numFmtId="10" fontId="89" fillId="12" borderId="1" applyNumberFormat="0" applyBorder="0" applyAlignment="0" applyProtection="0"/>
    <xf numFmtId="40" fontId="45" fillId="0" borderId="1">
      <protection locked="0"/>
    </xf>
    <xf numFmtId="38" fontId="45" fillId="0" borderId="1">
      <protection locked="0"/>
    </xf>
    <xf numFmtId="8" fontId="45" fillId="0" borderId="1">
      <protection locked="0"/>
    </xf>
    <xf numFmtId="6" fontId="45" fillId="0" borderId="1">
      <protection locked="0"/>
    </xf>
    <xf numFmtId="10" fontId="45" fillId="0" borderId="1">
      <protection locked="0"/>
    </xf>
    <xf numFmtId="9" fontId="45" fillId="0" borderId="1">
      <protection locked="0"/>
    </xf>
    <xf numFmtId="38" fontId="104" fillId="0" borderId="0"/>
    <xf numFmtId="40" fontId="12" fillId="0" borderId="0"/>
    <xf numFmtId="226" fontId="28" fillId="0" borderId="0">
      <alignment horizontal="left"/>
    </xf>
    <xf numFmtId="0" fontId="18" fillId="0" borderId="25"/>
    <xf numFmtId="2" fontId="105" fillId="0" borderId="1"/>
    <xf numFmtId="0" fontId="89" fillId="10" borderId="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37" fontId="106" fillId="0" borderId="0" applyNumberFormat="0" applyFill="0" applyBorder="0" applyAlignment="0" applyProtection="0">
      <alignment horizontal="right"/>
    </xf>
    <xf numFmtId="44" fontId="11" fillId="0" borderId="0">
      <alignment horizontal="justify"/>
    </xf>
    <xf numFmtId="227" fontId="41" fillId="0" borderId="0"/>
    <xf numFmtId="228" fontId="30" fillId="0" borderId="0" applyFill="0" applyBorder="0" applyAlignment="0" applyProtection="0">
      <alignment horizontal="right"/>
    </xf>
    <xf numFmtId="229" fontId="18" fillId="0" borderId="0" applyFont="0" applyFill="0" applyBorder="0" applyAlignment="0" applyProtection="0"/>
    <xf numFmtId="230" fontId="18" fillId="0" borderId="0" applyFont="0" applyFill="0" applyBorder="0" applyAlignment="0" applyProtection="0"/>
    <xf numFmtId="231" fontId="18" fillId="0" borderId="0" applyFont="0" applyFill="0" applyBorder="0" applyAlignment="0" applyProtection="0"/>
    <xf numFmtId="232" fontId="18" fillId="0" borderId="0" applyFont="0" applyFill="0" applyBorder="0" applyAlignment="0" applyProtection="0"/>
    <xf numFmtId="233" fontId="18" fillId="0" borderId="0" applyFont="0" applyFill="0" applyBorder="0" applyAlignment="0" applyProtection="0"/>
    <xf numFmtId="234" fontId="18" fillId="0" borderId="0" applyFont="0" applyFill="0" applyBorder="0" applyAlignment="0" applyProtection="0"/>
    <xf numFmtId="235" fontId="18" fillId="0" borderId="0" applyFont="0" applyFill="0" applyBorder="0" applyAlignment="0" applyProtection="0"/>
    <xf numFmtId="236" fontId="107" fillId="0" borderId="0" applyFont="0" applyFill="0" applyBorder="0" applyAlignment="0" applyProtection="0"/>
    <xf numFmtId="237" fontId="18" fillId="0" borderId="0" applyFont="0" applyFill="0" applyBorder="0" applyAlignment="0" applyProtection="0"/>
    <xf numFmtId="238" fontId="18" fillId="0" borderId="0" applyFont="0" applyFill="0" applyBorder="0" applyAlignment="0" applyProtection="0"/>
    <xf numFmtId="239" fontId="18" fillId="0" borderId="0" applyFont="0" applyFill="0" applyBorder="0" applyAlignment="0" applyProtection="0"/>
    <xf numFmtId="234" fontId="18" fillId="0" borderId="0" applyFont="0" applyFill="0" applyBorder="0" applyAlignment="0" applyProtection="0"/>
    <xf numFmtId="0" fontId="108" fillId="0" borderId="0"/>
    <xf numFmtId="0" fontId="30" fillId="0" borderId="0" applyFont="0" applyFill="0" applyBorder="0" applyAlignment="0" applyProtection="0">
      <alignment horizontal="right"/>
    </xf>
    <xf numFmtId="240" fontId="28" fillId="0" borderId="0" applyFont="0" applyFill="0" applyBorder="0" applyAlignment="0" applyProtection="0"/>
    <xf numFmtId="241" fontId="28" fillId="0" borderId="0" applyFont="0" applyFill="0" applyBorder="0" applyAlignment="0" applyProtection="0"/>
    <xf numFmtId="242" fontId="30" fillId="0" borderId="0" applyFont="0" applyFill="0" applyBorder="0" applyAlignment="0" applyProtection="0">
      <alignment horizontal="right"/>
    </xf>
    <xf numFmtId="37" fontId="109" fillId="0" borderId="0"/>
    <xf numFmtId="38" fontId="29" fillId="0" borderId="1"/>
    <xf numFmtId="243" fontId="110" fillId="0" borderId="0"/>
    <xf numFmtId="0" fontId="18" fillId="0" borderId="0"/>
    <xf numFmtId="0" fontId="64" fillId="6" borderId="38"/>
    <xf numFmtId="17" fontId="64" fillId="0" borderId="26">
      <alignment horizontal="center"/>
    </xf>
    <xf numFmtId="0" fontId="18" fillId="0" borderId="0"/>
    <xf numFmtId="0" fontId="111" fillId="0" borderId="0"/>
    <xf numFmtId="0" fontId="51" fillId="0" borderId="26"/>
    <xf numFmtId="244" fontId="12" fillId="9" borderId="0" applyBorder="0">
      <alignment vertical="center"/>
    </xf>
    <xf numFmtId="3" fontId="49" fillId="0" borderId="39">
      <protection locked="0"/>
    </xf>
    <xf numFmtId="9" fontId="49" fillId="0" borderId="39"/>
    <xf numFmtId="245" fontId="29" fillId="0" borderId="14"/>
    <xf numFmtId="3" fontId="12" fillId="0" borderId="1"/>
    <xf numFmtId="245" fontId="112" fillId="13" borderId="1"/>
    <xf numFmtId="186" fontId="113" fillId="0" borderId="0"/>
    <xf numFmtId="3" fontId="29" fillId="0" borderId="40"/>
    <xf numFmtId="0" fontId="29" fillId="0" borderId="1"/>
    <xf numFmtId="1" fontId="74" fillId="0" borderId="0">
      <alignment horizontal="right"/>
      <protection locked="0"/>
    </xf>
    <xf numFmtId="170" fontId="78" fillId="0" borderId="0">
      <alignment horizontal="right"/>
      <protection locked="0"/>
    </xf>
    <xf numFmtId="0" fontId="74" fillId="0" borderId="0">
      <protection locked="0"/>
    </xf>
    <xf numFmtId="2" fontId="78" fillId="0" borderId="0">
      <alignment horizontal="right"/>
      <protection locked="0"/>
    </xf>
    <xf numFmtId="2" fontId="74" fillId="0" borderId="0">
      <alignment horizontal="right"/>
      <protection locked="0"/>
    </xf>
    <xf numFmtId="246" fontId="18" fillId="0" borderId="0" applyFont="0" applyBorder="0" applyAlignment="0">
      <alignment horizontal="centerContinuous"/>
    </xf>
    <xf numFmtId="0" fontId="18" fillId="0" borderId="35" applyNumberFormat="0" applyFont="0" applyFill="0" applyAlignment="0" applyProtection="0"/>
    <xf numFmtId="0" fontId="18" fillId="0" borderId="35" applyNumberFormat="0" applyFont="0" applyFill="0" applyAlignment="0" applyProtection="0"/>
    <xf numFmtId="0" fontId="18" fillId="0" borderId="35" applyNumberFormat="0" applyFont="0" applyFill="0" applyAlignment="0" applyProtection="0"/>
    <xf numFmtId="0" fontId="18" fillId="0" borderId="35" applyNumberFormat="0" applyFont="0" applyFill="0" applyAlignment="0" applyProtection="0"/>
    <xf numFmtId="0" fontId="18" fillId="0" borderId="35" applyNumberFormat="0" applyFont="0" applyFill="0" applyAlignment="0" applyProtection="0"/>
    <xf numFmtId="0" fontId="18" fillId="0" borderId="35" applyNumberFormat="0" applyFont="0" applyFill="0" applyAlignment="0" applyProtection="0"/>
    <xf numFmtId="40" fontId="114" fillId="0" borderId="0" applyFont="0" applyFill="0" applyBorder="0" applyAlignment="0" applyProtection="0"/>
    <xf numFmtId="38" fontId="114" fillId="0" borderId="0" applyFont="0" applyFill="0" applyBorder="0" applyAlignment="0" applyProtection="0"/>
    <xf numFmtId="0" fontId="88" fillId="14" borderId="1" applyNumberFormat="0" applyAlignment="0">
      <protection locked="0"/>
    </xf>
    <xf numFmtId="0" fontId="50" fillId="0" borderId="41">
      <alignment horizontal="left" wrapText="1"/>
    </xf>
    <xf numFmtId="4" fontId="27" fillId="9" borderId="0">
      <alignment horizontal="right"/>
    </xf>
    <xf numFmtId="0" fontId="115" fillId="9" borderId="0">
      <alignment horizontal="center" vertical="center"/>
    </xf>
    <xf numFmtId="0" fontId="116" fillId="9" borderId="10"/>
    <xf numFmtId="0" fontId="115" fillId="9" borderId="0" applyBorder="0">
      <alignment horizontal="centerContinuous"/>
    </xf>
    <xf numFmtId="0" fontId="117" fillId="9" borderId="0" applyBorder="0">
      <alignment horizontal="centerContinuous"/>
    </xf>
    <xf numFmtId="0" fontId="18" fillId="0" borderId="42" applyNumberFormat="0" applyFont="0" applyFill="0" applyAlignment="0" applyProtection="0"/>
    <xf numFmtId="0" fontId="18" fillId="0" borderId="42" applyNumberFormat="0" applyFont="0" applyFill="0" applyAlignment="0" applyProtection="0"/>
    <xf numFmtId="0" fontId="18" fillId="0" borderId="42" applyNumberFormat="0" applyFont="0" applyFill="0" applyAlignment="0" applyProtection="0"/>
    <xf numFmtId="0" fontId="18" fillId="0" borderId="42" applyNumberFormat="0" applyFont="0" applyFill="0" applyAlignment="0" applyProtection="0"/>
    <xf numFmtId="0" fontId="18" fillId="0" borderId="42" applyNumberFormat="0" applyFont="0" applyFill="0" applyAlignment="0" applyProtection="0"/>
    <xf numFmtId="0" fontId="18" fillId="0" borderId="42" applyNumberFormat="0" applyFont="0" applyFill="0" applyAlignment="0" applyProtection="0"/>
    <xf numFmtId="0" fontId="18" fillId="0" borderId="4" applyNumberFormat="0" applyFont="0" applyFill="0" applyAlignment="0" applyProtection="0"/>
    <xf numFmtId="247" fontId="41" fillId="0" borderId="19" applyBorder="0"/>
    <xf numFmtId="0" fontId="118" fillId="0" borderId="0" applyProtection="0">
      <alignment horizontal="left"/>
    </xf>
    <xf numFmtId="0" fontId="118" fillId="0" borderId="0" applyFill="0" applyBorder="0" applyProtection="0">
      <alignment horizontal="left"/>
    </xf>
    <xf numFmtId="0" fontId="22" fillId="0" borderId="0" applyFill="0" applyBorder="0" applyProtection="0">
      <alignment horizontal="left"/>
    </xf>
    <xf numFmtId="1" fontId="119" fillId="0" borderId="0" applyProtection="0">
      <alignment horizontal="right" vertical="center"/>
    </xf>
    <xf numFmtId="0" fontId="120" fillId="15" borderId="43"/>
    <xf numFmtId="170" fontId="18" fillId="0" borderId="0" applyFill="0"/>
    <xf numFmtId="0" fontId="13" fillId="0" borderId="44" applyNumberFormat="0" applyAlignment="0" applyProtection="0"/>
    <xf numFmtId="0" fontId="12" fillId="13" borderId="0" applyNumberFormat="0" applyFont="0" applyBorder="0" applyAlignment="0" applyProtection="0"/>
    <xf numFmtId="0" fontId="89" fillId="16" borderId="45" applyNumberFormat="0" applyFont="0" applyBorder="0" applyAlignment="0" applyProtection="0">
      <alignment horizontal="center"/>
    </xf>
    <xf numFmtId="0" fontId="89" fillId="6" borderId="45" applyNumberFormat="0" applyFont="0" applyBorder="0" applyAlignment="0" applyProtection="0">
      <alignment horizontal="center"/>
    </xf>
    <xf numFmtId="0" fontId="12" fillId="0" borderId="46" applyNumberFormat="0" applyAlignment="0" applyProtection="0"/>
    <xf numFmtId="0" fontId="12" fillId="0" borderId="47" applyNumberFormat="0" applyAlignment="0" applyProtection="0"/>
    <xf numFmtId="0" fontId="13" fillId="0" borderId="48" applyNumberFormat="0" applyAlignment="0" applyProtection="0"/>
    <xf numFmtId="49" fontId="121" fillId="0" borderId="24" applyFill="0" applyProtection="0">
      <alignment vertical="center"/>
    </xf>
    <xf numFmtId="14" fontId="28" fillId="0" borderId="0">
      <alignment horizontal="center" wrapText="1"/>
      <protection locked="0"/>
    </xf>
    <xf numFmtId="0" fontId="28" fillId="0" borderId="0">
      <alignment horizontal="right"/>
    </xf>
    <xf numFmtId="0" fontId="62" fillId="0" borderId="0"/>
    <xf numFmtId="0" fontId="61" fillId="0" borderId="0"/>
    <xf numFmtId="0" fontId="62" fillId="0" borderId="0"/>
    <xf numFmtId="9" fontId="12" fillId="0" borderId="0" applyFont="0" applyFill="0" applyBorder="0" applyAlignment="0" applyProtection="0"/>
    <xf numFmtId="10" fontId="12"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10" fontId="18" fillId="0" borderId="0" applyFont="0" applyFill="0" applyBorder="0" applyAlignment="0" applyProtection="0"/>
    <xf numFmtId="167" fontId="28" fillId="0" borderId="0">
      <alignment horizontal="right"/>
    </xf>
    <xf numFmtId="10" fontId="28" fillId="0" borderId="0">
      <alignment horizontal="right"/>
    </xf>
    <xf numFmtId="248" fontId="28" fillId="0" borderId="0" applyFont="0" applyFill="0" applyBorder="0" applyProtection="0">
      <alignment horizontal="right"/>
    </xf>
    <xf numFmtId="9" fontId="28" fillId="0" borderId="0">
      <alignment horizontal="right"/>
    </xf>
    <xf numFmtId="9" fontId="64" fillId="0" borderId="16">
      <alignment horizontal="center"/>
    </xf>
    <xf numFmtId="167" fontId="28" fillId="0" borderId="0"/>
    <xf numFmtId="167" fontId="74" fillId="0" borderId="0"/>
    <xf numFmtId="10" fontId="28" fillId="0" borderId="0"/>
    <xf numFmtId="10" fontId="74" fillId="0" borderId="0">
      <protection locked="0"/>
    </xf>
    <xf numFmtId="9" fontId="64" fillId="0" borderId="16">
      <alignment horizontal="right"/>
    </xf>
    <xf numFmtId="249" fontId="18" fillId="0" borderId="0"/>
    <xf numFmtId="9" fontId="18" fillId="0" borderId="0" applyFont="0" applyFill="0" applyBorder="0" applyAlignment="0" applyProtection="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250" fontId="18" fillId="0" borderId="0" applyProtection="0">
      <alignment horizontal="right"/>
    </xf>
    <xf numFmtId="250" fontId="18" fillId="0" borderId="0">
      <alignment horizontal="right"/>
      <protection locked="0"/>
    </xf>
    <xf numFmtId="5" fontId="122" fillId="0" borderId="0"/>
    <xf numFmtId="0" fontId="123" fillId="0" borderId="0" applyNumberFormat="0" applyFont="0" applyFill="0" applyBorder="0" applyAlignment="0" applyProtection="0">
      <alignment horizontal="left"/>
    </xf>
    <xf numFmtId="15" fontId="123" fillId="0" borderId="0" applyFont="0" applyFill="0" applyBorder="0" applyAlignment="0" applyProtection="0"/>
    <xf numFmtId="4" fontId="123" fillId="0" borderId="0" applyFont="0" applyFill="0" applyBorder="0" applyAlignment="0" applyProtection="0"/>
    <xf numFmtId="0" fontId="124" fillId="0" borderId="19">
      <alignment horizontal="center"/>
    </xf>
    <xf numFmtId="3" fontId="123" fillId="0" borderId="0" applyFont="0" applyFill="0" applyBorder="0" applyAlignment="0" applyProtection="0"/>
    <xf numFmtId="0" fontId="123" fillId="17" borderId="0" applyNumberFormat="0" applyFont="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125" fillId="18" borderId="0" applyNumberFormat="0" applyFont="0" applyBorder="0" applyAlignment="0">
      <alignment horizontal="center"/>
    </xf>
    <xf numFmtId="14" fontId="126" fillId="0" borderId="0" applyNumberFormat="0" applyFill="0" applyBorder="0" applyAlignment="0" applyProtection="0">
      <alignment horizontal="left"/>
    </xf>
    <xf numFmtId="0" fontId="127" fillId="0" borderId="0" applyNumberFormat="0" applyFill="0" applyBorder="0" applyProtection="0">
      <alignment horizontal="right" vertical="center"/>
    </xf>
    <xf numFmtId="0" fontId="67" fillId="0" borderId="0"/>
    <xf numFmtId="0" fontId="128" fillId="0" borderId="49">
      <alignment vertical="center"/>
    </xf>
    <xf numFmtId="0" fontId="122" fillId="0" borderId="50"/>
    <xf numFmtId="170" fontId="18" fillId="0" borderId="0" applyProtection="0">
      <alignment horizontal="center"/>
    </xf>
    <xf numFmtId="251" fontId="18" fillId="0" borderId="0" applyFont="0" applyFill="0" applyBorder="0" applyAlignment="0" applyProtection="0"/>
    <xf numFmtId="0" fontId="12" fillId="19" borderId="0" applyNumberFormat="0" applyFont="0" applyBorder="0" applyAlignment="0" applyProtection="0"/>
    <xf numFmtId="0" fontId="125" fillId="1" borderId="3" applyNumberFormat="0" applyFont="0" applyAlignment="0">
      <alignment horizontal="center"/>
    </xf>
    <xf numFmtId="42" fontId="53" fillId="0" borderId="0" applyFill="0" applyBorder="0" applyAlignment="0" applyProtection="0"/>
    <xf numFmtId="0" fontId="129" fillId="0" borderId="0" applyNumberFormat="0">
      <alignment horizontal="left"/>
    </xf>
    <xf numFmtId="2" fontId="26" fillId="0" borderId="51"/>
    <xf numFmtId="0" fontId="18" fillId="6" borderId="0" applyNumberFormat="0" applyBorder="0" applyProtection="0">
      <alignment horizontal="center"/>
    </xf>
    <xf numFmtId="0" fontId="130" fillId="0" borderId="0" applyNumberFormat="0" applyFill="0" applyBorder="0" applyAlignment="0">
      <alignment horizontal="center"/>
    </xf>
    <xf numFmtId="0" fontId="18" fillId="0" borderId="0"/>
    <xf numFmtId="0" fontId="131" fillId="0" borderId="0"/>
    <xf numFmtId="0" fontId="18" fillId="0" borderId="0">
      <alignment horizontal="left" wrapText="1"/>
    </xf>
    <xf numFmtId="0" fontId="112" fillId="0" borderId="52"/>
    <xf numFmtId="0" fontId="132" fillId="0" borderId="0"/>
    <xf numFmtId="0" fontId="133" fillId="0" borderId="0">
      <alignment horizontal="left"/>
    </xf>
    <xf numFmtId="210" fontId="18" fillId="0" borderId="0" applyFill="0" applyBorder="0" applyAlignment="0" applyProtection="0"/>
    <xf numFmtId="0" fontId="22" fillId="0" borderId="0"/>
    <xf numFmtId="0" fontId="59" fillId="0" borderId="0">
      <alignment horizontal="left" indent="1"/>
    </xf>
    <xf numFmtId="49" fontId="41" fillId="0" borderId="0"/>
    <xf numFmtId="0" fontId="134" fillId="0" borderId="0" applyFill="0" applyBorder="0" applyProtection="0">
      <alignment horizontal="center" vertical="center"/>
    </xf>
    <xf numFmtId="0" fontId="135" fillId="0" borderId="0" applyBorder="0" applyProtection="0">
      <alignment vertical="center"/>
    </xf>
    <xf numFmtId="0" fontId="135" fillId="0" borderId="24" applyBorder="0" applyProtection="0">
      <alignment horizontal="right" vertical="center"/>
    </xf>
    <xf numFmtId="0" fontId="136" fillId="20" borderId="0" applyBorder="0" applyProtection="0">
      <alignment horizontal="centerContinuous" vertical="center"/>
    </xf>
    <xf numFmtId="0" fontId="136" fillId="2" borderId="24" applyBorder="0" applyProtection="0">
      <alignment horizontal="centerContinuous" vertical="center"/>
    </xf>
    <xf numFmtId="0" fontId="137" fillId="0" borderId="0"/>
    <xf numFmtId="0" fontId="138" fillId="0" borderId="0" applyBorder="0" applyProtection="0">
      <alignment horizontal="left"/>
    </xf>
    <xf numFmtId="0" fontId="139" fillId="0" borderId="0" applyFill="0" applyBorder="0" applyProtection="0"/>
    <xf numFmtId="0" fontId="111" fillId="0" borderId="0"/>
    <xf numFmtId="0" fontId="140" fillId="0" borderId="0" applyFill="0" applyBorder="0" applyProtection="0">
      <alignment horizontal="left"/>
    </xf>
    <xf numFmtId="0" fontId="86" fillId="0" borderId="53" applyFill="0" applyBorder="0" applyProtection="0">
      <alignment horizontal="left" vertical="top"/>
    </xf>
    <xf numFmtId="0" fontId="13" fillId="0" borderId="0">
      <alignment horizontal="centerContinuous"/>
    </xf>
    <xf numFmtId="200" fontId="141" fillId="0" borderId="0" applyNumberFormat="0" applyFill="0" applyBorder="0">
      <alignment horizontal="left"/>
    </xf>
    <xf numFmtId="0" fontId="142" fillId="0" borderId="0"/>
    <xf numFmtId="0" fontId="74" fillId="0" borderId="0">
      <alignment horizontal="left"/>
      <protection locked="0"/>
    </xf>
    <xf numFmtId="0" fontId="143" fillId="0" borderId="0"/>
    <xf numFmtId="49" fontId="27" fillId="0" borderId="0" applyFill="0" applyBorder="0" applyAlignment="0"/>
    <xf numFmtId="0" fontId="18" fillId="0" borderId="0" applyFill="0" applyBorder="0" applyAlignment="0"/>
    <xf numFmtId="0" fontId="18" fillId="0" borderId="0" applyFill="0" applyBorder="0" applyAlignment="0"/>
    <xf numFmtId="18" fontId="41" fillId="0" borderId="0" applyFill="0" applyProtection="0">
      <alignment horizontal="center"/>
    </xf>
    <xf numFmtId="0" fontId="12" fillId="0" borderId="0" applyNumberFormat="0" applyFill="0" applyBorder="0" applyAlignment="0" applyProtection="0"/>
    <xf numFmtId="0" fontId="11" fillId="0" borderId="0" applyNumberFormat="0" applyFill="0" applyBorder="0" applyAlignment="0" applyProtection="0"/>
    <xf numFmtId="40" fontId="15" fillId="0" borderId="0"/>
    <xf numFmtId="0" fontId="14" fillId="0" borderId="0" applyNumberFormat="0" applyFont="0" applyBorder="0" applyAlignment="0"/>
    <xf numFmtId="0" fontId="144" fillId="0" borderId="0">
      <alignment horizontal="center"/>
    </xf>
    <xf numFmtId="226" fontId="13" fillId="0" borderId="0">
      <alignment horizontal="centerContinuous"/>
    </xf>
    <xf numFmtId="226" fontId="145" fillId="0" borderId="54">
      <alignment horizontal="centerContinuous"/>
    </xf>
    <xf numFmtId="226" fontId="17" fillId="0" borderId="0">
      <alignment horizontal="centerContinuous"/>
      <protection locked="0"/>
    </xf>
    <xf numFmtId="226" fontId="17" fillId="0" borderId="0">
      <alignment horizontal="left"/>
    </xf>
    <xf numFmtId="0" fontId="39" fillId="0" borderId="0">
      <alignment horizontal="center"/>
    </xf>
    <xf numFmtId="0" fontId="39" fillId="0" borderId="0">
      <alignment horizontal="left"/>
    </xf>
    <xf numFmtId="0" fontId="88" fillId="0" borderId="0">
      <alignment horizontal="center"/>
    </xf>
    <xf numFmtId="39" fontId="146" fillId="0" borderId="0">
      <alignment vertical="center"/>
    </xf>
    <xf numFmtId="39" fontId="146" fillId="0" borderId="0">
      <alignment vertical="center"/>
    </xf>
    <xf numFmtId="39" fontId="147" fillId="0" borderId="0">
      <alignment vertical="center"/>
    </xf>
    <xf numFmtId="0" fontId="148" fillId="0" borderId="0"/>
    <xf numFmtId="44" fontId="64" fillId="0" borderId="16"/>
    <xf numFmtId="0" fontId="149" fillId="0" borderId="0" applyNumberFormat="0" applyFill="0" applyBorder="0" applyAlignment="0" applyProtection="0">
      <alignment horizontal="left"/>
    </xf>
    <xf numFmtId="0" fontId="150" fillId="0" borderId="0" applyNumberFormat="0" applyFill="0" applyBorder="0" applyAlignment="0" applyProtection="0">
      <alignment horizontal="left"/>
    </xf>
    <xf numFmtId="0" fontId="151" fillId="0" borderId="0" applyNumberFormat="0" applyFill="0" applyBorder="0" applyAlignment="0" applyProtection="0">
      <alignment horizontal="left"/>
    </xf>
    <xf numFmtId="0" fontId="152" fillId="0" borderId="0" applyNumberFormat="0" applyFill="0" applyBorder="0" applyAlignment="0" applyProtection="0">
      <alignment horizontal="left"/>
    </xf>
    <xf numFmtId="0" fontId="153" fillId="0" borderId="0" applyNumberFormat="0" applyFill="0" applyBorder="0" applyAlignment="0" applyProtection="0">
      <alignment horizontal="left"/>
    </xf>
    <xf numFmtId="0" fontId="152" fillId="0" borderId="0" applyNumberFormat="0" applyFill="0" applyBorder="0" applyAlignment="0" applyProtection="0">
      <alignment horizontal="left"/>
    </xf>
    <xf numFmtId="0" fontId="153" fillId="0" borderId="0" applyNumberFormat="0" applyFill="0" applyBorder="0" applyAlignment="0" applyProtection="0">
      <alignment horizontal="left"/>
    </xf>
    <xf numFmtId="0" fontId="154" fillId="0" borderId="0">
      <alignment horizontal="left"/>
    </xf>
    <xf numFmtId="0" fontId="41" fillId="0" borderId="0" applyNumberFormat="0" applyFill="0" applyBorder="0" applyAlignment="0" applyProtection="0">
      <alignment horizontal="left"/>
    </xf>
    <xf numFmtId="44" fontId="155" fillId="0" borderId="16"/>
    <xf numFmtId="37" fontId="64" fillId="0" borderId="16"/>
    <xf numFmtId="0" fontId="18" fillId="6" borderId="0" applyNumberFormat="0" applyFont="0" applyBorder="0" applyAlignment="0" applyProtection="0"/>
    <xf numFmtId="0" fontId="18" fillId="6" borderId="0" applyNumberFormat="0" applyFont="0" applyBorder="0" applyAlignment="0" applyProtection="0"/>
    <xf numFmtId="0" fontId="18" fillId="6" borderId="0" applyNumberFormat="0" applyFont="0" applyBorder="0" applyAlignment="0" applyProtection="0"/>
    <xf numFmtId="0" fontId="18" fillId="6" borderId="0" applyNumberFormat="0" applyFont="0" applyBorder="0" applyAlignment="0" applyProtection="0"/>
    <xf numFmtId="0" fontId="18" fillId="6" borderId="0" applyNumberFormat="0" applyFont="0" applyBorder="0" applyAlignment="0" applyProtection="0"/>
    <xf numFmtId="0" fontId="18" fillId="6" borderId="0" applyNumberFormat="0" applyFont="0" applyBorder="0" applyAlignment="0" applyProtection="0"/>
    <xf numFmtId="252" fontId="18" fillId="0" borderId="0">
      <alignment horizontal="right"/>
    </xf>
    <xf numFmtId="200" fontId="156" fillId="0" borderId="0">
      <alignment horizontal="left"/>
      <protection locked="0"/>
    </xf>
    <xf numFmtId="219" fontId="145" fillId="0" borderId="0">
      <alignment horizontal="right"/>
    </xf>
    <xf numFmtId="220" fontId="18" fillId="0" borderId="0">
      <alignment horizontal="right"/>
    </xf>
    <xf numFmtId="1" fontId="145" fillId="0" borderId="0">
      <alignment horizontal="left"/>
    </xf>
    <xf numFmtId="218" fontId="145" fillId="0" borderId="0">
      <alignment horizontal="right"/>
    </xf>
    <xf numFmtId="0" fontId="157" fillId="0" borderId="0">
      <alignment horizontal="fill"/>
    </xf>
    <xf numFmtId="0" fontId="18" fillId="0" borderId="19" applyNumberFormat="0" applyFont="0" applyFill="0" applyAlignment="0" applyProtection="0"/>
    <xf numFmtId="0" fontId="18" fillId="0" borderId="19" applyNumberFormat="0" applyFont="0" applyFill="0" applyAlignment="0" applyProtection="0"/>
    <xf numFmtId="0" fontId="18" fillId="0" borderId="19" applyNumberFormat="0" applyFont="0" applyFill="0" applyAlignment="0" applyProtection="0"/>
    <xf numFmtId="0" fontId="18" fillId="0" borderId="19" applyNumberFormat="0" applyFont="0" applyFill="0" applyAlignment="0" applyProtection="0"/>
    <xf numFmtId="0" fontId="18" fillId="0" borderId="19" applyNumberFormat="0" applyFont="0" applyFill="0" applyAlignment="0" applyProtection="0"/>
    <xf numFmtId="0" fontId="18" fillId="0" borderId="19" applyNumberFormat="0" applyFont="0" applyFill="0" applyAlignment="0" applyProtection="0"/>
    <xf numFmtId="37" fontId="89" fillId="21" borderId="0" applyNumberFormat="0" applyBorder="0" applyAlignment="0" applyProtection="0"/>
    <xf numFmtId="37" fontId="89" fillId="0" borderId="0"/>
    <xf numFmtId="3" fontId="158" fillId="0" borderId="37" applyProtection="0"/>
    <xf numFmtId="0" fontId="18" fillId="0" borderId="0"/>
    <xf numFmtId="253" fontId="18" fillId="0" borderId="0" applyFont="0" applyFill="0" applyBorder="0" applyAlignment="0" applyProtection="0"/>
    <xf numFmtId="254" fontId="18" fillId="0" borderId="0" applyFont="0" applyFill="0" applyBorder="0" applyAlignment="0" applyProtection="0"/>
    <xf numFmtId="4" fontId="107" fillId="0" borderId="0" applyFont="0" applyFill="0" applyBorder="0" applyAlignment="0" applyProtection="0"/>
    <xf numFmtId="186" fontId="159" fillId="0" borderId="0"/>
    <xf numFmtId="0" fontId="160" fillId="22" borderId="0">
      <alignment horizontal="right"/>
    </xf>
    <xf numFmtId="186" fontId="160" fillId="22" borderId="0">
      <alignment horizontal="right"/>
    </xf>
    <xf numFmtId="186" fontId="160" fillId="22" borderId="0">
      <alignment horizontal="right"/>
    </xf>
    <xf numFmtId="0" fontId="160" fillId="22" borderId="0">
      <alignment horizontal="right"/>
    </xf>
    <xf numFmtId="186" fontId="160" fillId="22" borderId="0">
      <alignment horizontal="right"/>
    </xf>
    <xf numFmtId="186" fontId="160" fillId="22" borderId="0">
      <alignment horizontal="right"/>
    </xf>
    <xf numFmtId="255" fontId="161" fillId="0" borderId="24" applyBorder="0" applyProtection="0">
      <alignment horizontal="right"/>
    </xf>
    <xf numFmtId="0" fontId="53" fillId="0" borderId="0" applyFont="0" applyFill="0" applyBorder="0" applyAlignment="0" applyProtection="0"/>
    <xf numFmtId="256" fontId="17" fillId="0" borderId="45">
      <alignment horizontal="center"/>
    </xf>
    <xf numFmtId="0" fontId="162" fillId="0" borderId="0">
      <alignment vertical="center"/>
    </xf>
    <xf numFmtId="40" fontId="123" fillId="0" borderId="0" applyFont="0" applyFill="0" applyBorder="0" applyAlignment="0" applyProtection="0"/>
    <xf numFmtId="41" fontId="163" fillId="0" borderId="0" applyFont="0" applyFill="0" applyBorder="0" applyAlignment="0" applyProtection="0"/>
    <xf numFmtId="0" fontId="29" fillId="0" borderId="0"/>
    <xf numFmtId="8" fontId="123" fillId="0" borderId="0" applyFont="0" applyFill="0" applyBorder="0" applyAlignment="0" applyProtection="0"/>
    <xf numFmtId="6" fontId="123"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6" fillId="0" borderId="0"/>
    <xf numFmtId="9" fontId="6" fillId="0" borderId="0" applyFon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4" fillId="0" borderId="0"/>
    <xf numFmtId="9" fontId="4" fillId="0" borderId="0" applyFont="0" applyFill="0" applyBorder="0" applyAlignment="0" applyProtection="0"/>
    <xf numFmtId="0" fontId="164" fillId="0" borderId="0" applyNumberFormat="0" applyFill="0" applyBorder="0" applyAlignment="0" applyProtection="0"/>
    <xf numFmtId="0" fontId="25" fillId="0" borderId="0" applyNumberFormat="0" applyFill="0" applyBorder="0" applyAlignment="0" applyProtection="0"/>
    <xf numFmtId="0" fontId="164" fillId="0" borderId="0" applyNumberFormat="0" applyFill="0" applyBorder="0" applyAlignment="0" applyProtection="0"/>
    <xf numFmtId="0" fontId="25" fillId="0" borderId="0" applyNumberFormat="0" applyFill="0" applyBorder="0" applyAlignment="0" applyProtection="0"/>
    <xf numFmtId="0" fontId="166" fillId="23" borderId="0" applyNumberFormat="0" applyBorder="0" applyAlignment="0" applyProtection="0"/>
    <xf numFmtId="0" fontId="25" fillId="0" borderId="0" applyNumberFormat="0" applyFill="0" applyBorder="0" applyAlignment="0" applyProtection="0"/>
    <xf numFmtId="0" fontId="5" fillId="0" borderId="0"/>
    <xf numFmtId="0" fontId="5" fillId="0" borderId="0"/>
    <xf numFmtId="0" fontId="18" fillId="0" borderId="0"/>
    <xf numFmtId="43" fontId="165" fillId="0" borderId="0" applyFont="0" applyFill="0" applyBorder="0" applyAlignment="0" applyProtection="0"/>
    <xf numFmtId="0" fontId="167" fillId="0" borderId="57" applyNumberFormat="0" applyFill="0" applyAlignment="0" applyProtection="0"/>
    <xf numFmtId="0" fontId="165" fillId="0" borderId="0"/>
    <xf numFmtId="0" fontId="5" fillId="0" borderId="0"/>
    <xf numFmtId="9" fontId="5" fillId="0" borderId="0" applyFont="0" applyFill="0" applyBorder="0" applyAlignment="0" applyProtection="0"/>
    <xf numFmtId="44" fontId="10" fillId="0" borderId="0" applyFont="0" applyFill="0" applyBorder="0" applyAlignment="0" applyProtection="0"/>
    <xf numFmtId="0" fontId="10" fillId="0" borderId="0"/>
    <xf numFmtId="0" fontId="169" fillId="0" borderId="0" applyNumberForma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3" fillId="0" borderId="0"/>
    <xf numFmtId="0" fontId="2" fillId="0" borderId="0"/>
    <xf numFmtId="0" fontId="1" fillId="0" borderId="0"/>
  </cellStyleXfs>
  <cellXfs count="1237">
    <xf numFmtId="0" fontId="0" fillId="0" borderId="0" xfId="0"/>
    <xf numFmtId="0" fontId="170" fillId="24" borderId="0" xfId="0" applyFont="1" applyFill="1" applyAlignment="1">
      <alignment horizontal="center" vertical="center"/>
    </xf>
    <xf numFmtId="10" fontId="170" fillId="24" borderId="0" xfId="0" applyNumberFormat="1" applyFont="1" applyFill="1" applyAlignment="1">
      <alignment horizontal="center" vertical="center"/>
    </xf>
    <xf numFmtId="0" fontId="180" fillId="25" borderId="88" xfId="0" applyFont="1" applyFill="1" applyBorder="1" applyAlignment="1">
      <alignment horizontal="center" vertical="center"/>
    </xf>
    <xf numFmtId="0" fontId="180" fillId="25" borderId="89" xfId="0" applyFont="1" applyFill="1" applyBorder="1" applyAlignment="1">
      <alignment horizontal="center" vertical="center" wrapText="1"/>
    </xf>
    <xf numFmtId="0" fontId="180" fillId="25" borderId="89" xfId="0" applyFont="1" applyFill="1" applyBorder="1" applyAlignment="1">
      <alignment horizontal="center" vertical="center"/>
    </xf>
    <xf numFmtId="0" fontId="180" fillId="25" borderId="90" xfId="0" applyFont="1" applyFill="1" applyBorder="1" applyAlignment="1">
      <alignment horizontal="center" vertical="center" wrapText="1"/>
    </xf>
    <xf numFmtId="0" fontId="181" fillId="24" borderId="0" xfId="0" applyFont="1" applyFill="1" applyAlignment="1">
      <alignment horizontal="center" vertical="center"/>
    </xf>
    <xf numFmtId="0" fontId="182" fillId="24" borderId="93" xfId="0" quotePrefix="1" applyFont="1" applyFill="1" applyBorder="1" applyAlignment="1">
      <alignment horizontal="center" vertical="center" wrapText="1"/>
    </xf>
    <xf numFmtId="0" fontId="182" fillId="24" borderId="76" xfId="0" quotePrefix="1" applyFont="1" applyFill="1" applyBorder="1" applyAlignment="1">
      <alignment horizontal="center" vertical="center" wrapText="1"/>
    </xf>
    <xf numFmtId="277" fontId="182" fillId="24" borderId="76" xfId="0" quotePrefix="1" applyNumberFormat="1" applyFont="1" applyFill="1" applyBorder="1" applyAlignment="1">
      <alignment horizontal="center" vertical="center" wrapText="1"/>
    </xf>
    <xf numFmtId="166" fontId="182" fillId="24" borderId="76" xfId="0" quotePrefix="1" applyNumberFormat="1" applyFont="1" applyFill="1" applyBorder="1" applyAlignment="1">
      <alignment horizontal="center" vertical="center" wrapText="1"/>
    </xf>
    <xf numFmtId="10" fontId="182" fillId="24" borderId="76" xfId="0" quotePrefix="1" applyNumberFormat="1" applyFont="1" applyFill="1" applyBorder="1" applyAlignment="1">
      <alignment horizontal="center" vertical="center" wrapText="1"/>
    </xf>
    <xf numFmtId="3" fontId="182" fillId="24" borderId="76" xfId="0" quotePrefix="1" applyNumberFormat="1" applyFont="1" applyFill="1" applyBorder="1" applyAlignment="1">
      <alignment horizontal="center" vertical="center" wrapText="1"/>
    </xf>
    <xf numFmtId="0" fontId="182" fillId="24" borderId="94" xfId="0" quotePrefix="1" applyFont="1" applyFill="1" applyBorder="1" applyAlignment="1">
      <alignment horizontal="center" vertical="center" wrapText="1"/>
    </xf>
    <xf numFmtId="0" fontId="182" fillId="24" borderId="95" xfId="0" quotePrefix="1" applyFont="1" applyFill="1" applyBorder="1" applyAlignment="1">
      <alignment horizontal="center" vertical="center" wrapText="1"/>
    </xf>
    <xf numFmtId="0" fontId="182" fillId="24" borderId="7" xfId="0" quotePrefix="1" applyFont="1" applyFill="1" applyBorder="1" applyAlignment="1">
      <alignment horizontal="center" vertical="center" wrapText="1"/>
    </xf>
    <xf numFmtId="3" fontId="182" fillId="24" borderId="7" xfId="0" quotePrefix="1" applyNumberFormat="1" applyFont="1" applyFill="1" applyBorder="1" applyAlignment="1">
      <alignment horizontal="center" vertical="center" wrapText="1"/>
    </xf>
    <xf numFmtId="0" fontId="182" fillId="24" borderId="97" xfId="0" quotePrefix="1" applyFont="1" applyFill="1" applyBorder="1" applyAlignment="1">
      <alignment horizontal="center" vertical="center" wrapText="1"/>
    </xf>
    <xf numFmtId="0" fontId="182" fillId="24" borderId="98" xfId="0" quotePrefix="1" applyFont="1" applyFill="1" applyBorder="1" applyAlignment="1">
      <alignment horizontal="center" vertical="center" wrapText="1"/>
    </xf>
    <xf numFmtId="277" fontId="182" fillId="24" borderId="98" xfId="0" applyNumberFormat="1" applyFont="1" applyFill="1" applyBorder="1" applyAlignment="1">
      <alignment horizontal="center" vertical="center" wrapText="1"/>
    </xf>
    <xf numFmtId="165" fontId="182" fillId="24" borderId="98" xfId="0" quotePrefix="1" applyNumberFormat="1" applyFont="1" applyFill="1" applyBorder="1" applyAlignment="1">
      <alignment horizontal="center" vertical="center" wrapText="1"/>
    </xf>
    <xf numFmtId="3" fontId="182" fillId="24" borderId="98" xfId="0" applyNumberFormat="1" applyFont="1" applyFill="1" applyBorder="1" applyAlignment="1">
      <alignment horizontal="center" vertical="center" wrapText="1"/>
    </xf>
    <xf numFmtId="277" fontId="182" fillId="24" borderId="76" xfId="0" applyNumberFormat="1" applyFont="1" applyFill="1" applyBorder="1" applyAlignment="1">
      <alignment horizontal="center" vertical="center" wrapText="1"/>
    </xf>
    <xf numFmtId="165" fontId="182" fillId="24" borderId="76" xfId="0" applyNumberFormat="1" applyFont="1" applyFill="1" applyBorder="1" applyAlignment="1">
      <alignment horizontal="center" vertical="center" wrapText="1"/>
    </xf>
    <xf numFmtId="1" fontId="182" fillId="24" borderId="76" xfId="0" quotePrefix="1" applyNumberFormat="1" applyFont="1" applyFill="1" applyBorder="1" applyAlignment="1">
      <alignment horizontal="center" vertical="center" wrapText="1"/>
    </xf>
    <xf numFmtId="0" fontId="182" fillId="24" borderId="100" xfId="0" quotePrefix="1" applyFont="1" applyFill="1" applyBorder="1" applyAlignment="1">
      <alignment horizontal="center" vertical="center" wrapText="1"/>
    </xf>
    <xf numFmtId="0" fontId="182" fillId="24" borderId="101" xfId="0" quotePrefix="1" applyFont="1" applyFill="1" applyBorder="1" applyAlignment="1">
      <alignment horizontal="center" vertical="center" wrapText="1"/>
    </xf>
    <xf numFmtId="277" fontId="182" fillId="24" borderId="101" xfId="0" applyNumberFormat="1" applyFont="1" applyFill="1" applyBorder="1" applyAlignment="1">
      <alignment horizontal="center" vertical="center" wrapText="1"/>
    </xf>
    <xf numFmtId="165" fontId="182" fillId="24" borderId="101" xfId="0" applyNumberFormat="1" applyFont="1" applyFill="1" applyBorder="1" applyAlignment="1">
      <alignment horizontal="center" vertical="center" wrapText="1"/>
    </xf>
    <xf numFmtId="1" fontId="182" fillId="24" borderId="101" xfId="0" quotePrefix="1" applyNumberFormat="1" applyFont="1" applyFill="1" applyBorder="1" applyAlignment="1">
      <alignment horizontal="center" vertical="center" wrapText="1"/>
    </xf>
    <xf numFmtId="3" fontId="182" fillId="24" borderId="101" xfId="0" quotePrefix="1" applyNumberFormat="1" applyFont="1" applyFill="1" applyBorder="1" applyAlignment="1">
      <alignment horizontal="center" vertical="center" wrapText="1"/>
    </xf>
    <xf numFmtId="277" fontId="182" fillId="24" borderId="7" xfId="0" applyNumberFormat="1" applyFont="1" applyFill="1" applyBorder="1" applyAlignment="1">
      <alignment horizontal="center" vertical="center" wrapText="1"/>
    </xf>
    <xf numFmtId="165" fontId="182" fillId="24" borderId="7" xfId="0" applyNumberFormat="1" applyFont="1" applyFill="1" applyBorder="1" applyAlignment="1">
      <alignment horizontal="center" vertical="center" wrapText="1"/>
    </xf>
    <xf numFmtId="1" fontId="182" fillId="24" borderId="7" xfId="0" quotePrefix="1" applyNumberFormat="1" applyFont="1" applyFill="1" applyBorder="1" applyAlignment="1">
      <alignment horizontal="center" vertical="center" wrapText="1"/>
    </xf>
    <xf numFmtId="277" fontId="180" fillId="25" borderId="89" xfId="0" applyNumberFormat="1" applyFont="1" applyFill="1" applyBorder="1" applyAlignment="1">
      <alignment horizontal="center" vertical="center" wrapText="1"/>
    </xf>
    <xf numFmtId="165" fontId="180" fillId="25" borderId="89" xfId="0" applyNumberFormat="1" applyFont="1" applyFill="1" applyBorder="1" applyAlignment="1">
      <alignment horizontal="center" vertical="center" wrapText="1"/>
    </xf>
    <xf numFmtId="1" fontId="180" fillId="25" borderId="89" xfId="0" applyNumberFormat="1" applyFont="1" applyFill="1" applyBorder="1" applyAlignment="1">
      <alignment horizontal="center" vertical="center" wrapText="1"/>
    </xf>
    <xf numFmtId="3" fontId="180" fillId="25" borderId="89" xfId="0" applyNumberFormat="1" applyFont="1" applyFill="1" applyBorder="1" applyAlignment="1">
      <alignment horizontal="center" vertical="center" wrapText="1"/>
    </xf>
    <xf numFmtId="0" fontId="183" fillId="25" borderId="89" xfId="0" applyFont="1" applyFill="1" applyBorder="1"/>
    <xf numFmtId="0" fontId="183" fillId="25" borderId="90" xfId="0" applyFont="1" applyFill="1" applyBorder="1"/>
    <xf numFmtId="165" fontId="182" fillId="24" borderId="0" xfId="0" applyNumberFormat="1" applyFont="1" applyFill="1" applyAlignment="1">
      <alignment horizontal="center" vertical="center" wrapText="1"/>
    </xf>
    <xf numFmtId="3" fontId="182" fillId="24" borderId="0" xfId="0" quotePrefix="1" applyNumberFormat="1" applyFont="1" applyFill="1" applyAlignment="1">
      <alignment horizontal="center" vertical="center" wrapText="1"/>
    </xf>
    <xf numFmtId="165" fontId="185" fillId="24" borderId="0" xfId="0" applyNumberFormat="1" applyFont="1" applyFill="1" applyAlignment="1">
      <alignment horizontal="center" vertical="center" wrapText="1"/>
    </xf>
    <xf numFmtId="0" fontId="172" fillId="24" borderId="0" xfId="1346" applyFont="1" applyFill="1" applyAlignment="1">
      <alignment horizontal="center" vertical="center"/>
    </xf>
    <xf numFmtId="14" fontId="176" fillId="24" borderId="0" xfId="1346" applyNumberFormat="1" applyFont="1" applyFill="1" applyAlignment="1">
      <alignment horizontal="center" vertical="center"/>
    </xf>
    <xf numFmtId="14" fontId="172" fillId="24" borderId="0" xfId="1346" applyNumberFormat="1" applyFont="1" applyFill="1" applyAlignment="1">
      <alignment horizontal="center" vertical="center"/>
    </xf>
    <xf numFmtId="0" fontId="172" fillId="24" borderId="0" xfId="0" applyFont="1" applyFill="1" applyAlignment="1">
      <alignment horizontal="center" vertical="center"/>
    </xf>
    <xf numFmtId="0" fontId="172" fillId="0" borderId="0" xfId="0" applyFont="1" applyAlignment="1">
      <alignment horizontal="center" vertical="center"/>
    </xf>
    <xf numFmtId="0" fontId="188" fillId="25" borderId="152" xfId="0" applyFont="1" applyFill="1" applyBorder="1" applyAlignment="1">
      <alignment horizontal="center" vertical="center" wrapText="1"/>
    </xf>
    <xf numFmtId="0" fontId="188" fillId="25" borderId="153" xfId="0" applyFont="1" applyFill="1" applyBorder="1" applyAlignment="1">
      <alignment horizontal="center" vertical="center" wrapText="1"/>
    </xf>
    <xf numFmtId="0" fontId="188" fillId="25" borderId="153" xfId="0" applyFont="1" applyFill="1" applyBorder="1" applyAlignment="1">
      <alignment horizontal="center" vertical="center"/>
    </xf>
    <xf numFmtId="0" fontId="188" fillId="25" borderId="151" xfId="0" applyFont="1" applyFill="1" applyBorder="1" applyAlignment="1">
      <alignment horizontal="center" vertical="center" wrapText="1"/>
    </xf>
    <xf numFmtId="0" fontId="188" fillId="25" borderId="151" xfId="0" applyFont="1" applyFill="1" applyBorder="1" applyAlignment="1">
      <alignment horizontal="center" vertical="center"/>
    </xf>
    <xf numFmtId="0" fontId="188" fillId="25" borderId="139" xfId="0" applyFont="1" applyFill="1" applyBorder="1" applyAlignment="1">
      <alignment horizontal="center" vertical="center" wrapText="1"/>
    </xf>
    <xf numFmtId="3" fontId="16" fillId="0" borderId="111" xfId="0" applyNumberFormat="1" applyFont="1" applyBorder="1" applyAlignment="1">
      <alignment horizontal="center" vertical="center"/>
    </xf>
    <xf numFmtId="0" fontId="16" fillId="0" borderId="115" xfId="0" applyFont="1" applyBorder="1" applyAlignment="1">
      <alignment horizontal="center" vertical="center"/>
    </xf>
    <xf numFmtId="0" fontId="179" fillId="25" borderId="82" xfId="0" applyFont="1" applyFill="1" applyBorder="1" applyAlignment="1">
      <alignment horizontal="center" vertical="center"/>
    </xf>
    <xf numFmtId="10" fontId="179" fillId="25" borderId="7" xfId="0" applyNumberFormat="1" applyFont="1" applyFill="1" applyBorder="1" applyAlignment="1">
      <alignment horizontal="center" vertical="center"/>
    </xf>
    <xf numFmtId="3" fontId="179" fillId="25" borderId="83" xfId="0" applyNumberFormat="1" applyFont="1" applyFill="1" applyBorder="1" applyAlignment="1">
      <alignment horizontal="center" vertical="center"/>
    </xf>
    <xf numFmtId="0" fontId="186" fillId="25" borderId="83" xfId="0" applyFont="1" applyFill="1" applyBorder="1" applyAlignment="1">
      <alignment horizontal="center" vertical="center"/>
    </xf>
    <xf numFmtId="166" fontId="179" fillId="25" borderId="83" xfId="0" applyNumberFormat="1" applyFont="1" applyFill="1" applyBorder="1" applyAlignment="1">
      <alignment horizontal="center" vertical="center"/>
    </xf>
    <xf numFmtId="0" fontId="170" fillId="0" borderId="0" xfId="0" applyFont="1" applyAlignment="1">
      <alignment vertical="center"/>
    </xf>
    <xf numFmtId="0" fontId="170" fillId="0" borderId="0" xfId="0" applyFont="1" applyAlignment="1">
      <alignment horizontal="center" vertical="center"/>
    </xf>
    <xf numFmtId="0" fontId="181" fillId="0" borderId="0" xfId="0" applyFont="1" applyAlignment="1">
      <alignment vertical="center"/>
    </xf>
    <xf numFmtId="0" fontId="171" fillId="0" borderId="0" xfId="0" applyFont="1" applyAlignment="1">
      <alignment vertical="center"/>
    </xf>
    <xf numFmtId="3" fontId="175" fillId="0" borderId="0" xfId="0" applyNumberFormat="1" applyFont="1" applyAlignment="1">
      <alignment horizontal="center" vertical="center"/>
    </xf>
    <xf numFmtId="275" fontId="170" fillId="0" borderId="0" xfId="0" applyNumberFormat="1" applyFont="1" applyAlignment="1">
      <alignment horizontal="center" vertical="center" wrapText="1"/>
    </xf>
    <xf numFmtId="14" fontId="170" fillId="0" borderId="0" xfId="0" applyNumberFormat="1" applyFont="1" applyAlignment="1">
      <alignment horizontal="center" vertical="center"/>
    </xf>
    <xf numFmtId="14" fontId="170" fillId="0" borderId="0" xfId="0" applyNumberFormat="1" applyFont="1" applyAlignment="1">
      <alignment vertical="center"/>
    </xf>
    <xf numFmtId="275" fontId="170" fillId="0" borderId="0" xfId="0" applyNumberFormat="1" applyFont="1" applyAlignment="1">
      <alignment horizontal="center" vertical="center"/>
    </xf>
    <xf numFmtId="6" fontId="170" fillId="0" borderId="0" xfId="0" applyNumberFormat="1" applyFont="1" applyAlignment="1">
      <alignment horizontal="center" vertical="center"/>
    </xf>
    <xf numFmtId="6" fontId="178" fillId="24" borderId="156" xfId="1346" applyNumberFormat="1" applyFont="1" applyFill="1" applyBorder="1" applyAlignment="1">
      <alignment horizontal="center" vertical="center"/>
    </xf>
    <xf numFmtId="6" fontId="178" fillId="24" borderId="115" xfId="1346" applyNumberFormat="1" applyFont="1" applyFill="1" applyBorder="1" applyAlignment="1">
      <alignment horizontal="center" vertical="center"/>
    </xf>
    <xf numFmtId="6" fontId="178" fillId="24" borderId="164" xfId="1346" applyNumberFormat="1" applyFont="1" applyFill="1" applyBorder="1" applyAlignment="1">
      <alignment horizontal="center" vertical="center"/>
    </xf>
    <xf numFmtId="6" fontId="178" fillId="24" borderId="158" xfId="1346" applyNumberFormat="1" applyFont="1" applyFill="1" applyBorder="1" applyAlignment="1">
      <alignment horizontal="center" vertical="center"/>
    </xf>
    <xf numFmtId="6" fontId="178" fillId="24" borderId="154" xfId="1346" applyNumberFormat="1" applyFont="1" applyFill="1" applyBorder="1" applyAlignment="1">
      <alignment horizontal="center" vertical="center"/>
    </xf>
    <xf numFmtId="6" fontId="178" fillId="24" borderId="111" xfId="1346" applyNumberFormat="1" applyFont="1" applyFill="1" applyBorder="1" applyAlignment="1">
      <alignment horizontal="center" vertical="center"/>
    </xf>
    <xf numFmtId="0" fontId="178" fillId="24" borderId="0" xfId="1346" applyFont="1" applyFill="1" applyAlignment="1">
      <alignment vertical="center"/>
    </xf>
    <xf numFmtId="8" fontId="178" fillId="24" borderId="113" xfId="1346" applyNumberFormat="1" applyFont="1" applyFill="1" applyBorder="1" applyAlignment="1">
      <alignment horizontal="center" vertical="center"/>
    </xf>
    <xf numFmtId="8" fontId="178" fillId="24" borderId="40" xfId="1346" applyNumberFormat="1" applyFont="1" applyFill="1" applyBorder="1" applyAlignment="1">
      <alignment horizontal="center" vertical="center"/>
    </xf>
    <xf numFmtId="8" fontId="178" fillId="24" borderId="159" xfId="1346" applyNumberFormat="1" applyFont="1" applyFill="1" applyBorder="1" applyAlignment="1">
      <alignment horizontal="center" vertical="center"/>
    </xf>
    <xf numFmtId="167" fontId="178" fillId="24" borderId="113" xfId="1346" applyNumberFormat="1" applyFont="1" applyFill="1" applyBorder="1" applyAlignment="1">
      <alignment horizontal="center" vertical="center"/>
    </xf>
    <xf numFmtId="167" fontId="178" fillId="24" borderId="40" xfId="1346" applyNumberFormat="1" applyFont="1" applyFill="1" applyBorder="1" applyAlignment="1">
      <alignment horizontal="center" vertical="center"/>
    </xf>
    <xf numFmtId="167" fontId="178" fillId="24" borderId="159" xfId="1346" applyNumberFormat="1" applyFont="1" applyFill="1" applyBorder="1" applyAlignment="1">
      <alignment horizontal="center" vertical="center"/>
    </xf>
    <xf numFmtId="3" fontId="178" fillId="24" borderId="113" xfId="1346" applyNumberFormat="1" applyFont="1" applyFill="1" applyBorder="1" applyAlignment="1">
      <alignment horizontal="center" vertical="center"/>
    </xf>
    <xf numFmtId="3" fontId="178" fillId="24" borderId="40" xfId="1346" applyNumberFormat="1" applyFont="1" applyFill="1" applyBorder="1" applyAlignment="1">
      <alignment horizontal="center" vertical="center"/>
    </xf>
    <xf numFmtId="3" fontId="178" fillId="24" borderId="159" xfId="1346" applyNumberFormat="1" applyFont="1" applyFill="1" applyBorder="1" applyAlignment="1">
      <alignment horizontal="center" vertical="center"/>
    </xf>
    <xf numFmtId="10" fontId="178" fillId="24" borderId="124" xfId="1346" applyNumberFormat="1" applyFont="1" applyFill="1" applyBorder="1" applyAlignment="1">
      <alignment horizontal="center" vertical="center"/>
    </xf>
    <xf numFmtId="10" fontId="178" fillId="24" borderId="113" xfId="1346" applyNumberFormat="1" applyFont="1" applyFill="1" applyBorder="1" applyAlignment="1">
      <alignment horizontal="center" vertical="center"/>
    </xf>
    <xf numFmtId="3" fontId="177" fillId="24" borderId="159" xfId="1346" applyNumberFormat="1" applyFont="1" applyFill="1" applyBorder="1" applyAlignment="1">
      <alignment horizontal="center" vertical="center"/>
    </xf>
    <xf numFmtId="0" fontId="172" fillId="24" borderId="0" xfId="1346" applyFont="1" applyFill="1" applyAlignment="1">
      <alignment horizontal="left" vertical="center"/>
    </xf>
    <xf numFmtId="0" fontId="171" fillId="0" borderId="0" xfId="0" applyFont="1" applyAlignment="1">
      <alignment horizontal="center" vertical="center"/>
    </xf>
    <xf numFmtId="0" fontId="173" fillId="25" borderId="11" xfId="0" applyFont="1" applyFill="1" applyBorder="1" applyAlignment="1">
      <alignment horizontal="center" vertical="center"/>
    </xf>
    <xf numFmtId="0" fontId="173" fillId="25" borderId="71" xfId="0" applyFont="1" applyFill="1" applyBorder="1" applyAlignment="1">
      <alignment horizontal="center" vertical="center"/>
    </xf>
    <xf numFmtId="0" fontId="0" fillId="0" borderId="0" xfId="0" applyAlignment="1">
      <alignment horizontal="center" vertical="center"/>
    </xf>
    <xf numFmtId="171" fontId="173" fillId="25" borderId="104" xfId="0" applyNumberFormat="1" applyFont="1" applyFill="1" applyBorder="1" applyAlignment="1">
      <alignment horizontal="center" vertical="center"/>
    </xf>
    <xf numFmtId="171" fontId="173" fillId="25" borderId="105" xfId="0" applyNumberFormat="1" applyFont="1" applyFill="1" applyBorder="1" applyAlignment="1">
      <alignment horizontal="center" vertical="center"/>
    </xf>
    <xf numFmtId="0" fontId="173" fillId="25" borderId="142" xfId="0" applyFont="1" applyFill="1" applyBorder="1" applyAlignment="1">
      <alignment horizontal="center" vertical="center"/>
    </xf>
    <xf numFmtId="167" fontId="173" fillId="25" borderId="172" xfId="0" applyNumberFormat="1" applyFont="1" applyFill="1" applyBorder="1" applyAlignment="1">
      <alignment horizontal="center" vertical="center"/>
    </xf>
    <xf numFmtId="167" fontId="173" fillId="25" borderId="149" xfId="0" applyNumberFormat="1" applyFont="1" applyFill="1" applyBorder="1" applyAlignment="1">
      <alignment horizontal="center" vertical="center"/>
    </xf>
    <xf numFmtId="167" fontId="173" fillId="25" borderId="55" xfId="0" applyNumberFormat="1" applyFont="1" applyFill="1" applyBorder="1" applyAlignment="1">
      <alignment horizontal="center" vertical="center"/>
    </xf>
    <xf numFmtId="6" fontId="18" fillId="3" borderId="79" xfId="0" applyNumberFormat="1" applyFont="1" applyFill="1" applyBorder="1" applyAlignment="1">
      <alignment horizontal="center" vertical="center"/>
    </xf>
    <xf numFmtId="6" fontId="26" fillId="28" borderId="172" xfId="0" applyNumberFormat="1" applyFont="1" applyFill="1" applyBorder="1" applyAlignment="1">
      <alignment horizontal="center" vertical="center"/>
    </xf>
    <xf numFmtId="171" fontId="173" fillId="25" borderId="106" xfId="0" applyNumberFormat="1" applyFont="1" applyFill="1" applyBorder="1" applyAlignment="1">
      <alignment horizontal="center" vertical="center"/>
    </xf>
    <xf numFmtId="0" fontId="173" fillId="25" borderId="135" xfId="0" applyFont="1" applyFill="1" applyBorder="1" applyAlignment="1">
      <alignment horizontal="center" vertical="center"/>
    </xf>
    <xf numFmtId="0" fontId="193" fillId="25" borderId="135" xfId="0" applyFont="1" applyFill="1" applyBorder="1" applyAlignment="1">
      <alignment horizontal="center" vertical="center"/>
    </xf>
    <xf numFmtId="6" fontId="174" fillId="24" borderId="79" xfId="0" applyNumberFormat="1" applyFont="1" applyFill="1" applyBorder="1" applyAlignment="1">
      <alignment horizontal="center" vertical="center"/>
    </xf>
    <xf numFmtId="6" fontId="174" fillId="24" borderId="80" xfId="0" applyNumberFormat="1" applyFont="1" applyFill="1" applyBorder="1" applyAlignment="1">
      <alignment horizontal="center" vertical="center"/>
    </xf>
    <xf numFmtId="6" fontId="18" fillId="3" borderId="80" xfId="0" applyNumberFormat="1" applyFont="1" applyFill="1" applyBorder="1" applyAlignment="1">
      <alignment horizontal="center" vertical="center"/>
    </xf>
    <xf numFmtId="6" fontId="18" fillId="3" borderId="0" xfId="0" applyNumberFormat="1" applyFont="1" applyFill="1" applyAlignment="1">
      <alignment horizontal="center" vertical="center"/>
    </xf>
    <xf numFmtId="6" fontId="26" fillId="3" borderId="79" xfId="0" applyNumberFormat="1" applyFont="1" applyFill="1" applyBorder="1" applyAlignment="1">
      <alignment horizontal="center" vertical="center"/>
    </xf>
    <xf numFmtId="6" fontId="26" fillId="3" borderId="80" xfId="0" applyNumberFormat="1" applyFont="1" applyFill="1" applyBorder="1" applyAlignment="1">
      <alignment horizontal="center" vertical="center"/>
    </xf>
    <xf numFmtId="6" fontId="26" fillId="28" borderId="149" xfId="0" applyNumberFormat="1" applyFont="1" applyFill="1" applyBorder="1" applyAlignment="1">
      <alignment horizontal="center" vertical="center"/>
    </xf>
    <xf numFmtId="171" fontId="173" fillId="25" borderId="171" xfId="0" applyNumberFormat="1" applyFont="1" applyFill="1" applyBorder="1" applyAlignment="1">
      <alignment horizontal="center" vertical="center"/>
    </xf>
    <xf numFmtId="6" fontId="174" fillId="24" borderId="85" xfId="0" applyNumberFormat="1" applyFont="1" applyFill="1" applyBorder="1" applyAlignment="1">
      <alignment horizontal="center" vertical="center"/>
    </xf>
    <xf numFmtId="6" fontId="174" fillId="24" borderId="81" xfId="0" applyNumberFormat="1" applyFont="1" applyFill="1" applyBorder="1" applyAlignment="1">
      <alignment horizontal="center" vertical="center"/>
    </xf>
    <xf numFmtId="0" fontId="193" fillId="25" borderId="144" xfId="0" applyFont="1" applyFill="1" applyBorder="1" applyAlignment="1">
      <alignment horizontal="center" vertical="center"/>
    </xf>
    <xf numFmtId="167" fontId="173" fillId="25" borderId="69" xfId="0" applyNumberFormat="1" applyFont="1" applyFill="1" applyBorder="1" applyAlignment="1">
      <alignment horizontal="center" vertical="center"/>
    </xf>
    <xf numFmtId="168" fontId="172" fillId="0" borderId="0" xfId="0" applyNumberFormat="1" applyFont="1" applyAlignment="1">
      <alignment horizontal="center" vertical="center"/>
    </xf>
    <xf numFmtId="0" fontId="173" fillId="25" borderId="5" xfId="0" applyFont="1" applyFill="1" applyBorder="1" applyAlignment="1">
      <alignment horizontal="center" vertical="center"/>
    </xf>
    <xf numFmtId="0" fontId="26" fillId="0" borderId="0" xfId="5" applyFont="1" applyAlignment="1">
      <alignment horizontal="center" vertical="center"/>
    </xf>
    <xf numFmtId="1" fontId="116" fillId="0" borderId="0" xfId="0" applyNumberFormat="1" applyFont="1" applyAlignment="1">
      <alignment horizontal="center" vertical="center"/>
    </xf>
    <xf numFmtId="0" fontId="26" fillId="28" borderId="150" xfId="0" applyFont="1" applyFill="1" applyBorder="1" applyAlignment="1">
      <alignment horizontal="center" vertical="center"/>
    </xf>
    <xf numFmtId="0" fontId="172" fillId="0" borderId="85" xfId="0" applyFont="1" applyBorder="1" applyAlignment="1">
      <alignment horizontal="center" vertical="center"/>
    </xf>
    <xf numFmtId="6" fontId="174" fillId="24" borderId="0" xfId="0" applyNumberFormat="1" applyFont="1" applyFill="1" applyAlignment="1">
      <alignment horizontal="center" vertical="center"/>
    </xf>
    <xf numFmtId="0" fontId="172" fillId="0" borderId="171" xfId="0" applyFont="1" applyBorder="1" applyAlignment="1">
      <alignment horizontal="center" vertical="center" wrapText="1"/>
    </xf>
    <xf numFmtId="0" fontId="172" fillId="0" borderId="82" xfId="0" applyFont="1" applyBorder="1" applyAlignment="1">
      <alignment horizontal="center" vertical="center"/>
    </xf>
    <xf numFmtId="0" fontId="26" fillId="28" borderId="134" xfId="0" applyFont="1" applyFill="1" applyBorder="1" applyAlignment="1">
      <alignment horizontal="center" vertical="center"/>
    </xf>
    <xf numFmtId="0" fontId="26" fillId="28" borderId="116" xfId="0" applyFont="1" applyFill="1" applyBorder="1" applyAlignment="1">
      <alignment horizontal="center" vertical="center"/>
    </xf>
    <xf numFmtId="276" fontId="26" fillId="28" borderId="116" xfId="0" applyNumberFormat="1" applyFont="1" applyFill="1" applyBorder="1" applyAlignment="1">
      <alignment horizontal="center" vertical="center"/>
    </xf>
    <xf numFmtId="268" fontId="26" fillId="28" borderId="166" xfId="0" applyNumberFormat="1" applyFont="1" applyFill="1" applyBorder="1" applyAlignment="1">
      <alignment horizontal="center" vertical="center"/>
    </xf>
    <xf numFmtId="6" fontId="172" fillId="24" borderId="0" xfId="0" applyNumberFormat="1" applyFont="1" applyFill="1" applyAlignment="1">
      <alignment horizontal="center" vertical="center"/>
    </xf>
    <xf numFmtId="0" fontId="0" fillId="24" borderId="0" xfId="0" applyFill="1" applyAlignment="1">
      <alignment horizontal="center" vertical="center"/>
    </xf>
    <xf numFmtId="6" fontId="0" fillId="24" borderId="0" xfId="0" applyNumberFormat="1" applyFill="1" applyAlignment="1">
      <alignment horizontal="center" vertical="center"/>
    </xf>
    <xf numFmtId="171" fontId="173" fillId="25" borderId="55" xfId="0" applyNumberFormat="1" applyFont="1" applyFill="1" applyBorder="1" applyAlignment="1">
      <alignment horizontal="center" vertical="center"/>
    </xf>
    <xf numFmtId="0" fontId="173" fillId="25" borderId="152" xfId="0" applyFont="1" applyFill="1" applyBorder="1" applyAlignment="1">
      <alignment horizontal="center" vertical="center"/>
    </xf>
    <xf numFmtId="0" fontId="173" fillId="25" borderId="153" xfId="0" applyFont="1" applyFill="1" applyBorder="1" applyAlignment="1">
      <alignment horizontal="center" vertical="center"/>
    </xf>
    <xf numFmtId="171" fontId="173" fillId="25" borderId="68" xfId="0" applyNumberFormat="1" applyFont="1" applyFill="1" applyBorder="1" applyAlignment="1">
      <alignment horizontal="center" vertical="center"/>
    </xf>
    <xf numFmtId="0" fontId="188" fillId="25" borderId="152" xfId="0" applyFont="1" applyFill="1" applyBorder="1" applyAlignment="1">
      <alignment horizontal="center" vertical="center"/>
    </xf>
    <xf numFmtId="0" fontId="188" fillId="25" borderId="178" xfId="0" applyFont="1" applyFill="1" applyBorder="1" applyAlignment="1">
      <alignment horizontal="center" vertical="center" wrapText="1"/>
    </xf>
    <xf numFmtId="0" fontId="171" fillId="26" borderId="145" xfId="0" applyFont="1" applyFill="1" applyBorder="1" applyAlignment="1">
      <alignment horizontal="center" vertical="center"/>
    </xf>
    <xf numFmtId="0" fontId="173" fillId="25" borderId="59" xfId="0" applyFont="1" applyFill="1" applyBorder="1" applyAlignment="1">
      <alignment horizontal="center" vertical="center"/>
    </xf>
    <xf numFmtId="0" fontId="173" fillId="25" borderId="70" xfId="0" applyFont="1" applyFill="1" applyBorder="1" applyAlignment="1">
      <alignment horizontal="center" vertical="center"/>
    </xf>
    <xf numFmtId="0" fontId="174" fillId="0" borderId="0" xfId="0" applyFont="1" applyAlignment="1">
      <alignment horizontal="center" vertical="center"/>
    </xf>
    <xf numFmtId="0" fontId="195" fillId="24" borderId="0" xfId="0" applyFont="1" applyFill="1" applyAlignment="1">
      <alignment horizontal="center" vertical="center"/>
    </xf>
    <xf numFmtId="0" fontId="0" fillId="24" borderId="7" xfId="0" applyFill="1" applyBorder="1" applyAlignment="1">
      <alignment horizontal="center" vertical="center"/>
    </xf>
    <xf numFmtId="6" fontId="0" fillId="24" borderId="7" xfId="0" applyNumberFormat="1" applyFill="1" applyBorder="1" applyAlignment="1">
      <alignment horizontal="center" vertical="center"/>
    </xf>
    <xf numFmtId="0" fontId="196" fillId="25" borderId="0" xfId="0" applyFont="1" applyFill="1" applyAlignment="1">
      <alignment horizontal="center" vertical="center"/>
    </xf>
    <xf numFmtId="0" fontId="0" fillId="24" borderId="11" xfId="0" applyFill="1" applyBorder="1" applyAlignment="1">
      <alignment horizontal="center" vertical="center"/>
    </xf>
    <xf numFmtId="0" fontId="196" fillId="25" borderId="11" xfId="0" applyFont="1" applyFill="1" applyBorder="1" applyAlignment="1">
      <alignment horizontal="center" vertical="center"/>
    </xf>
    <xf numFmtId="0" fontId="181" fillId="24" borderId="113" xfId="0" applyFont="1" applyFill="1" applyBorder="1" applyAlignment="1">
      <alignment horizontal="center" vertical="center" wrapText="1"/>
    </xf>
    <xf numFmtId="3" fontId="16" fillId="24" borderId="113" xfId="0" applyNumberFormat="1" applyFont="1" applyFill="1" applyBorder="1" applyAlignment="1">
      <alignment horizontal="center" vertical="center"/>
    </xf>
    <xf numFmtId="3" fontId="16" fillId="24" borderId="112" xfId="0" applyNumberFormat="1" applyFont="1" applyFill="1" applyBorder="1" applyAlignment="1">
      <alignment horizontal="center" vertical="center"/>
    </xf>
    <xf numFmtId="175" fontId="18" fillId="24" borderId="134" xfId="0" applyNumberFormat="1" applyFont="1" applyFill="1" applyBorder="1" applyAlignment="1">
      <alignment horizontal="center" vertical="center"/>
    </xf>
    <xf numFmtId="38" fontId="172" fillId="24" borderId="129" xfId="21" applyNumberFormat="1" applyFont="1" applyFill="1" applyBorder="1" applyAlignment="1">
      <alignment horizontal="center" vertical="center"/>
    </xf>
    <xf numFmtId="38" fontId="18" fillId="24" borderId="130" xfId="21" applyNumberFormat="1" applyFont="1" applyFill="1" applyBorder="1" applyAlignment="1">
      <alignment horizontal="center" vertical="center"/>
    </xf>
    <xf numFmtId="6" fontId="18" fillId="24" borderId="130" xfId="0" applyNumberFormat="1" applyFont="1" applyFill="1" applyBorder="1" applyAlignment="1">
      <alignment horizontal="center" vertical="center"/>
    </xf>
    <xf numFmtId="164" fontId="18" fillId="24" borderId="131" xfId="21" applyNumberFormat="1" applyFont="1" applyFill="1" applyBorder="1" applyAlignment="1">
      <alignment horizontal="center" vertical="center"/>
    </xf>
    <xf numFmtId="175" fontId="18" fillId="24" borderId="116" xfId="0" applyNumberFormat="1" applyFont="1" applyFill="1" applyBorder="1" applyAlignment="1">
      <alignment horizontal="center" vertical="center"/>
    </xf>
    <xf numFmtId="38" fontId="172" fillId="24" borderId="133" xfId="21" applyNumberFormat="1" applyFont="1" applyFill="1" applyBorder="1" applyAlignment="1">
      <alignment horizontal="center" vertical="center"/>
    </xf>
    <xf numFmtId="38" fontId="18" fillId="24" borderId="40" xfId="21" applyNumberFormat="1" applyFont="1" applyFill="1" applyBorder="1" applyAlignment="1">
      <alignment horizontal="center" vertical="center"/>
    </xf>
    <xf numFmtId="6" fontId="18" fillId="24" borderId="40" xfId="0" applyNumberFormat="1" applyFont="1" applyFill="1" applyBorder="1" applyAlignment="1">
      <alignment horizontal="center" vertical="center"/>
    </xf>
    <xf numFmtId="164" fontId="18" fillId="24" borderId="117" xfId="21" applyNumberFormat="1" applyFont="1" applyFill="1" applyBorder="1" applyAlignment="1">
      <alignment horizontal="center" vertical="center"/>
    </xf>
    <xf numFmtId="175" fontId="18" fillId="24" borderId="166" xfId="0" applyNumberFormat="1" applyFont="1" applyFill="1" applyBorder="1" applyAlignment="1">
      <alignment horizontal="center" vertical="center"/>
    </xf>
    <xf numFmtId="38" fontId="172" fillId="24" borderId="123" xfId="21" applyNumberFormat="1" applyFont="1" applyFill="1" applyBorder="1" applyAlignment="1">
      <alignment horizontal="center" vertical="center"/>
    </xf>
    <xf numFmtId="38" fontId="18" fillId="24" borderId="124" xfId="21" applyNumberFormat="1" applyFont="1" applyFill="1" applyBorder="1" applyAlignment="1">
      <alignment horizontal="center" vertical="center"/>
    </xf>
    <xf numFmtId="6" fontId="18" fillId="24" borderId="124" xfId="0" applyNumberFormat="1" applyFont="1" applyFill="1" applyBorder="1" applyAlignment="1">
      <alignment horizontal="center" vertical="center"/>
    </xf>
    <xf numFmtId="164" fontId="18" fillId="24" borderId="125" xfId="21" applyNumberFormat="1" applyFont="1" applyFill="1" applyBorder="1" applyAlignment="1">
      <alignment horizontal="center" vertical="center"/>
    </xf>
    <xf numFmtId="0" fontId="27" fillId="24" borderId="134" xfId="14" applyFont="1" applyFill="1" applyBorder="1" applyAlignment="1">
      <alignment horizontal="center" vertical="center"/>
    </xf>
    <xf numFmtId="0" fontId="27" fillId="24" borderId="129" xfId="14" applyFont="1" applyFill="1" applyBorder="1" applyAlignment="1">
      <alignment horizontal="center" vertical="center"/>
    </xf>
    <xf numFmtId="3" fontId="174" fillId="24" borderId="130" xfId="14" applyNumberFormat="1" applyFont="1" applyFill="1" applyBorder="1" applyAlignment="1">
      <alignment horizontal="center" vertical="center"/>
    </xf>
    <xf numFmtId="8" fontId="18" fillId="24" borderId="130" xfId="0" applyNumberFormat="1" applyFont="1" applyFill="1" applyBorder="1" applyAlignment="1">
      <alignment horizontal="center" vertical="center"/>
    </xf>
    <xf numFmtId="6" fontId="18" fillId="24" borderId="131" xfId="0" applyNumberFormat="1" applyFont="1" applyFill="1" applyBorder="1" applyAlignment="1">
      <alignment horizontal="center" vertical="center"/>
    </xf>
    <xf numFmtId="0" fontId="27" fillId="24" borderId="166" xfId="14" applyFont="1" applyFill="1" applyBorder="1" applyAlignment="1">
      <alignment horizontal="center" vertical="center"/>
    </xf>
    <xf numFmtId="0" fontId="27" fillId="24" borderId="123" xfId="14" applyFont="1" applyFill="1" applyBorder="1" applyAlignment="1">
      <alignment horizontal="center" vertical="center"/>
    </xf>
    <xf numFmtId="3" fontId="174" fillId="24" borderId="124" xfId="14" applyNumberFormat="1" applyFont="1" applyFill="1" applyBorder="1" applyAlignment="1">
      <alignment horizontal="center" vertical="center"/>
    </xf>
    <xf numFmtId="8" fontId="18" fillId="24" borderId="124" xfId="0" applyNumberFormat="1" applyFont="1" applyFill="1" applyBorder="1" applyAlignment="1">
      <alignment horizontal="center" vertical="center"/>
    </xf>
    <xf numFmtId="6" fontId="18" fillId="24" borderId="125" xfId="0" applyNumberFormat="1" applyFont="1" applyFill="1" applyBorder="1" applyAlignment="1">
      <alignment horizontal="center" vertical="center"/>
    </xf>
    <xf numFmtId="6" fontId="172" fillId="0" borderId="0" xfId="0" applyNumberFormat="1" applyFont="1" applyAlignment="1">
      <alignment horizontal="center" vertical="center"/>
    </xf>
    <xf numFmtId="0" fontId="197" fillId="24" borderId="11" xfId="0" applyFont="1" applyFill="1" applyBorder="1" applyAlignment="1">
      <alignment horizontal="center" vertical="center"/>
    </xf>
    <xf numFmtId="0" fontId="0" fillId="24" borderId="59" xfId="0" applyFill="1" applyBorder="1" applyAlignment="1">
      <alignment horizontal="center" vertical="center"/>
    </xf>
    <xf numFmtId="0" fontId="0" fillId="24" borderId="70" xfId="0" applyFill="1" applyBorder="1" applyAlignment="1">
      <alignment horizontal="center" vertical="center"/>
    </xf>
    <xf numFmtId="8" fontId="0" fillId="24" borderId="70" xfId="0" applyNumberFormat="1" applyFill="1" applyBorder="1" applyAlignment="1">
      <alignment horizontal="center" vertical="center"/>
    </xf>
    <xf numFmtId="6" fontId="174" fillId="0" borderId="0" xfId="0" applyNumberFormat="1" applyFont="1" applyAlignment="1">
      <alignment horizontal="center" vertical="center"/>
    </xf>
    <xf numFmtId="0" fontId="173" fillId="25" borderId="67" xfId="0" applyFont="1" applyFill="1" applyBorder="1" applyAlignment="1">
      <alignment horizontal="center" vertical="center"/>
    </xf>
    <xf numFmtId="0" fontId="173" fillId="24" borderId="0" xfId="0" applyFont="1" applyFill="1" applyAlignment="1">
      <alignment horizontal="center" vertical="center"/>
    </xf>
    <xf numFmtId="0" fontId="18" fillId="24" borderId="0" xfId="0" applyFont="1" applyFill="1" applyAlignment="1">
      <alignment horizontal="center" vertical="center"/>
    </xf>
    <xf numFmtId="5" fontId="18" fillId="24" borderId="0" xfId="21" applyNumberFormat="1" applyFont="1" applyFill="1" applyBorder="1" applyAlignment="1">
      <alignment horizontal="center" vertical="center"/>
    </xf>
    <xf numFmtId="165" fontId="18" fillId="24" borderId="0" xfId="21" applyNumberFormat="1" applyFont="1" applyFill="1" applyBorder="1" applyAlignment="1">
      <alignment horizontal="center" vertical="center"/>
    </xf>
    <xf numFmtId="284" fontId="18" fillId="24" borderId="0" xfId="0" applyNumberFormat="1" applyFont="1" applyFill="1" applyAlignment="1">
      <alignment horizontal="center" vertical="center"/>
    </xf>
    <xf numFmtId="257" fontId="18" fillId="24" borderId="0" xfId="0" applyNumberFormat="1" applyFont="1" applyFill="1" applyAlignment="1">
      <alignment horizontal="center" vertical="center"/>
    </xf>
    <xf numFmtId="5" fontId="26" fillId="24" borderId="0" xfId="21" applyNumberFormat="1" applyFont="1" applyFill="1" applyBorder="1" applyAlignment="1">
      <alignment horizontal="center" vertical="center"/>
    </xf>
    <xf numFmtId="262" fontId="26" fillId="28" borderId="138" xfId="0" applyNumberFormat="1" applyFont="1" applyFill="1" applyBorder="1" applyAlignment="1">
      <alignment horizontal="center" vertical="center"/>
    </xf>
    <xf numFmtId="6" fontId="172" fillId="24" borderId="11" xfId="0" applyNumberFormat="1" applyFont="1" applyFill="1" applyBorder="1" applyAlignment="1">
      <alignment horizontal="center" vertical="center"/>
    </xf>
    <xf numFmtId="6" fontId="18" fillId="24" borderId="0" xfId="0" applyNumberFormat="1" applyFont="1" applyFill="1" applyAlignment="1">
      <alignment horizontal="center" vertical="center"/>
    </xf>
    <xf numFmtId="6" fontId="18" fillId="24" borderId="5" xfId="0" applyNumberFormat="1" applyFont="1" applyFill="1" applyBorder="1" applyAlignment="1">
      <alignment horizontal="center" vertical="center"/>
    </xf>
    <xf numFmtId="6" fontId="172" fillId="24" borderId="59" xfId="0" applyNumberFormat="1" applyFont="1" applyFill="1" applyBorder="1" applyAlignment="1">
      <alignment horizontal="center" vertical="center"/>
    </xf>
    <xf numFmtId="0" fontId="173" fillId="25" borderId="60" xfId="0" applyFont="1" applyFill="1" applyBorder="1" applyAlignment="1">
      <alignment horizontal="center" vertical="center"/>
    </xf>
    <xf numFmtId="0" fontId="197" fillId="24" borderId="0" xfId="0" applyFont="1" applyFill="1" applyAlignment="1">
      <alignment horizontal="center" vertical="center"/>
    </xf>
    <xf numFmtId="8" fontId="197" fillId="24" borderId="0" xfId="0" applyNumberFormat="1" applyFont="1" applyFill="1" applyAlignment="1">
      <alignment horizontal="center" vertical="center"/>
    </xf>
    <xf numFmtId="8" fontId="0" fillId="24" borderId="0" xfId="0" applyNumberFormat="1" applyFill="1" applyAlignment="1">
      <alignment horizontal="center" vertical="center"/>
    </xf>
    <xf numFmtId="0" fontId="172" fillId="24" borderId="5" xfId="0" applyFont="1" applyFill="1" applyBorder="1" applyAlignment="1">
      <alignment horizontal="center" vertical="center"/>
    </xf>
    <xf numFmtId="8" fontId="26" fillId="24" borderId="71" xfId="1346" applyNumberFormat="1" applyFont="1" applyFill="1" applyBorder="1" applyAlignment="1">
      <alignment horizontal="center" vertical="center"/>
    </xf>
    <xf numFmtId="8" fontId="26" fillId="24" borderId="139" xfId="1346" applyNumberFormat="1" applyFont="1" applyFill="1" applyBorder="1" applyAlignment="1">
      <alignment horizontal="center" vertical="center"/>
    </xf>
    <xf numFmtId="0" fontId="172" fillId="24" borderId="11" xfId="0" applyFont="1" applyFill="1" applyBorder="1" applyAlignment="1">
      <alignment horizontal="center" vertical="center"/>
    </xf>
    <xf numFmtId="14" fontId="18" fillId="24" borderId="59" xfId="1346" applyNumberFormat="1" applyFont="1" applyFill="1" applyBorder="1" applyAlignment="1">
      <alignment horizontal="center" vertical="center" wrapText="1"/>
    </xf>
    <xf numFmtId="10" fontId="26" fillId="24" borderId="70" xfId="1" applyNumberFormat="1" applyFont="1" applyFill="1" applyBorder="1" applyAlignment="1">
      <alignment horizontal="center" vertical="center"/>
    </xf>
    <xf numFmtId="0" fontId="18" fillId="24" borderId="138" xfId="1346" applyFont="1" applyFill="1" applyBorder="1" applyAlignment="1">
      <alignment horizontal="center" vertical="center"/>
    </xf>
    <xf numFmtId="0" fontId="18" fillId="24" borderId="11" xfId="0" applyFont="1" applyFill="1" applyBorder="1" applyAlignment="1">
      <alignment horizontal="center" vertical="center"/>
    </xf>
    <xf numFmtId="9" fontId="18" fillId="24" borderId="0" xfId="0" applyNumberFormat="1" applyFont="1" applyFill="1" applyAlignment="1">
      <alignment horizontal="center" vertical="center"/>
    </xf>
    <xf numFmtId="9" fontId="18" fillId="24" borderId="5" xfId="0" applyNumberFormat="1" applyFont="1" applyFill="1" applyBorder="1" applyAlignment="1">
      <alignment horizontal="center" vertical="center"/>
    </xf>
    <xf numFmtId="0" fontId="18" fillId="24" borderId="5" xfId="0" applyFont="1" applyFill="1" applyBorder="1" applyAlignment="1">
      <alignment horizontal="center" vertical="center"/>
    </xf>
    <xf numFmtId="10" fontId="26" fillId="24" borderId="60" xfId="1346" applyNumberFormat="1" applyFont="1" applyFill="1" applyBorder="1" applyAlignment="1">
      <alignment horizontal="center" vertical="center"/>
    </xf>
    <xf numFmtId="171" fontId="26" fillId="28" borderId="171" xfId="0" applyNumberFormat="1" applyFont="1" applyFill="1" applyBorder="1" applyAlignment="1">
      <alignment horizontal="center" vertical="center"/>
    </xf>
    <xf numFmtId="171" fontId="26" fillId="28" borderId="105" xfId="0" applyNumberFormat="1" applyFont="1" applyFill="1" applyBorder="1" applyAlignment="1">
      <alignment horizontal="center" vertical="center"/>
    </xf>
    <xf numFmtId="171" fontId="26" fillId="28" borderId="106" xfId="0" applyNumberFormat="1" applyFont="1" applyFill="1" applyBorder="1" applyAlignment="1">
      <alignment horizontal="center" vertical="center"/>
    </xf>
    <xf numFmtId="6" fontId="18" fillId="28" borderId="85" xfId="0" applyNumberFormat="1" applyFont="1" applyFill="1" applyBorder="1" applyAlignment="1">
      <alignment horizontal="center" vertical="center"/>
    </xf>
    <xf numFmtId="6" fontId="18" fillId="28" borderId="79" xfId="0" applyNumberFormat="1" applyFont="1" applyFill="1" applyBorder="1" applyAlignment="1">
      <alignment horizontal="center" vertical="center"/>
    </xf>
    <xf numFmtId="6" fontId="18" fillId="28" borderId="81" xfId="0" applyNumberFormat="1" applyFont="1" applyFill="1" applyBorder="1" applyAlignment="1">
      <alignment horizontal="center" vertical="center"/>
    </xf>
    <xf numFmtId="6" fontId="26" fillId="24" borderId="64" xfId="0" applyNumberFormat="1" applyFont="1" applyFill="1" applyBorder="1" applyAlignment="1">
      <alignment horizontal="center" vertical="center"/>
    </xf>
    <xf numFmtId="6" fontId="26" fillId="24" borderId="109" xfId="0" applyNumberFormat="1" applyFont="1" applyFill="1" applyBorder="1" applyAlignment="1">
      <alignment horizontal="center" vertical="center"/>
    </xf>
    <xf numFmtId="6" fontId="26" fillId="24" borderId="10" xfId="0" applyNumberFormat="1" applyFont="1" applyFill="1" applyBorder="1" applyAlignment="1">
      <alignment horizontal="center" vertical="center"/>
    </xf>
    <xf numFmtId="0" fontId="172" fillId="24" borderId="59" xfId="0" applyFont="1" applyFill="1" applyBorder="1" applyAlignment="1">
      <alignment horizontal="center" vertical="center"/>
    </xf>
    <xf numFmtId="278" fontId="193" fillId="25" borderId="150" xfId="0" applyNumberFormat="1" applyFont="1" applyFill="1" applyBorder="1" applyAlignment="1">
      <alignment horizontal="center" vertical="center"/>
    </xf>
    <xf numFmtId="278" fontId="193" fillId="25" borderId="149" xfId="0" applyNumberFormat="1" applyFont="1" applyFill="1" applyBorder="1" applyAlignment="1">
      <alignment horizontal="center" vertical="center"/>
    </xf>
    <xf numFmtId="278" fontId="193" fillId="25" borderId="148" xfId="0" applyNumberFormat="1" applyFont="1" applyFill="1" applyBorder="1" applyAlignment="1">
      <alignment horizontal="center" vertical="center"/>
    </xf>
    <xf numFmtId="167" fontId="173" fillId="25" borderId="68" xfId="0" applyNumberFormat="1" applyFont="1" applyFill="1" applyBorder="1" applyAlignment="1">
      <alignment horizontal="center" vertical="center"/>
    </xf>
    <xf numFmtId="0" fontId="26" fillId="28" borderId="149" xfId="0" applyFont="1" applyFill="1" applyBorder="1" applyAlignment="1">
      <alignment horizontal="center" vertical="center"/>
    </xf>
    <xf numFmtId="0" fontId="26" fillId="28" borderId="148" xfId="0" applyFont="1" applyFill="1" applyBorder="1" applyAlignment="1">
      <alignment horizontal="center" vertical="center"/>
    </xf>
    <xf numFmtId="6" fontId="26" fillId="28" borderId="173" xfId="0" applyNumberFormat="1" applyFont="1" applyFill="1" applyBorder="1" applyAlignment="1">
      <alignment horizontal="center" vertical="center"/>
    </xf>
    <xf numFmtId="6" fontId="26" fillId="24" borderId="183" xfId="0" applyNumberFormat="1" applyFont="1" applyFill="1" applyBorder="1" applyAlignment="1">
      <alignment horizontal="center" vertical="center"/>
    </xf>
    <xf numFmtId="6" fontId="26" fillId="24" borderId="56" xfId="0" applyNumberFormat="1" applyFont="1" applyFill="1" applyBorder="1" applyAlignment="1">
      <alignment horizontal="center" vertical="center"/>
    </xf>
    <xf numFmtId="6" fontId="172" fillId="24" borderId="183" xfId="0" applyNumberFormat="1" applyFont="1" applyFill="1" applyBorder="1" applyAlignment="1">
      <alignment horizontal="center" vertical="center"/>
    </xf>
    <xf numFmtId="6" fontId="26" fillId="28" borderId="77" xfId="0" applyNumberFormat="1" applyFont="1" applyFill="1" applyBorder="1" applyAlignment="1">
      <alignment horizontal="center" vertical="center"/>
    </xf>
    <xf numFmtId="14" fontId="26" fillId="28" borderId="138" xfId="0" applyNumberFormat="1" applyFont="1" applyFill="1" applyBorder="1" applyAlignment="1">
      <alignment horizontal="center" vertical="center"/>
    </xf>
    <xf numFmtId="14" fontId="26" fillId="28" borderId="142" xfId="0" applyNumberFormat="1" applyFont="1" applyFill="1" applyBorder="1" applyAlignment="1">
      <alignment horizontal="center" vertical="center"/>
    </xf>
    <xf numFmtId="0" fontId="26" fillId="28" borderId="108" xfId="0" applyFont="1" applyFill="1" applyBorder="1" applyAlignment="1">
      <alignment horizontal="center" vertical="center"/>
    </xf>
    <xf numFmtId="10" fontId="26" fillId="28" borderId="138" xfId="0" applyNumberFormat="1" applyFont="1" applyFill="1" applyBorder="1" applyAlignment="1">
      <alignment horizontal="center" vertical="center"/>
    </xf>
    <xf numFmtId="6" fontId="174" fillId="24" borderId="77" xfId="0" applyNumberFormat="1" applyFont="1" applyFill="1" applyBorder="1" applyAlignment="1">
      <alignment horizontal="center" vertical="center"/>
    </xf>
    <xf numFmtId="6" fontId="26" fillId="24" borderId="74" xfId="0" applyNumberFormat="1" applyFont="1" applyFill="1" applyBorder="1" applyAlignment="1">
      <alignment horizontal="center" vertical="center"/>
    </xf>
    <xf numFmtId="6" fontId="26" fillId="28" borderId="153" xfId="0" applyNumberFormat="1" applyFont="1" applyFill="1" applyBorder="1" applyAlignment="1">
      <alignment horizontal="center" vertical="center"/>
    </xf>
    <xf numFmtId="6" fontId="26" fillId="28" borderId="178" xfId="0" applyNumberFormat="1" applyFont="1" applyFill="1" applyBorder="1" applyAlignment="1">
      <alignment horizontal="center" vertical="center"/>
    </xf>
    <xf numFmtId="6" fontId="172" fillId="24" borderId="64" xfId="0" applyNumberFormat="1" applyFont="1" applyFill="1" applyBorder="1" applyAlignment="1">
      <alignment horizontal="center" vertical="center"/>
    </xf>
    <xf numFmtId="6" fontId="172" fillId="24" borderId="109" xfId="0" applyNumberFormat="1" applyFont="1" applyFill="1" applyBorder="1" applyAlignment="1">
      <alignment horizontal="center" vertical="center"/>
    </xf>
    <xf numFmtId="6" fontId="172" fillId="24" borderId="55" xfId="0" applyNumberFormat="1" applyFont="1" applyFill="1" applyBorder="1" applyAlignment="1">
      <alignment horizontal="center" vertical="center"/>
    </xf>
    <xf numFmtId="6" fontId="172" fillId="24" borderId="69" xfId="0" applyNumberFormat="1" applyFont="1" applyFill="1" applyBorder="1" applyAlignment="1">
      <alignment horizontal="center" vertical="center"/>
    </xf>
    <xf numFmtId="9" fontId="26" fillId="28" borderId="153" xfId="0" applyNumberFormat="1" applyFont="1" applyFill="1" applyBorder="1" applyAlignment="1">
      <alignment horizontal="center" vertical="center"/>
    </xf>
    <xf numFmtId="6" fontId="18" fillId="24" borderId="64" xfId="0" applyNumberFormat="1" applyFont="1" applyFill="1" applyBorder="1" applyAlignment="1">
      <alignment horizontal="center" vertical="center"/>
    </xf>
    <xf numFmtId="6" fontId="18" fillId="24" borderId="109" xfId="0" applyNumberFormat="1" applyFont="1" applyFill="1" applyBorder="1" applyAlignment="1">
      <alignment horizontal="center" vertical="center"/>
    </xf>
    <xf numFmtId="6" fontId="26" fillId="28" borderId="152" xfId="0" applyNumberFormat="1" applyFont="1" applyFill="1" applyBorder="1" applyAlignment="1">
      <alignment horizontal="center" vertical="center"/>
    </xf>
    <xf numFmtId="6" fontId="172" fillId="24" borderId="67" xfId="0" applyNumberFormat="1" applyFont="1" applyFill="1" applyBorder="1" applyAlignment="1">
      <alignment horizontal="center" vertical="center"/>
    </xf>
    <xf numFmtId="6" fontId="172" fillId="24" borderId="68" xfId="0" applyNumberFormat="1" applyFont="1" applyFill="1" applyBorder="1" applyAlignment="1">
      <alignment horizontal="center" vertical="center"/>
    </xf>
    <xf numFmtId="6" fontId="18" fillId="24" borderId="67" xfId="0" applyNumberFormat="1" applyFont="1" applyFill="1" applyBorder="1" applyAlignment="1">
      <alignment horizontal="center" vertical="center"/>
    </xf>
    <xf numFmtId="6" fontId="173" fillId="25" borderId="142" xfId="0" applyNumberFormat="1" applyFont="1" applyFill="1" applyBorder="1" applyAlignment="1">
      <alignment horizontal="center" vertical="center"/>
    </xf>
    <xf numFmtId="6" fontId="173" fillId="25" borderId="150" xfId="0" applyNumberFormat="1" applyFont="1" applyFill="1" applyBorder="1" applyAlignment="1">
      <alignment horizontal="center" vertical="center"/>
    </xf>
    <xf numFmtId="6" fontId="173" fillId="25" borderId="149" xfId="0" applyNumberFormat="1" applyFont="1" applyFill="1" applyBorder="1" applyAlignment="1">
      <alignment horizontal="center" vertical="center"/>
    </xf>
    <xf numFmtId="6" fontId="173" fillId="25" borderId="148" xfId="0" applyNumberFormat="1" applyFont="1" applyFill="1" applyBorder="1" applyAlignment="1">
      <alignment horizontal="center" vertical="center"/>
    </xf>
    <xf numFmtId="10" fontId="172" fillId="24" borderId="183" xfId="0" applyNumberFormat="1" applyFont="1" applyFill="1" applyBorder="1" applyAlignment="1">
      <alignment horizontal="center" vertical="center"/>
    </xf>
    <xf numFmtId="0" fontId="26" fillId="28" borderId="40" xfId="0" applyFont="1" applyFill="1" applyBorder="1" applyAlignment="1">
      <alignment horizontal="center" vertical="center"/>
    </xf>
    <xf numFmtId="0" fontId="173" fillId="4" borderId="144" xfId="0" applyFont="1" applyFill="1" applyBorder="1" applyAlignment="1">
      <alignment horizontal="center" vertical="center"/>
    </xf>
    <xf numFmtId="0" fontId="173" fillId="25" borderId="178" xfId="0" applyFont="1" applyFill="1" applyBorder="1" applyAlignment="1">
      <alignment horizontal="center" vertical="center"/>
    </xf>
    <xf numFmtId="10" fontId="26" fillId="24" borderId="0" xfId="0" applyNumberFormat="1" applyFont="1" applyFill="1" applyAlignment="1">
      <alignment horizontal="center" vertical="center"/>
    </xf>
    <xf numFmtId="0" fontId="174" fillId="24" borderId="0" xfId="0" applyFont="1" applyFill="1" applyAlignment="1">
      <alignment horizontal="center" vertical="center"/>
    </xf>
    <xf numFmtId="0" fontId="194" fillId="24" borderId="7" xfId="0" applyFont="1" applyFill="1" applyBorder="1" applyAlignment="1">
      <alignment horizontal="center" vertical="center"/>
    </xf>
    <xf numFmtId="6" fontId="194" fillId="24" borderId="7" xfId="0" applyNumberFormat="1" applyFont="1" applyFill="1" applyBorder="1" applyAlignment="1">
      <alignment horizontal="center" vertical="center"/>
    </xf>
    <xf numFmtId="7" fontId="172" fillId="0" borderId="0" xfId="0" applyNumberFormat="1" applyFont="1" applyAlignment="1">
      <alignment horizontal="center" vertical="center"/>
    </xf>
    <xf numFmtId="6" fontId="18" fillId="24" borderId="85" xfId="0" applyNumberFormat="1" applyFont="1" applyFill="1" applyBorder="1" applyAlignment="1">
      <alignment horizontal="center" vertical="center"/>
    </xf>
    <xf numFmtId="6" fontId="18" fillId="24" borderId="79" xfId="0" applyNumberFormat="1" applyFont="1" applyFill="1" applyBorder="1" applyAlignment="1">
      <alignment horizontal="center" vertical="center"/>
    </xf>
    <xf numFmtId="6" fontId="18" fillId="24" borderId="81" xfId="0" applyNumberFormat="1" applyFont="1" applyFill="1" applyBorder="1" applyAlignment="1">
      <alignment horizontal="center" vertical="center"/>
    </xf>
    <xf numFmtId="6" fontId="26" fillId="24" borderId="85" xfId="0" applyNumberFormat="1" applyFont="1" applyFill="1" applyBorder="1" applyAlignment="1">
      <alignment horizontal="center" vertical="center"/>
    </xf>
    <xf numFmtId="6" fontId="26" fillId="24" borderId="79" xfId="0" applyNumberFormat="1" applyFont="1" applyFill="1" applyBorder="1" applyAlignment="1">
      <alignment horizontal="center" vertical="center"/>
    </xf>
    <xf numFmtId="6" fontId="26" fillId="24" borderId="81" xfId="0" applyNumberFormat="1" applyFont="1" applyFill="1" applyBorder="1" applyAlignment="1">
      <alignment horizontal="center" vertical="center"/>
    </xf>
    <xf numFmtId="0" fontId="18" fillId="24" borderId="72" xfId="0" applyFont="1" applyFill="1" applyBorder="1" applyAlignment="1">
      <alignment horizontal="center" vertical="center"/>
    </xf>
    <xf numFmtId="264" fontId="172" fillId="24" borderId="83" xfId="1" applyNumberFormat="1" applyFont="1" applyFill="1" applyBorder="1" applyAlignment="1">
      <alignment horizontal="center" vertical="center"/>
    </xf>
    <xf numFmtId="5" fontId="172" fillId="24" borderId="83" xfId="21" applyNumberFormat="1" applyFont="1" applyFill="1" applyBorder="1" applyAlignment="1">
      <alignment horizontal="center" vertical="center"/>
    </xf>
    <xf numFmtId="0" fontId="172" fillId="24" borderId="79" xfId="0" applyFont="1" applyFill="1" applyBorder="1" applyAlignment="1">
      <alignment horizontal="center" vertical="center"/>
    </xf>
    <xf numFmtId="5" fontId="172" fillId="24" borderId="79" xfId="21" applyNumberFormat="1" applyFont="1" applyFill="1" applyBorder="1" applyAlignment="1">
      <alignment horizontal="center" vertical="center"/>
    </xf>
    <xf numFmtId="260" fontId="172" fillId="24" borderId="79" xfId="0" applyNumberFormat="1" applyFont="1" applyFill="1" applyBorder="1" applyAlignment="1">
      <alignment horizontal="center" vertical="center"/>
    </xf>
    <xf numFmtId="266" fontId="172" fillId="24" borderId="79" xfId="0" applyNumberFormat="1" applyFont="1" applyFill="1" applyBorder="1" applyAlignment="1">
      <alignment horizontal="center" vertical="center"/>
    </xf>
    <xf numFmtId="259" fontId="172" fillId="24" borderId="79" xfId="0" applyNumberFormat="1" applyFont="1" applyFill="1" applyBorder="1" applyAlignment="1">
      <alignment horizontal="center" vertical="center"/>
    </xf>
    <xf numFmtId="263" fontId="172" fillId="24" borderId="79" xfId="0" applyNumberFormat="1" applyFont="1" applyFill="1" applyBorder="1" applyAlignment="1">
      <alignment horizontal="center" vertical="center"/>
    </xf>
    <xf numFmtId="283" fontId="172" fillId="24" borderId="64" xfId="0" applyNumberFormat="1" applyFont="1" applyFill="1" applyBorder="1" applyAlignment="1">
      <alignment horizontal="center" vertical="center"/>
    </xf>
    <xf numFmtId="265" fontId="172" fillId="24" borderId="79" xfId="0" applyNumberFormat="1" applyFont="1" applyFill="1" applyBorder="1" applyAlignment="1">
      <alignment horizontal="center" vertical="center"/>
    </xf>
    <xf numFmtId="279" fontId="172" fillId="24" borderId="105" xfId="0" applyNumberFormat="1" applyFont="1" applyFill="1" applyBorder="1" applyAlignment="1">
      <alignment horizontal="center" vertical="center"/>
    </xf>
    <xf numFmtId="5" fontId="172" fillId="24" borderId="105" xfId="21" applyNumberFormat="1" applyFont="1" applyFill="1" applyBorder="1" applyAlignment="1">
      <alignment horizontal="center" vertical="center"/>
    </xf>
    <xf numFmtId="280" fontId="172" fillId="24" borderId="79" xfId="0" applyNumberFormat="1" applyFont="1" applyFill="1" applyBorder="1" applyAlignment="1">
      <alignment horizontal="center" vertical="center"/>
    </xf>
    <xf numFmtId="267" fontId="172" fillId="24" borderId="79" xfId="0" applyNumberFormat="1" applyFont="1" applyFill="1" applyBorder="1" applyAlignment="1">
      <alignment horizontal="center" vertical="center"/>
    </xf>
    <xf numFmtId="281" fontId="172" fillId="24" borderId="79" xfId="0" applyNumberFormat="1" applyFont="1" applyFill="1" applyBorder="1" applyAlignment="1">
      <alignment horizontal="center" vertical="center"/>
    </xf>
    <xf numFmtId="258" fontId="172" fillId="24" borderId="79" xfId="0" applyNumberFormat="1" applyFont="1" applyFill="1" applyBorder="1" applyAlignment="1">
      <alignment horizontal="center" vertical="center"/>
    </xf>
    <xf numFmtId="282" fontId="172" fillId="24" borderId="79" xfId="0" applyNumberFormat="1" applyFont="1" applyFill="1" applyBorder="1" applyAlignment="1">
      <alignment horizontal="center" vertical="center"/>
    </xf>
    <xf numFmtId="278" fontId="26" fillId="28" borderId="150" xfId="1346" applyNumberFormat="1" applyFont="1" applyFill="1" applyBorder="1" applyAlignment="1">
      <alignment horizontal="center" vertical="center"/>
    </xf>
    <xf numFmtId="278" fontId="26" fillId="28" borderId="149" xfId="1346" applyNumberFormat="1" applyFont="1" applyFill="1" applyBorder="1" applyAlignment="1">
      <alignment horizontal="center" vertical="center"/>
    </xf>
    <xf numFmtId="278" fontId="26" fillId="28" borderId="148" xfId="1346" applyNumberFormat="1" applyFont="1" applyFill="1" applyBorder="1" applyAlignment="1">
      <alignment horizontal="center" vertical="center"/>
    </xf>
    <xf numFmtId="10" fontId="18" fillId="24" borderId="0" xfId="0" applyNumberFormat="1" applyFont="1" applyFill="1" applyAlignment="1">
      <alignment horizontal="center" vertical="center"/>
    </xf>
    <xf numFmtId="10" fontId="18" fillId="24" borderId="5" xfId="0" applyNumberFormat="1" applyFont="1" applyFill="1" applyBorder="1" applyAlignment="1">
      <alignment horizontal="center" vertical="center"/>
    </xf>
    <xf numFmtId="9" fontId="0" fillId="24" borderId="0" xfId="0" applyNumberFormat="1" applyFill="1" applyAlignment="1">
      <alignment horizontal="center" vertical="center"/>
    </xf>
    <xf numFmtId="9" fontId="26" fillId="28" borderId="138" xfId="0" applyNumberFormat="1" applyFont="1" applyFill="1" applyBorder="1" applyAlignment="1">
      <alignment horizontal="center" vertical="center"/>
    </xf>
    <xf numFmtId="9" fontId="26" fillId="28" borderId="173" xfId="0" applyNumberFormat="1" applyFont="1" applyFill="1" applyBorder="1" applyAlignment="1">
      <alignment horizontal="center" vertical="center"/>
    </xf>
    <xf numFmtId="9" fontId="26" fillId="28" borderId="152" xfId="0" applyNumberFormat="1" applyFont="1" applyFill="1" applyBorder="1" applyAlignment="1">
      <alignment horizontal="center" vertical="center"/>
    </xf>
    <xf numFmtId="9" fontId="26" fillId="28" borderId="178" xfId="0" applyNumberFormat="1" applyFont="1" applyFill="1" applyBorder="1" applyAlignment="1">
      <alignment horizontal="center" vertical="center"/>
    </xf>
    <xf numFmtId="9" fontId="172" fillId="24" borderId="0" xfId="0" applyNumberFormat="1" applyFont="1" applyFill="1" applyAlignment="1">
      <alignment horizontal="center" vertical="center"/>
    </xf>
    <xf numFmtId="285" fontId="172" fillId="24" borderId="79" xfId="0" applyNumberFormat="1" applyFont="1" applyFill="1" applyBorder="1" applyAlignment="1">
      <alignment horizontal="center" vertical="center"/>
    </xf>
    <xf numFmtId="0" fontId="26" fillId="28" borderId="134" xfId="0" applyFont="1" applyFill="1" applyBorder="1" applyAlignment="1">
      <alignment vertical="center"/>
    </xf>
    <xf numFmtId="0" fontId="26" fillId="28" borderId="116" xfId="0" applyFont="1" applyFill="1" applyBorder="1" applyAlignment="1">
      <alignment vertical="center"/>
    </xf>
    <xf numFmtId="0" fontId="26" fillId="28" borderId="166" xfId="0" applyFont="1" applyFill="1" applyBorder="1" applyAlignment="1">
      <alignment vertical="center"/>
    </xf>
    <xf numFmtId="6" fontId="172" fillId="24" borderId="106" xfId="21" applyNumberFormat="1" applyFont="1" applyFill="1" applyBorder="1" applyAlignment="1">
      <alignment horizontal="center" vertical="center"/>
    </xf>
    <xf numFmtId="6" fontId="172" fillId="24" borderId="81" xfId="21" applyNumberFormat="1" applyFont="1" applyFill="1" applyBorder="1" applyAlignment="1">
      <alignment horizontal="center" vertical="center"/>
    </xf>
    <xf numFmtId="6" fontId="172" fillId="24" borderId="84" xfId="21" applyNumberFormat="1" applyFont="1" applyFill="1" applyBorder="1" applyAlignment="1">
      <alignment horizontal="center" vertical="center"/>
    </xf>
    <xf numFmtId="5" fontId="172" fillId="0" borderId="0" xfId="0" applyNumberFormat="1" applyFont="1" applyAlignment="1">
      <alignment horizontal="center" vertical="center"/>
    </xf>
    <xf numFmtId="0" fontId="172" fillId="24" borderId="126" xfId="0" applyFont="1" applyFill="1" applyBorder="1" applyAlignment="1">
      <alignment horizontal="center" vertical="center"/>
    </xf>
    <xf numFmtId="4" fontId="18" fillId="24" borderId="128" xfId="21" applyNumberFormat="1" applyFont="1" applyFill="1" applyBorder="1" applyAlignment="1">
      <alignment horizontal="center" vertical="center"/>
    </xf>
    <xf numFmtId="0" fontId="172" fillId="24" borderId="119" xfId="0" applyFont="1" applyFill="1" applyBorder="1" applyAlignment="1">
      <alignment horizontal="center" vertical="center"/>
    </xf>
    <xf numFmtId="3" fontId="18" fillId="24" borderId="132" xfId="21" applyNumberFormat="1" applyFont="1" applyFill="1" applyBorder="1" applyAlignment="1">
      <alignment horizontal="center" vertical="center"/>
    </xf>
    <xf numFmtId="0" fontId="172" fillId="24" borderId="132" xfId="0" applyFont="1" applyFill="1" applyBorder="1" applyAlignment="1">
      <alignment horizontal="center" vertical="center"/>
    </xf>
    <xf numFmtId="272" fontId="18" fillId="24" borderId="119" xfId="0" applyNumberFormat="1" applyFont="1" applyFill="1" applyBorder="1" applyAlignment="1">
      <alignment horizontal="center" vertical="center"/>
    </xf>
    <xf numFmtId="0" fontId="172" fillId="24" borderId="120" xfId="0" applyFont="1" applyFill="1" applyBorder="1" applyAlignment="1">
      <alignment horizontal="center" vertical="center"/>
    </xf>
    <xf numFmtId="0" fontId="172" fillId="24" borderId="122" xfId="0" applyFont="1" applyFill="1" applyBorder="1" applyAlignment="1">
      <alignment horizontal="center" vertical="center"/>
    </xf>
    <xf numFmtId="5" fontId="18" fillId="24" borderId="115" xfId="21" applyNumberFormat="1" applyFont="1" applyFill="1" applyBorder="1" applyAlignment="1">
      <alignment horizontal="center" vertical="center"/>
    </xf>
    <xf numFmtId="5" fontId="18" fillId="24" borderId="132" xfId="21" applyNumberFormat="1" applyFont="1" applyFill="1" applyBorder="1" applyAlignment="1">
      <alignment horizontal="center" vertical="center"/>
    </xf>
    <xf numFmtId="177" fontId="18" fillId="24" borderId="126" xfId="0" applyNumberFormat="1" applyFont="1" applyFill="1" applyBorder="1" applyAlignment="1">
      <alignment horizontal="center" vertical="center"/>
    </xf>
    <xf numFmtId="5" fontId="18" fillId="24" borderId="127" xfId="21" applyNumberFormat="1" applyFont="1" applyFill="1" applyBorder="1" applyAlignment="1">
      <alignment horizontal="center" vertical="center"/>
    </xf>
    <xf numFmtId="5" fontId="18" fillId="24" borderId="128" xfId="21" applyNumberFormat="1" applyFont="1" applyFill="1" applyBorder="1" applyAlignment="1">
      <alignment horizontal="center" vertical="center"/>
    </xf>
    <xf numFmtId="178" fontId="18" fillId="24" borderId="119" xfId="0" applyNumberFormat="1" applyFont="1" applyFill="1" applyBorder="1" applyAlignment="1">
      <alignment horizontal="center" vertical="center"/>
    </xf>
    <xf numFmtId="5" fontId="172" fillId="24" borderId="115" xfId="0" applyNumberFormat="1" applyFont="1" applyFill="1" applyBorder="1" applyAlignment="1">
      <alignment horizontal="center" vertical="center"/>
    </xf>
    <xf numFmtId="5" fontId="172" fillId="24" borderId="132" xfId="0" applyNumberFormat="1" applyFont="1" applyFill="1" applyBorder="1" applyAlignment="1">
      <alignment horizontal="center" vertical="center"/>
    </xf>
    <xf numFmtId="0" fontId="172" fillId="24" borderId="121" xfId="0" applyFont="1" applyFill="1" applyBorder="1" applyAlignment="1">
      <alignment horizontal="center" vertical="center"/>
    </xf>
    <xf numFmtId="0" fontId="173" fillId="25" borderId="0" xfId="0" applyFont="1" applyFill="1" applyAlignment="1">
      <alignment horizontal="center" vertical="center"/>
    </xf>
    <xf numFmtId="0" fontId="173" fillId="25" borderId="0" xfId="0" applyFont="1" applyFill="1" applyAlignment="1">
      <alignment horizontal="center" vertical="center" wrapText="1"/>
    </xf>
    <xf numFmtId="6" fontId="172" fillId="24" borderId="115" xfId="0" applyNumberFormat="1" applyFont="1" applyFill="1" applyBorder="1" applyAlignment="1">
      <alignment horizontal="center" vertical="center"/>
    </xf>
    <xf numFmtId="6" fontId="18" fillId="24" borderId="132" xfId="21" applyNumberFormat="1" applyFont="1" applyFill="1" applyBorder="1" applyAlignment="1">
      <alignment horizontal="center" vertical="center"/>
    </xf>
    <xf numFmtId="6" fontId="18" fillId="24" borderId="170" xfId="21" applyNumberFormat="1" applyFont="1" applyFill="1" applyBorder="1" applyAlignment="1">
      <alignment horizontal="center" vertical="center"/>
    </xf>
    <xf numFmtId="6" fontId="172" fillId="24" borderId="5" xfId="0" applyNumberFormat="1" applyFont="1" applyFill="1" applyBorder="1" applyAlignment="1">
      <alignment horizontal="center" vertical="center"/>
    </xf>
    <xf numFmtId="6" fontId="18" fillId="24" borderId="117" xfId="21" applyNumberFormat="1" applyFont="1" applyFill="1" applyBorder="1" applyAlignment="1">
      <alignment horizontal="center" vertical="center"/>
    </xf>
    <xf numFmtId="6" fontId="26" fillId="24" borderId="117" xfId="21" applyNumberFormat="1" applyFont="1" applyFill="1" applyBorder="1" applyAlignment="1">
      <alignment horizontal="center" vertical="center"/>
    </xf>
    <xf numFmtId="6" fontId="26" fillId="24" borderId="125" xfId="21" applyNumberFormat="1" applyFont="1" applyFill="1" applyBorder="1" applyAlignment="1">
      <alignment horizontal="center" vertical="center"/>
    </xf>
    <xf numFmtId="10" fontId="26" fillId="28" borderId="109" xfId="0" applyNumberFormat="1" applyFont="1" applyFill="1" applyBorder="1" applyAlignment="1">
      <alignment horizontal="center" vertical="center"/>
    </xf>
    <xf numFmtId="0" fontId="26" fillId="28" borderId="109" xfId="0" applyFont="1" applyFill="1" applyBorder="1" applyAlignment="1">
      <alignment horizontal="center" vertical="center"/>
    </xf>
    <xf numFmtId="4" fontId="26" fillId="28" borderId="178" xfId="0" applyNumberFormat="1" applyFont="1" applyFill="1" applyBorder="1" applyAlignment="1">
      <alignment horizontal="center" vertical="center"/>
    </xf>
    <xf numFmtId="10" fontId="26" fillId="28" borderId="69" xfId="0" applyNumberFormat="1" applyFont="1" applyFill="1" applyBorder="1" applyAlignment="1">
      <alignment horizontal="center" vertical="center"/>
    </xf>
    <xf numFmtId="5" fontId="26" fillId="28" borderId="130" xfId="0" applyNumberFormat="1" applyFont="1" applyFill="1" applyBorder="1" applyAlignment="1">
      <alignment horizontal="center" vertical="center"/>
    </xf>
    <xf numFmtId="5" fontId="26" fillId="28" borderId="130" xfId="21" applyNumberFormat="1" applyFont="1" applyFill="1" applyBorder="1" applyAlignment="1">
      <alignment horizontal="center" vertical="center"/>
    </xf>
    <xf numFmtId="6" fontId="26" fillId="28" borderId="131" xfId="21" applyNumberFormat="1" applyFont="1" applyFill="1" applyBorder="1" applyAlignment="1">
      <alignment horizontal="center" vertical="center"/>
    </xf>
    <xf numFmtId="167" fontId="26" fillId="28" borderId="40" xfId="1" applyNumberFormat="1" applyFont="1" applyFill="1" applyBorder="1" applyAlignment="1">
      <alignment horizontal="center" vertical="center"/>
    </xf>
    <xf numFmtId="6" fontId="26" fillId="28" borderId="40" xfId="0" applyNumberFormat="1" applyFont="1" applyFill="1" applyBorder="1" applyAlignment="1">
      <alignment horizontal="center" vertical="center"/>
    </xf>
    <xf numFmtId="6" fontId="26" fillId="28" borderId="117" xfId="0" applyNumberFormat="1" applyFont="1" applyFill="1" applyBorder="1" applyAlignment="1">
      <alignment horizontal="center" vertical="center"/>
    </xf>
    <xf numFmtId="0" fontId="26" fillId="28" borderId="117" xfId="0" applyFont="1" applyFill="1" applyBorder="1" applyAlignment="1">
      <alignment horizontal="center" vertical="center"/>
    </xf>
    <xf numFmtId="7" fontId="26" fillId="28" borderId="117" xfId="0" applyNumberFormat="1" applyFont="1" applyFill="1" applyBorder="1" applyAlignment="1">
      <alignment horizontal="center" vertical="center"/>
    </xf>
    <xf numFmtId="6" fontId="26" fillId="28" borderId="40" xfId="1" applyNumberFormat="1" applyFont="1" applyFill="1" applyBorder="1" applyAlignment="1">
      <alignment horizontal="center" vertical="center"/>
    </xf>
    <xf numFmtId="5" fontId="26" fillId="28" borderId="40" xfId="0" applyNumberFormat="1" applyFont="1" applyFill="1" applyBorder="1" applyAlignment="1">
      <alignment horizontal="center" vertical="center"/>
    </xf>
    <xf numFmtId="6" fontId="26" fillId="28" borderId="124" xfId="1" applyNumberFormat="1" applyFont="1" applyFill="1" applyBorder="1" applyAlignment="1">
      <alignment horizontal="center" vertical="center"/>
    </xf>
    <xf numFmtId="6" fontId="26" fillId="28" borderId="124" xfId="0" applyNumberFormat="1" applyFont="1" applyFill="1" applyBorder="1" applyAlignment="1">
      <alignment horizontal="center" vertical="center"/>
    </xf>
    <xf numFmtId="166" fontId="181" fillId="24" borderId="113" xfId="0" applyNumberFormat="1" applyFont="1" applyFill="1" applyBorder="1" applyAlignment="1">
      <alignment horizontal="center" vertical="center"/>
    </xf>
    <xf numFmtId="6" fontId="181" fillId="24" borderId="113" xfId="0" applyNumberFormat="1" applyFont="1" applyFill="1" applyBorder="1" applyAlignment="1">
      <alignment horizontal="center" vertical="center"/>
    </xf>
    <xf numFmtId="6" fontId="181" fillId="24" borderId="154" xfId="0" applyNumberFormat="1" applyFont="1" applyFill="1" applyBorder="1" applyAlignment="1">
      <alignment horizontal="center" vertical="center"/>
    </xf>
    <xf numFmtId="9" fontId="181" fillId="24" borderId="113" xfId="0" applyNumberFormat="1" applyFont="1" applyFill="1" applyBorder="1" applyAlignment="1">
      <alignment horizontal="center" vertical="center"/>
    </xf>
    <xf numFmtId="3" fontId="171" fillId="27" borderId="140" xfId="0" applyNumberFormat="1" applyFont="1" applyFill="1" applyBorder="1" applyAlignment="1">
      <alignment horizontal="center" vertical="center" wrapText="1"/>
    </xf>
    <xf numFmtId="0" fontId="170" fillId="0" borderId="0" xfId="0" applyFont="1" applyAlignment="1">
      <alignment vertical="center" wrapText="1"/>
    </xf>
    <xf numFmtId="167" fontId="181" fillId="24" borderId="113" xfId="0" applyNumberFormat="1" applyFont="1" applyFill="1" applyBorder="1" applyAlignment="1">
      <alignment horizontal="center" vertical="center"/>
    </xf>
    <xf numFmtId="167" fontId="181" fillId="24" borderId="155" xfId="0" applyNumberFormat="1" applyFont="1" applyFill="1" applyBorder="1" applyAlignment="1">
      <alignment horizontal="center" vertical="center"/>
    </xf>
    <xf numFmtId="167" fontId="173" fillId="25" borderId="135" xfId="0" applyNumberFormat="1" applyFont="1" applyFill="1" applyBorder="1" applyAlignment="1">
      <alignment horizontal="center" vertical="center"/>
    </xf>
    <xf numFmtId="6" fontId="199" fillId="24" borderId="11" xfId="0" applyNumberFormat="1" applyFont="1" applyFill="1" applyBorder="1" applyAlignment="1">
      <alignment horizontal="center" vertical="center"/>
    </xf>
    <xf numFmtId="10" fontId="199" fillId="24" borderId="183" xfId="0" applyNumberFormat="1" applyFont="1" applyFill="1" applyBorder="1" applyAlignment="1">
      <alignment horizontal="center" vertical="center"/>
    </xf>
    <xf numFmtId="6" fontId="105" fillId="24" borderId="67" xfId="0" applyNumberFormat="1" applyFont="1" applyFill="1" applyBorder="1" applyAlignment="1">
      <alignment horizontal="center" vertical="center"/>
    </xf>
    <xf numFmtId="6" fontId="105" fillId="24" borderId="64" xfId="0" applyNumberFormat="1" applyFont="1" applyFill="1" applyBorder="1" applyAlignment="1">
      <alignment horizontal="center" vertical="center"/>
    </xf>
    <xf numFmtId="6" fontId="200" fillId="24" borderId="109" xfId="0" applyNumberFormat="1" applyFont="1" applyFill="1" applyBorder="1" applyAlignment="1">
      <alignment horizontal="center" vertical="center"/>
    </xf>
    <xf numFmtId="6" fontId="200" fillId="24" borderId="10" xfId="0" applyNumberFormat="1" applyFont="1" applyFill="1" applyBorder="1" applyAlignment="1">
      <alignment horizontal="center" vertical="center"/>
    </xf>
    <xf numFmtId="6" fontId="200" fillId="24" borderId="64" xfId="0" applyNumberFormat="1" applyFont="1" applyFill="1" applyBorder="1" applyAlignment="1">
      <alignment horizontal="center" vertical="center"/>
    </xf>
    <xf numFmtId="0" fontId="199" fillId="24" borderId="0" xfId="0" applyFont="1" applyFill="1" applyAlignment="1">
      <alignment horizontal="center" vertical="center"/>
    </xf>
    <xf numFmtId="6" fontId="26" fillId="28" borderId="125" xfId="0" applyNumberFormat="1" applyFont="1" applyFill="1" applyBorder="1" applyAlignment="1">
      <alignment horizontal="center" vertical="center"/>
    </xf>
    <xf numFmtId="6" fontId="26" fillId="24" borderId="117" xfId="1346" applyNumberFormat="1" applyFont="1" applyFill="1" applyBorder="1" applyAlignment="1">
      <alignment horizontal="center" vertical="center"/>
    </xf>
    <xf numFmtId="6" fontId="26" fillId="24" borderId="125" xfId="1346" applyNumberFormat="1" applyFont="1" applyFill="1" applyBorder="1" applyAlignment="1">
      <alignment horizontal="center" vertical="center"/>
    </xf>
    <xf numFmtId="3" fontId="26" fillId="24" borderId="113" xfId="1346" applyNumberFormat="1" applyFont="1" applyFill="1" applyBorder="1" applyAlignment="1">
      <alignment horizontal="center" vertical="center"/>
    </xf>
    <xf numFmtId="3" fontId="26" fillId="24" borderId="40" xfId="1357" applyNumberFormat="1" applyFont="1" applyFill="1" applyBorder="1" applyAlignment="1">
      <alignment horizontal="center" vertical="center"/>
    </xf>
    <xf numFmtId="3" fontId="26" fillId="24" borderId="40" xfId="1346" applyNumberFormat="1" applyFont="1" applyFill="1" applyBorder="1" applyAlignment="1">
      <alignment horizontal="center" vertical="center"/>
    </xf>
    <xf numFmtId="3" fontId="26" fillId="24" borderId="124" xfId="1357" applyNumberFormat="1" applyFont="1" applyFill="1" applyBorder="1" applyAlignment="1">
      <alignment horizontal="center" vertical="center"/>
    </xf>
    <xf numFmtId="0" fontId="173" fillId="25" borderId="79" xfId="1346" applyFont="1" applyFill="1" applyBorder="1" applyAlignment="1">
      <alignment horizontal="center" vertical="center"/>
    </xf>
    <xf numFmtId="37" fontId="173" fillId="25" borderId="106" xfId="1346" applyNumberFormat="1" applyFont="1" applyFill="1" applyBorder="1" applyAlignment="1">
      <alignment horizontal="center" vertical="center"/>
    </xf>
    <xf numFmtId="6" fontId="26" fillId="24" borderId="114" xfId="1346" applyNumberFormat="1" applyFont="1" applyFill="1" applyBorder="1" applyAlignment="1">
      <alignment horizontal="center" vertical="center"/>
    </xf>
    <xf numFmtId="167" fontId="26" fillId="28" borderId="40" xfId="0" applyNumberFormat="1" applyFont="1" applyFill="1" applyBorder="1" applyAlignment="1">
      <alignment horizontal="center" vertical="center"/>
    </xf>
    <xf numFmtId="6" fontId="172" fillId="24" borderId="117" xfId="0" applyNumberFormat="1" applyFont="1" applyFill="1" applyBorder="1" applyAlignment="1">
      <alignment horizontal="center" vertical="center"/>
    </xf>
    <xf numFmtId="3" fontId="16" fillId="0" borderId="29" xfId="0" applyNumberFormat="1" applyFont="1" applyBorder="1" applyAlignment="1">
      <alignment horizontal="center" vertical="center"/>
    </xf>
    <xf numFmtId="0" fontId="26" fillId="28" borderId="182" xfId="0" applyFont="1" applyFill="1" applyBorder="1" applyAlignment="1">
      <alignment horizontal="center" vertical="center"/>
    </xf>
    <xf numFmtId="278" fontId="26" fillId="28" borderId="182" xfId="1346" applyNumberFormat="1" applyFont="1" applyFill="1" applyBorder="1" applyAlignment="1">
      <alignment horizontal="center" vertical="center"/>
    </xf>
    <xf numFmtId="171" fontId="26" fillId="28" borderId="147" xfId="0" applyNumberFormat="1" applyFont="1" applyFill="1" applyBorder="1" applyAlignment="1">
      <alignment horizontal="center" vertical="center"/>
    </xf>
    <xf numFmtId="6" fontId="18" fillId="28" borderId="78" xfId="0" applyNumberFormat="1" applyFont="1" applyFill="1" applyBorder="1" applyAlignment="1">
      <alignment horizontal="center" vertical="center"/>
    </xf>
    <xf numFmtId="6" fontId="173" fillId="25" borderId="182" xfId="0" applyNumberFormat="1" applyFont="1" applyFill="1" applyBorder="1" applyAlignment="1">
      <alignment horizontal="center" vertical="center"/>
    </xf>
    <xf numFmtId="6" fontId="26" fillId="28" borderId="151" xfId="0" applyNumberFormat="1" applyFont="1" applyFill="1" applyBorder="1" applyAlignment="1">
      <alignment horizontal="center" vertical="center"/>
    </xf>
    <xf numFmtId="6" fontId="172" fillId="24" borderId="53" xfId="0" applyNumberFormat="1" applyFont="1" applyFill="1" applyBorder="1" applyAlignment="1">
      <alignment horizontal="center" vertical="center"/>
    </xf>
    <xf numFmtId="6" fontId="174" fillId="24" borderId="78" xfId="0" applyNumberFormat="1" applyFont="1" applyFill="1" applyBorder="1" applyAlignment="1">
      <alignment horizontal="center" vertical="center"/>
    </xf>
    <xf numFmtId="6" fontId="172" fillId="24" borderId="65" xfId="0" applyNumberFormat="1" applyFont="1" applyFill="1" applyBorder="1" applyAlignment="1">
      <alignment horizontal="center" vertical="center"/>
    </xf>
    <xf numFmtId="6" fontId="18" fillId="24" borderId="53" xfId="0" applyNumberFormat="1" applyFont="1" applyFill="1" applyBorder="1" applyAlignment="1">
      <alignment horizontal="center" vertical="center"/>
    </xf>
    <xf numFmtId="6" fontId="105" fillId="24" borderId="53" xfId="0" applyNumberFormat="1" applyFont="1" applyFill="1" applyBorder="1" applyAlignment="1">
      <alignment horizontal="center" vertical="center"/>
    </xf>
    <xf numFmtId="3" fontId="16" fillId="24" borderId="40" xfId="0" applyNumberFormat="1" applyFont="1" applyFill="1" applyBorder="1" applyAlignment="1">
      <alignment horizontal="center" vertical="center"/>
    </xf>
    <xf numFmtId="3" fontId="181" fillId="24" borderId="40" xfId="0" applyNumberFormat="1" applyFont="1" applyFill="1" applyBorder="1" applyAlignment="1">
      <alignment horizontal="center" vertical="center" wrapText="1"/>
    </xf>
    <xf numFmtId="0" fontId="16" fillId="24" borderId="116" xfId="0" applyFont="1" applyFill="1" applyBorder="1" applyAlignment="1">
      <alignment horizontal="center" vertical="center"/>
    </xf>
    <xf numFmtId="3" fontId="16" fillId="24" borderId="40" xfId="0" applyNumberFormat="1" applyFont="1" applyFill="1" applyBorder="1" applyAlignment="1">
      <alignment horizontal="center" vertical="center" wrapText="1"/>
    </xf>
    <xf numFmtId="0" fontId="181" fillId="24" borderId="40" xfId="0" applyFont="1" applyFill="1" applyBorder="1" applyAlignment="1">
      <alignment horizontal="center" vertical="center" wrapText="1"/>
    </xf>
    <xf numFmtId="0" fontId="173" fillId="25" borderId="184" xfId="0" applyFont="1" applyFill="1" applyBorder="1" applyAlignment="1">
      <alignment horizontal="center" vertical="center"/>
    </xf>
    <xf numFmtId="278" fontId="193" fillId="25" borderId="172" xfId="0" applyNumberFormat="1" applyFont="1" applyFill="1" applyBorder="1" applyAlignment="1">
      <alignment horizontal="center" vertical="center"/>
    </xf>
    <xf numFmtId="167" fontId="173" fillId="25" borderId="66" xfId="0" applyNumberFormat="1" applyFont="1" applyFill="1" applyBorder="1" applyAlignment="1">
      <alignment horizontal="center" vertical="center"/>
    </xf>
    <xf numFmtId="6" fontId="18" fillId="24" borderId="80" xfId="0" applyNumberFormat="1" applyFont="1" applyFill="1" applyBorder="1" applyAlignment="1">
      <alignment horizontal="center" vertical="center"/>
    </xf>
    <xf numFmtId="6" fontId="26" fillId="24" borderId="80" xfId="0" applyNumberFormat="1" applyFont="1" applyFill="1" applyBorder="1" applyAlignment="1">
      <alignment horizontal="center" vertical="center"/>
    </xf>
    <xf numFmtId="6" fontId="173" fillId="25" borderId="172" xfId="0" applyNumberFormat="1" applyFont="1" applyFill="1" applyBorder="1" applyAlignment="1">
      <alignment horizontal="center" vertical="center"/>
    </xf>
    <xf numFmtId="6" fontId="26" fillId="28" borderId="184" xfId="0" applyNumberFormat="1" applyFont="1" applyFill="1" applyBorder="1" applyAlignment="1">
      <alignment horizontal="center" vertical="center"/>
    </xf>
    <xf numFmtId="6" fontId="172" fillId="24" borderId="10" xfId="0" applyNumberFormat="1" applyFont="1" applyFill="1" applyBorder="1" applyAlignment="1">
      <alignment horizontal="center" vertical="center"/>
    </xf>
    <xf numFmtId="6" fontId="172" fillId="24" borderId="66" xfId="0" applyNumberFormat="1" applyFont="1" applyFill="1" applyBorder="1" applyAlignment="1">
      <alignment horizontal="center" vertical="center"/>
    </xf>
    <xf numFmtId="9" fontId="26" fillId="28" borderId="184" xfId="0" applyNumberFormat="1" applyFont="1" applyFill="1" applyBorder="1" applyAlignment="1">
      <alignment horizontal="center" vertical="center"/>
    </xf>
    <xf numFmtId="6" fontId="18" fillId="24" borderId="10" xfId="0" applyNumberFormat="1" applyFont="1" applyFill="1" applyBorder="1" applyAlignment="1">
      <alignment horizontal="center" vertical="center"/>
    </xf>
    <xf numFmtId="6" fontId="105" fillId="24" borderId="10" xfId="0" applyNumberFormat="1" applyFont="1" applyFill="1" applyBorder="1" applyAlignment="1">
      <alignment horizontal="center" vertical="center"/>
    </xf>
    <xf numFmtId="6" fontId="105" fillId="24" borderId="109" xfId="0" applyNumberFormat="1" applyFont="1" applyFill="1" applyBorder="1" applyAlignment="1">
      <alignment horizontal="center" vertical="center"/>
    </xf>
    <xf numFmtId="0" fontId="172" fillId="24" borderId="11" xfId="1346" applyFont="1" applyFill="1" applyBorder="1" applyAlignment="1">
      <alignment horizontal="center" vertical="center"/>
    </xf>
    <xf numFmtId="0" fontId="171" fillId="26" borderId="141" xfId="0" applyFont="1" applyFill="1" applyBorder="1" applyAlignment="1">
      <alignment horizontal="center" vertical="center"/>
    </xf>
    <xf numFmtId="0" fontId="171" fillId="26" borderId="146" xfId="0" applyFont="1" applyFill="1" applyBorder="1" applyAlignment="1">
      <alignment horizontal="center" vertical="center"/>
    </xf>
    <xf numFmtId="166" fontId="171" fillId="26" borderId="65" xfId="0" applyNumberFormat="1" applyFont="1" applyFill="1" applyBorder="1" applyAlignment="1">
      <alignment horizontal="center" vertical="center"/>
    </xf>
    <xf numFmtId="0" fontId="171" fillId="26" borderId="59" xfId="0" applyFont="1" applyFill="1" applyBorder="1" applyAlignment="1">
      <alignment horizontal="center" vertical="center"/>
    </xf>
    <xf numFmtId="270" fontId="172" fillId="24" borderId="119" xfId="0" applyNumberFormat="1" applyFont="1" applyFill="1" applyBorder="1" applyAlignment="1">
      <alignment horizontal="center" vertical="center"/>
    </xf>
    <xf numFmtId="3" fontId="172" fillId="24" borderId="132" xfId="0" applyNumberFormat="1" applyFont="1" applyFill="1" applyBorder="1" applyAlignment="1">
      <alignment horizontal="center" vertical="center"/>
    </xf>
    <xf numFmtId="3" fontId="16" fillId="24" borderId="116" xfId="0" applyNumberFormat="1" applyFont="1" applyFill="1" applyBorder="1" applyAlignment="1">
      <alignment horizontal="center" vertical="center"/>
    </xf>
    <xf numFmtId="286" fontId="170" fillId="24" borderId="40" xfId="21" applyNumberFormat="1" applyFont="1" applyFill="1" applyBorder="1" applyAlignment="1">
      <alignment horizontal="center" vertical="center"/>
    </xf>
    <xf numFmtId="286" fontId="170" fillId="24" borderId="176" xfId="21" applyNumberFormat="1" applyFont="1" applyFill="1" applyBorder="1" applyAlignment="1">
      <alignment horizontal="center" vertical="center"/>
    </xf>
    <xf numFmtId="286" fontId="188" fillId="25" borderId="86" xfId="21" applyNumberFormat="1" applyFont="1" applyFill="1" applyBorder="1" applyAlignment="1">
      <alignment horizontal="center" vertical="center"/>
    </xf>
    <xf numFmtId="286" fontId="170" fillId="24" borderId="168" xfId="21" applyNumberFormat="1" applyFont="1" applyFill="1" applyBorder="1" applyAlignment="1">
      <alignment horizontal="center" vertical="center"/>
    </xf>
    <xf numFmtId="3" fontId="16" fillId="24" borderId="115" xfId="0" applyNumberFormat="1" applyFont="1" applyFill="1" applyBorder="1" applyAlignment="1">
      <alignment horizontal="center" vertical="center"/>
    </xf>
    <xf numFmtId="6" fontId="181" fillId="24" borderId="40" xfId="0" applyNumberFormat="1" applyFont="1" applyFill="1" applyBorder="1" applyAlignment="1">
      <alignment horizontal="center" vertical="center"/>
    </xf>
    <xf numFmtId="6" fontId="181" fillId="24" borderId="115" xfId="0" applyNumberFormat="1" applyFont="1" applyFill="1" applyBorder="1" applyAlignment="1">
      <alignment horizontal="center" vertical="center"/>
    </xf>
    <xf numFmtId="9" fontId="181" fillId="24" borderId="40" xfId="0" applyNumberFormat="1" applyFont="1" applyFill="1" applyBorder="1" applyAlignment="1">
      <alignment horizontal="center" vertical="center"/>
    </xf>
    <xf numFmtId="9" fontId="18" fillId="24" borderId="5" xfId="1346" applyNumberFormat="1" applyFont="1" applyFill="1" applyBorder="1" applyAlignment="1">
      <alignment horizontal="center" vertical="center"/>
    </xf>
    <xf numFmtId="10" fontId="18" fillId="24" borderId="5" xfId="1346" applyNumberFormat="1" applyFont="1" applyFill="1" applyBorder="1" applyAlignment="1">
      <alignment horizontal="center" vertical="center"/>
    </xf>
    <xf numFmtId="0" fontId="172" fillId="24" borderId="59" xfId="1346" applyFont="1" applyFill="1" applyBorder="1" applyAlignment="1">
      <alignment horizontal="center" vertical="center"/>
    </xf>
    <xf numFmtId="9" fontId="18" fillId="24" borderId="60" xfId="1346" applyNumberFormat="1" applyFont="1" applyFill="1" applyBorder="1" applyAlignment="1">
      <alignment horizontal="center" vertical="center"/>
    </xf>
    <xf numFmtId="167" fontId="26" fillId="28" borderId="109" xfId="0" applyNumberFormat="1" applyFont="1" applyFill="1" applyBorder="1" applyAlignment="1">
      <alignment horizontal="center" vertical="center"/>
    </xf>
    <xf numFmtId="3" fontId="16" fillId="24" borderId="167" xfId="0" applyNumberFormat="1" applyFont="1" applyFill="1" applyBorder="1" applyAlignment="1">
      <alignment horizontal="center" vertical="center"/>
    </xf>
    <xf numFmtId="6" fontId="181" fillId="24" borderId="168" xfId="0" applyNumberFormat="1" applyFont="1" applyFill="1" applyBorder="1" applyAlignment="1">
      <alignment horizontal="center" vertical="center"/>
    </xf>
    <xf numFmtId="167" fontId="181" fillId="24" borderId="168" xfId="0" applyNumberFormat="1" applyFont="1" applyFill="1" applyBorder="1" applyAlignment="1">
      <alignment horizontal="center" vertical="center"/>
    </xf>
    <xf numFmtId="167" fontId="181" fillId="24" borderId="40" xfId="0" applyNumberFormat="1" applyFont="1" applyFill="1" applyBorder="1" applyAlignment="1">
      <alignment horizontal="center" vertical="center"/>
    </xf>
    <xf numFmtId="167" fontId="181" fillId="24" borderId="132" xfId="0" applyNumberFormat="1" applyFont="1" applyFill="1" applyBorder="1" applyAlignment="1">
      <alignment horizontal="center" vertical="center"/>
    </xf>
    <xf numFmtId="166" fontId="181" fillId="24" borderId="40" xfId="0" applyNumberFormat="1" applyFont="1" applyFill="1" applyBorder="1" applyAlignment="1">
      <alignment horizontal="center" vertical="center"/>
    </xf>
    <xf numFmtId="6" fontId="181" fillId="24" borderId="156" xfId="0" applyNumberFormat="1" applyFont="1" applyFill="1" applyBorder="1" applyAlignment="1">
      <alignment horizontal="center" vertical="center"/>
    </xf>
    <xf numFmtId="3" fontId="16" fillId="24" borderId="175" xfId="0" applyNumberFormat="1" applyFont="1" applyFill="1" applyBorder="1" applyAlignment="1">
      <alignment horizontal="center" vertical="center"/>
    </xf>
    <xf numFmtId="3" fontId="16" fillId="24" borderId="176" xfId="0" applyNumberFormat="1" applyFont="1" applyFill="1" applyBorder="1" applyAlignment="1">
      <alignment horizontal="center" vertical="center" wrapText="1"/>
    </xf>
    <xf numFmtId="3" fontId="181" fillId="24" borderId="176" xfId="0" applyNumberFormat="1" applyFont="1" applyFill="1" applyBorder="1" applyAlignment="1">
      <alignment horizontal="center" vertical="center" wrapText="1"/>
    </xf>
    <xf numFmtId="6" fontId="181" fillId="24" borderId="176" xfId="0" applyNumberFormat="1" applyFont="1" applyFill="1" applyBorder="1" applyAlignment="1">
      <alignment horizontal="center" vertical="center"/>
    </xf>
    <xf numFmtId="5" fontId="181" fillId="24" borderId="176" xfId="0" applyNumberFormat="1" applyFont="1" applyFill="1" applyBorder="1" applyAlignment="1">
      <alignment horizontal="center" vertical="center"/>
    </xf>
    <xf numFmtId="9" fontId="181" fillId="24" borderId="176" xfId="0" applyNumberFormat="1" applyFont="1" applyFill="1" applyBorder="1" applyAlignment="1">
      <alignment horizontal="center" vertical="center"/>
    </xf>
    <xf numFmtId="167" fontId="181" fillId="24" borderId="176" xfId="0" applyNumberFormat="1" applyFont="1" applyFill="1" applyBorder="1" applyAlignment="1">
      <alignment horizontal="center" vertical="center"/>
    </xf>
    <xf numFmtId="167" fontId="181" fillId="24" borderId="174" xfId="0" applyNumberFormat="1" applyFont="1" applyFill="1" applyBorder="1" applyAlignment="1">
      <alignment horizontal="center" vertical="center"/>
    </xf>
    <xf numFmtId="169" fontId="172" fillId="24" borderId="132" xfId="0" applyNumberFormat="1" applyFont="1" applyFill="1" applyBorder="1" applyAlignment="1">
      <alignment horizontal="center" vertical="center"/>
    </xf>
    <xf numFmtId="271" fontId="172" fillId="24" borderId="119" xfId="0" applyNumberFormat="1" applyFont="1" applyFill="1" applyBorder="1" applyAlignment="1">
      <alignment horizontal="center" vertical="center"/>
    </xf>
    <xf numFmtId="3" fontId="16" fillId="24" borderId="168" xfId="0" applyNumberFormat="1" applyFont="1" applyFill="1" applyBorder="1" applyAlignment="1">
      <alignment horizontal="center" vertical="center" wrapText="1"/>
    </xf>
    <xf numFmtId="3" fontId="181" fillId="24" borderId="168" xfId="0" applyNumberFormat="1" applyFont="1" applyFill="1" applyBorder="1" applyAlignment="1">
      <alignment horizontal="center" vertical="center" wrapText="1"/>
    </xf>
    <xf numFmtId="5" fontId="181" fillId="24" borderId="168" xfId="0" applyNumberFormat="1" applyFont="1" applyFill="1" applyBorder="1" applyAlignment="1">
      <alignment horizontal="center" vertical="center"/>
    </xf>
    <xf numFmtId="9" fontId="170" fillId="0" borderId="0" xfId="0" applyNumberFormat="1" applyFont="1" applyAlignment="1">
      <alignment vertical="center"/>
    </xf>
    <xf numFmtId="0" fontId="170" fillId="24" borderId="118" xfId="0" applyFont="1" applyFill="1" applyBorder="1" applyAlignment="1">
      <alignment horizontal="center" vertical="center" wrapText="1"/>
    </xf>
    <xf numFmtId="0" fontId="170" fillId="24" borderId="119" xfId="0" applyFont="1" applyFill="1" applyBorder="1" applyAlignment="1">
      <alignment horizontal="center" vertical="center" wrapText="1"/>
    </xf>
    <xf numFmtId="0" fontId="170" fillId="24" borderId="162" xfId="0" applyFont="1" applyFill="1" applyBorder="1" applyAlignment="1">
      <alignment horizontal="center" vertical="center" wrapText="1"/>
    </xf>
    <xf numFmtId="6" fontId="171" fillId="26" borderId="86" xfId="0" applyNumberFormat="1" applyFont="1" applyFill="1" applyBorder="1" applyAlignment="1">
      <alignment horizontal="center" vertical="center"/>
    </xf>
    <xf numFmtId="4" fontId="170" fillId="24" borderId="113" xfId="1359" applyNumberFormat="1" applyFont="1" applyFill="1" applyBorder="1" applyAlignment="1">
      <alignment horizontal="center" vertical="center"/>
    </xf>
    <xf numFmtId="4" fontId="170" fillId="24" borderId="40" xfId="1359" applyNumberFormat="1" applyFont="1" applyFill="1" applyBorder="1" applyAlignment="1">
      <alignment horizontal="center" vertical="center"/>
    </xf>
    <xf numFmtId="4" fontId="170" fillId="24" borderId="159" xfId="1359" applyNumberFormat="1" applyFont="1" applyFill="1" applyBorder="1" applyAlignment="1">
      <alignment horizontal="center" vertical="center"/>
    </xf>
    <xf numFmtId="4" fontId="171" fillId="26" borderId="86" xfId="0" applyNumberFormat="1" applyFont="1" applyFill="1" applyBorder="1" applyAlignment="1">
      <alignment horizontal="center" vertical="center"/>
    </xf>
    <xf numFmtId="3" fontId="171" fillId="26" borderId="178" xfId="0" applyNumberFormat="1" applyFont="1" applyFill="1" applyBorder="1" applyAlignment="1">
      <alignment horizontal="center" vertical="center" wrapText="1"/>
    </xf>
    <xf numFmtId="166" fontId="171" fillId="26" borderId="69" xfId="0" applyNumberFormat="1" applyFont="1" applyFill="1" applyBorder="1" applyAlignment="1">
      <alignment horizontal="center" vertical="center"/>
    </xf>
    <xf numFmtId="0" fontId="170" fillId="0" borderId="11" xfId="0" applyFont="1" applyBorder="1" applyAlignment="1">
      <alignment vertical="center"/>
    </xf>
    <xf numFmtId="0" fontId="170" fillId="0" borderId="5" xfId="0" applyFont="1" applyBorder="1" applyAlignment="1">
      <alignment vertical="center"/>
    </xf>
    <xf numFmtId="4" fontId="172" fillId="0" borderId="0" xfId="0" applyNumberFormat="1" applyFont="1" applyAlignment="1">
      <alignment horizontal="center" vertical="center"/>
    </xf>
    <xf numFmtId="6" fontId="194" fillId="24" borderId="75" xfId="0" applyNumberFormat="1" applyFont="1" applyFill="1" applyBorder="1" applyAlignment="1">
      <alignment horizontal="center" vertical="center"/>
    </xf>
    <xf numFmtId="6" fontId="194" fillId="24" borderId="2" xfId="0" applyNumberFormat="1" applyFont="1" applyFill="1" applyBorder="1" applyAlignment="1">
      <alignment horizontal="center" vertical="center"/>
    </xf>
    <xf numFmtId="6" fontId="194" fillId="24" borderId="53" xfId="0" applyNumberFormat="1" applyFont="1" applyFill="1" applyBorder="1" applyAlignment="1">
      <alignment horizontal="center" vertical="center"/>
    </xf>
    <xf numFmtId="6" fontId="194" fillId="24" borderId="147" xfId="0" applyNumberFormat="1" applyFont="1" applyFill="1" applyBorder="1" applyAlignment="1">
      <alignment horizontal="center" vertical="center"/>
    </xf>
    <xf numFmtId="0" fontId="195" fillId="28" borderId="185" xfId="0" applyFont="1" applyFill="1" applyBorder="1" applyAlignment="1">
      <alignment horizontal="center" vertical="center"/>
    </xf>
    <xf numFmtId="6" fontId="195" fillId="28" borderId="185" xfId="0" applyNumberFormat="1" applyFont="1" applyFill="1" applyBorder="1" applyAlignment="1">
      <alignment horizontal="center" vertical="center"/>
    </xf>
    <xf numFmtId="9" fontId="179" fillId="25" borderId="83" xfId="0" applyNumberFormat="1" applyFont="1" applyFill="1" applyBorder="1" applyAlignment="1">
      <alignment horizontal="center" vertical="center"/>
    </xf>
    <xf numFmtId="166" fontId="171" fillId="26" borderId="53" xfId="0" applyNumberFormat="1" applyFont="1" applyFill="1" applyBorder="1" applyAlignment="1">
      <alignment horizontal="center" vertical="center"/>
    </xf>
    <xf numFmtId="3" fontId="171" fillId="27" borderId="146" xfId="0" applyNumberFormat="1" applyFont="1" applyFill="1" applyBorder="1" applyAlignment="1">
      <alignment horizontal="center" vertical="center" wrapText="1"/>
    </xf>
    <xf numFmtId="3" fontId="171" fillId="26" borderId="151" xfId="0" applyNumberFormat="1" applyFont="1" applyFill="1" applyBorder="1" applyAlignment="1">
      <alignment horizontal="center" vertical="center" wrapText="1"/>
    </xf>
    <xf numFmtId="9" fontId="181" fillId="24" borderId="156" xfId="0" applyNumberFormat="1" applyFont="1" applyFill="1" applyBorder="1" applyAlignment="1">
      <alignment horizontal="center" vertical="center"/>
    </xf>
    <xf numFmtId="6" fontId="26" fillId="24" borderId="156" xfId="1346" applyNumberFormat="1" applyFont="1" applyFill="1" applyBorder="1" applyAlignment="1">
      <alignment horizontal="center" vertical="center"/>
    </xf>
    <xf numFmtId="0" fontId="173" fillId="25" borderId="138" xfId="0" applyFont="1" applyFill="1" applyBorder="1" applyAlignment="1">
      <alignment horizontal="center" vertical="center"/>
    </xf>
    <xf numFmtId="0" fontId="173" fillId="25" borderId="173" xfId="0" applyFont="1" applyFill="1" applyBorder="1" applyAlignment="1">
      <alignment horizontal="center" vertical="center"/>
    </xf>
    <xf numFmtId="0" fontId="173" fillId="25" borderId="136" xfId="0" applyFont="1" applyFill="1" applyBorder="1" applyAlignment="1">
      <alignment horizontal="center" vertical="center"/>
    </xf>
    <xf numFmtId="0" fontId="174" fillId="24" borderId="0" xfId="1346" applyFont="1" applyFill="1" applyAlignment="1">
      <alignment horizontal="center" vertical="center"/>
    </xf>
    <xf numFmtId="0" fontId="171" fillId="26" borderId="145" xfId="0" applyFont="1" applyFill="1" applyBorder="1" applyAlignment="1">
      <alignment horizontal="center" vertical="center" wrapText="1"/>
    </xf>
    <xf numFmtId="6" fontId="170" fillId="24" borderId="113" xfId="0" applyNumberFormat="1" applyFont="1" applyFill="1" applyBorder="1" applyAlignment="1">
      <alignment horizontal="center" vertical="center" wrapText="1"/>
    </xf>
    <xf numFmtId="6" fontId="170" fillId="24" borderId="40" xfId="0" applyNumberFormat="1" applyFont="1" applyFill="1" applyBorder="1" applyAlignment="1">
      <alignment horizontal="center" vertical="center" wrapText="1"/>
    </xf>
    <xf numFmtId="6" fontId="170" fillId="24" borderId="159" xfId="0" applyNumberFormat="1" applyFont="1" applyFill="1" applyBorder="1" applyAlignment="1">
      <alignment horizontal="center" vertical="center" wrapText="1"/>
    </xf>
    <xf numFmtId="6" fontId="170" fillId="24" borderId="113" xfId="1359" applyNumberFormat="1" applyFont="1" applyFill="1" applyBorder="1" applyAlignment="1">
      <alignment horizontal="center" vertical="center"/>
    </xf>
    <xf numFmtId="6" fontId="170" fillId="24" borderId="40" xfId="1359" applyNumberFormat="1" applyFont="1" applyFill="1" applyBorder="1" applyAlignment="1">
      <alignment horizontal="center" vertical="center"/>
    </xf>
    <xf numFmtId="6" fontId="170" fillId="24" borderId="159" xfId="1359" applyNumberFormat="1" applyFont="1" applyFill="1" applyBorder="1" applyAlignment="1">
      <alignment horizontal="center" vertical="center"/>
    </xf>
    <xf numFmtId="166" fontId="170" fillId="24" borderId="154" xfId="0" applyNumberFormat="1" applyFont="1" applyFill="1" applyBorder="1" applyAlignment="1">
      <alignment horizontal="center" vertical="center"/>
    </xf>
    <xf numFmtId="166" fontId="170" fillId="24" borderId="156" xfId="0" applyNumberFormat="1" applyFont="1" applyFill="1" applyBorder="1" applyAlignment="1">
      <alignment horizontal="center" vertical="center"/>
    </xf>
    <xf numFmtId="166" fontId="170" fillId="24" borderId="164" xfId="0" applyNumberFormat="1" applyFont="1" applyFill="1" applyBorder="1" applyAlignment="1">
      <alignment horizontal="center" vertical="center"/>
    </xf>
    <xf numFmtId="166" fontId="170" fillId="24" borderId="113" xfId="0" applyNumberFormat="1" applyFont="1" applyFill="1" applyBorder="1" applyAlignment="1">
      <alignment horizontal="center" vertical="center"/>
    </xf>
    <xf numFmtId="166" fontId="170" fillId="24" borderId="40" xfId="0" applyNumberFormat="1" applyFont="1" applyFill="1" applyBorder="1" applyAlignment="1">
      <alignment horizontal="center" vertical="center"/>
    </xf>
    <xf numFmtId="166" fontId="170" fillId="24" borderId="159" xfId="0" applyNumberFormat="1" applyFont="1" applyFill="1" applyBorder="1" applyAlignment="1">
      <alignment horizontal="center" vertical="center"/>
    </xf>
    <xf numFmtId="166" fontId="170" fillId="24" borderId="114" xfId="0" applyNumberFormat="1" applyFont="1" applyFill="1" applyBorder="1" applyAlignment="1">
      <alignment horizontal="center" vertical="center"/>
    </xf>
    <xf numFmtId="166" fontId="170" fillId="24" borderId="117" xfId="0" applyNumberFormat="1" applyFont="1" applyFill="1" applyBorder="1" applyAlignment="1">
      <alignment horizontal="center" vertical="center"/>
    </xf>
    <xf numFmtId="166" fontId="170" fillId="24" borderId="165" xfId="0" applyNumberFormat="1" applyFont="1" applyFill="1" applyBorder="1" applyAlignment="1">
      <alignment horizontal="center" vertical="center"/>
    </xf>
    <xf numFmtId="278" fontId="181" fillId="24" borderId="193" xfId="0" applyNumberFormat="1" applyFont="1" applyFill="1" applyBorder="1" applyAlignment="1">
      <alignment horizontal="center" vertical="center" wrapText="1"/>
    </xf>
    <xf numFmtId="278" fontId="181" fillId="24" borderId="117" xfId="0" applyNumberFormat="1" applyFont="1" applyFill="1" applyBorder="1" applyAlignment="1">
      <alignment horizontal="center" vertical="center" wrapText="1"/>
    </xf>
    <xf numFmtId="278" fontId="181" fillId="24" borderId="125" xfId="0" applyNumberFormat="1" applyFont="1" applyFill="1" applyBorder="1" applyAlignment="1">
      <alignment horizontal="center" vertical="center" wrapText="1"/>
    </xf>
    <xf numFmtId="6" fontId="18" fillId="24" borderId="110" xfId="0" applyNumberFormat="1" applyFont="1" applyFill="1" applyBorder="1" applyAlignment="1">
      <alignment horizontal="center" vertical="center"/>
    </xf>
    <xf numFmtId="6" fontId="26" fillId="24" borderId="110" xfId="0" applyNumberFormat="1" applyFont="1" applyFill="1" applyBorder="1" applyAlignment="1">
      <alignment horizontal="center" vertical="center"/>
    </xf>
    <xf numFmtId="6" fontId="173" fillId="25" borderId="144" xfId="0" applyNumberFormat="1" applyFont="1" applyFill="1" applyBorder="1" applyAlignment="1">
      <alignment horizontal="center" vertical="center"/>
    </xf>
    <xf numFmtId="0" fontId="26" fillId="28" borderId="153" xfId="0" applyFont="1" applyFill="1" applyBorder="1" applyAlignment="1">
      <alignment horizontal="center" vertical="center"/>
    </xf>
    <xf numFmtId="6" fontId="26" fillId="28" borderId="139" xfId="0" applyNumberFormat="1" applyFont="1" applyFill="1" applyBorder="1" applyAlignment="1">
      <alignment horizontal="center" vertical="center"/>
    </xf>
    <xf numFmtId="6" fontId="174" fillId="24" borderId="110" xfId="0" applyNumberFormat="1" applyFont="1" applyFill="1" applyBorder="1" applyAlignment="1">
      <alignment horizontal="center" vertical="center"/>
    </xf>
    <xf numFmtId="6" fontId="172" fillId="24" borderId="60" xfId="0" applyNumberFormat="1" applyFont="1" applyFill="1" applyBorder="1" applyAlignment="1">
      <alignment horizontal="center" vertical="center"/>
    </xf>
    <xf numFmtId="0" fontId="26" fillId="28" borderId="151" xfId="0" applyFont="1" applyFill="1" applyBorder="1" applyAlignment="1">
      <alignment horizontal="center" vertical="center"/>
    </xf>
    <xf numFmtId="6" fontId="18" fillId="24" borderId="68" xfId="0" applyNumberFormat="1" applyFont="1" applyFill="1" applyBorder="1" applyAlignment="1">
      <alignment horizontal="center" vertical="center"/>
    </xf>
    <xf numFmtId="6" fontId="18" fillId="24" borderId="55" xfId="0" applyNumberFormat="1" applyFont="1" applyFill="1" applyBorder="1" applyAlignment="1">
      <alignment horizontal="center" vertical="center"/>
    </xf>
    <xf numFmtId="6" fontId="172" fillId="24" borderId="84" xfId="0" applyNumberFormat="1" applyFont="1" applyFill="1" applyBorder="1" applyAlignment="1">
      <alignment horizontal="center" vertical="center"/>
    </xf>
    <xf numFmtId="6" fontId="26" fillId="28" borderId="108" xfId="0" applyNumberFormat="1" applyFont="1" applyFill="1" applyBorder="1" applyAlignment="1">
      <alignment horizontal="center" vertical="center"/>
    </xf>
    <xf numFmtId="3" fontId="16" fillId="24" borderId="23" xfId="0" applyNumberFormat="1" applyFont="1" applyFill="1" applyBorder="1" applyAlignment="1">
      <alignment horizontal="center" vertical="center"/>
    </xf>
    <xf numFmtId="167" fontId="181" fillId="24" borderId="177" xfId="0" applyNumberFormat="1" applyFont="1" applyFill="1" applyBorder="1" applyAlignment="1">
      <alignment horizontal="center" vertical="center"/>
    </xf>
    <xf numFmtId="278" fontId="181" fillId="24" borderId="154" xfId="0" applyNumberFormat="1" applyFont="1" applyFill="1" applyBorder="1" applyAlignment="1">
      <alignment horizontal="center" vertical="center" wrapText="1"/>
    </xf>
    <xf numFmtId="278" fontId="181" fillId="24" borderId="156" xfId="0" applyNumberFormat="1" applyFont="1" applyFill="1" applyBorder="1" applyAlignment="1">
      <alignment horizontal="center" vertical="center" wrapText="1"/>
    </xf>
    <xf numFmtId="278" fontId="181" fillId="24" borderId="194" xfId="0" applyNumberFormat="1" applyFont="1" applyFill="1" applyBorder="1" applyAlignment="1">
      <alignment horizontal="center" vertical="center" wrapText="1"/>
    </xf>
    <xf numFmtId="3" fontId="171" fillId="26" borderId="153" xfId="0" applyNumberFormat="1" applyFont="1" applyFill="1" applyBorder="1" applyAlignment="1">
      <alignment horizontal="center" vertical="center" wrapText="1"/>
    </xf>
    <xf numFmtId="166" fontId="171" fillId="26" borderId="64" xfId="0" applyNumberFormat="1" applyFont="1" applyFill="1" applyBorder="1" applyAlignment="1">
      <alignment horizontal="center" vertical="center"/>
    </xf>
    <xf numFmtId="0" fontId="172" fillId="24" borderId="171" xfId="0" applyFont="1" applyFill="1" applyBorder="1" applyAlignment="1">
      <alignment horizontal="center" vertical="center" wrapText="1"/>
    </xf>
    <xf numFmtId="0" fontId="173" fillId="25" borderId="150" xfId="0" applyFont="1" applyFill="1" applyBorder="1" applyAlignment="1">
      <alignment horizontal="center" vertical="center"/>
    </xf>
    <xf numFmtId="0" fontId="173" fillId="25" borderId="149" xfId="0" applyFont="1" applyFill="1" applyBorder="1" applyAlignment="1">
      <alignment horizontal="center" vertical="center"/>
    </xf>
    <xf numFmtId="278" fontId="173" fillId="25" borderId="150" xfId="1346" applyNumberFormat="1" applyFont="1" applyFill="1" applyBorder="1" applyAlignment="1">
      <alignment horizontal="center" vertical="center"/>
    </xf>
    <xf numFmtId="278" fontId="173" fillId="25" borderId="149" xfId="1346" applyNumberFormat="1" applyFont="1" applyFill="1" applyBorder="1" applyAlignment="1">
      <alignment horizontal="center" vertical="center"/>
    </xf>
    <xf numFmtId="6" fontId="105" fillId="24" borderId="5" xfId="0" applyNumberFormat="1" applyFont="1" applyFill="1" applyBorder="1" applyAlignment="1">
      <alignment horizontal="center" vertical="center"/>
    </xf>
    <xf numFmtId="6" fontId="18" fillId="24" borderId="60" xfId="0" applyNumberFormat="1" applyFont="1" applyFill="1" applyBorder="1" applyAlignment="1">
      <alignment horizontal="center" vertical="center"/>
    </xf>
    <xf numFmtId="6" fontId="18" fillId="24" borderId="141" xfId="0" applyNumberFormat="1" applyFont="1" applyFill="1" applyBorder="1" applyAlignment="1">
      <alignment horizontal="center" vertical="center"/>
    </xf>
    <xf numFmtId="6" fontId="18" fillId="28" borderId="171" xfId="0" applyNumberFormat="1" applyFont="1" applyFill="1" applyBorder="1" applyAlignment="1">
      <alignment horizontal="center" vertical="center"/>
    </xf>
    <xf numFmtId="6" fontId="18" fillId="28" borderId="105" xfId="0" applyNumberFormat="1" applyFont="1" applyFill="1" applyBorder="1" applyAlignment="1">
      <alignment horizontal="center" vertical="center"/>
    </xf>
    <xf numFmtId="167" fontId="26" fillId="28" borderId="85" xfId="0" applyNumberFormat="1" applyFont="1" applyFill="1" applyBorder="1" applyAlignment="1">
      <alignment horizontal="center" vertical="center"/>
    </xf>
    <xf numFmtId="0" fontId="172" fillId="24" borderId="85" xfId="0" applyFont="1" applyFill="1" applyBorder="1" applyAlignment="1">
      <alignment horizontal="center" vertical="center"/>
    </xf>
    <xf numFmtId="261" fontId="172" fillId="24" borderId="79" xfId="0" applyNumberFormat="1" applyFont="1" applyFill="1" applyBorder="1" applyAlignment="1">
      <alignment horizontal="center" vertical="center"/>
    </xf>
    <xf numFmtId="179" fontId="172" fillId="24" borderId="85" xfId="0" applyNumberFormat="1" applyFont="1" applyFill="1" applyBorder="1" applyAlignment="1">
      <alignment horizontal="center" vertical="center"/>
    </xf>
    <xf numFmtId="269" fontId="172" fillId="24" borderId="79" xfId="0" applyNumberFormat="1" applyFont="1" applyFill="1" applyBorder="1" applyAlignment="1">
      <alignment horizontal="center" vertical="center"/>
    </xf>
    <xf numFmtId="167" fontId="26" fillId="28" borderId="77" xfId="0" applyNumberFormat="1" applyFont="1" applyFill="1" applyBorder="1" applyAlignment="1">
      <alignment horizontal="center" vertical="center"/>
    </xf>
    <xf numFmtId="167" fontId="26" fillId="28" borderId="110" xfId="0" applyNumberFormat="1" applyFont="1" applyFill="1" applyBorder="1" applyAlignment="1">
      <alignment horizontal="center" vertical="center"/>
    </xf>
    <xf numFmtId="167" fontId="26" fillId="28" borderId="79" xfId="0" applyNumberFormat="1" applyFont="1" applyFill="1" applyBorder="1" applyAlignment="1">
      <alignment horizontal="center" vertical="center"/>
    </xf>
    <xf numFmtId="171" fontId="173" fillId="25" borderId="195" xfId="0" applyNumberFormat="1" applyFont="1" applyFill="1" applyBorder="1" applyAlignment="1">
      <alignment horizontal="center" vertical="center"/>
    </xf>
    <xf numFmtId="6" fontId="173" fillId="25" borderId="143" xfId="0" applyNumberFormat="1" applyFont="1" applyFill="1" applyBorder="1" applyAlignment="1">
      <alignment horizontal="center" vertical="center"/>
    </xf>
    <xf numFmtId="14" fontId="26" fillId="28" borderId="173" xfId="0" applyNumberFormat="1" applyFont="1" applyFill="1" applyBorder="1" applyAlignment="1">
      <alignment horizontal="center" vertical="center"/>
    </xf>
    <xf numFmtId="14" fontId="26" fillId="28" borderId="135" xfId="0" applyNumberFormat="1" applyFont="1" applyFill="1" applyBorder="1" applyAlignment="1">
      <alignment horizontal="center" vertical="center"/>
    </xf>
    <xf numFmtId="0" fontId="26" fillId="28" borderId="196" xfId="0" applyFont="1" applyFill="1" applyBorder="1" applyAlignment="1">
      <alignment horizontal="center" vertical="center"/>
    </xf>
    <xf numFmtId="10" fontId="26" fillId="28" borderId="173" xfId="0" applyNumberFormat="1" applyFont="1" applyFill="1" applyBorder="1" applyAlignment="1">
      <alignment horizontal="center" vertical="center"/>
    </xf>
    <xf numFmtId="6" fontId="26" fillId="28" borderId="74" xfId="0" applyNumberFormat="1" applyFont="1" applyFill="1" applyBorder="1" applyAlignment="1">
      <alignment horizontal="center" vertical="center"/>
    </xf>
    <xf numFmtId="6" fontId="173" fillId="25" borderId="135" xfId="0" applyNumberFormat="1" applyFont="1" applyFill="1" applyBorder="1" applyAlignment="1">
      <alignment horizontal="center" vertical="center"/>
    </xf>
    <xf numFmtId="278" fontId="193" fillId="25" borderId="135" xfId="0" applyNumberFormat="1" applyFont="1" applyFill="1" applyBorder="1" applyAlignment="1">
      <alignment horizontal="center" vertical="center"/>
    </xf>
    <xf numFmtId="171" fontId="173" fillId="25" borderId="196" xfId="0" applyNumberFormat="1" applyFont="1" applyFill="1" applyBorder="1" applyAlignment="1">
      <alignment horizontal="center" vertical="center"/>
    </xf>
    <xf numFmtId="167" fontId="173" fillId="25" borderId="56" xfId="0" applyNumberFormat="1" applyFont="1" applyFill="1" applyBorder="1" applyAlignment="1">
      <alignment horizontal="center" vertical="center"/>
    </xf>
    <xf numFmtId="6" fontId="18" fillId="24" borderId="74" xfId="0" applyNumberFormat="1" applyFont="1" applyFill="1" applyBorder="1" applyAlignment="1">
      <alignment horizontal="center" vertical="center"/>
    </xf>
    <xf numFmtId="6" fontId="172" fillId="24" borderId="106" xfId="0" applyNumberFormat="1" applyFont="1" applyFill="1" applyBorder="1" applyAlignment="1">
      <alignment horizontal="center" vertical="center"/>
    </xf>
    <xf numFmtId="6" fontId="26" fillId="24" borderId="74" xfId="0" quotePrefix="1" applyNumberFormat="1" applyFont="1" applyFill="1" applyBorder="1" applyAlignment="1">
      <alignment horizontal="center" vertical="center"/>
    </xf>
    <xf numFmtId="9" fontId="26" fillId="28" borderId="40" xfId="0" applyNumberFormat="1" applyFont="1" applyFill="1" applyBorder="1" applyAlignment="1">
      <alignment horizontal="center" vertical="center"/>
    </xf>
    <xf numFmtId="278" fontId="193" fillId="25" borderId="142" xfId="0" applyNumberFormat="1" applyFont="1" applyFill="1" applyBorder="1" applyAlignment="1">
      <alignment horizontal="center" vertical="center"/>
    </xf>
    <xf numFmtId="171" fontId="173" fillId="25" borderId="108" xfId="0" applyNumberFormat="1" applyFont="1" applyFill="1" applyBorder="1" applyAlignment="1">
      <alignment horizontal="center" vertical="center"/>
    </xf>
    <xf numFmtId="167" fontId="173" fillId="25" borderId="59" xfId="0" applyNumberFormat="1" applyFont="1" applyFill="1" applyBorder="1" applyAlignment="1">
      <alignment horizontal="center" vertical="center"/>
    </xf>
    <xf numFmtId="6" fontId="18" fillId="24" borderId="77" xfId="0" applyNumberFormat="1" applyFont="1" applyFill="1" applyBorder="1" applyAlignment="1">
      <alignment horizontal="center" vertical="center"/>
    </xf>
    <xf numFmtId="6" fontId="18" fillId="24" borderId="105" xfId="0" applyNumberFormat="1" applyFont="1" applyFill="1" applyBorder="1" applyAlignment="1">
      <alignment horizontal="center" vertical="center"/>
    </xf>
    <xf numFmtId="6" fontId="18" fillId="24" borderId="83" xfId="0" applyNumberFormat="1" applyFont="1" applyFill="1" applyBorder="1" applyAlignment="1">
      <alignment horizontal="center" vertical="center"/>
    </xf>
    <xf numFmtId="6" fontId="18" fillId="24" borderId="106" xfId="0" applyNumberFormat="1" applyFont="1" applyFill="1" applyBorder="1" applyAlignment="1">
      <alignment horizontal="center" vertical="center"/>
    </xf>
    <xf numFmtId="6" fontId="18" fillId="24" borderId="84" xfId="0" applyNumberFormat="1" applyFont="1" applyFill="1" applyBorder="1" applyAlignment="1">
      <alignment horizontal="center" vertical="center"/>
    </xf>
    <xf numFmtId="6" fontId="18" fillId="28" borderId="77" xfId="0" applyNumberFormat="1" applyFont="1" applyFill="1" applyBorder="1" applyAlignment="1">
      <alignment horizontal="center" vertical="center"/>
    </xf>
    <xf numFmtId="14" fontId="26" fillId="28" borderId="71" xfId="0" applyNumberFormat="1" applyFont="1" applyFill="1" applyBorder="1" applyAlignment="1">
      <alignment horizontal="center" vertical="center"/>
    </xf>
    <xf numFmtId="5" fontId="26" fillId="28" borderId="188" xfId="21" applyNumberFormat="1" applyFont="1" applyFill="1" applyBorder="1" applyAlignment="1">
      <alignment horizontal="center" vertical="center"/>
    </xf>
    <xf numFmtId="6" fontId="18" fillId="28" borderId="106" xfId="0" applyNumberFormat="1" applyFont="1" applyFill="1" applyBorder="1" applyAlignment="1">
      <alignment horizontal="center" vertical="center"/>
    </xf>
    <xf numFmtId="167" fontId="26" fillId="28" borderId="81" xfId="0" applyNumberFormat="1" applyFont="1" applyFill="1" applyBorder="1" applyAlignment="1">
      <alignment horizontal="center" vertical="center"/>
    </xf>
    <xf numFmtId="6" fontId="18" fillId="24" borderId="171" xfId="0" applyNumberFormat="1" applyFont="1" applyFill="1" applyBorder="1" applyAlignment="1">
      <alignment horizontal="center" vertical="center"/>
    </xf>
    <xf numFmtId="6" fontId="18" fillId="28" borderId="147" xfId="0" applyNumberFormat="1" applyFont="1" applyFill="1" applyBorder="1" applyAlignment="1">
      <alignment horizontal="center" vertical="center"/>
    </xf>
    <xf numFmtId="10" fontId="26" fillId="28" borderId="198" xfId="0" applyNumberFormat="1" applyFont="1" applyFill="1" applyBorder="1" applyAlignment="1">
      <alignment horizontal="center" vertical="center"/>
    </xf>
    <xf numFmtId="167" fontId="173" fillId="25" borderId="171" xfId="0" applyNumberFormat="1" applyFont="1" applyFill="1" applyBorder="1" applyAlignment="1">
      <alignment horizontal="center" vertical="center"/>
    </xf>
    <xf numFmtId="167" fontId="173" fillId="25" borderId="105" xfId="0" applyNumberFormat="1" applyFont="1" applyFill="1" applyBorder="1" applyAlignment="1">
      <alignment horizontal="center" vertical="center"/>
    </xf>
    <xf numFmtId="167" fontId="26" fillId="28" borderId="105" xfId="0" applyNumberFormat="1" applyFont="1" applyFill="1" applyBorder="1" applyAlignment="1">
      <alignment horizontal="center" vertical="center"/>
    </xf>
    <xf numFmtId="167" fontId="26" fillId="28" borderId="147" xfId="0" applyNumberFormat="1" applyFont="1" applyFill="1" applyBorder="1" applyAlignment="1">
      <alignment horizontal="center" vertical="center"/>
    </xf>
    <xf numFmtId="167" fontId="173" fillId="25" borderId="106" xfId="0" applyNumberFormat="1" applyFont="1" applyFill="1" applyBorder="1" applyAlignment="1">
      <alignment horizontal="center" vertical="center"/>
    </xf>
    <xf numFmtId="6" fontId="18" fillId="24" borderId="195" xfId="0" applyNumberFormat="1" applyFont="1" applyFill="1" applyBorder="1" applyAlignment="1">
      <alignment horizontal="center" vertical="center"/>
    </xf>
    <xf numFmtId="167" fontId="26" fillId="28" borderId="136" xfId="0" applyNumberFormat="1" applyFont="1" applyFill="1" applyBorder="1" applyAlignment="1">
      <alignment horizontal="center" vertical="center"/>
    </xf>
    <xf numFmtId="167" fontId="26" fillId="28" borderId="171" xfId="0" applyNumberFormat="1" applyFont="1" applyFill="1" applyBorder="1" applyAlignment="1">
      <alignment horizontal="center" vertical="center"/>
    </xf>
    <xf numFmtId="167" fontId="26" fillId="28" borderId="106" xfId="0" applyNumberFormat="1" applyFont="1" applyFill="1" applyBorder="1" applyAlignment="1">
      <alignment horizontal="center" vertical="center"/>
    </xf>
    <xf numFmtId="167" fontId="173" fillId="25" borderId="195" xfId="0" applyNumberFormat="1" applyFont="1" applyFill="1" applyBorder="1" applyAlignment="1">
      <alignment horizontal="center" vertical="center"/>
    </xf>
    <xf numFmtId="287" fontId="181" fillId="24" borderId="40" xfId="0" applyNumberFormat="1" applyFont="1" applyFill="1" applyBorder="1" applyAlignment="1">
      <alignment horizontal="center" vertical="center"/>
    </xf>
    <xf numFmtId="287" fontId="181" fillId="24" borderId="113" xfId="0" applyNumberFormat="1" applyFont="1" applyFill="1" applyBorder="1" applyAlignment="1">
      <alignment horizontal="center" vertical="center"/>
    </xf>
    <xf numFmtId="288" fontId="181" fillId="24" borderId="40" xfId="0" applyNumberFormat="1" applyFont="1" applyFill="1" applyBorder="1" applyAlignment="1">
      <alignment horizontal="center" vertical="center"/>
    </xf>
    <xf numFmtId="278" fontId="181" fillId="24" borderId="169" xfId="0" applyNumberFormat="1" applyFont="1" applyFill="1" applyBorder="1" applyAlignment="1">
      <alignment horizontal="center" vertical="center" wrapText="1"/>
    </xf>
    <xf numFmtId="171" fontId="173" fillId="25" borderId="67" xfId="0" applyNumberFormat="1" applyFont="1" applyFill="1" applyBorder="1" applyAlignment="1">
      <alignment horizontal="center" vertical="center"/>
    </xf>
    <xf numFmtId="171" fontId="173" fillId="25" borderId="64" xfId="0" applyNumberFormat="1" applyFont="1" applyFill="1" applyBorder="1" applyAlignment="1">
      <alignment horizontal="center" vertical="center"/>
    </xf>
    <xf numFmtId="171" fontId="26" fillId="28" borderId="67" xfId="0" applyNumberFormat="1" applyFont="1" applyFill="1" applyBorder="1" applyAlignment="1">
      <alignment horizontal="center" vertical="center"/>
    </xf>
    <xf numFmtId="171" fontId="26" fillId="28" borderId="109" xfId="0" applyNumberFormat="1" applyFont="1" applyFill="1" applyBorder="1" applyAlignment="1">
      <alignment horizontal="center" vertical="center"/>
    </xf>
    <xf numFmtId="171" fontId="173" fillId="25" borderId="10" xfId="0" applyNumberFormat="1" applyFont="1" applyFill="1" applyBorder="1" applyAlignment="1">
      <alignment horizontal="center" vertical="center"/>
    </xf>
    <xf numFmtId="171" fontId="173" fillId="25" borderId="109" xfId="0" applyNumberFormat="1" applyFont="1" applyFill="1" applyBorder="1" applyAlignment="1">
      <alignment horizontal="center" vertical="center"/>
    </xf>
    <xf numFmtId="167" fontId="173" fillId="25" borderId="141" xfId="0" applyNumberFormat="1" applyFont="1" applyFill="1" applyBorder="1" applyAlignment="1">
      <alignment horizontal="center" vertical="center"/>
    </xf>
    <xf numFmtId="167" fontId="173" fillId="25" borderId="145" xfId="0" applyNumberFormat="1" applyFont="1" applyFill="1" applyBorder="1" applyAlignment="1">
      <alignment horizontal="center" vertical="center"/>
    </xf>
    <xf numFmtId="167" fontId="26" fillId="28" borderId="141" xfId="0" applyNumberFormat="1" applyFont="1" applyFill="1" applyBorder="1" applyAlignment="1">
      <alignment horizontal="center" vertical="center"/>
    </xf>
    <xf numFmtId="167" fontId="26" fillId="28" borderId="140" xfId="0" applyNumberFormat="1" applyFont="1" applyFill="1" applyBorder="1" applyAlignment="1">
      <alignment horizontal="center" vertical="center"/>
    </xf>
    <xf numFmtId="167" fontId="173" fillId="25" borderId="189" xfId="0" applyNumberFormat="1" applyFont="1" applyFill="1" applyBorder="1" applyAlignment="1">
      <alignment horizontal="center" vertical="center"/>
    </xf>
    <xf numFmtId="167" fontId="173" fillId="25" borderId="140" xfId="0" applyNumberFormat="1" applyFont="1" applyFill="1" applyBorder="1" applyAlignment="1">
      <alignment horizontal="center" vertical="center"/>
    </xf>
    <xf numFmtId="0" fontId="173" fillId="25" borderId="148" xfId="0" applyFont="1" applyFill="1" applyBorder="1" applyAlignment="1">
      <alignment horizontal="center" vertical="center"/>
    </xf>
    <xf numFmtId="278" fontId="173" fillId="25" borderId="148" xfId="1346" applyNumberFormat="1" applyFont="1" applyFill="1" applyBorder="1" applyAlignment="1">
      <alignment horizontal="center" vertical="center"/>
    </xf>
    <xf numFmtId="0" fontId="26" fillId="28" borderId="183" xfId="0" applyFont="1" applyFill="1" applyBorder="1" applyAlignment="1">
      <alignment horizontal="center" vertical="center"/>
    </xf>
    <xf numFmtId="6" fontId="26" fillId="28" borderId="196" xfId="0" applyNumberFormat="1" applyFont="1" applyFill="1" applyBorder="1" applyAlignment="1">
      <alignment horizontal="center" vertical="center"/>
    </xf>
    <xf numFmtId="6" fontId="172" fillId="24" borderId="55" xfId="0" quotePrefix="1" applyNumberFormat="1" applyFont="1" applyFill="1" applyBorder="1" applyAlignment="1">
      <alignment horizontal="center" vertical="center"/>
    </xf>
    <xf numFmtId="171" fontId="173" fillId="25" borderId="69" xfId="0" applyNumberFormat="1" applyFont="1" applyFill="1" applyBorder="1" applyAlignment="1">
      <alignment horizontal="center" vertical="center"/>
    </xf>
    <xf numFmtId="0" fontId="174" fillId="28" borderId="138" xfId="0" applyFont="1" applyFill="1" applyBorder="1" applyAlignment="1">
      <alignment horizontal="center" vertical="center"/>
    </xf>
    <xf numFmtId="0" fontId="174" fillId="28" borderId="11" xfId="0" applyFont="1" applyFill="1" applyBorder="1" applyAlignment="1">
      <alignment horizontal="center" vertical="center"/>
    </xf>
    <xf numFmtId="0" fontId="174" fillId="28" borderId="59" xfId="0" applyFont="1" applyFill="1" applyBorder="1" applyAlignment="1">
      <alignment horizontal="center" vertical="center"/>
    </xf>
    <xf numFmtId="289" fontId="172" fillId="24" borderId="0" xfId="0" applyNumberFormat="1" applyFont="1" applyFill="1" applyAlignment="1">
      <alignment horizontal="center" vertical="center"/>
    </xf>
    <xf numFmtId="6" fontId="174" fillId="28" borderId="173" xfId="0" applyNumberFormat="1" applyFont="1" applyFill="1" applyBorder="1" applyAlignment="1">
      <alignment horizontal="center" vertical="center"/>
    </xf>
    <xf numFmtId="6" fontId="174" fillId="28" borderId="183" xfId="0" applyNumberFormat="1" applyFont="1" applyFill="1" applyBorder="1" applyAlignment="1">
      <alignment horizontal="center" vertical="center"/>
    </xf>
    <xf numFmtId="10" fontId="174" fillId="28" borderId="56" xfId="0" applyNumberFormat="1" applyFont="1" applyFill="1" applyBorder="1" applyAlignment="1">
      <alignment horizontal="center" vertical="center"/>
    </xf>
    <xf numFmtId="6" fontId="174" fillId="28" borderId="11" xfId="0" applyNumberFormat="1" applyFont="1" applyFill="1" applyBorder="1" applyAlignment="1">
      <alignment horizontal="center" vertical="center"/>
    </xf>
    <xf numFmtId="6" fontId="174" fillId="28" borderId="138" xfId="0" applyNumberFormat="1" applyFont="1" applyFill="1" applyBorder="1" applyAlignment="1">
      <alignment horizontal="center" vertical="center"/>
    </xf>
    <xf numFmtId="6" fontId="174" fillId="28" borderId="59" xfId="0" applyNumberFormat="1" applyFont="1" applyFill="1" applyBorder="1" applyAlignment="1">
      <alignment horizontal="center" vertical="center"/>
    </xf>
    <xf numFmtId="6" fontId="174" fillId="28" borderId="72" xfId="0" applyNumberFormat="1" applyFont="1" applyFill="1" applyBorder="1" applyAlignment="1">
      <alignment horizontal="center" vertical="center"/>
    </xf>
    <xf numFmtId="6" fontId="174" fillId="28" borderId="199" xfId="0" applyNumberFormat="1" applyFont="1" applyFill="1" applyBorder="1" applyAlignment="1">
      <alignment horizontal="center" vertical="center"/>
    </xf>
    <xf numFmtId="6" fontId="174" fillId="28" borderId="108" xfId="0" applyNumberFormat="1" applyFont="1" applyFill="1" applyBorder="1" applyAlignment="1">
      <alignment horizontal="center" vertical="center"/>
    </xf>
    <xf numFmtId="6" fontId="174" fillId="28" borderId="196" xfId="0" applyNumberFormat="1" applyFont="1" applyFill="1" applyBorder="1" applyAlignment="1">
      <alignment horizontal="center" vertical="center"/>
    </xf>
    <xf numFmtId="6" fontId="172" fillId="24" borderId="82" xfId="0" applyNumberFormat="1" applyFont="1" applyFill="1" applyBorder="1" applyAlignment="1">
      <alignment horizontal="center" vertical="center"/>
    </xf>
    <xf numFmtId="6" fontId="172" fillId="24" borderId="83" xfId="0" applyNumberFormat="1" applyFont="1" applyFill="1" applyBorder="1" applyAlignment="1">
      <alignment horizontal="center" vertical="center"/>
    </xf>
    <xf numFmtId="6" fontId="172" fillId="24" borderId="171" xfId="0" applyNumberFormat="1" applyFont="1" applyFill="1" applyBorder="1" applyAlignment="1">
      <alignment horizontal="center" vertical="center"/>
    </xf>
    <xf numFmtId="6" fontId="172" fillId="24" borderId="105" xfId="0" applyNumberFormat="1" applyFont="1" applyFill="1" applyBorder="1" applyAlignment="1">
      <alignment horizontal="center" vertical="center"/>
    </xf>
    <xf numFmtId="6" fontId="174" fillId="28" borderId="87" xfId="0" applyNumberFormat="1" applyFont="1" applyFill="1" applyBorder="1" applyAlignment="1">
      <alignment horizontal="center" vertical="center"/>
    </xf>
    <xf numFmtId="10" fontId="174" fillId="28" borderId="197" xfId="0" applyNumberFormat="1" applyFont="1" applyFill="1" applyBorder="1" applyAlignment="1">
      <alignment horizontal="center" vertical="center"/>
    </xf>
    <xf numFmtId="6" fontId="172" fillId="24" borderId="200" xfId="0" applyNumberFormat="1" applyFont="1" applyFill="1" applyBorder="1" applyAlignment="1">
      <alignment horizontal="center" vertical="center"/>
    </xf>
    <xf numFmtId="6" fontId="172" fillId="24" borderId="86" xfId="0" applyNumberFormat="1" applyFont="1" applyFill="1" applyBorder="1" applyAlignment="1">
      <alignment horizontal="center" vertical="center"/>
    </xf>
    <xf numFmtId="6" fontId="172" fillId="24" borderId="86" xfId="0" quotePrefix="1" applyNumberFormat="1" applyFont="1" applyFill="1" applyBorder="1" applyAlignment="1">
      <alignment horizontal="center" vertical="center"/>
    </xf>
    <xf numFmtId="6" fontId="172" fillId="24" borderId="201" xfId="0" applyNumberFormat="1" applyFont="1" applyFill="1" applyBorder="1" applyAlignment="1">
      <alignment horizontal="center" vertical="center"/>
    </xf>
    <xf numFmtId="273" fontId="172" fillId="24" borderId="79" xfId="0" applyNumberFormat="1" applyFont="1" applyFill="1" applyBorder="1" applyAlignment="1">
      <alignment horizontal="center" vertical="center"/>
    </xf>
    <xf numFmtId="0" fontId="172" fillId="0" borderId="77" xfId="0" applyFont="1" applyBorder="1" applyAlignment="1">
      <alignment horizontal="center" vertical="center"/>
    </xf>
    <xf numFmtId="0" fontId="26" fillId="24" borderId="11" xfId="1346" applyFont="1" applyFill="1" applyBorder="1" applyAlignment="1">
      <alignment horizontal="center" vertical="center"/>
    </xf>
    <xf numFmtId="10" fontId="26" fillId="24" borderId="5" xfId="1346" applyNumberFormat="1" applyFont="1" applyFill="1" applyBorder="1" applyAlignment="1">
      <alignment horizontal="center" vertical="center"/>
    </xf>
    <xf numFmtId="0" fontId="198" fillId="28" borderId="142" xfId="0" applyFont="1" applyFill="1" applyBorder="1" applyAlignment="1">
      <alignment horizontal="center" vertical="center"/>
    </xf>
    <xf numFmtId="0" fontId="198" fillId="28" borderId="143" xfId="0" applyFont="1" applyFill="1" applyBorder="1" applyAlignment="1">
      <alignment horizontal="center" vertical="center"/>
    </xf>
    <xf numFmtId="8" fontId="198" fillId="28" borderId="143" xfId="0" applyNumberFormat="1" applyFont="1" applyFill="1" applyBorder="1" applyAlignment="1">
      <alignment horizontal="center" vertical="center"/>
    </xf>
    <xf numFmtId="6" fontId="203" fillId="28" borderId="144" xfId="0" applyNumberFormat="1" applyFont="1" applyFill="1" applyBorder="1" applyAlignment="1">
      <alignment horizontal="center" vertical="center"/>
    </xf>
    <xf numFmtId="0" fontId="18" fillId="28" borderId="143" xfId="1346" applyFont="1" applyFill="1" applyBorder="1" applyAlignment="1">
      <alignment horizontal="center" vertical="center"/>
    </xf>
    <xf numFmtId="0" fontId="18" fillId="28" borderId="144" xfId="1346" applyFont="1" applyFill="1" applyBorder="1" applyAlignment="1">
      <alignment horizontal="center" vertical="center"/>
    </xf>
    <xf numFmtId="0" fontId="173" fillId="25" borderId="108" xfId="1346" applyFont="1" applyFill="1" applyBorder="1" applyAlignment="1">
      <alignment horizontal="center" vertical="center"/>
    </xf>
    <xf numFmtId="0" fontId="18" fillId="24" borderId="118" xfId="1346" applyFont="1" applyFill="1" applyBorder="1" applyAlignment="1">
      <alignment horizontal="center" vertical="center"/>
    </xf>
    <xf numFmtId="0" fontId="18" fillId="24" borderId="119" xfId="1346" applyFont="1" applyFill="1" applyBorder="1" applyAlignment="1">
      <alignment horizontal="center" vertical="center"/>
    </xf>
    <xf numFmtId="0" fontId="18" fillId="24" borderId="120" xfId="1346" applyFont="1" applyFill="1" applyBorder="1" applyAlignment="1">
      <alignment horizontal="center" vertical="center"/>
    </xf>
    <xf numFmtId="10" fontId="179" fillId="25" borderId="83" xfId="0" applyNumberFormat="1" applyFont="1" applyFill="1" applyBorder="1" applyAlignment="1">
      <alignment horizontal="center" vertical="center"/>
    </xf>
    <xf numFmtId="10" fontId="179" fillId="25" borderId="58" xfId="0" applyNumberFormat="1" applyFont="1" applyFill="1" applyBorder="1" applyAlignment="1">
      <alignment horizontal="center" vertical="center"/>
    </xf>
    <xf numFmtId="0" fontId="170" fillId="28" borderId="134" xfId="0" applyFont="1" applyFill="1" applyBorder="1" applyAlignment="1">
      <alignment horizontal="center" vertical="center" wrapText="1"/>
    </xf>
    <xf numFmtId="0" fontId="170" fillId="28" borderId="130" xfId="0" applyFont="1" applyFill="1" applyBorder="1" applyAlignment="1">
      <alignment horizontal="center" vertical="center"/>
    </xf>
    <xf numFmtId="0" fontId="170" fillId="28" borderId="130" xfId="0" applyFont="1" applyFill="1" applyBorder="1" applyAlignment="1">
      <alignment horizontal="center" vertical="center" wrapText="1"/>
    </xf>
    <xf numFmtId="9" fontId="181" fillId="28" borderId="130" xfId="0" applyNumberFormat="1" applyFont="1" applyFill="1" applyBorder="1" applyAlignment="1">
      <alignment horizontal="center" vertical="center" wrapText="1"/>
    </xf>
    <xf numFmtId="49" fontId="170" fillId="28" borderId="131" xfId="0" applyNumberFormat="1" applyFont="1" applyFill="1" applyBorder="1" applyAlignment="1">
      <alignment horizontal="center" vertical="center" wrapText="1"/>
    </xf>
    <xf numFmtId="0" fontId="170" fillId="28" borderId="116" xfId="0" applyFont="1" applyFill="1" applyBorder="1" applyAlignment="1">
      <alignment horizontal="center" vertical="center" wrapText="1"/>
    </xf>
    <xf numFmtId="0" fontId="170" fillId="28" borderId="40" xfId="0" applyFont="1" applyFill="1" applyBorder="1" applyAlignment="1">
      <alignment horizontal="center" vertical="center" wrapText="1"/>
    </xf>
    <xf numFmtId="0" fontId="170" fillId="28" borderId="40" xfId="0" applyFont="1" applyFill="1" applyBorder="1" applyAlignment="1">
      <alignment horizontal="center" vertical="center"/>
    </xf>
    <xf numFmtId="9" fontId="181" fillId="28" borderId="40" xfId="0" applyNumberFormat="1" applyFont="1" applyFill="1" applyBorder="1" applyAlignment="1">
      <alignment horizontal="center" vertical="center"/>
    </xf>
    <xf numFmtId="49" fontId="170" fillId="28" borderId="117" xfId="0" applyNumberFormat="1" applyFont="1" applyFill="1" applyBorder="1" applyAlignment="1">
      <alignment horizontal="center" vertical="center"/>
    </xf>
    <xf numFmtId="9" fontId="181" fillId="28" borderId="40" xfId="0" applyNumberFormat="1" applyFont="1" applyFill="1" applyBorder="1" applyAlignment="1">
      <alignment horizontal="center" vertical="center" wrapText="1"/>
    </xf>
    <xf numFmtId="49" fontId="170" fillId="28" borderId="117" xfId="0" applyNumberFormat="1" applyFont="1" applyFill="1" applyBorder="1" applyAlignment="1">
      <alignment horizontal="center" vertical="center" wrapText="1"/>
    </xf>
    <xf numFmtId="49" fontId="172" fillId="28" borderId="117" xfId="0" applyNumberFormat="1" applyFont="1" applyFill="1" applyBorder="1" applyAlignment="1">
      <alignment horizontal="center" vertical="center" wrapText="1"/>
    </xf>
    <xf numFmtId="0" fontId="171" fillId="28" borderId="116" xfId="0" applyFont="1" applyFill="1" applyBorder="1" applyAlignment="1">
      <alignment horizontal="center" vertical="center" wrapText="1"/>
    </xf>
    <xf numFmtId="0" fontId="171" fillId="28" borderId="166" xfId="0" applyFont="1" applyFill="1" applyBorder="1" applyAlignment="1">
      <alignment horizontal="center" vertical="center" wrapText="1"/>
    </xf>
    <xf numFmtId="0" fontId="170" fillId="28" borderId="124" xfId="0" applyFont="1" applyFill="1" applyBorder="1" applyAlignment="1">
      <alignment horizontal="center" vertical="center" wrapText="1"/>
    </xf>
    <xf numFmtId="0" fontId="170" fillId="28" borderId="124" xfId="0" applyFont="1" applyFill="1" applyBorder="1" applyAlignment="1">
      <alignment horizontal="center" vertical="center"/>
    </xf>
    <xf numFmtId="9" fontId="181" fillId="28" borderId="124" xfId="0" applyNumberFormat="1" applyFont="1" applyFill="1" applyBorder="1" applyAlignment="1">
      <alignment horizontal="center" vertical="center" wrapText="1"/>
    </xf>
    <xf numFmtId="49" fontId="170" fillId="28" borderId="125" xfId="0" applyNumberFormat="1" applyFont="1" applyFill="1" applyBorder="1" applyAlignment="1">
      <alignment horizontal="center" vertical="center" wrapText="1"/>
    </xf>
    <xf numFmtId="0" fontId="179" fillId="25" borderId="102" xfId="0" applyFont="1" applyFill="1" applyBorder="1" applyAlignment="1">
      <alignment horizontal="center" vertical="center"/>
    </xf>
    <xf numFmtId="0" fontId="179" fillId="25" borderId="190" xfId="0" applyFont="1" applyFill="1" applyBorder="1" applyAlignment="1">
      <alignment horizontal="center" vertical="center" wrapText="1"/>
    </xf>
    <xf numFmtId="0" fontId="179" fillId="25" borderId="190" xfId="0" applyFont="1" applyFill="1" applyBorder="1" applyAlignment="1">
      <alignment horizontal="center" vertical="center"/>
    </xf>
    <xf numFmtId="0" fontId="178" fillId="24" borderId="93" xfId="0" quotePrefix="1" applyFont="1" applyFill="1" applyBorder="1" applyAlignment="1">
      <alignment horizontal="center" vertical="center" wrapText="1"/>
    </xf>
    <xf numFmtId="0" fontId="178" fillId="24" borderId="76" xfId="0" quotePrefix="1" applyFont="1" applyFill="1" applyBorder="1" applyAlignment="1">
      <alignment horizontal="center" vertical="center" wrapText="1"/>
    </xf>
    <xf numFmtId="277" fontId="178" fillId="24" borderId="76" xfId="0" quotePrefix="1" applyNumberFormat="1" applyFont="1" applyFill="1" applyBorder="1" applyAlignment="1">
      <alignment horizontal="center" vertical="center" wrapText="1"/>
    </xf>
    <xf numFmtId="166" fontId="178" fillId="24" borderId="76" xfId="0" quotePrefix="1" applyNumberFormat="1" applyFont="1" applyFill="1" applyBorder="1" applyAlignment="1">
      <alignment horizontal="center" vertical="center" wrapText="1"/>
    </xf>
    <xf numFmtId="165" fontId="178" fillId="24" borderId="76" xfId="0" quotePrefix="1" applyNumberFormat="1" applyFont="1" applyFill="1" applyBorder="1" applyAlignment="1">
      <alignment horizontal="center" vertical="center" wrapText="1"/>
    </xf>
    <xf numFmtId="10" fontId="178" fillId="24" borderId="76" xfId="0" quotePrefix="1" applyNumberFormat="1" applyFont="1" applyFill="1" applyBorder="1" applyAlignment="1">
      <alignment horizontal="center" vertical="center" wrapText="1"/>
    </xf>
    <xf numFmtId="3" fontId="178" fillId="24" borderId="76" xfId="0" quotePrefix="1" applyNumberFormat="1" applyFont="1" applyFill="1" applyBorder="1" applyAlignment="1">
      <alignment horizontal="center" vertical="center" wrapText="1"/>
    </xf>
    <xf numFmtId="0" fontId="178" fillId="24" borderId="95" xfId="0" quotePrefix="1" applyFont="1" applyFill="1" applyBorder="1" applyAlignment="1">
      <alignment horizontal="center" vertical="center" wrapText="1"/>
    </xf>
    <xf numFmtId="277" fontId="178" fillId="24" borderId="7" xfId="0" quotePrefix="1" applyNumberFormat="1" applyFont="1" applyFill="1" applyBorder="1" applyAlignment="1">
      <alignment horizontal="center" vertical="center" wrapText="1"/>
    </xf>
    <xf numFmtId="166" fontId="178" fillId="24" borderId="7" xfId="0" quotePrefix="1" applyNumberFormat="1" applyFont="1" applyFill="1" applyBorder="1" applyAlignment="1">
      <alignment horizontal="center" vertical="center" wrapText="1"/>
    </xf>
    <xf numFmtId="165" fontId="178" fillId="24" borderId="7" xfId="0" quotePrefix="1" applyNumberFormat="1" applyFont="1" applyFill="1" applyBorder="1" applyAlignment="1">
      <alignment horizontal="center" vertical="center" wrapText="1"/>
    </xf>
    <xf numFmtId="10" fontId="178" fillId="24" borderId="7" xfId="0" quotePrefix="1" applyNumberFormat="1" applyFont="1" applyFill="1" applyBorder="1" applyAlignment="1">
      <alignment horizontal="center" vertical="center" wrapText="1"/>
    </xf>
    <xf numFmtId="3" fontId="178" fillId="24" borderId="7" xfId="0" quotePrefix="1" applyNumberFormat="1" applyFont="1" applyFill="1" applyBorder="1" applyAlignment="1">
      <alignment horizontal="center" vertical="center" wrapText="1"/>
    </xf>
    <xf numFmtId="0" fontId="178" fillId="24" borderId="7" xfId="0" quotePrefix="1" applyFont="1" applyFill="1" applyBorder="1" applyAlignment="1">
      <alignment horizontal="center" vertical="center" wrapText="1"/>
    </xf>
    <xf numFmtId="277" fontId="99" fillId="28" borderId="89" xfId="0" applyNumberFormat="1" applyFont="1" applyFill="1" applyBorder="1" applyAlignment="1">
      <alignment horizontal="center" vertical="center" wrapText="1"/>
    </xf>
    <xf numFmtId="6" fontId="99" fillId="28" borderId="89" xfId="0" applyNumberFormat="1" applyFont="1" applyFill="1" applyBorder="1" applyAlignment="1">
      <alignment horizontal="center" vertical="center" wrapText="1"/>
    </xf>
    <xf numFmtId="10" fontId="99" fillId="28" borderId="89" xfId="0" applyNumberFormat="1" applyFont="1" applyFill="1" applyBorder="1" applyAlignment="1">
      <alignment horizontal="center" vertical="center" wrapText="1"/>
    </xf>
    <xf numFmtId="0" fontId="16" fillId="28" borderId="89" xfId="0" applyFont="1" applyFill="1" applyBorder="1"/>
    <xf numFmtId="0" fontId="178" fillId="24" borderId="0" xfId="0" applyFont="1" applyFill="1" applyAlignment="1">
      <alignment horizontal="center" vertical="center"/>
    </xf>
    <xf numFmtId="0" fontId="178" fillId="24" borderId="97" xfId="0" quotePrefix="1" applyFont="1" applyFill="1" applyBorder="1" applyAlignment="1">
      <alignment horizontal="center" vertical="center" wrapText="1"/>
    </xf>
    <xf numFmtId="0" fontId="178" fillId="24" borderId="98" xfId="0" quotePrefix="1" applyFont="1" applyFill="1" applyBorder="1" applyAlignment="1">
      <alignment horizontal="center" vertical="center" wrapText="1"/>
    </xf>
    <xf numFmtId="277" fontId="178" fillId="24" borderId="98" xfId="0" applyNumberFormat="1" applyFont="1" applyFill="1" applyBorder="1" applyAlignment="1">
      <alignment horizontal="center" vertical="center" wrapText="1"/>
    </xf>
    <xf numFmtId="6" fontId="178" fillId="24" borderId="98" xfId="0" applyNumberFormat="1" applyFont="1" applyFill="1" applyBorder="1" applyAlignment="1">
      <alignment horizontal="center" vertical="center" wrapText="1"/>
    </xf>
    <xf numFmtId="3" fontId="178" fillId="24" borderId="98" xfId="0" applyNumberFormat="1" applyFont="1" applyFill="1" applyBorder="1" applyAlignment="1">
      <alignment horizontal="center" vertical="center" wrapText="1"/>
    </xf>
    <xf numFmtId="0" fontId="178" fillId="24" borderId="99" xfId="0" applyFont="1" applyFill="1" applyBorder="1" applyAlignment="1">
      <alignment horizontal="center" vertical="center" wrapText="1"/>
    </xf>
    <xf numFmtId="277" fontId="178" fillId="24" borderId="76" xfId="0" applyNumberFormat="1" applyFont="1" applyFill="1" applyBorder="1" applyAlignment="1">
      <alignment horizontal="center" vertical="center" wrapText="1"/>
    </xf>
    <xf numFmtId="6" fontId="178" fillId="24" borderId="76" xfId="0" applyNumberFormat="1" applyFont="1" applyFill="1" applyBorder="1" applyAlignment="1">
      <alignment horizontal="center" vertical="center" wrapText="1"/>
    </xf>
    <xf numFmtId="1" fontId="178" fillId="24" borderId="76" xfId="0" quotePrefix="1" applyNumberFormat="1" applyFont="1" applyFill="1" applyBorder="1" applyAlignment="1">
      <alignment horizontal="center" vertical="center" wrapText="1"/>
    </xf>
    <xf numFmtId="3" fontId="178" fillId="24" borderId="76" xfId="0" applyNumberFormat="1" applyFont="1" applyFill="1" applyBorder="1" applyAlignment="1">
      <alignment horizontal="center" vertical="center" wrapText="1"/>
    </xf>
    <xf numFmtId="0" fontId="178" fillId="24" borderId="94" xfId="0" applyFont="1" applyFill="1" applyBorder="1" applyAlignment="1">
      <alignment horizontal="center" vertical="center" wrapText="1"/>
    </xf>
    <xf numFmtId="0" fontId="178" fillId="24" borderId="100" xfId="0" quotePrefix="1" applyFont="1" applyFill="1" applyBorder="1" applyAlignment="1">
      <alignment horizontal="center" vertical="center" wrapText="1"/>
    </xf>
    <xf numFmtId="6" fontId="99" fillId="28" borderId="180" xfId="0" applyNumberFormat="1" applyFont="1" applyFill="1" applyBorder="1" applyAlignment="1">
      <alignment horizontal="center" vertical="center" wrapText="1"/>
    </xf>
    <xf numFmtId="1" fontId="99" fillId="28" borderId="180" xfId="0" quotePrefix="1" applyNumberFormat="1" applyFont="1" applyFill="1" applyBorder="1" applyAlignment="1">
      <alignment horizontal="center" vertical="center" wrapText="1"/>
    </xf>
    <xf numFmtId="3" fontId="99" fillId="28" borderId="180" xfId="0" quotePrefix="1" applyNumberFormat="1" applyFont="1" applyFill="1" applyBorder="1" applyAlignment="1">
      <alignment horizontal="center" vertical="center" wrapText="1"/>
    </xf>
    <xf numFmtId="3" fontId="99" fillId="28" borderId="180" xfId="0" applyNumberFormat="1" applyFont="1" applyFill="1" applyBorder="1" applyAlignment="1">
      <alignment horizontal="center" vertical="center" wrapText="1"/>
    </xf>
    <xf numFmtId="0" fontId="99" fillId="28" borderId="181" xfId="0" applyFont="1" applyFill="1" applyBorder="1" applyAlignment="1">
      <alignment horizontal="center" vertical="center" wrapText="1"/>
    </xf>
    <xf numFmtId="0" fontId="178" fillId="24" borderId="192" xfId="0" applyFont="1" applyFill="1" applyBorder="1" applyAlignment="1">
      <alignment horizontal="center" vertical="center" wrapText="1"/>
    </xf>
    <xf numFmtId="0" fontId="179" fillId="25" borderId="88" xfId="0" applyFont="1" applyFill="1" applyBorder="1" applyAlignment="1">
      <alignment horizontal="center" vertical="center"/>
    </xf>
    <xf numFmtId="0" fontId="179" fillId="25" borderId="89" xfId="0" applyFont="1" applyFill="1" applyBorder="1" applyAlignment="1">
      <alignment horizontal="center" vertical="center" wrapText="1"/>
    </xf>
    <xf numFmtId="0" fontId="179" fillId="25" borderId="89" xfId="0" applyFont="1" applyFill="1" applyBorder="1" applyAlignment="1">
      <alignment horizontal="center" vertical="center"/>
    </xf>
    <xf numFmtId="0" fontId="179" fillId="25" borderId="90" xfId="0" applyFont="1" applyFill="1" applyBorder="1" applyAlignment="1">
      <alignment horizontal="center" vertical="center" wrapText="1"/>
    </xf>
    <xf numFmtId="0" fontId="178" fillId="24" borderId="180" xfId="0" quotePrefix="1" applyFont="1" applyFill="1" applyBorder="1" applyAlignment="1">
      <alignment horizontal="center" vertical="center" wrapText="1"/>
    </xf>
    <xf numFmtId="0" fontId="178" fillId="24" borderId="24" xfId="0" quotePrefix="1" applyFont="1" applyFill="1" applyBorder="1" applyAlignment="1">
      <alignment horizontal="center" vertical="center" wrapText="1"/>
    </xf>
    <xf numFmtId="277" fontId="178" fillId="24" borderId="24" xfId="0" applyNumberFormat="1" applyFont="1" applyFill="1" applyBorder="1" applyAlignment="1">
      <alignment horizontal="center" vertical="center" wrapText="1"/>
    </xf>
    <xf numFmtId="6" fontId="178" fillId="24" borderId="24" xfId="0" applyNumberFormat="1" applyFont="1" applyFill="1" applyBorder="1" applyAlignment="1">
      <alignment horizontal="center" vertical="center" wrapText="1"/>
    </xf>
    <xf numFmtId="1" fontId="178" fillId="24" borderId="24" xfId="0" quotePrefix="1" applyNumberFormat="1" applyFont="1" applyFill="1" applyBorder="1" applyAlignment="1">
      <alignment horizontal="center" vertical="center" wrapText="1"/>
    </xf>
    <xf numFmtId="3" fontId="178" fillId="24" borderId="24" xfId="0" quotePrefix="1" applyNumberFormat="1" applyFont="1" applyFill="1" applyBorder="1" applyAlignment="1">
      <alignment horizontal="center" vertical="center" wrapText="1"/>
    </xf>
    <xf numFmtId="3" fontId="178" fillId="24" borderId="24" xfId="0" applyNumberFormat="1" applyFont="1" applyFill="1" applyBorder="1" applyAlignment="1">
      <alignment horizontal="center" vertical="center" wrapText="1"/>
    </xf>
    <xf numFmtId="0" fontId="178" fillId="24" borderId="202" xfId="0" applyFont="1" applyFill="1" applyBorder="1" applyAlignment="1">
      <alignment horizontal="center" vertical="center"/>
    </xf>
    <xf numFmtId="10" fontId="178" fillId="24" borderId="203" xfId="0" applyNumberFormat="1" applyFont="1" applyFill="1" applyBorder="1" applyAlignment="1">
      <alignment horizontal="center" vertical="center"/>
    </xf>
    <xf numFmtId="0" fontId="178" fillId="24" borderId="203" xfId="0" applyFont="1" applyFill="1" applyBorder="1" applyAlignment="1">
      <alignment horizontal="center" vertical="center"/>
    </xf>
    <xf numFmtId="0" fontId="178" fillId="24" borderId="102" xfId="0" applyFont="1" applyFill="1" applyBorder="1" applyAlignment="1">
      <alignment horizontal="center" vertical="center"/>
    </xf>
    <xf numFmtId="0" fontId="178" fillId="24" borderId="103" xfId="0" applyFont="1" applyFill="1" applyBorder="1" applyAlignment="1">
      <alignment horizontal="center" vertical="center"/>
    </xf>
    <xf numFmtId="0" fontId="179" fillId="25" borderId="88" xfId="1346" applyFont="1" applyFill="1" applyBorder="1" applyAlignment="1">
      <alignment horizontal="center" vertical="center" wrapText="1"/>
    </xf>
    <xf numFmtId="0" fontId="179" fillId="25" borderId="90" xfId="1346" applyFont="1" applyFill="1" applyBorder="1" applyAlignment="1">
      <alignment horizontal="center" vertical="center" wrapText="1"/>
    </xf>
    <xf numFmtId="6" fontId="178" fillId="24" borderId="203" xfId="0" applyNumberFormat="1" applyFont="1" applyFill="1" applyBorder="1" applyAlignment="1">
      <alignment horizontal="center" vertical="center"/>
    </xf>
    <xf numFmtId="0" fontId="178" fillId="24" borderId="102" xfId="1346" applyFont="1" applyFill="1" applyBorder="1" applyAlignment="1">
      <alignment horizontal="center" vertical="center"/>
    </xf>
    <xf numFmtId="0" fontId="178" fillId="24" borderId="103" xfId="1346" applyFont="1" applyFill="1" applyBorder="1" applyAlignment="1">
      <alignment horizontal="center" vertical="center"/>
    </xf>
    <xf numFmtId="0" fontId="178" fillId="24" borderId="91" xfId="1346" applyFont="1" applyFill="1" applyBorder="1" applyAlignment="1">
      <alignment horizontal="center" vertical="center"/>
    </xf>
    <xf numFmtId="8" fontId="178" fillId="24" borderId="92" xfId="1346" applyNumberFormat="1" applyFont="1" applyFill="1" applyBorder="1" applyAlignment="1">
      <alignment horizontal="center" vertical="center"/>
    </xf>
    <xf numFmtId="0" fontId="178" fillId="24" borderId="202" xfId="1346" applyFont="1" applyFill="1" applyBorder="1" applyAlignment="1">
      <alignment horizontal="center" vertical="center"/>
    </xf>
    <xf numFmtId="8" fontId="178" fillId="24" borderId="203" xfId="1346" applyNumberFormat="1" applyFont="1" applyFill="1" applyBorder="1" applyAlignment="1">
      <alignment horizontal="center" vertical="center"/>
    </xf>
    <xf numFmtId="6" fontId="178" fillId="24" borderId="203" xfId="1346" applyNumberFormat="1" applyFont="1" applyFill="1" applyBorder="1" applyAlignment="1">
      <alignment horizontal="center" vertical="center"/>
    </xf>
    <xf numFmtId="167" fontId="178" fillId="24" borderId="203" xfId="1346" applyNumberFormat="1" applyFont="1" applyFill="1" applyBorder="1" applyAlignment="1">
      <alignment horizontal="center" vertical="center"/>
    </xf>
    <xf numFmtId="0" fontId="170" fillId="24" borderId="203" xfId="0" applyFont="1" applyFill="1" applyBorder="1" applyAlignment="1">
      <alignment horizontal="center" vertical="center"/>
    </xf>
    <xf numFmtId="0" fontId="178" fillId="24" borderId="190" xfId="0" applyFont="1" applyFill="1" applyBorder="1" applyAlignment="1">
      <alignment horizontal="center" vertical="center"/>
    </xf>
    <xf numFmtId="0" fontId="195" fillId="28" borderId="0" xfId="0" applyFont="1" applyFill="1" applyAlignment="1">
      <alignment horizontal="center" vertical="center"/>
    </xf>
    <xf numFmtId="0" fontId="0" fillId="24" borderId="95" xfId="0" applyFill="1" applyBorder="1" applyAlignment="1">
      <alignment horizontal="center" vertical="center"/>
    </xf>
    <xf numFmtId="6" fontId="0" fillId="24" borderId="96" xfId="0" applyNumberFormat="1" applyFill="1" applyBorder="1" applyAlignment="1">
      <alignment horizontal="center" vertical="center"/>
    </xf>
    <xf numFmtId="0" fontId="0" fillId="24" borderId="100" xfId="0" applyFill="1" applyBorder="1" applyAlignment="1">
      <alignment horizontal="center" vertical="center"/>
    </xf>
    <xf numFmtId="0" fontId="0" fillId="24" borderId="24" xfId="0" applyFill="1" applyBorder="1" applyAlignment="1">
      <alignment horizontal="center" vertical="center"/>
    </xf>
    <xf numFmtId="6" fontId="0" fillId="24" borderId="24" xfId="0" applyNumberFormat="1" applyFill="1" applyBorder="1" applyAlignment="1">
      <alignment horizontal="center" vertical="center"/>
    </xf>
    <xf numFmtId="6" fontId="0" fillId="24" borderId="192" xfId="0" applyNumberFormat="1" applyFill="1" applyBorder="1" applyAlignment="1">
      <alignment horizontal="center" vertical="center"/>
    </xf>
    <xf numFmtId="0" fontId="195" fillId="28" borderId="204" xfId="0" applyFont="1" applyFill="1" applyBorder="1" applyAlignment="1">
      <alignment horizontal="center" vertical="center"/>
    </xf>
    <xf numFmtId="6" fontId="195" fillId="28" borderId="205" xfId="0" applyNumberFormat="1" applyFont="1" applyFill="1" applyBorder="1" applyAlignment="1">
      <alignment horizontal="center" vertical="center"/>
    </xf>
    <xf numFmtId="0" fontId="195" fillId="28" borderId="190" xfId="0" applyFont="1" applyFill="1" applyBorder="1" applyAlignment="1">
      <alignment horizontal="center" vertical="center"/>
    </xf>
    <xf numFmtId="0" fontId="0" fillId="24" borderId="93" xfId="0" applyFill="1" applyBorder="1" applyAlignment="1">
      <alignment horizontal="center" vertical="center"/>
    </xf>
    <xf numFmtId="0" fontId="0" fillId="24" borderId="76" xfId="0" applyFill="1" applyBorder="1" applyAlignment="1">
      <alignment horizontal="center" vertical="center"/>
    </xf>
    <xf numFmtId="6" fontId="0" fillId="24" borderId="76" xfId="0" applyNumberFormat="1" applyFill="1" applyBorder="1" applyAlignment="1">
      <alignment horizontal="center" vertical="center"/>
    </xf>
    <xf numFmtId="6" fontId="0" fillId="24" borderId="94" xfId="0" applyNumberFormat="1" applyFill="1" applyBorder="1" applyAlignment="1">
      <alignment horizontal="center" vertical="center"/>
    </xf>
    <xf numFmtId="0" fontId="196" fillId="25" borderId="206" xfId="0" applyFont="1" applyFill="1" applyBorder="1" applyAlignment="1">
      <alignment horizontal="center" vertical="center"/>
    </xf>
    <xf numFmtId="0" fontId="196" fillId="25" borderId="207" xfId="0" applyFont="1" applyFill="1" applyBorder="1" applyAlignment="1">
      <alignment horizontal="center" vertical="center"/>
    </xf>
    <xf numFmtId="6" fontId="196" fillId="25" borderId="207" xfId="0" applyNumberFormat="1" applyFont="1" applyFill="1" applyBorder="1" applyAlignment="1">
      <alignment horizontal="center" vertical="center"/>
    </xf>
    <xf numFmtId="6" fontId="196" fillId="25" borderId="208" xfId="0" applyNumberFormat="1" applyFont="1" applyFill="1" applyBorder="1" applyAlignment="1">
      <alignment horizontal="center" vertical="center"/>
    </xf>
    <xf numFmtId="0" fontId="195" fillId="28" borderId="102" xfId="0" applyFont="1" applyFill="1" applyBorder="1" applyAlignment="1">
      <alignment horizontal="center" vertical="center"/>
    </xf>
    <xf numFmtId="6" fontId="195" fillId="28" borderId="190" xfId="0" applyNumberFormat="1" applyFont="1" applyFill="1" applyBorder="1" applyAlignment="1">
      <alignment horizontal="center" vertical="center"/>
    </xf>
    <xf numFmtId="6" fontId="195" fillId="28" borderId="103" xfId="0" applyNumberFormat="1" applyFont="1" applyFill="1" applyBorder="1" applyAlignment="1">
      <alignment horizontal="center" vertical="center"/>
    </xf>
    <xf numFmtId="0" fontId="0" fillId="24" borderId="209" xfId="0" applyFill="1" applyBorder="1" applyAlignment="1">
      <alignment horizontal="center" vertical="center"/>
    </xf>
    <xf numFmtId="0" fontId="0" fillId="24" borderId="160" xfId="0" applyFill="1" applyBorder="1" applyAlignment="1">
      <alignment horizontal="center" vertical="center"/>
    </xf>
    <xf numFmtId="6" fontId="0" fillId="24" borderId="160" xfId="0" applyNumberFormat="1" applyFill="1" applyBorder="1" applyAlignment="1">
      <alignment horizontal="center" vertical="center"/>
    </xf>
    <xf numFmtId="6" fontId="0" fillId="24" borderId="210" xfId="0" applyNumberFormat="1" applyFill="1" applyBorder="1" applyAlignment="1">
      <alignment horizontal="center" vertical="center"/>
    </xf>
    <xf numFmtId="0" fontId="195" fillId="28" borderId="202" xfId="0" applyFont="1" applyFill="1" applyBorder="1" applyAlignment="1">
      <alignment horizontal="center" vertical="center"/>
    </xf>
    <xf numFmtId="6" fontId="195" fillId="28" borderId="0" xfId="0" applyNumberFormat="1" applyFont="1" applyFill="1" applyAlignment="1">
      <alignment horizontal="center" vertical="center"/>
    </xf>
    <xf numFmtId="6" fontId="195" fillId="28" borderId="203" xfId="0" applyNumberFormat="1" applyFont="1" applyFill="1" applyBorder="1" applyAlignment="1">
      <alignment horizontal="center" vertical="center"/>
    </xf>
    <xf numFmtId="0" fontId="170" fillId="24" borderId="190" xfId="0" applyFont="1" applyFill="1" applyBorder="1" applyAlignment="1">
      <alignment horizontal="center" vertical="center"/>
    </xf>
    <xf numFmtId="0" fontId="170" fillId="24" borderId="103" xfId="0" applyFont="1" applyFill="1" applyBorder="1" applyAlignment="1">
      <alignment horizontal="center" vertical="center"/>
    </xf>
    <xf numFmtId="4" fontId="178" fillId="24" borderId="76" xfId="0" quotePrefix="1" applyNumberFormat="1" applyFont="1" applyFill="1" applyBorder="1" applyAlignment="1">
      <alignment horizontal="center" vertical="center" wrapText="1"/>
    </xf>
    <xf numFmtId="6" fontId="178" fillId="24" borderId="76" xfId="0" quotePrefix="1" applyNumberFormat="1" applyFont="1" applyFill="1" applyBorder="1" applyAlignment="1">
      <alignment horizontal="center" vertical="center" wrapText="1"/>
    </xf>
    <xf numFmtId="0" fontId="177" fillId="28" borderId="93" xfId="0" quotePrefix="1" applyFont="1" applyFill="1" applyBorder="1" applyAlignment="1">
      <alignment horizontal="center" vertical="center" wrapText="1"/>
    </xf>
    <xf numFmtId="0" fontId="177" fillId="28" borderId="76" xfId="0" quotePrefix="1" applyFont="1" applyFill="1" applyBorder="1" applyAlignment="1">
      <alignment horizontal="center" vertical="center" wrapText="1"/>
    </xf>
    <xf numFmtId="277" fontId="177" fillId="28" borderId="76" xfId="0" quotePrefix="1" applyNumberFormat="1" applyFont="1" applyFill="1" applyBorder="1" applyAlignment="1">
      <alignment horizontal="center" vertical="center" wrapText="1"/>
    </xf>
    <xf numFmtId="166" fontId="177" fillId="28" borderId="76" xfId="0" quotePrefix="1" applyNumberFormat="1" applyFont="1" applyFill="1" applyBorder="1" applyAlignment="1">
      <alignment horizontal="center" vertical="center" wrapText="1"/>
    </xf>
    <xf numFmtId="4" fontId="177" fillId="28" borderId="76" xfId="0" quotePrefix="1" applyNumberFormat="1" applyFont="1" applyFill="1" applyBorder="1" applyAlignment="1">
      <alignment horizontal="center" vertical="center" wrapText="1"/>
    </xf>
    <xf numFmtId="165" fontId="177" fillId="28" borderId="76" xfId="0" quotePrefix="1" applyNumberFormat="1" applyFont="1" applyFill="1" applyBorder="1" applyAlignment="1">
      <alignment horizontal="center" vertical="center" wrapText="1"/>
    </xf>
    <xf numFmtId="10" fontId="177" fillId="28" borderId="76" xfId="0" quotePrefix="1" applyNumberFormat="1" applyFont="1" applyFill="1" applyBorder="1" applyAlignment="1">
      <alignment horizontal="center" vertical="center" wrapText="1"/>
    </xf>
    <xf numFmtId="6" fontId="177" fillId="28" borderId="76" xfId="0" quotePrefix="1" applyNumberFormat="1" applyFont="1" applyFill="1" applyBorder="1" applyAlignment="1">
      <alignment horizontal="center" vertical="center" wrapText="1"/>
    </xf>
    <xf numFmtId="0" fontId="179" fillId="25" borderId="190" xfId="0" quotePrefix="1" applyFont="1" applyFill="1" applyBorder="1" applyAlignment="1">
      <alignment horizontal="center" vertical="center" wrapText="1"/>
    </xf>
    <xf numFmtId="277" fontId="178" fillId="24" borderId="98" xfId="0" quotePrefix="1" applyNumberFormat="1" applyFont="1" applyFill="1" applyBorder="1" applyAlignment="1">
      <alignment horizontal="center" vertical="center" wrapText="1"/>
    </xf>
    <xf numFmtId="166" fontId="178" fillId="24" borderId="98" xfId="0" quotePrefix="1" applyNumberFormat="1" applyFont="1" applyFill="1" applyBorder="1" applyAlignment="1">
      <alignment horizontal="center" vertical="center" wrapText="1"/>
    </xf>
    <xf numFmtId="4" fontId="178" fillId="24" borderId="98" xfId="0" quotePrefix="1" applyNumberFormat="1" applyFont="1" applyFill="1" applyBorder="1" applyAlignment="1">
      <alignment horizontal="center" vertical="center" wrapText="1"/>
    </xf>
    <xf numFmtId="165" fontId="178" fillId="24" borderId="98" xfId="0" quotePrefix="1" applyNumberFormat="1" applyFont="1" applyFill="1" applyBorder="1" applyAlignment="1">
      <alignment horizontal="center" vertical="center" wrapText="1"/>
    </xf>
    <xf numFmtId="10" fontId="178" fillId="24" borderId="98" xfId="0" quotePrefix="1" applyNumberFormat="1" applyFont="1" applyFill="1" applyBorder="1" applyAlignment="1">
      <alignment horizontal="center" vertical="center" wrapText="1"/>
    </xf>
    <xf numFmtId="6" fontId="178" fillId="24" borderId="98" xfId="0" quotePrefix="1" applyNumberFormat="1" applyFont="1" applyFill="1" applyBorder="1" applyAlignment="1">
      <alignment horizontal="center" vertical="center" wrapText="1"/>
    </xf>
    <xf numFmtId="0" fontId="179" fillId="25" borderId="102" xfId="0" quotePrefix="1" applyFont="1" applyFill="1" applyBorder="1" applyAlignment="1">
      <alignment horizontal="center" vertical="center" wrapText="1"/>
    </xf>
    <xf numFmtId="277" fontId="179" fillId="25" borderId="190" xfId="0" quotePrefix="1" applyNumberFormat="1" applyFont="1" applyFill="1" applyBorder="1" applyAlignment="1">
      <alignment horizontal="center" vertical="center" wrapText="1"/>
    </xf>
    <xf numFmtId="166" fontId="179" fillId="25" borderId="190" xfId="0" quotePrefix="1" applyNumberFormat="1" applyFont="1" applyFill="1" applyBorder="1" applyAlignment="1">
      <alignment horizontal="center" vertical="center" wrapText="1"/>
    </xf>
    <xf numFmtId="4" fontId="179" fillId="25" borderId="190" xfId="0" quotePrefix="1" applyNumberFormat="1" applyFont="1" applyFill="1" applyBorder="1" applyAlignment="1">
      <alignment horizontal="center" vertical="center" wrapText="1"/>
    </xf>
    <xf numFmtId="165" fontId="179" fillId="25" borderId="190" xfId="0" quotePrefix="1" applyNumberFormat="1" applyFont="1" applyFill="1" applyBorder="1" applyAlignment="1">
      <alignment horizontal="center" vertical="center" wrapText="1"/>
    </xf>
    <xf numFmtId="10" fontId="179" fillId="25" borderId="190" xfId="0" quotePrefix="1" applyNumberFormat="1" applyFont="1" applyFill="1" applyBorder="1" applyAlignment="1">
      <alignment horizontal="center" vertical="center" wrapText="1"/>
    </xf>
    <xf numFmtId="6" fontId="179" fillId="25" borderId="190" xfId="0" quotePrefix="1" applyNumberFormat="1" applyFont="1" applyFill="1" applyBorder="1" applyAlignment="1">
      <alignment horizontal="center" vertical="center" wrapText="1"/>
    </xf>
    <xf numFmtId="0" fontId="178" fillId="24" borderId="179" xfId="0" quotePrefix="1" applyFont="1" applyFill="1" applyBorder="1" applyAlignment="1">
      <alignment horizontal="center" vertical="center" wrapText="1"/>
    </xf>
    <xf numFmtId="277" fontId="178" fillId="24" borderId="180" xfId="0" quotePrefix="1" applyNumberFormat="1" applyFont="1" applyFill="1" applyBorder="1" applyAlignment="1">
      <alignment horizontal="center" vertical="center" wrapText="1"/>
    </xf>
    <xf numFmtId="166" fontId="178" fillId="24" borderId="180" xfId="0" quotePrefix="1" applyNumberFormat="1" applyFont="1" applyFill="1" applyBorder="1" applyAlignment="1">
      <alignment horizontal="center" vertical="center" wrapText="1"/>
    </xf>
    <xf numFmtId="4" fontId="178" fillId="24" borderId="180" xfId="0" quotePrefix="1" applyNumberFormat="1" applyFont="1" applyFill="1" applyBorder="1" applyAlignment="1">
      <alignment horizontal="center" vertical="center" wrapText="1"/>
    </xf>
    <xf numFmtId="165" fontId="178" fillId="24" borderId="180" xfId="0" quotePrefix="1" applyNumberFormat="1" applyFont="1" applyFill="1" applyBorder="1" applyAlignment="1">
      <alignment horizontal="center" vertical="center" wrapText="1"/>
    </xf>
    <xf numFmtId="10" fontId="178" fillId="24" borderId="180" xfId="0" quotePrefix="1" applyNumberFormat="1" applyFont="1" applyFill="1" applyBorder="1" applyAlignment="1">
      <alignment horizontal="center" vertical="center" wrapText="1"/>
    </xf>
    <xf numFmtId="6" fontId="178" fillId="24" borderId="180" xfId="0" quotePrefix="1" applyNumberFormat="1" applyFont="1" applyFill="1" applyBorder="1" applyAlignment="1">
      <alignment horizontal="center" vertical="center" wrapText="1"/>
    </xf>
    <xf numFmtId="0" fontId="178" fillId="24" borderId="91" xfId="0" applyFont="1" applyFill="1" applyBorder="1" applyAlignment="1">
      <alignment horizontal="center" vertical="center"/>
    </xf>
    <xf numFmtId="1" fontId="172" fillId="24" borderId="130" xfId="21" applyNumberFormat="1" applyFont="1" applyFill="1" applyBorder="1" applyAlignment="1">
      <alignment horizontal="center" vertical="center"/>
    </xf>
    <xf numFmtId="6" fontId="172" fillId="24" borderId="130" xfId="0" applyNumberFormat="1" applyFont="1" applyFill="1" applyBorder="1" applyAlignment="1">
      <alignment horizontal="center" vertical="center"/>
    </xf>
    <xf numFmtId="6" fontId="172" fillId="24" borderId="131" xfId="0" applyNumberFormat="1" applyFont="1" applyFill="1" applyBorder="1" applyAlignment="1">
      <alignment horizontal="center" vertical="center"/>
    </xf>
    <xf numFmtId="1" fontId="172" fillId="24" borderId="40" xfId="21" applyNumberFormat="1" applyFont="1" applyFill="1" applyBorder="1" applyAlignment="1">
      <alignment horizontal="center" vertical="center"/>
    </xf>
    <xf numFmtId="6" fontId="172" fillId="24" borderId="40" xfId="0" applyNumberFormat="1" applyFont="1" applyFill="1" applyBorder="1" applyAlignment="1">
      <alignment horizontal="center" vertical="center"/>
    </xf>
    <xf numFmtId="1" fontId="172" fillId="24" borderId="124" xfId="21" applyNumberFormat="1" applyFont="1" applyFill="1" applyBorder="1" applyAlignment="1">
      <alignment horizontal="center" vertical="center"/>
    </xf>
    <xf numFmtId="6" fontId="172" fillId="24" borderId="124" xfId="0" applyNumberFormat="1" applyFont="1" applyFill="1" applyBorder="1" applyAlignment="1">
      <alignment horizontal="center" vertical="center"/>
    </xf>
    <xf numFmtId="6" fontId="172" fillId="24" borderId="125" xfId="0" applyNumberFormat="1" applyFont="1" applyFill="1" applyBorder="1" applyAlignment="1">
      <alignment horizontal="center" vertical="center"/>
    </xf>
    <xf numFmtId="6" fontId="172" fillId="24" borderId="64" xfId="0" quotePrefix="1" applyNumberFormat="1" applyFont="1" applyFill="1" applyBorder="1" applyAlignment="1">
      <alignment horizontal="center" vertical="center"/>
    </xf>
    <xf numFmtId="9" fontId="170" fillId="0" borderId="0" xfId="0" applyNumberFormat="1" applyFont="1" applyAlignment="1">
      <alignment horizontal="center" vertical="center"/>
    </xf>
    <xf numFmtId="9" fontId="171" fillId="0" borderId="0" xfId="0" applyNumberFormat="1" applyFont="1" applyAlignment="1">
      <alignment horizontal="center" vertical="center"/>
    </xf>
    <xf numFmtId="6" fontId="178" fillId="24" borderId="103" xfId="0" applyNumberFormat="1" applyFont="1" applyFill="1" applyBorder="1" applyAlignment="1">
      <alignment horizontal="center" vertical="center"/>
    </xf>
    <xf numFmtId="3" fontId="170" fillId="0" borderId="0" xfId="0" applyNumberFormat="1" applyFont="1" applyAlignment="1">
      <alignment horizontal="center" vertical="center"/>
    </xf>
    <xf numFmtId="3" fontId="171" fillId="0" borderId="0" xfId="0" applyNumberFormat="1" applyFont="1" applyAlignment="1">
      <alignment horizontal="center" vertical="center"/>
    </xf>
    <xf numFmtId="290" fontId="172" fillId="24" borderId="79" xfId="0" applyNumberFormat="1" applyFont="1" applyFill="1" applyBorder="1" applyAlignment="1">
      <alignment horizontal="center" vertical="center"/>
    </xf>
    <xf numFmtId="0" fontId="172" fillId="29" borderId="0" xfId="0" applyFont="1" applyFill="1" applyAlignment="1">
      <alignment horizontal="center" vertical="center"/>
    </xf>
    <xf numFmtId="10" fontId="26" fillId="29" borderId="0" xfId="0" applyNumberFormat="1" applyFont="1" applyFill="1" applyAlignment="1">
      <alignment horizontal="center" vertical="center"/>
    </xf>
    <xf numFmtId="0" fontId="173" fillId="29" borderId="0" xfId="0" applyFont="1" applyFill="1" applyAlignment="1">
      <alignment horizontal="center" vertical="center"/>
    </xf>
    <xf numFmtId="0" fontId="18" fillId="29" borderId="0" xfId="0" applyFont="1" applyFill="1" applyAlignment="1">
      <alignment horizontal="center" vertical="center"/>
    </xf>
    <xf numFmtId="5" fontId="18" fillId="29" borderId="0" xfId="21" applyNumberFormat="1" applyFont="1" applyFill="1" applyBorder="1" applyAlignment="1">
      <alignment horizontal="center" vertical="center"/>
    </xf>
    <xf numFmtId="165" fontId="18" fillId="29" borderId="0" xfId="21" applyNumberFormat="1" applyFont="1" applyFill="1" applyBorder="1" applyAlignment="1">
      <alignment horizontal="center" vertical="center"/>
    </xf>
    <xf numFmtId="284" fontId="18" fillId="29" borderId="0" xfId="0" applyNumberFormat="1" applyFont="1" applyFill="1" applyAlignment="1">
      <alignment horizontal="center" vertical="center"/>
    </xf>
    <xf numFmtId="257" fontId="18" fillId="29" borderId="0" xfId="0" applyNumberFormat="1" applyFont="1" applyFill="1" applyAlignment="1">
      <alignment horizontal="center" vertical="center"/>
    </xf>
    <xf numFmtId="5" fontId="26" fillId="29" borderId="0" xfId="21" applyNumberFormat="1" applyFont="1" applyFill="1" applyBorder="1" applyAlignment="1">
      <alignment horizontal="center" vertical="center"/>
    </xf>
    <xf numFmtId="0" fontId="174" fillId="29" borderId="0" xfId="0" applyFont="1" applyFill="1" applyAlignment="1">
      <alignment horizontal="center" vertical="center"/>
    </xf>
    <xf numFmtId="276" fontId="26" fillId="28" borderId="175" xfId="0" applyNumberFormat="1" applyFont="1" applyFill="1" applyBorder="1" applyAlignment="1">
      <alignment horizontal="center" vertical="center"/>
    </xf>
    <xf numFmtId="6" fontId="26" fillId="28" borderId="176" xfId="1" applyNumberFormat="1" applyFont="1" applyFill="1" applyBorder="1" applyAlignment="1">
      <alignment horizontal="center" vertical="center"/>
    </xf>
    <xf numFmtId="5" fontId="26" fillId="28" borderId="176" xfId="0" applyNumberFormat="1" applyFont="1" applyFill="1" applyBorder="1" applyAlignment="1">
      <alignment horizontal="center" vertical="center"/>
    </xf>
    <xf numFmtId="6" fontId="26" fillId="28" borderId="211" xfId="0" applyNumberFormat="1" applyFont="1" applyFill="1" applyBorder="1" applyAlignment="1">
      <alignment horizontal="center" vertical="center"/>
    </xf>
    <xf numFmtId="268" fontId="26" fillId="24" borderId="71" xfId="0" applyNumberFormat="1" applyFont="1" applyFill="1" applyBorder="1" applyAlignment="1">
      <alignment horizontal="center" vertical="center"/>
    </xf>
    <xf numFmtId="6" fontId="26" fillId="24" borderId="71" xfId="1" applyNumberFormat="1" applyFont="1" applyFill="1" applyBorder="1" applyAlignment="1">
      <alignment horizontal="center" vertical="center"/>
    </xf>
    <xf numFmtId="6" fontId="26" fillId="24" borderId="71" xfId="0" applyNumberFormat="1" applyFont="1" applyFill="1" applyBorder="1" applyAlignment="1">
      <alignment horizontal="center" vertical="center"/>
    </xf>
    <xf numFmtId="6" fontId="26" fillId="28" borderId="183" xfId="0" applyNumberFormat="1" applyFont="1" applyFill="1" applyBorder="1" applyAlignment="1">
      <alignment horizontal="center" vertical="center"/>
    </xf>
    <xf numFmtId="6" fontId="18" fillId="24" borderId="70" xfId="0" applyNumberFormat="1" applyFont="1" applyFill="1" applyBorder="1" applyAlignment="1">
      <alignment horizontal="center" vertical="center"/>
    </xf>
    <xf numFmtId="6" fontId="18" fillId="28" borderId="67" xfId="0" applyNumberFormat="1" applyFont="1" applyFill="1" applyBorder="1" applyAlignment="1">
      <alignment horizontal="center" vertical="center"/>
    </xf>
    <xf numFmtId="6" fontId="18" fillId="28" borderId="64" xfId="0" applyNumberFormat="1" applyFont="1" applyFill="1" applyBorder="1" applyAlignment="1">
      <alignment horizontal="center" vertical="center"/>
    </xf>
    <xf numFmtId="6" fontId="18" fillId="28" borderId="109" xfId="0" applyNumberFormat="1" applyFont="1" applyFill="1" applyBorder="1" applyAlignment="1">
      <alignment horizontal="center" vertical="center"/>
    </xf>
    <xf numFmtId="6" fontId="18" fillId="24" borderId="212" xfId="0" applyNumberFormat="1" applyFont="1" applyFill="1" applyBorder="1" applyAlignment="1">
      <alignment horizontal="center" vertical="center"/>
    </xf>
    <xf numFmtId="0" fontId="18" fillId="24" borderId="77" xfId="0" applyFont="1" applyFill="1" applyBorder="1" applyAlignment="1">
      <alignment horizontal="center" vertical="center"/>
    </xf>
    <xf numFmtId="6" fontId="26" fillId="28" borderId="11" xfId="0" applyNumberFormat="1" applyFont="1" applyFill="1" applyBorder="1" applyAlignment="1">
      <alignment horizontal="center" vertical="center"/>
    </xf>
    <xf numFmtId="6" fontId="18" fillId="24" borderId="11" xfId="0" applyNumberFormat="1" applyFont="1" applyFill="1" applyBorder="1" applyAlignment="1">
      <alignment horizontal="center" vertical="center"/>
    </xf>
    <xf numFmtId="6" fontId="18" fillId="3" borderId="212" xfId="0" applyNumberFormat="1" applyFont="1" applyFill="1" applyBorder="1" applyAlignment="1">
      <alignment horizontal="center" vertical="center"/>
    </xf>
    <xf numFmtId="6" fontId="18" fillId="3" borderId="64" xfId="0" applyNumberFormat="1" applyFont="1" applyFill="1" applyBorder="1" applyAlignment="1">
      <alignment horizontal="center" vertical="center"/>
    </xf>
    <xf numFmtId="0" fontId="18" fillId="24" borderId="197" xfId="0" applyFont="1" applyFill="1" applyBorder="1" applyAlignment="1">
      <alignment horizontal="center" vertical="center"/>
    </xf>
    <xf numFmtId="0" fontId="179" fillId="25" borderId="0" xfId="0" applyFont="1" applyFill="1" applyAlignment="1">
      <alignment horizontal="center" vertical="center" wrapText="1"/>
    </xf>
    <xf numFmtId="0" fontId="179" fillId="25" borderId="0" xfId="0" applyFont="1" applyFill="1" applyAlignment="1">
      <alignment horizontal="center" vertical="center"/>
    </xf>
    <xf numFmtId="0" fontId="179" fillId="25" borderId="202" xfId="0" applyFont="1" applyFill="1" applyBorder="1" applyAlignment="1">
      <alignment horizontal="center" vertical="center"/>
    </xf>
    <xf numFmtId="0" fontId="178" fillId="28" borderId="89" xfId="0" applyFont="1" applyFill="1" applyBorder="1" applyAlignment="1">
      <alignment horizontal="center" vertical="center"/>
    </xf>
    <xf numFmtId="0" fontId="178" fillId="28" borderId="90" xfId="0" applyFont="1" applyFill="1" applyBorder="1" applyAlignment="1">
      <alignment horizontal="center" vertical="center"/>
    </xf>
    <xf numFmtId="165" fontId="178" fillId="24" borderId="76" xfId="0" applyNumberFormat="1" applyFont="1" applyFill="1" applyBorder="1" applyAlignment="1">
      <alignment horizontal="center" vertical="center" wrapText="1"/>
    </xf>
    <xf numFmtId="3" fontId="178" fillId="24" borderId="180" xfId="0" quotePrefix="1" applyNumberFormat="1" applyFont="1" applyFill="1" applyBorder="1" applyAlignment="1">
      <alignment horizontal="center" vertical="center" wrapText="1"/>
    </xf>
    <xf numFmtId="165" fontId="99" fillId="28" borderId="89" xfId="0" applyNumberFormat="1" applyFont="1" applyFill="1" applyBorder="1" applyAlignment="1">
      <alignment horizontal="center" vertical="center" wrapText="1"/>
    </xf>
    <xf numFmtId="3" fontId="99" fillId="28" borderId="89" xfId="0" applyNumberFormat="1" applyFont="1" applyFill="1" applyBorder="1" applyAlignment="1">
      <alignment horizontal="center" vertical="center" wrapText="1"/>
    </xf>
    <xf numFmtId="3" fontId="99" fillId="28" borderId="89" xfId="0" applyNumberFormat="1" applyFont="1" applyFill="1" applyBorder="1" applyAlignment="1">
      <alignment vertical="center" wrapText="1"/>
    </xf>
    <xf numFmtId="0" fontId="99" fillId="28" borderId="89" xfId="0" applyFont="1" applyFill="1" applyBorder="1"/>
    <xf numFmtId="0" fontId="177" fillId="28" borderId="89" xfId="0" applyFont="1" applyFill="1" applyBorder="1" applyAlignment="1">
      <alignment horizontal="center" vertical="center"/>
    </xf>
    <xf numFmtId="165" fontId="178" fillId="24" borderId="98" xfId="0" applyNumberFormat="1" applyFont="1" applyFill="1" applyBorder="1" applyAlignment="1">
      <alignment horizontal="center" vertical="center" wrapText="1"/>
    </xf>
    <xf numFmtId="3" fontId="178" fillId="24" borderId="98" xfId="0" quotePrefix="1" applyNumberFormat="1" applyFont="1" applyFill="1" applyBorder="1" applyAlignment="1">
      <alignment horizontal="center" vertical="center" wrapText="1"/>
    </xf>
    <xf numFmtId="277" fontId="178" fillId="24" borderId="180" xfId="0" applyNumberFormat="1" applyFont="1" applyFill="1" applyBorder="1" applyAlignment="1">
      <alignment horizontal="center" vertical="center" wrapText="1"/>
    </xf>
    <xf numFmtId="165" fontId="178" fillId="24" borderId="180" xfId="0" applyNumberFormat="1" applyFont="1" applyFill="1" applyBorder="1" applyAlignment="1">
      <alignment horizontal="center" vertical="center" wrapText="1"/>
    </xf>
    <xf numFmtId="6" fontId="178" fillId="24" borderId="191" xfId="0" applyNumberFormat="1" applyFont="1" applyFill="1" applyBorder="1" applyAlignment="1">
      <alignment horizontal="center" vertical="center"/>
    </xf>
    <xf numFmtId="0" fontId="179" fillId="25" borderId="153" xfId="1346" applyFont="1" applyFill="1" applyBorder="1" applyAlignment="1">
      <alignment horizontal="center" vertical="center"/>
    </xf>
    <xf numFmtId="0" fontId="179" fillId="25" borderId="79" xfId="1346" applyFont="1" applyFill="1" applyBorder="1" applyAlignment="1">
      <alignment horizontal="center" vertical="center"/>
    </xf>
    <xf numFmtId="0" fontId="179" fillId="25" borderId="213" xfId="1346" applyFont="1" applyFill="1" applyBorder="1" applyAlignment="1">
      <alignment horizontal="center" vertical="center"/>
    </xf>
    <xf numFmtId="0" fontId="178" fillId="24" borderId="214" xfId="1346" applyFont="1" applyFill="1" applyBorder="1" applyAlignment="1">
      <alignment horizontal="center" vertical="center"/>
    </xf>
    <xf numFmtId="0" fontId="178" fillId="24" borderId="215" xfId="1346" applyFont="1" applyFill="1" applyBorder="1" applyAlignment="1">
      <alignment horizontal="center" vertical="center"/>
    </xf>
    <xf numFmtId="0" fontId="178" fillId="24" borderId="216" xfId="1346" applyFont="1" applyFill="1" applyBorder="1" applyAlignment="1">
      <alignment horizontal="center" vertical="center"/>
    </xf>
    <xf numFmtId="0" fontId="179" fillId="25" borderId="93" xfId="1346" applyFont="1" applyFill="1" applyBorder="1" applyAlignment="1">
      <alignment horizontal="center" vertical="center"/>
    </xf>
    <xf numFmtId="0" fontId="178" fillId="24" borderId="179" xfId="1346" applyFont="1" applyFill="1" applyBorder="1" applyAlignment="1">
      <alignment horizontal="center" vertical="center"/>
    </xf>
    <xf numFmtId="0" fontId="178" fillId="24" borderId="217" xfId="1346" applyFont="1" applyFill="1" applyBorder="1" applyAlignment="1">
      <alignment horizontal="center" vertical="center"/>
    </xf>
    <xf numFmtId="4" fontId="179" fillId="25" borderId="190" xfId="0" applyNumberFormat="1" applyFont="1" applyFill="1" applyBorder="1" applyAlignment="1">
      <alignment horizontal="center" vertical="center"/>
    </xf>
    <xf numFmtId="6" fontId="179" fillId="25" borderId="190" xfId="0" applyNumberFormat="1" applyFont="1" applyFill="1" applyBorder="1" applyAlignment="1">
      <alignment horizontal="center" vertical="center" wrapText="1"/>
    </xf>
    <xf numFmtId="0" fontId="177" fillId="24" borderId="202" xfId="0" applyFont="1" applyFill="1" applyBorder="1" applyAlignment="1">
      <alignment horizontal="center" vertical="center"/>
    </xf>
    <xf numFmtId="10" fontId="177" fillId="24" borderId="203" xfId="0" applyNumberFormat="1" applyFont="1" applyFill="1" applyBorder="1" applyAlignment="1">
      <alignment horizontal="center" vertical="center"/>
    </xf>
    <xf numFmtId="8" fontId="177" fillId="24" borderId="203" xfId="0" applyNumberFormat="1" applyFont="1" applyFill="1" applyBorder="1" applyAlignment="1">
      <alignment horizontal="center" vertical="center"/>
    </xf>
    <xf numFmtId="0" fontId="177" fillId="24" borderId="91" xfId="0" applyFont="1" applyFill="1" applyBorder="1" applyAlignment="1">
      <alignment horizontal="center" vertical="center"/>
    </xf>
    <xf numFmtId="6" fontId="177" fillId="24" borderId="92" xfId="0" applyNumberFormat="1" applyFont="1" applyFill="1" applyBorder="1" applyAlignment="1">
      <alignment horizontal="center" vertical="center"/>
    </xf>
    <xf numFmtId="6" fontId="177" fillId="24" borderId="203" xfId="0" applyNumberFormat="1" applyFont="1" applyFill="1" applyBorder="1" applyAlignment="1">
      <alignment horizontal="center" vertical="center"/>
    </xf>
    <xf numFmtId="17" fontId="178" fillId="24" borderId="98" xfId="0" applyNumberFormat="1" applyFont="1" applyFill="1" applyBorder="1" applyAlignment="1">
      <alignment horizontal="center" vertical="center" wrapText="1"/>
    </xf>
    <xf numFmtId="17" fontId="178" fillId="24" borderId="76" xfId="0" applyNumberFormat="1" applyFont="1" applyFill="1" applyBorder="1" applyAlignment="1">
      <alignment horizontal="center" vertical="center" wrapText="1"/>
    </xf>
    <xf numFmtId="10" fontId="177" fillId="24" borderId="92" xfId="0" applyNumberFormat="1" applyFont="1" applyFill="1" applyBorder="1" applyAlignment="1">
      <alignment horizontal="center" vertical="center"/>
    </xf>
    <xf numFmtId="0" fontId="177" fillId="24" borderId="102" xfId="0" applyFont="1" applyFill="1" applyBorder="1" applyAlignment="1">
      <alignment horizontal="center" vertical="center"/>
    </xf>
    <xf numFmtId="8" fontId="177" fillId="24" borderId="103" xfId="0" applyNumberFormat="1" applyFont="1" applyFill="1" applyBorder="1" applyAlignment="1">
      <alignment horizontal="center" vertical="center"/>
    </xf>
    <xf numFmtId="167" fontId="178" fillId="24" borderId="79" xfId="1346" applyNumberFormat="1" applyFont="1" applyFill="1" applyBorder="1" applyAlignment="1">
      <alignment horizontal="center" vertical="center"/>
    </xf>
    <xf numFmtId="0" fontId="178" fillId="24" borderId="218" xfId="1346" applyFont="1" applyFill="1" applyBorder="1" applyAlignment="1">
      <alignment horizontal="center" vertical="center"/>
    </xf>
    <xf numFmtId="0" fontId="178" fillId="24" borderId="220" xfId="1346" applyFont="1" applyFill="1" applyBorder="1" applyAlignment="1">
      <alignment horizontal="center" vertical="center"/>
    </xf>
    <xf numFmtId="0" fontId="177" fillId="24" borderId="216" xfId="1346" applyFont="1" applyFill="1" applyBorder="1" applyAlignment="1">
      <alignment horizontal="center" vertical="center"/>
    </xf>
    <xf numFmtId="17" fontId="178" fillId="24" borderId="24" xfId="0" applyNumberFormat="1" applyFont="1" applyFill="1" applyBorder="1" applyAlignment="1">
      <alignment horizontal="center" vertical="center" wrapText="1"/>
    </xf>
    <xf numFmtId="165" fontId="178" fillId="24" borderId="24" xfId="0" applyNumberFormat="1" applyFont="1" applyFill="1" applyBorder="1" applyAlignment="1">
      <alignment horizontal="center" vertical="center" wrapText="1"/>
    </xf>
    <xf numFmtId="0" fontId="178" fillId="24" borderId="223" xfId="1346" applyFont="1" applyFill="1" applyBorder="1" applyAlignment="1">
      <alignment horizontal="center" vertical="center"/>
    </xf>
    <xf numFmtId="0" fontId="196" fillId="25" borderId="100" xfId="0" applyFont="1" applyFill="1" applyBorder="1" applyAlignment="1">
      <alignment horizontal="center" vertical="center"/>
    </xf>
    <xf numFmtId="0" fontId="196" fillId="25" borderId="24" xfId="0" applyFont="1" applyFill="1" applyBorder="1" applyAlignment="1">
      <alignment horizontal="center" vertical="center"/>
    </xf>
    <xf numFmtId="6" fontId="196" fillId="25" borderId="24" xfId="0" applyNumberFormat="1" applyFont="1" applyFill="1" applyBorder="1" applyAlignment="1">
      <alignment horizontal="center" vertical="center"/>
    </xf>
    <xf numFmtId="6" fontId="196" fillId="25" borderId="192" xfId="0" applyNumberFormat="1" applyFont="1" applyFill="1" applyBorder="1" applyAlignment="1">
      <alignment horizontal="center" vertical="center"/>
    </xf>
    <xf numFmtId="0" fontId="198" fillId="24" borderId="95" xfId="0" applyFont="1" applyFill="1" applyBorder="1" applyAlignment="1">
      <alignment horizontal="center" vertical="center"/>
    </xf>
    <xf numFmtId="6" fontId="196" fillId="25" borderId="224" xfId="0" applyNumberFormat="1" applyFont="1" applyFill="1" applyBorder="1" applyAlignment="1">
      <alignment horizontal="center" vertical="center"/>
    </xf>
    <xf numFmtId="0" fontId="194" fillId="24" borderId="202" xfId="0" applyFont="1" applyFill="1" applyBorder="1" applyAlignment="1">
      <alignment horizontal="center" vertical="center"/>
    </xf>
    <xf numFmtId="0" fontId="194" fillId="24" borderId="0" xfId="0" applyFont="1" applyFill="1" applyAlignment="1">
      <alignment horizontal="center" vertical="center"/>
    </xf>
    <xf numFmtId="6" fontId="194" fillId="24" borderId="212" xfId="0" applyNumberFormat="1" applyFont="1" applyFill="1" applyBorder="1" applyAlignment="1">
      <alignment horizontal="center" vertical="center"/>
    </xf>
    <xf numFmtId="6" fontId="194" fillId="24" borderId="0" xfId="0" applyNumberFormat="1" applyFont="1" applyFill="1" applyAlignment="1">
      <alignment horizontal="center" vertical="center"/>
    </xf>
    <xf numFmtId="6" fontId="196" fillId="25" borderId="225" xfId="0" applyNumberFormat="1" applyFont="1" applyFill="1" applyBorder="1" applyAlignment="1">
      <alignment horizontal="center" vertical="center"/>
    </xf>
    <xf numFmtId="0" fontId="194" fillId="24" borderId="100" xfId="0" applyFont="1" applyFill="1" applyBorder="1" applyAlignment="1">
      <alignment horizontal="center" vertical="center"/>
    </xf>
    <xf numFmtId="0" fontId="194" fillId="24" borderId="24" xfId="0" applyFont="1" applyFill="1" applyBorder="1" applyAlignment="1">
      <alignment horizontal="center" vertical="center"/>
    </xf>
    <xf numFmtId="6" fontId="194" fillId="24" borderId="195" xfId="0" applyNumberFormat="1" applyFont="1" applyFill="1" applyBorder="1" applyAlignment="1">
      <alignment horizontal="center" vertical="center"/>
    </xf>
    <xf numFmtId="6" fontId="194" fillId="24" borderId="24" xfId="0" applyNumberFormat="1" applyFont="1" applyFill="1" applyBorder="1" applyAlignment="1">
      <alignment horizontal="center" vertical="center"/>
    </xf>
    <xf numFmtId="6" fontId="196" fillId="25" borderId="226" xfId="0" applyNumberFormat="1" applyFont="1" applyFill="1" applyBorder="1" applyAlignment="1">
      <alignment horizontal="center" vertical="center"/>
    </xf>
    <xf numFmtId="0" fontId="194" fillId="24" borderId="102" xfId="0" applyFont="1" applyFill="1" applyBorder="1" applyAlignment="1">
      <alignment horizontal="center" vertical="center"/>
    </xf>
    <xf numFmtId="0" fontId="194" fillId="24" borderId="190" xfId="0" applyFont="1" applyFill="1" applyBorder="1" applyAlignment="1">
      <alignment horizontal="center" vertical="center"/>
    </xf>
    <xf numFmtId="6" fontId="194" fillId="24" borderId="227" xfId="0" applyNumberFormat="1" applyFont="1" applyFill="1" applyBorder="1" applyAlignment="1">
      <alignment horizontal="center" vertical="center"/>
    </xf>
    <xf numFmtId="6" fontId="194" fillId="24" borderId="228" xfId="0" applyNumberFormat="1" applyFont="1" applyFill="1" applyBorder="1" applyAlignment="1">
      <alignment horizontal="center" vertical="center"/>
    </xf>
    <xf numFmtId="6" fontId="194" fillId="24" borderId="190" xfId="0" applyNumberFormat="1" applyFont="1" applyFill="1" applyBorder="1" applyAlignment="1">
      <alignment horizontal="center" vertical="center"/>
    </xf>
    <xf numFmtId="6" fontId="196" fillId="25" borderId="229" xfId="0" applyNumberFormat="1" applyFont="1" applyFill="1" applyBorder="1" applyAlignment="1">
      <alignment horizontal="center" vertical="center"/>
    </xf>
    <xf numFmtId="6" fontId="178" fillId="24" borderId="232" xfId="1346" applyNumberFormat="1" applyFont="1" applyFill="1" applyBorder="1" applyAlignment="1">
      <alignment horizontal="center" vertical="center"/>
    </xf>
    <xf numFmtId="6" fontId="178" fillId="24" borderId="233" xfId="1346" applyNumberFormat="1" applyFont="1" applyFill="1" applyBorder="1" applyAlignment="1">
      <alignment horizontal="center" vertical="center"/>
    </xf>
    <xf numFmtId="6" fontId="178" fillId="24" borderId="231" xfId="1346" applyNumberFormat="1" applyFont="1" applyFill="1" applyBorder="1" applyAlignment="1">
      <alignment horizontal="center" vertical="center"/>
    </xf>
    <xf numFmtId="6" fontId="178" fillId="24" borderId="234" xfId="1346" applyNumberFormat="1" applyFont="1" applyFill="1" applyBorder="1" applyAlignment="1">
      <alignment horizontal="center" vertical="center"/>
    </xf>
    <xf numFmtId="6" fontId="178" fillId="24" borderId="235" xfId="1346" applyNumberFormat="1" applyFont="1" applyFill="1" applyBorder="1" applyAlignment="1">
      <alignment horizontal="center" vertical="center"/>
    </xf>
    <xf numFmtId="6" fontId="178" fillId="24" borderId="236" xfId="1346" applyNumberFormat="1" applyFont="1" applyFill="1" applyBorder="1" applyAlignment="1">
      <alignment horizontal="center" vertical="center"/>
    </xf>
    <xf numFmtId="0" fontId="192" fillId="24" borderId="169" xfId="1346" applyFont="1" applyFill="1" applyBorder="1" applyAlignment="1">
      <alignment horizontal="center" vertical="center"/>
    </xf>
    <xf numFmtId="0" fontId="192" fillId="24" borderId="23" xfId="1346" applyFont="1" applyFill="1" applyBorder="1" applyAlignment="1">
      <alignment horizontal="center" vertical="center"/>
    </xf>
    <xf numFmtId="0" fontId="178" fillId="24" borderId="237" xfId="1346" applyFont="1" applyFill="1" applyBorder="1" applyAlignment="1">
      <alignment horizontal="center" vertical="center"/>
    </xf>
    <xf numFmtId="0" fontId="179" fillId="25" borderId="190" xfId="1346" applyFont="1" applyFill="1" applyBorder="1" applyAlignment="1">
      <alignment horizontal="center" vertical="center"/>
    </xf>
    <xf numFmtId="0" fontId="179" fillId="25" borderId="103" xfId="1346" applyFont="1" applyFill="1" applyBorder="1" applyAlignment="1">
      <alignment horizontal="center" vertical="center"/>
    </xf>
    <xf numFmtId="0" fontId="201" fillId="24" borderId="202" xfId="0" applyFont="1" applyFill="1" applyBorder="1" applyAlignment="1">
      <alignment horizontal="left" vertical="center"/>
    </xf>
    <xf numFmtId="6" fontId="174" fillId="24" borderId="152" xfId="0" applyNumberFormat="1" applyFont="1" applyFill="1" applyBorder="1" applyAlignment="1">
      <alignment horizontal="center" vertical="center"/>
    </xf>
    <xf numFmtId="6" fontId="174" fillId="24" borderId="153" xfId="0" applyNumberFormat="1" applyFont="1" applyFill="1" applyBorder="1" applyAlignment="1">
      <alignment horizontal="center" vertical="center"/>
    </xf>
    <xf numFmtId="6" fontId="174" fillId="24" borderId="178" xfId="0" applyNumberFormat="1" applyFont="1" applyFill="1" applyBorder="1" applyAlignment="1">
      <alignment horizontal="center" vertical="center"/>
    </xf>
    <xf numFmtId="6" fontId="195" fillId="24" borderId="0" xfId="0" applyNumberFormat="1" applyFont="1" applyFill="1" applyAlignment="1">
      <alignment horizontal="center" vertical="center"/>
    </xf>
    <xf numFmtId="167" fontId="26" fillId="28" borderId="78" xfId="0" applyNumberFormat="1" applyFont="1" applyFill="1" applyBorder="1" applyAlignment="1">
      <alignment horizontal="center" vertical="center"/>
    </xf>
    <xf numFmtId="6" fontId="172" fillId="24" borderId="245" xfId="0" applyNumberFormat="1" applyFont="1" applyFill="1" applyBorder="1" applyAlignment="1">
      <alignment horizontal="center" vertical="center"/>
    </xf>
    <xf numFmtId="167" fontId="173" fillId="25" borderId="246" xfId="0" applyNumberFormat="1" applyFont="1" applyFill="1" applyBorder="1" applyAlignment="1">
      <alignment horizontal="center" vertical="center"/>
    </xf>
    <xf numFmtId="6" fontId="172" fillId="24" borderId="246" xfId="0" applyNumberFormat="1" applyFont="1" applyFill="1" applyBorder="1" applyAlignment="1">
      <alignment horizontal="center" vertical="center"/>
    </xf>
    <xf numFmtId="0" fontId="172" fillId="24" borderId="66" xfId="0" applyFont="1" applyFill="1" applyBorder="1" applyAlignment="1">
      <alignment horizontal="center" vertical="center"/>
    </xf>
    <xf numFmtId="6" fontId="18" fillId="24" borderId="245" xfId="0" applyNumberFormat="1" applyFont="1" applyFill="1" applyBorder="1" applyAlignment="1">
      <alignment horizontal="center" vertical="center"/>
    </xf>
    <xf numFmtId="0" fontId="26" fillId="28" borderId="152" xfId="0" applyFont="1" applyFill="1" applyBorder="1" applyAlignment="1">
      <alignment horizontal="center" vertical="center"/>
    </xf>
    <xf numFmtId="6" fontId="18" fillId="24" borderId="246" xfId="0" applyNumberFormat="1" applyFont="1" applyFill="1" applyBorder="1" applyAlignment="1">
      <alignment horizontal="center" vertical="center"/>
    </xf>
    <xf numFmtId="6" fontId="172" fillId="24" borderId="247" xfId="0" applyNumberFormat="1" applyFont="1" applyFill="1" applyBorder="1" applyAlignment="1">
      <alignment horizontal="center" vertical="center"/>
    </xf>
    <xf numFmtId="6" fontId="18" fillId="24" borderId="247" xfId="0" applyNumberFormat="1" applyFont="1" applyFill="1" applyBorder="1" applyAlignment="1">
      <alignment horizontal="center" vertical="center"/>
    </xf>
    <xf numFmtId="6" fontId="0" fillId="0" borderId="0" xfId="0" applyNumberFormat="1" applyAlignment="1">
      <alignment horizontal="center" vertical="center"/>
    </xf>
    <xf numFmtId="4" fontId="0" fillId="0" borderId="0" xfId="0" applyNumberFormat="1" applyAlignment="1">
      <alignment horizontal="center" vertical="center"/>
    </xf>
    <xf numFmtId="6" fontId="172" fillId="24" borderId="212" xfId="0" applyNumberFormat="1" applyFont="1" applyFill="1" applyBorder="1" applyAlignment="1">
      <alignment horizontal="center" vertical="center"/>
    </xf>
    <xf numFmtId="6" fontId="172" fillId="24" borderId="5" xfId="0" quotePrefix="1" applyNumberFormat="1" applyFont="1" applyFill="1" applyBorder="1" applyAlignment="1">
      <alignment horizontal="center" vertical="center"/>
    </xf>
    <xf numFmtId="0" fontId="172" fillId="24" borderId="247" xfId="0" applyFont="1" applyFill="1" applyBorder="1" applyAlignment="1">
      <alignment horizontal="center" vertical="center"/>
    </xf>
    <xf numFmtId="268" fontId="18" fillId="24" borderId="71" xfId="0" applyNumberFormat="1" applyFont="1" applyFill="1" applyBorder="1" applyAlignment="1">
      <alignment horizontal="center" vertical="center"/>
    </xf>
    <xf numFmtId="6" fontId="18" fillId="24" borderId="71" xfId="1" applyNumberFormat="1" applyFont="1" applyFill="1" applyBorder="1" applyAlignment="1">
      <alignment horizontal="center" vertical="center"/>
    </xf>
    <xf numFmtId="6" fontId="18" fillId="24" borderId="71" xfId="0" applyNumberFormat="1" applyFont="1" applyFill="1" applyBorder="1" applyAlignment="1">
      <alignment horizontal="center" vertical="center"/>
    </xf>
    <xf numFmtId="6" fontId="18" fillId="28" borderId="53" xfId="0" applyNumberFormat="1" applyFont="1" applyFill="1" applyBorder="1" applyAlignment="1">
      <alignment horizontal="center" vertical="center"/>
    </xf>
    <xf numFmtId="0" fontId="18" fillId="24" borderId="74" xfId="0" applyFont="1" applyFill="1" applyBorder="1" applyAlignment="1">
      <alignment horizontal="center" vertical="center"/>
    </xf>
    <xf numFmtId="6" fontId="179" fillId="25" borderId="75" xfId="0" applyNumberFormat="1" applyFont="1" applyFill="1" applyBorder="1" applyAlignment="1">
      <alignment horizontal="center" vertical="center"/>
    </xf>
    <xf numFmtId="0" fontId="0" fillId="24" borderId="0" xfId="0" applyFill="1"/>
    <xf numFmtId="3" fontId="0" fillId="24" borderId="0" xfId="0" applyNumberFormat="1" applyFill="1"/>
    <xf numFmtId="167" fontId="0" fillId="24" borderId="0" xfId="0" applyNumberFormat="1" applyFill="1"/>
    <xf numFmtId="5" fontId="0" fillId="24" borderId="0" xfId="0" applyNumberFormat="1" applyFill="1"/>
    <xf numFmtId="6" fontId="0" fillId="24" borderId="0" xfId="0" applyNumberFormat="1" applyFill="1"/>
    <xf numFmtId="0" fontId="195" fillId="28" borderId="0" xfId="0" applyFont="1" applyFill="1"/>
    <xf numFmtId="6" fontId="195" fillId="28" borderId="0" xfId="0" applyNumberFormat="1" applyFont="1" applyFill="1"/>
    <xf numFmtId="167" fontId="195" fillId="28" borderId="0" xfId="0" applyNumberFormat="1" applyFont="1" applyFill="1"/>
    <xf numFmtId="5" fontId="195" fillId="28" borderId="0" xfId="0" applyNumberFormat="1" applyFont="1" applyFill="1"/>
    <xf numFmtId="3" fontId="195" fillId="28" borderId="0" xfId="0" applyNumberFormat="1" applyFont="1" applyFill="1"/>
    <xf numFmtId="3" fontId="171" fillId="26" borderId="151" xfId="0" applyNumberFormat="1" applyFont="1" applyFill="1" applyBorder="1" applyAlignment="1">
      <alignment horizontal="center" vertical="center" wrapText="1"/>
    </xf>
    <xf numFmtId="3" fontId="171" fillId="26" borderId="184" xfId="0" applyNumberFormat="1" applyFont="1" applyFill="1" applyBorder="1" applyAlignment="1">
      <alignment horizontal="center" vertical="center" wrapText="1"/>
    </xf>
    <xf numFmtId="166" fontId="171" fillId="26" borderId="53" xfId="0" applyNumberFormat="1" applyFont="1" applyFill="1" applyBorder="1" applyAlignment="1">
      <alignment horizontal="center" vertical="center"/>
    </xf>
    <xf numFmtId="166" fontId="171" fillId="26" borderId="10" xfId="0" applyNumberFormat="1" applyFont="1" applyFill="1" applyBorder="1" applyAlignment="1">
      <alignment horizontal="center" vertical="center"/>
    </xf>
    <xf numFmtId="166" fontId="170" fillId="24" borderId="40" xfId="0" applyNumberFormat="1" applyFont="1" applyFill="1" applyBorder="1" applyAlignment="1">
      <alignment horizontal="center" vertical="center"/>
    </xf>
    <xf numFmtId="166" fontId="170" fillId="24" borderId="159" xfId="0" applyNumberFormat="1" applyFont="1" applyFill="1" applyBorder="1" applyAlignment="1">
      <alignment horizontal="center" vertical="center"/>
    </xf>
    <xf numFmtId="166" fontId="170" fillId="24" borderId="113" xfId="0" applyNumberFormat="1" applyFont="1" applyFill="1" applyBorder="1" applyAlignment="1">
      <alignment horizontal="center" vertical="center"/>
    </xf>
    <xf numFmtId="166" fontId="170" fillId="24" borderId="116" xfId="0" applyNumberFormat="1" applyFont="1" applyFill="1" applyBorder="1" applyAlignment="1">
      <alignment horizontal="center" vertical="center"/>
    </xf>
    <xf numFmtId="166" fontId="170" fillId="24" borderId="112" xfId="0" applyNumberFormat="1" applyFont="1" applyFill="1" applyBorder="1" applyAlignment="1">
      <alignment horizontal="center" vertical="center"/>
    </xf>
    <xf numFmtId="3" fontId="171" fillId="26" borderId="146" xfId="0" applyNumberFormat="1" applyFont="1" applyFill="1" applyBorder="1" applyAlignment="1">
      <alignment horizontal="center" vertical="center" wrapText="1"/>
    </xf>
    <xf numFmtId="3" fontId="171" fillId="26" borderId="189" xfId="0" applyNumberFormat="1" applyFont="1" applyFill="1" applyBorder="1" applyAlignment="1">
      <alignment horizontal="center" vertical="center" wrapText="1"/>
    </xf>
    <xf numFmtId="0" fontId="187" fillId="25" borderId="138" xfId="0" applyFont="1" applyFill="1" applyBorder="1" applyAlignment="1">
      <alignment horizontal="center" vertical="center"/>
    </xf>
    <xf numFmtId="0" fontId="187" fillId="25" borderId="71" xfId="0" applyFont="1" applyFill="1" applyBorder="1" applyAlignment="1">
      <alignment horizontal="center" vertical="center"/>
    </xf>
    <xf numFmtId="0" fontId="187" fillId="25" borderId="139" xfId="0" applyFont="1" applyFill="1" applyBorder="1" applyAlignment="1">
      <alignment horizontal="center" vertical="center"/>
    </xf>
    <xf numFmtId="0" fontId="187" fillId="25" borderId="11" xfId="0" applyFont="1" applyFill="1" applyBorder="1" applyAlignment="1">
      <alignment horizontal="center" vertical="center"/>
    </xf>
    <xf numFmtId="0" fontId="187" fillId="25" borderId="0" xfId="0" applyFont="1" applyFill="1" applyAlignment="1">
      <alignment horizontal="center" vertical="center"/>
    </xf>
    <xf numFmtId="0" fontId="187" fillId="25" borderId="5" xfId="0" applyFont="1" applyFill="1" applyBorder="1" applyAlignment="1">
      <alignment horizontal="center" vertical="center"/>
    </xf>
    <xf numFmtId="0" fontId="189" fillId="26" borderId="142" xfId="0" applyFont="1" applyFill="1" applyBorder="1" applyAlignment="1">
      <alignment horizontal="center" vertical="center"/>
    </xf>
    <xf numFmtId="0" fontId="189" fillId="26" borderId="143" xfId="0" applyFont="1" applyFill="1" applyBorder="1" applyAlignment="1">
      <alignment horizontal="center" vertical="center"/>
    </xf>
    <xf numFmtId="0" fontId="189" fillId="26" borderId="144" xfId="0" applyFont="1" applyFill="1" applyBorder="1" applyAlignment="1">
      <alignment horizontal="center" vertical="center"/>
    </xf>
    <xf numFmtId="3" fontId="171" fillId="27" borderId="141" xfId="0" applyNumberFormat="1" applyFont="1" applyFill="1" applyBorder="1" applyAlignment="1">
      <alignment horizontal="center" vertical="center" wrapText="1"/>
    </xf>
    <xf numFmtId="3" fontId="171" fillId="27" borderId="145" xfId="0" applyNumberFormat="1" applyFont="1" applyFill="1" applyBorder="1" applyAlignment="1">
      <alignment horizontal="center" vertical="center" wrapText="1"/>
    </xf>
    <xf numFmtId="0" fontId="202" fillId="24" borderId="167" xfId="1359" applyFont="1" applyFill="1" applyBorder="1" applyAlignment="1">
      <alignment horizontal="center" vertical="center" wrapText="1"/>
    </xf>
    <xf numFmtId="0" fontId="202" fillId="24" borderId="168" xfId="1359" applyFont="1" applyFill="1" applyBorder="1" applyAlignment="1">
      <alignment horizontal="center" vertical="center" wrapText="1"/>
    </xf>
    <xf numFmtId="0" fontId="202" fillId="24" borderId="116" xfId="1359" applyFont="1" applyFill="1" applyBorder="1" applyAlignment="1">
      <alignment horizontal="center" vertical="center" wrapText="1"/>
    </xf>
    <xf numFmtId="0" fontId="202" fillId="24" borderId="40" xfId="1359" applyFont="1" applyFill="1" applyBorder="1" applyAlignment="1">
      <alignment horizontal="center" vertical="center" wrapText="1"/>
    </xf>
    <xf numFmtId="0" fontId="190" fillId="24" borderId="118" xfId="0" applyFont="1" applyFill="1" applyBorder="1" applyAlignment="1">
      <alignment horizontal="center" vertical="center" wrapText="1"/>
    </xf>
    <xf numFmtId="0" fontId="190" fillId="24" borderId="111" xfId="0" applyFont="1" applyFill="1" applyBorder="1" applyAlignment="1">
      <alignment horizontal="center" vertical="center" wrapText="1"/>
    </xf>
    <xf numFmtId="0" fontId="190" fillId="24" borderId="155" xfId="0" applyFont="1" applyFill="1" applyBorder="1" applyAlignment="1">
      <alignment horizontal="center" vertical="center" wrapText="1"/>
    </xf>
    <xf numFmtId="0" fontId="190" fillId="24" borderId="119" xfId="0" applyFont="1" applyFill="1" applyBorder="1" applyAlignment="1">
      <alignment horizontal="center" vertical="center" wrapText="1"/>
    </xf>
    <xf numFmtId="0" fontId="190" fillId="24" borderId="115" xfId="0" applyFont="1" applyFill="1" applyBorder="1" applyAlignment="1">
      <alignment horizontal="center" vertical="center" wrapText="1"/>
    </xf>
    <xf numFmtId="0" fontId="190" fillId="24" borderId="132" xfId="0" applyFont="1" applyFill="1" applyBorder="1" applyAlignment="1">
      <alignment horizontal="center" vertical="center" wrapText="1"/>
    </xf>
    <xf numFmtId="0" fontId="171" fillId="27" borderId="145" xfId="0" applyFont="1" applyFill="1" applyBorder="1" applyAlignment="1">
      <alignment horizontal="center" vertical="center" wrapText="1"/>
    </xf>
    <xf numFmtId="278" fontId="181" fillId="24" borderId="168" xfId="0" applyNumberFormat="1" applyFont="1" applyFill="1" applyBorder="1" applyAlignment="1">
      <alignment horizontal="center" vertical="center" wrapText="1"/>
    </xf>
    <xf numFmtId="166" fontId="170" fillId="24" borderId="157" xfId="0" applyNumberFormat="1" applyFont="1" applyFill="1" applyBorder="1" applyAlignment="1">
      <alignment horizontal="center" vertical="center"/>
    </xf>
    <xf numFmtId="3" fontId="171" fillId="26" borderId="138" xfId="0" applyNumberFormat="1" applyFont="1" applyFill="1" applyBorder="1" applyAlignment="1">
      <alignment horizontal="center" vertical="center" wrapText="1"/>
    </xf>
    <xf numFmtId="3" fontId="171" fillId="26" borderId="71" xfId="0" applyNumberFormat="1" applyFont="1" applyFill="1" applyBorder="1" applyAlignment="1">
      <alignment horizontal="center" vertical="center" wrapText="1"/>
    </xf>
    <xf numFmtId="166" fontId="171" fillId="26" borderId="59" xfId="0" applyNumberFormat="1" applyFont="1" applyFill="1" applyBorder="1" applyAlignment="1">
      <alignment horizontal="center" vertical="center"/>
    </xf>
    <xf numFmtId="166" fontId="171" fillId="26" borderId="66" xfId="0" applyNumberFormat="1" applyFont="1" applyFill="1" applyBorder="1" applyAlignment="1">
      <alignment horizontal="center" vertical="center"/>
    </xf>
    <xf numFmtId="0" fontId="189" fillId="27" borderId="142" xfId="0" applyFont="1" applyFill="1" applyBorder="1" applyAlignment="1">
      <alignment horizontal="center" vertical="center"/>
    </xf>
    <xf numFmtId="0" fontId="189" fillId="27" borderId="143" xfId="0" applyFont="1" applyFill="1" applyBorder="1" applyAlignment="1">
      <alignment horizontal="center" vertical="center"/>
    </xf>
    <xf numFmtId="0" fontId="189" fillId="27" borderId="144" xfId="0" applyFont="1" applyFill="1" applyBorder="1" applyAlignment="1">
      <alignment horizontal="center" vertical="center"/>
    </xf>
    <xf numFmtId="278" fontId="181" fillId="24" borderId="40" xfId="0" applyNumberFormat="1" applyFont="1" applyFill="1" applyBorder="1" applyAlignment="1">
      <alignment horizontal="center" vertical="center" wrapText="1"/>
    </xf>
    <xf numFmtId="0" fontId="202" fillId="24" borderId="166" xfId="1359" applyFont="1" applyFill="1" applyBorder="1" applyAlignment="1">
      <alignment horizontal="center" vertical="center" wrapText="1"/>
    </xf>
    <xf numFmtId="0" fontId="202" fillId="24" borderId="124" xfId="1359" applyFont="1" applyFill="1" applyBorder="1" applyAlignment="1">
      <alignment horizontal="center" vertical="center" wrapText="1"/>
    </xf>
    <xf numFmtId="0" fontId="190" fillId="24" borderId="120" xfId="0" applyFont="1" applyFill="1" applyBorder="1" applyAlignment="1">
      <alignment horizontal="center" vertical="center" wrapText="1"/>
    </xf>
    <xf numFmtId="0" fontId="190" fillId="24" borderId="121" xfId="0" applyFont="1" applyFill="1" applyBorder="1" applyAlignment="1">
      <alignment horizontal="center" vertical="center" wrapText="1"/>
    </xf>
    <xf numFmtId="0" fontId="190" fillId="24" borderId="122" xfId="0" applyFont="1" applyFill="1" applyBorder="1" applyAlignment="1">
      <alignment horizontal="center" vertical="center" wrapText="1"/>
    </xf>
    <xf numFmtId="0" fontId="190" fillId="27" borderId="136" xfId="0" applyFont="1" applyFill="1" applyBorder="1" applyAlignment="1">
      <alignment horizontal="center" vertical="center" wrapText="1"/>
    </xf>
    <xf numFmtId="0" fontId="190" fillId="27" borderId="160" xfId="0" applyFont="1" applyFill="1" applyBorder="1" applyAlignment="1">
      <alignment horizontal="center" vertical="center" wrapText="1"/>
    </xf>
    <xf numFmtId="0" fontId="190" fillId="27" borderId="137" xfId="0" applyFont="1" applyFill="1" applyBorder="1" applyAlignment="1">
      <alignment horizontal="center" vertical="center" wrapText="1"/>
    </xf>
    <xf numFmtId="278" fontId="181" fillId="24" borderId="124" xfId="0" applyNumberFormat="1" applyFont="1" applyFill="1" applyBorder="1" applyAlignment="1">
      <alignment horizontal="center" vertical="center" wrapText="1"/>
    </xf>
    <xf numFmtId="0" fontId="192" fillId="24" borderId="216" xfId="1346" quotePrefix="1" applyFont="1" applyFill="1" applyBorder="1" applyAlignment="1">
      <alignment horizontal="center" vertical="center"/>
    </xf>
    <xf numFmtId="0" fontId="192" fillId="24" borderId="163" xfId="1346" quotePrefix="1" applyFont="1" applyFill="1" applyBorder="1" applyAlignment="1">
      <alignment horizontal="center" vertical="center"/>
    </xf>
    <xf numFmtId="0" fontId="191" fillId="24" borderId="214" xfId="1346" applyFont="1" applyFill="1" applyBorder="1" applyAlignment="1">
      <alignment horizontal="center" vertical="center"/>
    </xf>
    <xf numFmtId="0" fontId="191" fillId="24" borderId="161" xfId="1346" applyFont="1" applyFill="1" applyBorder="1" applyAlignment="1">
      <alignment horizontal="center" vertical="center"/>
    </xf>
    <xf numFmtId="0" fontId="192" fillId="24" borderId="215" xfId="1346" applyFont="1" applyFill="1" applyBorder="1" applyAlignment="1">
      <alignment horizontal="center" vertical="center"/>
    </xf>
    <xf numFmtId="0" fontId="192" fillId="24" borderId="133" xfId="1346" applyFont="1" applyFill="1" applyBorder="1" applyAlignment="1">
      <alignment horizontal="center" vertical="center"/>
    </xf>
    <xf numFmtId="0" fontId="192" fillId="24" borderId="222" xfId="1346" applyFont="1" applyFill="1" applyBorder="1" applyAlignment="1">
      <alignment horizontal="center" vertical="center"/>
    </xf>
    <xf numFmtId="0" fontId="192" fillId="24" borderId="239" xfId="1346" applyFont="1" applyFill="1" applyBorder="1" applyAlignment="1">
      <alignment horizontal="center" vertical="center"/>
    </xf>
    <xf numFmtId="0" fontId="204" fillId="28" borderId="88" xfId="0" applyFont="1" applyFill="1" applyBorder="1" applyAlignment="1">
      <alignment horizontal="left" vertical="center"/>
    </xf>
    <xf numFmtId="0" fontId="204" fillId="28" borderId="89" xfId="0" applyFont="1" applyFill="1" applyBorder="1" applyAlignment="1">
      <alignment horizontal="left" vertical="center"/>
    </xf>
    <xf numFmtId="0" fontId="204" fillId="28" borderId="90" xfId="0" applyFont="1" applyFill="1" applyBorder="1" applyAlignment="1">
      <alignment horizontal="left" vertical="center"/>
    </xf>
    <xf numFmtId="3" fontId="178" fillId="28" borderId="190" xfId="0" applyNumberFormat="1" applyFont="1" applyFill="1" applyBorder="1" applyAlignment="1">
      <alignment horizontal="center" vertical="center" wrapText="1"/>
    </xf>
    <xf numFmtId="3" fontId="178" fillId="28" borderId="103" xfId="0" applyNumberFormat="1" applyFont="1" applyFill="1" applyBorder="1" applyAlignment="1">
      <alignment horizontal="center" vertical="center" wrapText="1"/>
    </xf>
    <xf numFmtId="0" fontId="179" fillId="25" borderId="190" xfId="0" applyFont="1" applyFill="1" applyBorder="1" applyAlignment="1">
      <alignment horizontal="center" vertical="center" wrapText="1"/>
    </xf>
    <xf numFmtId="0" fontId="196" fillId="25" borderId="91" xfId="0" applyFont="1" applyFill="1" applyBorder="1" applyAlignment="1">
      <alignment horizontal="center" vertical="center"/>
    </xf>
    <xf numFmtId="0" fontId="196" fillId="25" borderId="191" xfId="0" applyFont="1" applyFill="1" applyBorder="1" applyAlignment="1">
      <alignment horizontal="center" vertical="center"/>
    </xf>
    <xf numFmtId="0" fontId="196" fillId="25" borderId="92" xfId="0" applyFont="1" applyFill="1" applyBorder="1" applyAlignment="1">
      <alignment horizontal="center" vertical="center"/>
    </xf>
    <xf numFmtId="0" fontId="179" fillId="25" borderId="179" xfId="1346" applyFont="1" applyFill="1" applyBorder="1" applyAlignment="1">
      <alignment horizontal="center" vertical="center"/>
    </xf>
    <xf numFmtId="0" fontId="179" fillId="25" borderId="180" xfId="1346" applyFont="1" applyFill="1" applyBorder="1" applyAlignment="1">
      <alignment horizontal="center" vertical="center"/>
    </xf>
    <xf numFmtId="8" fontId="179" fillId="25" borderId="180" xfId="1346" applyNumberFormat="1" applyFont="1" applyFill="1" applyBorder="1" applyAlignment="1">
      <alignment horizontal="center" vertical="center"/>
    </xf>
    <xf numFmtId="8" fontId="179" fillId="25" borderId="243" xfId="1346" applyNumberFormat="1" applyFont="1" applyFill="1" applyBorder="1" applyAlignment="1">
      <alignment horizontal="center" vertical="center"/>
    </xf>
    <xf numFmtId="0" fontId="179" fillId="25" borderId="242" xfId="1346" applyFont="1" applyFill="1" applyBorder="1" applyAlignment="1">
      <alignment horizontal="center" vertical="center"/>
    </xf>
    <xf numFmtId="0" fontId="179" fillId="25" borderId="191" xfId="1346" applyFont="1" applyFill="1" applyBorder="1" applyAlignment="1">
      <alignment horizontal="center" vertical="center"/>
    </xf>
    <xf numFmtId="0" fontId="179" fillId="25" borderId="92" xfId="1346" applyFont="1" applyFill="1" applyBorder="1" applyAlignment="1">
      <alignment horizontal="center" vertical="center"/>
    </xf>
    <xf numFmtId="0" fontId="179" fillId="25" borderId="102" xfId="1346" applyFont="1" applyFill="1" applyBorder="1" applyAlignment="1">
      <alignment horizontal="center" vertical="center"/>
    </xf>
    <xf numFmtId="0" fontId="179" fillId="25" borderId="238" xfId="1346" applyFont="1" applyFill="1" applyBorder="1" applyAlignment="1">
      <alignment horizontal="center" vertical="center"/>
    </xf>
    <xf numFmtId="0" fontId="179" fillId="25" borderId="91" xfId="1346" applyFont="1" applyFill="1" applyBorder="1" applyAlignment="1">
      <alignment horizontal="center" vertical="center"/>
    </xf>
    <xf numFmtId="0" fontId="179" fillId="25" borderId="230" xfId="1346" applyFont="1" applyFill="1" applyBorder="1" applyAlignment="1">
      <alignment horizontal="center" vertical="center"/>
    </xf>
    <xf numFmtId="0" fontId="191" fillId="24" borderId="240" xfId="1346" applyFont="1" applyFill="1" applyBorder="1" applyAlignment="1">
      <alignment horizontal="center" vertical="center"/>
    </xf>
    <xf numFmtId="0" fontId="191" fillId="24" borderId="241" xfId="1346" applyFont="1" applyFill="1" applyBorder="1" applyAlignment="1">
      <alignment horizontal="center" vertical="center"/>
    </xf>
    <xf numFmtId="0" fontId="192" fillId="24" borderId="216" xfId="1346" applyFont="1" applyFill="1" applyBorder="1" applyAlignment="1">
      <alignment horizontal="center" vertical="center"/>
    </xf>
    <xf numFmtId="0" fontId="192" fillId="24" borderId="163" xfId="1346" applyFont="1" applyFill="1" applyBorder="1" applyAlignment="1">
      <alignment horizontal="center" vertical="center"/>
    </xf>
    <xf numFmtId="3" fontId="178" fillId="24" borderId="76" xfId="0" applyNumberFormat="1" applyFont="1" applyFill="1" applyBorder="1" applyAlignment="1">
      <alignment horizontal="center" vertical="center" wrapText="1"/>
    </xf>
    <xf numFmtId="3" fontId="178" fillId="24" borderId="94" xfId="0" applyNumberFormat="1" applyFont="1" applyFill="1" applyBorder="1" applyAlignment="1">
      <alignment horizontal="center" vertical="center" wrapText="1"/>
    </xf>
    <xf numFmtId="3" fontId="178" fillId="24" borderId="180" xfId="0" applyNumberFormat="1" applyFont="1" applyFill="1" applyBorder="1" applyAlignment="1">
      <alignment horizontal="center" vertical="center" wrapText="1"/>
    </xf>
    <xf numFmtId="3" fontId="178" fillId="24" borderId="181" xfId="0" applyNumberFormat="1" applyFont="1" applyFill="1" applyBorder="1" applyAlignment="1">
      <alignment horizontal="center" vertical="center" wrapText="1"/>
    </xf>
    <xf numFmtId="0" fontId="99" fillId="28" borderId="88" xfId="0" quotePrefix="1" applyFont="1" applyFill="1" applyBorder="1" applyAlignment="1">
      <alignment horizontal="center" vertical="center" wrapText="1"/>
    </xf>
    <xf numFmtId="0" fontId="99" fillId="28" borderId="89" xfId="0" quotePrefix="1" applyFont="1" applyFill="1" applyBorder="1" applyAlignment="1">
      <alignment horizontal="center" vertical="center" wrapText="1"/>
    </xf>
    <xf numFmtId="3" fontId="178" fillId="24" borderId="98" xfId="0" applyNumberFormat="1" applyFont="1" applyFill="1" applyBorder="1" applyAlignment="1">
      <alignment horizontal="center" vertical="center" wrapText="1"/>
    </xf>
    <xf numFmtId="3" fontId="178" fillId="24" borderId="99" xfId="0" applyNumberFormat="1" applyFont="1" applyFill="1" applyBorder="1" applyAlignment="1">
      <alignment horizontal="center" vertical="center" wrapText="1"/>
    </xf>
    <xf numFmtId="0" fontId="179" fillId="25" borderId="0" xfId="0" applyFont="1" applyFill="1" applyAlignment="1">
      <alignment horizontal="center" vertical="center" wrapText="1"/>
    </xf>
    <xf numFmtId="0" fontId="179" fillId="25" borderId="203" xfId="0" applyFont="1" applyFill="1" applyBorder="1" applyAlignment="1">
      <alignment horizontal="center" vertical="center" wrapText="1"/>
    </xf>
    <xf numFmtId="0" fontId="178" fillId="24" borderId="180" xfId="0" quotePrefix="1" applyFont="1" applyFill="1" applyBorder="1" applyAlignment="1">
      <alignment horizontal="center" vertical="center" wrapText="1"/>
    </xf>
    <xf numFmtId="0" fontId="178" fillId="24" borderId="181" xfId="0" quotePrefix="1" applyFont="1" applyFill="1" applyBorder="1" applyAlignment="1">
      <alignment horizontal="center" vertical="center" wrapText="1"/>
    </xf>
    <xf numFmtId="0" fontId="177" fillId="28" borderId="89" xfId="0" quotePrefix="1" applyFont="1" applyFill="1" applyBorder="1" applyAlignment="1">
      <alignment horizontal="center" vertical="center" wrapText="1"/>
    </xf>
    <xf numFmtId="0" fontId="177" fillId="28" borderId="90" xfId="0" quotePrefix="1" applyFont="1" applyFill="1" applyBorder="1" applyAlignment="1">
      <alignment horizontal="center" vertical="center" wrapText="1"/>
    </xf>
    <xf numFmtId="0" fontId="179" fillId="25" borderId="91" xfId="0" applyFont="1" applyFill="1" applyBorder="1" applyAlignment="1">
      <alignment horizontal="center" vertical="center"/>
    </xf>
    <xf numFmtId="0" fontId="179" fillId="25" borderId="191" xfId="0" applyFont="1" applyFill="1" applyBorder="1" applyAlignment="1">
      <alignment horizontal="center" vertical="center"/>
    </xf>
    <xf numFmtId="0" fontId="179" fillId="25" borderId="92" xfId="0" applyFont="1" applyFill="1" applyBorder="1" applyAlignment="1">
      <alignment horizontal="center" vertical="center"/>
    </xf>
    <xf numFmtId="0" fontId="179" fillId="25" borderId="202" xfId="0" applyFont="1" applyFill="1" applyBorder="1" applyAlignment="1">
      <alignment horizontal="center" vertical="center" wrapText="1"/>
    </xf>
    <xf numFmtId="0" fontId="179" fillId="25" borderId="102" xfId="0" applyFont="1" applyFill="1" applyBorder="1" applyAlignment="1">
      <alignment horizontal="center" vertical="center" wrapText="1"/>
    </xf>
    <xf numFmtId="0" fontId="179" fillId="25" borderId="103" xfId="0" applyFont="1" applyFill="1" applyBorder="1" applyAlignment="1">
      <alignment horizontal="center" vertical="center" wrapText="1"/>
    </xf>
    <xf numFmtId="0" fontId="178" fillId="24" borderId="218" xfId="1346" applyFont="1" applyFill="1" applyBorder="1" applyAlignment="1">
      <alignment horizontal="center" vertical="center"/>
    </xf>
    <xf numFmtId="0" fontId="178" fillId="24" borderId="219" xfId="1346" applyFont="1" applyFill="1" applyBorder="1" applyAlignment="1">
      <alignment horizontal="center" vertical="center"/>
    </xf>
    <xf numFmtId="0" fontId="178" fillId="24" borderId="220" xfId="1346" applyFont="1" applyFill="1" applyBorder="1" applyAlignment="1">
      <alignment horizontal="center" vertical="center"/>
    </xf>
    <xf numFmtId="0" fontId="178" fillId="24" borderId="221" xfId="1346" applyFont="1" applyFill="1" applyBorder="1" applyAlignment="1">
      <alignment horizontal="center" vertical="center"/>
    </xf>
    <xf numFmtId="8" fontId="178" fillId="24" borderId="176" xfId="1346" applyNumberFormat="1" applyFont="1" applyFill="1" applyBorder="1" applyAlignment="1">
      <alignment horizontal="center" vertical="center"/>
    </xf>
    <xf numFmtId="8" fontId="178" fillId="24" borderId="105" xfId="1346" applyNumberFormat="1" applyFont="1" applyFill="1" applyBorder="1" applyAlignment="1">
      <alignment horizontal="center" vertical="center"/>
    </xf>
    <xf numFmtId="8" fontId="178" fillId="24" borderId="83" xfId="1346" applyNumberFormat="1" applyFont="1" applyFill="1" applyBorder="1" applyAlignment="1">
      <alignment horizontal="center" vertical="center"/>
    </xf>
    <xf numFmtId="8" fontId="178" fillId="24" borderId="168" xfId="1346" applyNumberFormat="1" applyFont="1" applyFill="1" applyBorder="1" applyAlignment="1">
      <alignment horizontal="center" vertical="center"/>
    </xf>
    <xf numFmtId="0" fontId="178" fillId="24" borderId="98" xfId="0" quotePrefix="1" applyFont="1" applyFill="1" applyBorder="1" applyAlignment="1">
      <alignment horizontal="center" vertical="center" wrapText="1"/>
    </xf>
    <xf numFmtId="0" fontId="178" fillId="24" borderId="99" xfId="0" quotePrefix="1" applyFont="1" applyFill="1" applyBorder="1" applyAlignment="1">
      <alignment horizontal="center" vertical="center" wrapText="1"/>
    </xf>
    <xf numFmtId="0" fontId="178" fillId="24" borderId="76" xfId="0" quotePrefix="1" applyFont="1" applyFill="1" applyBorder="1" applyAlignment="1">
      <alignment horizontal="center" vertical="center" wrapText="1"/>
    </xf>
    <xf numFmtId="0" fontId="178" fillId="24" borderId="94" xfId="0" quotePrefix="1" applyFont="1" applyFill="1" applyBorder="1" applyAlignment="1">
      <alignment horizontal="center" vertical="center" wrapText="1"/>
    </xf>
    <xf numFmtId="3" fontId="177" fillId="28" borderId="89" xfId="0" applyNumberFormat="1" applyFont="1" applyFill="1" applyBorder="1" applyAlignment="1">
      <alignment horizontal="center" vertical="center" wrapText="1"/>
    </xf>
    <xf numFmtId="3" fontId="177" fillId="28" borderId="90" xfId="0" applyNumberFormat="1" applyFont="1" applyFill="1" applyBorder="1" applyAlignment="1">
      <alignment horizontal="center" vertical="center" wrapText="1"/>
    </xf>
    <xf numFmtId="0" fontId="178" fillId="24" borderId="179" xfId="0" quotePrefix="1" applyFont="1" applyFill="1" applyBorder="1" applyAlignment="1">
      <alignment horizontal="center" vertical="center" wrapText="1"/>
    </xf>
    <xf numFmtId="3" fontId="178" fillId="24" borderId="98" xfId="0" quotePrefix="1" applyNumberFormat="1" applyFont="1" applyFill="1" applyBorder="1" applyAlignment="1">
      <alignment horizontal="center" vertical="center" wrapText="1"/>
    </xf>
    <xf numFmtId="3" fontId="178" fillId="24" borderId="76" xfId="0" quotePrefix="1" applyNumberFormat="1" applyFont="1" applyFill="1" applyBorder="1" applyAlignment="1">
      <alignment horizontal="center" vertical="center" wrapText="1"/>
    </xf>
    <xf numFmtId="3" fontId="178" fillId="24" borderId="180" xfId="0" quotePrefix="1" applyNumberFormat="1" applyFont="1" applyFill="1" applyBorder="1" applyAlignment="1">
      <alignment horizontal="center" vertical="center" wrapText="1"/>
    </xf>
    <xf numFmtId="0" fontId="179" fillId="25" borderId="202" xfId="0" applyFont="1" applyFill="1" applyBorder="1" applyAlignment="1">
      <alignment horizontal="center" vertical="center"/>
    </xf>
    <xf numFmtId="0" fontId="179" fillId="25" borderId="0" xfId="0" applyFont="1" applyFill="1" applyAlignment="1">
      <alignment horizontal="center" vertical="center"/>
    </xf>
    <xf numFmtId="0" fontId="178" fillId="24" borderId="97" xfId="0" quotePrefix="1" applyFont="1" applyFill="1" applyBorder="1" applyAlignment="1">
      <alignment horizontal="center" vertical="center" wrapText="1"/>
    </xf>
    <xf numFmtId="0" fontId="178" fillId="24" borderId="93" xfId="0" quotePrefix="1" applyFont="1" applyFill="1" applyBorder="1" applyAlignment="1">
      <alignment horizontal="center" vertical="center" wrapText="1"/>
    </xf>
    <xf numFmtId="0" fontId="179" fillId="25" borderId="203" xfId="0" applyFont="1" applyFill="1" applyBorder="1" applyAlignment="1">
      <alignment horizontal="center" vertical="center"/>
    </xf>
    <xf numFmtId="0" fontId="179" fillId="25" borderId="190" xfId="0" quotePrefix="1" applyFont="1" applyFill="1" applyBorder="1" applyAlignment="1">
      <alignment horizontal="center" vertical="center" wrapText="1"/>
    </xf>
    <xf numFmtId="0" fontId="179" fillId="25" borderId="103" xfId="0" quotePrefix="1" applyFont="1" applyFill="1" applyBorder="1" applyAlignment="1">
      <alignment horizontal="center" vertical="center" wrapText="1"/>
    </xf>
    <xf numFmtId="0" fontId="205" fillId="24" borderId="102" xfId="0" applyFont="1" applyFill="1" applyBorder="1" applyAlignment="1">
      <alignment horizontal="center" vertical="center"/>
    </xf>
    <xf numFmtId="0" fontId="205" fillId="24" borderId="103" xfId="0" applyFont="1" applyFill="1" applyBorder="1" applyAlignment="1">
      <alignment horizontal="center" vertical="center"/>
    </xf>
    <xf numFmtId="0" fontId="177" fillId="28" borderId="76" xfId="0" quotePrefix="1" applyFont="1" applyFill="1" applyBorder="1" applyAlignment="1">
      <alignment horizontal="center" vertical="center" wrapText="1"/>
    </xf>
    <xf numFmtId="0" fontId="177" fillId="28" borderId="94" xfId="0" quotePrefix="1" applyFont="1" applyFill="1" applyBorder="1" applyAlignment="1">
      <alignment horizontal="center" vertical="center" wrapText="1"/>
    </xf>
    <xf numFmtId="0" fontId="0" fillId="24" borderId="76" xfId="0" applyFill="1" applyBorder="1" applyAlignment="1">
      <alignment horizontal="center" vertical="center"/>
    </xf>
    <xf numFmtId="0" fontId="0" fillId="24" borderId="7" xfId="0" applyFill="1" applyBorder="1" applyAlignment="1">
      <alignment horizontal="center" vertical="center"/>
    </xf>
    <xf numFmtId="0" fontId="178" fillId="28" borderId="185" xfId="0" applyFont="1" applyFill="1" applyBorder="1" applyAlignment="1">
      <alignment horizontal="center" vertical="center"/>
    </xf>
    <xf numFmtId="0" fontId="0" fillId="24" borderId="160" xfId="0" applyFill="1" applyBorder="1" applyAlignment="1">
      <alignment horizontal="center" vertical="center"/>
    </xf>
    <xf numFmtId="0" fontId="178" fillId="28" borderId="0" xfId="0" applyFont="1" applyFill="1" applyAlignment="1">
      <alignment horizontal="center" vertical="center"/>
    </xf>
    <xf numFmtId="0" fontId="195" fillId="28" borderId="0" xfId="0" applyFont="1" applyFill="1" applyAlignment="1">
      <alignment horizontal="center" vertical="center"/>
    </xf>
    <xf numFmtId="0" fontId="195" fillId="28" borderId="190" xfId="0" applyFont="1" applyFill="1" applyBorder="1" applyAlignment="1">
      <alignment horizontal="center" vertical="center"/>
    </xf>
    <xf numFmtId="0" fontId="178" fillId="28" borderId="190" xfId="0" applyFont="1" applyFill="1" applyBorder="1" applyAlignment="1">
      <alignment horizontal="center" vertical="center"/>
    </xf>
    <xf numFmtId="0" fontId="195" fillId="28" borderId="185" xfId="0" applyFont="1" applyFill="1" applyBorder="1" applyAlignment="1">
      <alignment horizontal="center" vertical="center"/>
    </xf>
    <xf numFmtId="0" fontId="204" fillId="28" borderId="91" xfId="0" applyFont="1" applyFill="1" applyBorder="1" applyAlignment="1">
      <alignment horizontal="left" vertical="center"/>
    </xf>
    <xf numFmtId="0" fontId="204" fillId="28" borderId="191" xfId="0" applyFont="1" applyFill="1" applyBorder="1" applyAlignment="1">
      <alignment horizontal="left" vertical="center"/>
    </xf>
    <xf numFmtId="0" fontId="204" fillId="28" borderId="92" xfId="0" applyFont="1" applyFill="1" applyBorder="1" applyAlignment="1">
      <alignment horizontal="left" vertical="center"/>
    </xf>
    <xf numFmtId="0" fontId="179" fillId="25" borderId="91" xfId="0" applyFont="1" applyFill="1" applyBorder="1" applyAlignment="1">
      <alignment horizontal="center" vertical="center" wrapText="1"/>
    </xf>
    <xf numFmtId="0" fontId="179" fillId="25" borderId="92" xfId="0" applyFont="1" applyFill="1" applyBorder="1" applyAlignment="1">
      <alignment horizontal="center" vertical="center" wrapText="1"/>
    </xf>
    <xf numFmtId="0" fontId="0" fillId="24" borderId="24" xfId="0" applyFill="1" applyBorder="1" applyAlignment="1">
      <alignment horizontal="center" vertical="center"/>
    </xf>
    <xf numFmtId="0" fontId="196" fillId="25" borderId="207" xfId="0" applyFont="1" applyFill="1" applyBorder="1" applyAlignment="1">
      <alignment horizontal="center" vertical="center"/>
    </xf>
    <xf numFmtId="0" fontId="99" fillId="28" borderId="179" xfId="0" quotePrefix="1" applyFont="1" applyFill="1" applyBorder="1" applyAlignment="1">
      <alignment horizontal="center" vertical="center" wrapText="1"/>
    </xf>
    <xf numFmtId="0" fontId="99" fillId="28" borderId="180" xfId="0" quotePrefix="1" applyFont="1" applyFill="1" applyBorder="1" applyAlignment="1">
      <alignment horizontal="center" vertical="center" wrapText="1"/>
    </xf>
    <xf numFmtId="0" fontId="16" fillId="28" borderId="89" xfId="0" applyFont="1" applyFill="1" applyBorder="1" applyAlignment="1">
      <alignment horizontal="center"/>
    </xf>
    <xf numFmtId="0" fontId="16" fillId="28" borderId="90" xfId="0" applyFont="1" applyFill="1" applyBorder="1" applyAlignment="1">
      <alignment horizontal="center"/>
    </xf>
    <xf numFmtId="0" fontId="172" fillId="24" borderId="11" xfId="1346" applyFont="1" applyFill="1" applyBorder="1" applyAlignment="1">
      <alignment horizontal="center" vertical="center"/>
    </xf>
    <xf numFmtId="0" fontId="172" fillId="24" borderId="0" xfId="1346" applyFont="1" applyFill="1" applyAlignment="1">
      <alignment horizontal="center" vertical="center"/>
    </xf>
    <xf numFmtId="166" fontId="172" fillId="24" borderId="11" xfId="1346" applyNumberFormat="1" applyFont="1" applyFill="1" applyBorder="1" applyAlignment="1">
      <alignment horizontal="center" vertical="center"/>
    </xf>
    <xf numFmtId="166" fontId="172" fillId="24" borderId="0" xfId="1346" applyNumberFormat="1" applyFont="1" applyFill="1" applyAlignment="1">
      <alignment horizontal="center" vertical="center"/>
    </xf>
    <xf numFmtId="0" fontId="18" fillId="24" borderId="244" xfId="1346" applyFont="1" applyFill="1" applyBorder="1" applyAlignment="1">
      <alignment horizontal="center" vertical="center"/>
    </xf>
    <xf numFmtId="0" fontId="18" fillId="24" borderId="70" xfId="1346" applyFont="1" applyFill="1" applyBorder="1" applyAlignment="1">
      <alignment horizontal="center" vertical="center"/>
    </xf>
    <xf numFmtId="0" fontId="18" fillId="24" borderId="77" xfId="0" applyFont="1" applyFill="1" applyBorder="1" applyAlignment="1">
      <alignment horizontal="center" vertical="center" wrapText="1"/>
    </xf>
    <xf numFmtId="0" fontId="18" fillId="24" borderId="80" xfId="0" applyFont="1" applyFill="1" applyBorder="1" applyAlignment="1">
      <alignment horizontal="center" vertical="center" wrapText="1"/>
    </xf>
    <xf numFmtId="0" fontId="196" fillId="25" borderId="138" xfId="0" applyFont="1" applyFill="1" applyBorder="1" applyAlignment="1">
      <alignment horizontal="center" vertical="center"/>
    </xf>
    <xf numFmtId="0" fontId="196" fillId="25" borderId="71" xfId="0" applyFont="1" applyFill="1" applyBorder="1" applyAlignment="1">
      <alignment horizontal="center" vertical="center"/>
    </xf>
    <xf numFmtId="0" fontId="196" fillId="25" borderId="139" xfId="0" applyFont="1" applyFill="1" applyBorder="1" applyAlignment="1">
      <alignment horizontal="center" vertical="center"/>
    </xf>
    <xf numFmtId="274" fontId="26" fillId="24" borderId="78" xfId="0" applyNumberFormat="1" applyFont="1" applyFill="1" applyBorder="1" applyAlignment="1">
      <alignment horizontal="center" vertical="center"/>
    </xf>
    <xf numFmtId="274" fontId="26" fillId="24" borderId="110" xfId="0" applyNumberFormat="1" applyFont="1" applyFill="1" applyBorder="1" applyAlignment="1">
      <alignment horizontal="center" vertical="center"/>
    </xf>
    <xf numFmtId="0" fontId="18" fillId="24" borderId="87" xfId="0" applyFont="1" applyFill="1" applyBorder="1" applyAlignment="1">
      <alignment horizontal="center" vertical="center" wrapText="1"/>
    </xf>
    <xf numFmtId="0" fontId="18" fillId="24" borderId="187" xfId="0" applyFont="1" applyFill="1" applyBorder="1" applyAlignment="1">
      <alignment horizontal="center" vertical="center" wrapText="1"/>
    </xf>
    <xf numFmtId="274" fontId="26" fillId="24" borderId="186" xfId="0" applyNumberFormat="1" applyFont="1" applyFill="1" applyBorder="1" applyAlignment="1">
      <alignment horizontal="center" vertical="center"/>
    </xf>
    <xf numFmtId="274" fontId="26" fillId="24" borderId="73" xfId="0" applyNumberFormat="1" applyFont="1" applyFill="1" applyBorder="1" applyAlignment="1">
      <alignment horizontal="center" vertical="center"/>
    </xf>
    <xf numFmtId="0" fontId="173" fillId="25" borderId="138" xfId="0" applyFont="1" applyFill="1" applyBorder="1" applyAlignment="1">
      <alignment horizontal="center" vertical="center"/>
    </xf>
    <xf numFmtId="0" fontId="173" fillId="25" borderId="71" xfId="0" applyFont="1" applyFill="1" applyBorder="1" applyAlignment="1">
      <alignment horizontal="center" vertical="center"/>
    </xf>
    <xf numFmtId="0" fontId="173" fillId="25" borderId="139" xfId="0" applyFont="1" applyFill="1" applyBorder="1" applyAlignment="1">
      <alignment horizontal="center" vertical="center"/>
    </xf>
    <xf numFmtId="0" fontId="173" fillId="25" borderId="136" xfId="1346" applyFont="1" applyFill="1" applyBorder="1" applyAlignment="1">
      <alignment horizontal="center" vertical="center"/>
    </xf>
    <xf numFmtId="0" fontId="173" fillId="25" borderId="137" xfId="1346" applyFont="1" applyFill="1" applyBorder="1" applyAlignment="1">
      <alignment horizontal="center" vertical="center"/>
    </xf>
    <xf numFmtId="0" fontId="173" fillId="25" borderId="150" xfId="1346" applyFont="1" applyFill="1" applyBorder="1" applyAlignment="1">
      <alignment horizontal="center" vertical="center"/>
    </xf>
    <xf numFmtId="0" fontId="173" fillId="25" borderId="149" xfId="1346" applyFont="1" applyFill="1" applyBorder="1" applyAlignment="1">
      <alignment horizontal="center" vertical="center"/>
    </xf>
    <xf numFmtId="0" fontId="173" fillId="25" borderId="148" xfId="1346" applyFont="1" applyFill="1" applyBorder="1" applyAlignment="1">
      <alignment horizontal="center" vertical="center"/>
    </xf>
    <xf numFmtId="0" fontId="173" fillId="25" borderId="108" xfId="0" applyFont="1" applyFill="1" applyBorder="1" applyAlignment="1">
      <alignment horizontal="center" vertical="center"/>
    </xf>
    <xf numFmtId="0" fontId="173" fillId="25" borderId="24" xfId="0" applyFont="1" applyFill="1" applyBorder="1" applyAlignment="1">
      <alignment horizontal="center" vertical="center"/>
    </xf>
    <xf numFmtId="0" fontId="173" fillId="25" borderId="160" xfId="1346" applyFont="1" applyFill="1" applyBorder="1" applyAlignment="1">
      <alignment horizontal="center" vertical="center"/>
    </xf>
    <xf numFmtId="0" fontId="18" fillId="24" borderId="72" xfId="1346" applyFont="1" applyFill="1" applyBorder="1" applyAlignment="1">
      <alignment horizontal="center" vertical="center"/>
    </xf>
    <xf numFmtId="0" fontId="18" fillId="24" borderId="7" xfId="1346" applyFont="1" applyFill="1" applyBorder="1" applyAlignment="1">
      <alignment horizontal="center" vertical="center"/>
    </xf>
    <xf numFmtId="0" fontId="173" fillId="25" borderId="138" xfId="0" applyFont="1" applyFill="1" applyBorder="1" applyAlignment="1">
      <alignment horizontal="center" vertical="center" wrapText="1"/>
    </xf>
    <xf numFmtId="0" fontId="173" fillId="25" borderId="71" xfId="0" applyFont="1" applyFill="1" applyBorder="1" applyAlignment="1">
      <alignment horizontal="center" vertical="center" wrapText="1"/>
    </xf>
    <xf numFmtId="0" fontId="173" fillId="25" borderId="139" xfId="0" applyFont="1" applyFill="1" applyBorder="1" applyAlignment="1">
      <alignment horizontal="center" vertical="center" wrapText="1"/>
    </xf>
    <xf numFmtId="0" fontId="18" fillId="28" borderId="142" xfId="1346" applyFont="1" applyFill="1" applyBorder="1" applyAlignment="1">
      <alignment horizontal="center" vertical="center"/>
    </xf>
    <xf numFmtId="0" fontId="18" fillId="28" borderId="143" xfId="1346" applyFont="1" applyFill="1" applyBorder="1" applyAlignment="1">
      <alignment horizontal="center" vertical="center"/>
    </xf>
    <xf numFmtId="0" fontId="18" fillId="28" borderId="144" xfId="1346" applyFont="1" applyFill="1" applyBorder="1" applyAlignment="1">
      <alignment horizontal="center" vertical="center"/>
    </xf>
    <xf numFmtId="0" fontId="173" fillId="25" borderId="138" xfId="1346" applyFont="1" applyFill="1" applyBorder="1" applyAlignment="1">
      <alignment horizontal="center" vertical="center"/>
    </xf>
    <xf numFmtId="0" fontId="173" fillId="25" borderId="71" xfId="1346" applyFont="1" applyFill="1" applyBorder="1" applyAlignment="1">
      <alignment horizontal="center" vertical="center"/>
    </xf>
    <xf numFmtId="0" fontId="173" fillId="25" borderId="139" xfId="1346" applyFont="1" applyFill="1" applyBorder="1" applyAlignment="1">
      <alignment horizontal="center" vertical="center"/>
    </xf>
    <xf numFmtId="0" fontId="26" fillId="24" borderId="0" xfId="1346" applyFont="1" applyFill="1" applyAlignment="1">
      <alignment horizontal="center" vertical="center"/>
    </xf>
    <xf numFmtId="0" fontId="26" fillId="24" borderId="5" xfId="1346" applyFont="1" applyFill="1" applyBorder="1" applyAlignment="1">
      <alignment horizontal="center" vertical="center"/>
    </xf>
    <xf numFmtId="0" fontId="26" fillId="24" borderId="7" xfId="1346" applyFont="1" applyFill="1" applyBorder="1" applyAlignment="1">
      <alignment horizontal="center" vertical="center"/>
    </xf>
    <xf numFmtId="0" fontId="26" fillId="24" borderId="58" xfId="1346" applyFont="1" applyFill="1" applyBorder="1" applyAlignment="1">
      <alignment horizontal="center" vertical="center"/>
    </xf>
    <xf numFmtId="0" fontId="173" fillId="25" borderId="24" xfId="0" applyFont="1" applyFill="1" applyBorder="1" applyAlignment="1">
      <alignment horizontal="center" vertical="center" wrapText="1"/>
    </xf>
    <xf numFmtId="0" fontId="173" fillId="25" borderId="107" xfId="0" applyFont="1" applyFill="1" applyBorder="1" applyAlignment="1">
      <alignment horizontal="center" vertical="center" wrapText="1"/>
    </xf>
    <xf numFmtId="0" fontId="18" fillId="24" borderId="11" xfId="1346" applyFont="1" applyFill="1" applyBorder="1" applyAlignment="1">
      <alignment horizontal="center" vertical="center"/>
    </xf>
    <xf numFmtId="0" fontId="18" fillId="24" borderId="0" xfId="1346" applyFont="1" applyFill="1" applyAlignment="1">
      <alignment horizontal="center" vertical="center"/>
    </xf>
    <xf numFmtId="274" fontId="26" fillId="24" borderId="147" xfId="0" applyNumberFormat="1" applyFont="1" applyFill="1" applyBorder="1" applyAlignment="1">
      <alignment horizontal="center" vertical="center"/>
    </xf>
    <xf numFmtId="274" fontId="26" fillId="24" borderId="107" xfId="0" applyNumberFormat="1" applyFont="1" applyFill="1" applyBorder="1" applyAlignment="1">
      <alignment horizontal="center" vertical="center"/>
    </xf>
    <xf numFmtId="0" fontId="174" fillId="24" borderId="0" xfId="1346" applyFont="1" applyFill="1" applyAlignment="1">
      <alignment horizontal="center" vertical="center"/>
    </xf>
    <xf numFmtId="0" fontId="174" fillId="24" borderId="5" xfId="1346" applyFont="1" applyFill="1" applyBorder="1" applyAlignment="1">
      <alignment horizontal="center" vertical="center"/>
    </xf>
    <xf numFmtId="6" fontId="26" fillId="24" borderId="0" xfId="1346" applyNumberFormat="1" applyFont="1" applyFill="1" applyAlignment="1">
      <alignment horizontal="center" vertical="center"/>
    </xf>
    <xf numFmtId="6" fontId="26" fillId="24" borderId="5" xfId="1346" applyNumberFormat="1" applyFont="1" applyFill="1" applyBorder="1" applyAlignment="1">
      <alignment horizontal="center" vertical="center"/>
    </xf>
    <xf numFmtId="0" fontId="18" fillId="24" borderId="11" xfId="0" applyFont="1" applyFill="1" applyBorder="1" applyAlignment="1">
      <alignment horizontal="center" vertical="center" wrapText="1"/>
    </xf>
    <xf numFmtId="0" fontId="18" fillId="24" borderId="10" xfId="0" applyFont="1" applyFill="1" applyBorder="1" applyAlignment="1">
      <alignment horizontal="center" vertical="center" wrapText="1"/>
    </xf>
    <xf numFmtId="0" fontId="173" fillId="25" borderId="11" xfId="0" applyFont="1" applyFill="1" applyBorder="1" applyAlignment="1">
      <alignment horizontal="center" vertical="center"/>
    </xf>
    <xf numFmtId="0" fontId="173" fillId="25" borderId="173" xfId="0" applyFont="1" applyFill="1" applyBorder="1" applyAlignment="1">
      <alignment horizontal="center" vertical="center"/>
    </xf>
    <xf numFmtId="0" fontId="173" fillId="25" borderId="56" xfId="0" applyFont="1" applyFill="1" applyBorder="1" applyAlignment="1">
      <alignment horizontal="center" vertical="center"/>
    </xf>
    <xf numFmtId="0" fontId="196" fillId="25" borderId="0" xfId="0" applyFont="1" applyFill="1" applyAlignment="1">
      <alignment horizontal="center"/>
    </xf>
    <xf numFmtId="0" fontId="173" fillId="25" borderId="152" xfId="2" applyFont="1" applyFill="1" applyBorder="1" applyAlignment="1">
      <alignment horizontal="center" vertical="center"/>
    </xf>
    <xf numFmtId="0" fontId="173" fillId="25" borderId="68" xfId="2" applyFont="1" applyFill="1" applyBorder="1" applyAlignment="1">
      <alignment horizontal="center" vertical="center"/>
    </xf>
    <xf numFmtId="0" fontId="173" fillId="25" borderId="153" xfId="0" applyFont="1" applyFill="1" applyBorder="1" applyAlignment="1">
      <alignment horizontal="center" vertical="center" wrapText="1"/>
    </xf>
    <xf numFmtId="0" fontId="173" fillId="25" borderId="55" xfId="0" applyFont="1" applyFill="1" applyBorder="1" applyAlignment="1">
      <alignment horizontal="center" vertical="center" wrapText="1"/>
    </xf>
    <xf numFmtId="0" fontId="173" fillId="25" borderId="178" xfId="0" applyFont="1" applyFill="1" applyBorder="1" applyAlignment="1">
      <alignment horizontal="center" vertical="center" wrapText="1"/>
    </xf>
    <xf numFmtId="0" fontId="173" fillId="25" borderId="69" xfId="0" applyFont="1" applyFill="1" applyBorder="1" applyAlignment="1">
      <alignment horizontal="center" vertical="center" wrapText="1"/>
    </xf>
    <xf numFmtId="6" fontId="174" fillId="28" borderId="178" xfId="0" applyNumberFormat="1" applyFont="1" applyFill="1" applyBorder="1" applyAlignment="1">
      <alignment horizontal="center" vertical="center"/>
    </xf>
    <xf numFmtId="6" fontId="174" fillId="28" borderId="109" xfId="0" applyNumberFormat="1" applyFont="1" applyFill="1" applyBorder="1" applyAlignment="1">
      <alignment horizontal="center" vertical="center"/>
    </xf>
    <xf numFmtId="172" fontId="18" fillId="24" borderId="119" xfId="0" applyNumberFormat="1" applyFont="1" applyFill="1" applyBorder="1" applyAlignment="1" applyProtection="1">
      <alignment horizontal="center" vertical="center"/>
      <protection locked="0"/>
    </xf>
    <xf numFmtId="172" fontId="18" fillId="24" borderId="133" xfId="0" applyNumberFormat="1" applyFont="1" applyFill="1" applyBorder="1" applyAlignment="1" applyProtection="1">
      <alignment horizontal="center" vertical="center"/>
      <protection locked="0"/>
    </xf>
    <xf numFmtId="6" fontId="26" fillId="28" borderId="138" xfId="0" applyNumberFormat="1" applyFont="1" applyFill="1" applyBorder="1" applyAlignment="1">
      <alignment horizontal="center" vertical="center"/>
    </xf>
    <xf numFmtId="6" fontId="26" fillId="28" borderId="59" xfId="0" applyNumberFormat="1" applyFont="1" applyFill="1" applyBorder="1" applyAlignment="1">
      <alignment horizontal="center" vertical="center"/>
    </xf>
    <xf numFmtId="5" fontId="26" fillId="28" borderId="71" xfId="0" applyNumberFormat="1" applyFont="1" applyFill="1" applyBorder="1" applyAlignment="1">
      <alignment horizontal="center" vertical="center"/>
    </xf>
    <xf numFmtId="5" fontId="26" fillId="28" borderId="70" xfId="0" applyNumberFormat="1" applyFont="1" applyFill="1" applyBorder="1" applyAlignment="1">
      <alignment horizontal="center" vertical="center"/>
    </xf>
    <xf numFmtId="5" fontId="18" fillId="24" borderId="0" xfId="21" applyNumberFormat="1" applyFont="1" applyFill="1" applyBorder="1" applyAlignment="1">
      <alignment horizontal="center" vertical="center"/>
    </xf>
    <xf numFmtId="5" fontId="26" fillId="24" borderId="0" xfId="21" applyNumberFormat="1" applyFont="1" applyFill="1" applyBorder="1" applyAlignment="1">
      <alignment horizontal="center" vertical="center"/>
    </xf>
    <xf numFmtId="0" fontId="18" fillId="24" borderId="119" xfId="0" applyFont="1" applyFill="1" applyBorder="1" applyAlignment="1">
      <alignment horizontal="center" vertical="center"/>
    </xf>
    <xf numFmtId="0" fontId="18" fillId="24" borderId="133" xfId="0" applyFont="1" applyFill="1" applyBorder="1" applyAlignment="1">
      <alignment horizontal="center" vertical="center"/>
    </xf>
    <xf numFmtId="0" fontId="26" fillId="24" borderId="120" xfId="0" applyFont="1" applyFill="1" applyBorder="1" applyAlignment="1">
      <alignment horizontal="center" vertical="center"/>
    </xf>
    <xf numFmtId="0" fontId="26" fillId="24" borderId="123" xfId="0" applyFont="1" applyFill="1" applyBorder="1" applyAlignment="1">
      <alignment horizontal="center" vertical="center"/>
    </xf>
    <xf numFmtId="0" fontId="18" fillId="24" borderId="167" xfId="0" applyFont="1" applyFill="1" applyBorder="1" applyAlignment="1">
      <alignment horizontal="center" vertical="center"/>
    </xf>
    <xf numFmtId="0" fontId="18" fillId="24" borderId="168" xfId="0" applyFont="1" applyFill="1" applyBorder="1" applyAlignment="1">
      <alignment horizontal="center" vertical="center"/>
    </xf>
    <xf numFmtId="172" fontId="105" fillId="24" borderId="119" xfId="0" applyNumberFormat="1" applyFont="1" applyFill="1" applyBorder="1" applyAlignment="1" applyProtection="1">
      <alignment horizontal="center" vertical="center"/>
      <protection locked="0"/>
    </xf>
    <xf numFmtId="172" fontId="105" fillId="24" borderId="133" xfId="0" applyNumberFormat="1" applyFont="1" applyFill="1" applyBorder="1" applyAlignment="1" applyProtection="1">
      <alignment horizontal="center" vertical="center"/>
      <protection locked="0"/>
    </xf>
    <xf numFmtId="0" fontId="26" fillId="24" borderId="119" xfId="0" applyFont="1" applyFill="1" applyBorder="1" applyAlignment="1">
      <alignment horizontal="center" vertical="center"/>
    </xf>
    <xf numFmtId="0" fontId="26" fillId="24" borderId="133" xfId="0" applyFont="1" applyFill="1" applyBorder="1" applyAlignment="1">
      <alignment horizontal="center" vertical="center"/>
    </xf>
    <xf numFmtId="6" fontId="174" fillId="28" borderId="69" xfId="0" applyNumberFormat="1" applyFont="1" applyFill="1" applyBorder="1" applyAlignment="1">
      <alignment horizontal="center" vertical="center"/>
    </xf>
    <xf numFmtId="0" fontId="173" fillId="4" borderId="142" xfId="0" applyFont="1" applyFill="1" applyBorder="1" applyAlignment="1">
      <alignment horizontal="center" vertical="center"/>
    </xf>
    <xf numFmtId="0" fontId="173" fillId="4" borderId="143" xfId="0" applyFont="1" applyFill="1" applyBorder="1" applyAlignment="1">
      <alignment horizontal="center" vertical="center"/>
    </xf>
    <xf numFmtId="5" fontId="26" fillId="28" borderId="139" xfId="0" applyNumberFormat="1" applyFont="1" applyFill="1" applyBorder="1" applyAlignment="1">
      <alignment horizontal="center" vertical="center"/>
    </xf>
    <xf numFmtId="5" fontId="26" fillId="28" borderId="60" xfId="0" applyNumberFormat="1" applyFont="1" applyFill="1" applyBorder="1" applyAlignment="1">
      <alignment horizontal="center" vertical="center"/>
    </xf>
    <xf numFmtId="0" fontId="173" fillId="4" borderId="144" xfId="0" applyFont="1" applyFill="1" applyBorder="1" applyAlignment="1">
      <alignment horizontal="center" vertical="center"/>
    </xf>
    <xf numFmtId="0" fontId="173" fillId="4" borderId="138" xfId="0" applyFont="1" applyFill="1" applyBorder="1" applyAlignment="1">
      <alignment horizontal="center" vertical="center"/>
    </xf>
    <xf numFmtId="0" fontId="173" fillId="4" borderId="71" xfId="0" applyFont="1" applyFill="1" applyBorder="1" applyAlignment="1">
      <alignment horizontal="center" vertical="center"/>
    </xf>
    <xf numFmtId="0" fontId="173" fillId="4" borderId="139" xfId="0" applyFont="1" applyFill="1" applyBorder="1" applyAlignment="1">
      <alignment horizontal="center" vertical="center"/>
    </xf>
    <xf numFmtId="173" fontId="173" fillId="25" borderId="138" xfId="0" applyNumberFormat="1" applyFont="1" applyFill="1" applyBorder="1" applyAlignment="1">
      <alignment horizontal="center" vertical="center"/>
    </xf>
    <xf numFmtId="173" fontId="173" fillId="25" borderId="71" xfId="0" applyNumberFormat="1" applyFont="1" applyFill="1" applyBorder="1" applyAlignment="1">
      <alignment horizontal="center" vertical="center"/>
    </xf>
    <xf numFmtId="173" fontId="173" fillId="25" borderId="139" xfId="0" applyNumberFormat="1" applyFont="1" applyFill="1" applyBorder="1" applyAlignment="1">
      <alignment horizontal="center" vertical="center"/>
    </xf>
    <xf numFmtId="0" fontId="174" fillId="28" borderId="152" xfId="0" applyFont="1" applyFill="1" applyBorder="1" applyAlignment="1">
      <alignment horizontal="center" vertical="center"/>
    </xf>
    <xf numFmtId="0" fontId="174" fillId="28" borderId="67" xfId="0" applyFont="1" applyFill="1" applyBorder="1" applyAlignment="1">
      <alignment horizontal="center" vertical="center"/>
    </xf>
    <xf numFmtId="176" fontId="174" fillId="28" borderId="153" xfId="21" applyNumberFormat="1" applyFont="1" applyFill="1" applyBorder="1" applyAlignment="1">
      <alignment horizontal="center" vertical="center"/>
    </xf>
    <xf numFmtId="176" fontId="174" fillId="28" borderId="64" xfId="21" applyNumberFormat="1" applyFont="1" applyFill="1" applyBorder="1" applyAlignment="1">
      <alignment horizontal="center" vertical="center"/>
    </xf>
    <xf numFmtId="174" fontId="174" fillId="28" borderId="153" xfId="21" applyNumberFormat="1" applyFont="1" applyFill="1" applyBorder="1" applyAlignment="1">
      <alignment horizontal="center" vertical="center"/>
    </xf>
    <xf numFmtId="174" fontId="174" fillId="28" borderId="64" xfId="21" applyNumberFormat="1" applyFont="1" applyFill="1" applyBorder="1" applyAlignment="1">
      <alignment horizontal="center" vertical="center"/>
    </xf>
    <xf numFmtId="6" fontId="174" fillId="28" borderId="153" xfId="0" applyNumberFormat="1" applyFont="1" applyFill="1" applyBorder="1" applyAlignment="1">
      <alignment horizontal="center" vertical="center"/>
    </xf>
    <xf numFmtId="6" fontId="174" fillId="28" borderId="64" xfId="0" applyNumberFormat="1" applyFont="1" applyFill="1" applyBorder="1" applyAlignment="1">
      <alignment horizontal="center" vertical="center"/>
    </xf>
    <xf numFmtId="0" fontId="174" fillId="28" borderId="68" xfId="0" applyFont="1" applyFill="1" applyBorder="1" applyAlignment="1">
      <alignment horizontal="center" vertical="center"/>
    </xf>
    <xf numFmtId="3" fontId="174" fillId="28" borderId="153" xfId="0" applyNumberFormat="1" applyFont="1" applyFill="1" applyBorder="1" applyAlignment="1">
      <alignment horizontal="center" vertical="center"/>
    </xf>
    <xf numFmtId="3" fontId="174" fillId="28" borderId="55" xfId="0" applyNumberFormat="1" applyFont="1" applyFill="1" applyBorder="1" applyAlignment="1">
      <alignment horizontal="center" vertical="center"/>
    </xf>
    <xf numFmtId="8" fontId="174" fillId="28" borderId="153" xfId="0" applyNumberFormat="1" applyFont="1" applyFill="1" applyBorder="1" applyAlignment="1">
      <alignment horizontal="center" vertical="center"/>
    </xf>
    <xf numFmtId="8" fontId="174" fillId="28" borderId="55" xfId="0" applyNumberFormat="1" applyFont="1" applyFill="1" applyBorder="1" applyAlignment="1">
      <alignment horizontal="center" vertical="center"/>
    </xf>
    <xf numFmtId="3" fontId="173" fillId="25" borderId="138" xfId="0" applyNumberFormat="1" applyFont="1" applyFill="1" applyBorder="1" applyAlignment="1">
      <alignment horizontal="center" vertical="center"/>
    </xf>
    <xf numFmtId="0" fontId="173" fillId="25" borderId="59" xfId="0" applyFont="1" applyFill="1" applyBorder="1" applyAlignment="1">
      <alignment horizontal="center" vertical="center"/>
    </xf>
    <xf numFmtId="0" fontId="173" fillId="25" borderId="60" xfId="0" applyFont="1" applyFill="1" applyBorder="1" applyAlignment="1">
      <alignment horizontal="center" vertical="center" wrapText="1"/>
    </xf>
    <xf numFmtId="0" fontId="173" fillId="25" borderId="138" xfId="2" applyFont="1" applyFill="1" applyBorder="1" applyAlignment="1">
      <alignment horizontal="center" vertical="center"/>
    </xf>
    <xf numFmtId="0" fontId="173" fillId="25" borderId="59" xfId="2" applyFont="1" applyFill="1" applyBorder="1" applyAlignment="1">
      <alignment horizontal="center" vertical="center"/>
    </xf>
    <xf numFmtId="5" fontId="18" fillId="29" borderId="0" xfId="21" applyNumberFormat="1" applyFont="1" applyFill="1" applyBorder="1" applyAlignment="1">
      <alignment horizontal="center" vertical="center"/>
    </xf>
    <xf numFmtId="5" fontId="26" fillId="29" borderId="0" xfId="21" applyNumberFormat="1" applyFont="1" applyFill="1" applyBorder="1" applyAlignment="1">
      <alignment horizontal="center" vertical="center"/>
    </xf>
    <xf numFmtId="286" fontId="174" fillId="28" borderId="153" xfId="21" applyNumberFormat="1" applyFont="1" applyFill="1" applyBorder="1" applyAlignment="1">
      <alignment horizontal="center" vertical="center"/>
    </xf>
    <xf numFmtId="286" fontId="174" fillId="28" borderId="64" xfId="21" applyNumberFormat="1" applyFont="1" applyFill="1" applyBorder="1" applyAlignment="1">
      <alignment horizontal="center" vertical="center"/>
    </xf>
    <xf numFmtId="0" fontId="180" fillId="25" borderId="88" xfId="0" quotePrefix="1" applyFont="1" applyFill="1" applyBorder="1" applyAlignment="1">
      <alignment horizontal="center" vertical="center" wrapText="1"/>
    </xf>
    <xf numFmtId="0" fontId="180" fillId="25" borderId="89" xfId="0" quotePrefix="1" applyFont="1" applyFill="1" applyBorder="1" applyAlignment="1">
      <alignment horizontal="center" vertical="center" wrapText="1"/>
    </xf>
    <xf numFmtId="0" fontId="184" fillId="24" borderId="0" xfId="0" applyFont="1" applyFill="1" applyAlignment="1">
      <alignment horizontal="center" vertical="center"/>
    </xf>
    <xf numFmtId="3" fontId="182" fillId="24" borderId="76" xfId="0" applyNumberFormat="1" applyFont="1" applyFill="1" applyBorder="1" applyAlignment="1">
      <alignment horizontal="center" vertical="center" wrapText="1"/>
    </xf>
    <xf numFmtId="3" fontId="182" fillId="24" borderId="94" xfId="0" applyNumberFormat="1" applyFont="1" applyFill="1" applyBorder="1" applyAlignment="1">
      <alignment horizontal="center" vertical="center" wrapText="1"/>
    </xf>
    <xf numFmtId="3" fontId="182" fillId="24" borderId="76" xfId="0" quotePrefix="1" applyNumberFormat="1" applyFont="1" applyFill="1" applyBorder="1" applyAlignment="1">
      <alignment horizontal="center" vertical="center" wrapText="1"/>
    </xf>
    <xf numFmtId="3" fontId="182" fillId="24" borderId="7" xfId="0" applyNumberFormat="1" applyFont="1" applyFill="1" applyBorder="1" applyAlignment="1">
      <alignment horizontal="center" vertical="center" wrapText="1"/>
    </xf>
    <xf numFmtId="3" fontId="182" fillId="24" borderId="96" xfId="0" applyNumberFormat="1" applyFont="1" applyFill="1" applyBorder="1" applyAlignment="1">
      <alignment horizontal="center" vertical="center" wrapText="1"/>
    </xf>
    <xf numFmtId="0" fontId="180" fillId="25" borderId="89" xfId="0" applyFont="1" applyFill="1" applyBorder="1" applyAlignment="1">
      <alignment horizontal="center" vertical="center" wrapText="1"/>
    </xf>
    <xf numFmtId="0" fontId="180" fillId="25" borderId="90" xfId="0" applyFont="1" applyFill="1" applyBorder="1" applyAlignment="1">
      <alignment horizontal="center" vertical="center" wrapText="1"/>
    </xf>
    <xf numFmtId="3" fontId="182" fillId="24" borderId="98" xfId="0" applyNumberFormat="1" applyFont="1" applyFill="1" applyBorder="1" applyAlignment="1">
      <alignment horizontal="center" vertical="center" wrapText="1"/>
    </xf>
    <xf numFmtId="3" fontId="182" fillId="24" borderId="99" xfId="0" applyNumberFormat="1" applyFont="1" applyFill="1" applyBorder="1" applyAlignment="1">
      <alignment horizontal="center" vertical="center" wrapText="1"/>
    </xf>
    <xf numFmtId="0" fontId="188" fillId="25" borderId="61" xfId="0" applyFont="1" applyFill="1" applyBorder="1" applyAlignment="1">
      <alignment horizontal="center" vertical="center"/>
    </xf>
    <xf numFmtId="0" fontId="188" fillId="25" borderId="62" xfId="0" applyFont="1" applyFill="1" applyBorder="1" applyAlignment="1">
      <alignment horizontal="center" vertical="center"/>
    </xf>
    <xf numFmtId="0" fontId="188" fillId="25" borderId="63" xfId="0" applyFont="1" applyFill="1" applyBorder="1" applyAlignment="1">
      <alignment horizontal="center" vertical="center"/>
    </xf>
  </cellXfs>
  <cellStyles count="1362">
    <cellStyle name="$ 0 decimal" xfId="130" xr:uid="{00000000-0005-0000-0000-00009F020000}"/>
    <cellStyle name="$ 1 decimal" xfId="131" xr:uid="{00000000-0005-0000-0000-0000A0020000}"/>
    <cellStyle name="$ 2 decimals" xfId="132" xr:uid="{00000000-0005-0000-0000-0000A1020000}"/>
    <cellStyle name="_%(SignOnly)" xfId="133" xr:uid="{00000000-0005-0000-0000-000000000000}"/>
    <cellStyle name="_%(SignSpaceOnly)" xfId="134" xr:uid="{00000000-0005-0000-0000-000001000000}"/>
    <cellStyle name="_%(SignSpaceOnly)_ControlTables" xfId="135" xr:uid="{00000000-0005-0000-0000-000002000000}"/>
    <cellStyle name="_%(SignSpaceOnly)_ControlTablesI" xfId="136" xr:uid="{00000000-0005-0000-0000-000003000000}"/>
    <cellStyle name="_%(SignSpaceOnly)_Database - Comparables" xfId="137" xr:uid="{00000000-0005-0000-0000-000004000000}"/>
    <cellStyle name="_%(SignSpaceOnly)_DB_Eye" xfId="138" xr:uid="{00000000-0005-0000-0000-000005000000}"/>
    <cellStyle name="_%(SignSpaceOnly)_Exec Summary" xfId="139" xr:uid="{00000000-0005-0000-0000-000006000000}"/>
    <cellStyle name="_%(SignSpaceOnly)_Exec Summary_1" xfId="140" xr:uid="{00000000-0005-0000-0000-000007000000}"/>
    <cellStyle name="_%(SignSpaceOnly)_Sheet1" xfId="141" xr:uid="{00000000-0005-0000-0000-000008000000}"/>
    <cellStyle name="_ARI Base Case July 25 TPS1" xfId="142" xr:uid="{00000000-0005-0000-0000-000009000000}"/>
    <cellStyle name="_Comma" xfId="143" xr:uid="{00000000-0005-0000-0000-00000A000000}"/>
    <cellStyle name="_Comma_3-Yr Eyechart" xfId="144" xr:uid="{00000000-0005-0000-0000-00000B000000}"/>
    <cellStyle name="_Comma_Asset Comparisons" xfId="145" xr:uid="{00000000-0005-0000-0000-00000C000000}"/>
    <cellStyle name="_Comma_Balance Sheet" xfId="146" xr:uid="{00000000-0005-0000-0000-00000D000000}"/>
    <cellStyle name="_Comma_Balance Sheet_ControlTables" xfId="147" xr:uid="{00000000-0005-0000-0000-00000E000000}"/>
    <cellStyle name="_Comma_Balance Sheet_ControlTablesI" xfId="148" xr:uid="{00000000-0005-0000-0000-00000F000000}"/>
    <cellStyle name="_Comma_Balance Sheet_Database - Comparables" xfId="149" xr:uid="{00000000-0005-0000-0000-000010000000}"/>
    <cellStyle name="_Comma_Balance Sheet_DB_Eye" xfId="150" xr:uid="{00000000-0005-0000-0000-000011000000}"/>
    <cellStyle name="_Comma_Balance Sheet_Exec Summary" xfId="151" xr:uid="{00000000-0005-0000-0000-000012000000}"/>
    <cellStyle name="_Comma_Balance Sheet_Existing Debt" xfId="152" xr:uid="{00000000-0005-0000-0000-000013000000}"/>
    <cellStyle name="_Comma_Balance Sheet_Kor-Port_LEQ_6-10-04_CR_Final-Struct_FINAL" xfId="153" xr:uid="{00000000-0005-0000-0000-000014000000}"/>
    <cellStyle name="_Comma_Balance Sheet_Mallard's_Landing_LEQ_8-17-04" xfId="154" xr:uid="{00000000-0005-0000-0000-000015000000}"/>
    <cellStyle name="_Comma_Balance Sheet_Quick Property Input" xfId="155" xr:uid="{00000000-0005-0000-0000-000016000000}"/>
    <cellStyle name="_Comma_Balance Sheet_Sheet1" xfId="156" xr:uid="{00000000-0005-0000-0000-000017000000}"/>
    <cellStyle name="_Comma_Balance Sheet_Sheet1_Data Tape" xfId="157" xr:uid="{00000000-0005-0000-0000-000018000000}"/>
    <cellStyle name="_Comma_Balance Sheet_Sheet1_Deal Assumptions" xfId="158" xr:uid="{00000000-0005-0000-0000-000019000000}"/>
    <cellStyle name="_Comma_Balance Sheet_Sheet1_RE Valuation 2" xfId="159" xr:uid="{00000000-0005-0000-0000-00001A000000}"/>
    <cellStyle name="_Comma_Balance Sheet_Sheet2" xfId="160" xr:uid="{00000000-0005-0000-0000-00001B000000}"/>
    <cellStyle name="_Comma_ControlTables" xfId="161" xr:uid="{00000000-0005-0000-0000-00001C000000}"/>
    <cellStyle name="_Comma_ControlTablesI" xfId="162" xr:uid="{00000000-0005-0000-0000-00001D000000}"/>
    <cellStyle name="_Comma_Cost Of Funds" xfId="163" xr:uid="{00000000-0005-0000-0000-00001E000000}"/>
    <cellStyle name="_Comma_Criteria" xfId="164" xr:uid="{00000000-0005-0000-0000-00001F000000}"/>
    <cellStyle name="_Comma_Criteria Test Export" xfId="165" xr:uid="{00000000-0005-0000-0000-000020000000}"/>
    <cellStyle name="_Comma_Criteria_ControlTables" xfId="166" xr:uid="{00000000-0005-0000-0000-000021000000}"/>
    <cellStyle name="_Comma_Criteria_ControlTablesI" xfId="167" xr:uid="{00000000-0005-0000-0000-000022000000}"/>
    <cellStyle name="_Comma_Criteria_Database - Comparables" xfId="168" xr:uid="{00000000-0005-0000-0000-000023000000}"/>
    <cellStyle name="_Comma_Criteria_DB_Eye" xfId="169" xr:uid="{00000000-0005-0000-0000-000024000000}"/>
    <cellStyle name="_Comma_Criteria_Exec Summary" xfId="170" xr:uid="{00000000-0005-0000-0000-000025000000}"/>
    <cellStyle name="_Comma_Criteria_Existing Debt" xfId="171" xr:uid="{00000000-0005-0000-0000-000026000000}"/>
    <cellStyle name="_Comma_Criteria_Kor-Port_LEQ_6-10-04_CR_Final-Struct_FINAL" xfId="172" xr:uid="{00000000-0005-0000-0000-000027000000}"/>
    <cellStyle name="_Comma_Criteria_Mallard's_Landing_LEQ_8-17-04" xfId="173" xr:uid="{00000000-0005-0000-0000-000028000000}"/>
    <cellStyle name="_Comma_Criteria_Quick Property Input" xfId="174" xr:uid="{00000000-0005-0000-0000-000029000000}"/>
    <cellStyle name="_Comma_Criteria_Sheet1" xfId="175" xr:uid="{00000000-0005-0000-0000-00002A000000}"/>
    <cellStyle name="_Comma_Criteria_Sheet1_Data Tape" xfId="176" xr:uid="{00000000-0005-0000-0000-00002B000000}"/>
    <cellStyle name="_Comma_Criteria_Sheet1_Deal Assumptions" xfId="177" xr:uid="{00000000-0005-0000-0000-00002C000000}"/>
    <cellStyle name="_Comma_Criteria_Sheet1_RE Valuation 2" xfId="178" xr:uid="{00000000-0005-0000-0000-00002D000000}"/>
    <cellStyle name="_Comma_Criteria_Sheet2" xfId="179" xr:uid="{00000000-0005-0000-0000-00002E000000}"/>
    <cellStyle name="_Comma_Data Tape" xfId="180" xr:uid="{00000000-0005-0000-0000-00002F000000}"/>
    <cellStyle name="_Comma_Data Tape_1" xfId="181" xr:uid="{00000000-0005-0000-0000-000030000000}"/>
    <cellStyle name="_Comma_Data Tape_ControlTables" xfId="182" xr:uid="{00000000-0005-0000-0000-000031000000}"/>
    <cellStyle name="_Comma_Data Tape_ControlTablesI" xfId="183" xr:uid="{00000000-0005-0000-0000-000032000000}"/>
    <cellStyle name="_Comma_Data Tape_Database - Comparables" xfId="184" xr:uid="{00000000-0005-0000-0000-000033000000}"/>
    <cellStyle name="_Comma_Data Tape_DB_Eye" xfId="185" xr:uid="{00000000-0005-0000-0000-000034000000}"/>
    <cellStyle name="_Comma_Data Tape_Exec Summary" xfId="186" xr:uid="{00000000-0005-0000-0000-000035000000}"/>
    <cellStyle name="_Comma_Data Tape_Existing Debt" xfId="187" xr:uid="{00000000-0005-0000-0000-000036000000}"/>
    <cellStyle name="_Comma_Data Tape_Kor-Port_LEQ_6-10-04_CR_Final-Struct_FINAL" xfId="188" xr:uid="{00000000-0005-0000-0000-000037000000}"/>
    <cellStyle name="_Comma_Data Tape_Mallard's_Landing_LEQ_8-17-04" xfId="189" xr:uid="{00000000-0005-0000-0000-000038000000}"/>
    <cellStyle name="_Comma_Data Tape_Quick Property Input" xfId="190" xr:uid="{00000000-0005-0000-0000-000039000000}"/>
    <cellStyle name="_Comma_Data Tape_Sheet1" xfId="191" xr:uid="{00000000-0005-0000-0000-00003A000000}"/>
    <cellStyle name="_Comma_Data Tape_Sheet1_Data Tape" xfId="192" xr:uid="{00000000-0005-0000-0000-00003B000000}"/>
    <cellStyle name="_Comma_Data Tape_Sheet1_Deal Assumptions" xfId="193" xr:uid="{00000000-0005-0000-0000-00003C000000}"/>
    <cellStyle name="_Comma_Data Tape_Sheet1_RE Valuation 2" xfId="194" xr:uid="{00000000-0005-0000-0000-00003D000000}"/>
    <cellStyle name="_Comma_Data Tape_Sheet2" xfId="195" xr:uid="{00000000-0005-0000-0000-00003E000000}"/>
    <cellStyle name="_Comma_Data_Tape" xfId="196" xr:uid="{00000000-0005-0000-0000-00003F000000}"/>
    <cellStyle name="_Comma_Database - Comparables" xfId="197" xr:uid="{00000000-0005-0000-0000-000040000000}"/>
    <cellStyle name="_Comma_Database - Economics" xfId="198" xr:uid="{00000000-0005-0000-0000-000041000000}"/>
    <cellStyle name="_Comma_DB Eye" xfId="199" xr:uid="{00000000-0005-0000-0000-000042000000}"/>
    <cellStyle name="_Comma_DB_Eye" xfId="200" xr:uid="{00000000-0005-0000-0000-000043000000}"/>
    <cellStyle name="_Comma_Deal Input" xfId="201" xr:uid="{00000000-0005-0000-0000-000044000000}"/>
    <cellStyle name="_Comma_Direct Cap Eye" xfId="202" xr:uid="{00000000-0005-0000-0000-000045000000}"/>
    <cellStyle name="_Comma_DPEM2005_vBetatest6" xfId="203" xr:uid="{00000000-0005-0000-0000-000046000000}"/>
    <cellStyle name="_Comma_ETR" xfId="204" xr:uid="{00000000-0005-0000-0000-000047000000}"/>
    <cellStyle name="_Comma_Exec Summary" xfId="205" xr:uid="{00000000-0005-0000-0000-000048000000}"/>
    <cellStyle name="_Comma_Existing Debt" xfId="206" xr:uid="{00000000-0005-0000-0000-000049000000}"/>
    <cellStyle name="_Comma_EyeChart" xfId="207" xr:uid="{00000000-0005-0000-0000-00004A000000}"/>
    <cellStyle name="_Comma_EyeChart 090503" xfId="208" xr:uid="{00000000-0005-0000-0000-00004B000000}"/>
    <cellStyle name="_Comma_Input" xfId="209" xr:uid="{00000000-0005-0000-0000-00004C000000}"/>
    <cellStyle name="_Comma_Input_1" xfId="210" xr:uid="{00000000-0005-0000-0000-00004D000000}"/>
    <cellStyle name="_Comma_Input_ControlTables" xfId="211" xr:uid="{00000000-0005-0000-0000-00004E000000}"/>
    <cellStyle name="_Comma_Input_ControlTablesI" xfId="212" xr:uid="{00000000-0005-0000-0000-00004F000000}"/>
    <cellStyle name="_Comma_Input_Data Tape" xfId="213" xr:uid="{00000000-0005-0000-0000-000050000000}"/>
    <cellStyle name="_Comma_Input_Database - Comparables" xfId="214" xr:uid="{00000000-0005-0000-0000-000051000000}"/>
    <cellStyle name="_Comma_Input_Database - Economics" xfId="215" xr:uid="{00000000-0005-0000-0000-000052000000}"/>
    <cellStyle name="_Comma_Input_DB_Eye" xfId="216" xr:uid="{00000000-0005-0000-0000-000053000000}"/>
    <cellStyle name="_Comma_Input_Exec Summary" xfId="217" xr:uid="{00000000-0005-0000-0000-000054000000}"/>
    <cellStyle name="_Comma_Input_Existing Debt" xfId="218" xr:uid="{00000000-0005-0000-0000-000055000000}"/>
    <cellStyle name="_Comma_Input_Kor-Port_LEQ_6-10-04_CR_Final-Struct_FINAL" xfId="219" xr:uid="{00000000-0005-0000-0000-000056000000}"/>
    <cellStyle name="_Comma_Input_Mallard's_Landing_LEQ_8-17-04" xfId="220" xr:uid="{00000000-0005-0000-0000-000057000000}"/>
    <cellStyle name="_Comma_Input_Quick Property Input" xfId="221" xr:uid="{00000000-0005-0000-0000-000058000000}"/>
    <cellStyle name="_Comma_Input_Sheet1" xfId="222" xr:uid="{00000000-0005-0000-0000-000059000000}"/>
    <cellStyle name="_Comma_Input_Sheet1_Data Tape" xfId="223" xr:uid="{00000000-0005-0000-0000-00005A000000}"/>
    <cellStyle name="_Comma_Input_Sheet1_Deal Assumptions" xfId="224" xr:uid="{00000000-0005-0000-0000-00005B000000}"/>
    <cellStyle name="_Comma_Input_Sheet1_RE Valuation 2" xfId="225" xr:uid="{00000000-0005-0000-0000-00005C000000}"/>
    <cellStyle name="_Comma_Input_Sheet2" xfId="226" xr:uid="{00000000-0005-0000-0000-00005D000000}"/>
    <cellStyle name="_Comma_JV Economics" xfId="227" xr:uid="{00000000-0005-0000-0000-00005E000000}"/>
    <cellStyle name="_Comma_M&amp;A Feed" xfId="228" xr:uid="{00000000-0005-0000-0000-00005F000000}"/>
    <cellStyle name="_Comma_NPV Case Eyechart" xfId="229" xr:uid="{00000000-0005-0000-0000-000060000000}"/>
    <cellStyle name="_Comma_Pools" xfId="230" xr:uid="{00000000-0005-0000-0000-000061000000}"/>
    <cellStyle name="_Comma_Pools_1" xfId="231" xr:uid="{00000000-0005-0000-0000-000062000000}"/>
    <cellStyle name="_Comma_Portfolio Valuation" xfId="232" xr:uid="{00000000-0005-0000-0000-000063000000}"/>
    <cellStyle name="_Comma_Pricing" xfId="233" xr:uid="{00000000-0005-0000-0000-000064000000}"/>
    <cellStyle name="_Comma_Prop 13" xfId="234" xr:uid="{00000000-0005-0000-0000-000065000000}"/>
    <cellStyle name="_Comma_Prop 13 Data" xfId="235" xr:uid="{00000000-0005-0000-0000-000066000000}"/>
    <cellStyle name="_Comma_Prop 13 Summary-11-10" xfId="236" xr:uid="{00000000-0005-0000-0000-000067000000}"/>
    <cellStyle name="_Comma_Property Assumptions" xfId="237" xr:uid="{00000000-0005-0000-0000-000068000000}"/>
    <cellStyle name="_Comma_Property Assumptions_1" xfId="238" xr:uid="{00000000-0005-0000-0000-000069000000}"/>
    <cellStyle name="_Comma_Quick Property Input" xfId="239" xr:uid="{00000000-0005-0000-0000-00006A000000}"/>
    <cellStyle name="_Comma_Senario Input Assumptions" xfId="240" xr:uid="{00000000-0005-0000-0000-00006B000000}"/>
    <cellStyle name="_Comma_Senario Input Assumptions_ControlTables" xfId="241" xr:uid="{00000000-0005-0000-0000-00006C000000}"/>
    <cellStyle name="_Comma_Senario Input Assumptions_ControlTablesI" xfId="242" xr:uid="{00000000-0005-0000-0000-00006D000000}"/>
    <cellStyle name="_Comma_Senario Input Assumptions_Database - Comparables" xfId="243" xr:uid="{00000000-0005-0000-0000-00006E000000}"/>
    <cellStyle name="_Comma_Senario Input Assumptions_DB_Eye" xfId="244" xr:uid="{00000000-0005-0000-0000-00006F000000}"/>
    <cellStyle name="_Comma_Senario Input Assumptions_Exec Summary" xfId="245" xr:uid="{00000000-0005-0000-0000-000070000000}"/>
    <cellStyle name="_Comma_Senario Input Assumptions_Existing Debt" xfId="246" xr:uid="{00000000-0005-0000-0000-000071000000}"/>
    <cellStyle name="_Comma_Senario Input Assumptions_Kor-Port_LEQ_6-10-04_CR_Final-Struct_FINAL" xfId="247" xr:uid="{00000000-0005-0000-0000-000072000000}"/>
    <cellStyle name="_Comma_Senario Input Assumptions_Mallard's_Landing_LEQ_8-17-04" xfId="248" xr:uid="{00000000-0005-0000-0000-000073000000}"/>
    <cellStyle name="_Comma_Senario Input Assumptions_Quick Property Input" xfId="249" xr:uid="{00000000-0005-0000-0000-000074000000}"/>
    <cellStyle name="_Comma_Senario Input Assumptions_Sheet1" xfId="250" xr:uid="{00000000-0005-0000-0000-000075000000}"/>
    <cellStyle name="_Comma_Senario Input Assumptions_Sheet1_Data Tape" xfId="251" xr:uid="{00000000-0005-0000-0000-000076000000}"/>
    <cellStyle name="_Comma_Senario Input Assumptions_Sheet1_Deal Assumptions" xfId="252" xr:uid="{00000000-0005-0000-0000-000077000000}"/>
    <cellStyle name="_Comma_Senario Input Assumptions_Sheet1_RE Valuation 2" xfId="253" xr:uid="{00000000-0005-0000-0000-000078000000}"/>
    <cellStyle name="_Comma_Senario Input Assumptions_Sheet2" xfId="254" xr:uid="{00000000-0005-0000-0000-000079000000}"/>
    <cellStyle name="_Comma_Sheet1" xfId="255" xr:uid="{00000000-0005-0000-0000-00007A000000}"/>
    <cellStyle name="_Comma_Sheet1_1" xfId="256" xr:uid="{00000000-0005-0000-0000-00007B000000}"/>
    <cellStyle name="_Comma_Sheet1_3-Yr Eyechart" xfId="257" xr:uid="{00000000-0005-0000-0000-00007C000000}"/>
    <cellStyle name="_Comma_Sheet1_Balance Sheet" xfId="258" xr:uid="{00000000-0005-0000-0000-00007D000000}"/>
    <cellStyle name="_Comma_Sheet1_Cost Of Funds" xfId="259" xr:uid="{00000000-0005-0000-0000-00007E000000}"/>
    <cellStyle name="_Comma_Sheet1_Criteria" xfId="260" xr:uid="{00000000-0005-0000-0000-00007F000000}"/>
    <cellStyle name="_Comma_Sheet1_Criteria Test Export" xfId="261" xr:uid="{00000000-0005-0000-0000-000080000000}"/>
    <cellStyle name="_Comma_Sheet1_Data Tape" xfId="262" xr:uid="{00000000-0005-0000-0000-000081000000}"/>
    <cellStyle name="_Comma_Sheet1_Data Tape_1" xfId="263" xr:uid="{00000000-0005-0000-0000-000082000000}"/>
    <cellStyle name="_Comma_Sheet1_Data_Tape" xfId="264" xr:uid="{00000000-0005-0000-0000-000083000000}"/>
    <cellStyle name="_Comma_Sheet1_Data_Tape_ControlTables" xfId="265" xr:uid="{00000000-0005-0000-0000-000084000000}"/>
    <cellStyle name="_Comma_Sheet1_Data_Tape_ControlTablesI" xfId="266" xr:uid="{00000000-0005-0000-0000-000085000000}"/>
    <cellStyle name="_Comma_Sheet1_Data_Tape_Database - Comparables" xfId="267" xr:uid="{00000000-0005-0000-0000-000086000000}"/>
    <cellStyle name="_Comma_Sheet1_Data_Tape_DB_Eye" xfId="268" xr:uid="{00000000-0005-0000-0000-000087000000}"/>
    <cellStyle name="_Comma_Sheet1_Data_Tape_Exec Summary" xfId="269" xr:uid="{00000000-0005-0000-0000-000088000000}"/>
    <cellStyle name="_Comma_Sheet1_Data_Tape_Existing Debt" xfId="270" xr:uid="{00000000-0005-0000-0000-000089000000}"/>
    <cellStyle name="_Comma_Sheet1_Data_Tape_Kor-Port_LEQ_6-10-04_CR_Final-Struct_FINAL" xfId="271" xr:uid="{00000000-0005-0000-0000-00008A000000}"/>
    <cellStyle name="_Comma_Sheet1_Data_Tape_Mallard's_Landing_LEQ_8-17-04" xfId="272" xr:uid="{00000000-0005-0000-0000-00008B000000}"/>
    <cellStyle name="_Comma_Sheet1_Data_Tape_Quick Property Input" xfId="273" xr:uid="{00000000-0005-0000-0000-00008C000000}"/>
    <cellStyle name="_Comma_Sheet1_Data_Tape_Sheet1" xfId="274" xr:uid="{00000000-0005-0000-0000-00008D000000}"/>
    <cellStyle name="_Comma_Sheet1_Data_Tape_Sheet1_Data Tape" xfId="275" xr:uid="{00000000-0005-0000-0000-00008E000000}"/>
    <cellStyle name="_Comma_Sheet1_Data_Tape_Sheet1_Deal Assumptions" xfId="276" xr:uid="{00000000-0005-0000-0000-00008F000000}"/>
    <cellStyle name="_Comma_Sheet1_Data_Tape_Sheet1_RE Valuation 2" xfId="277" xr:uid="{00000000-0005-0000-0000-000090000000}"/>
    <cellStyle name="_Comma_Sheet1_Data_Tape_Sheet2" xfId="278" xr:uid="{00000000-0005-0000-0000-000091000000}"/>
    <cellStyle name="_Comma_Sheet1_Database - Economics" xfId="279" xr:uid="{00000000-0005-0000-0000-000092000000}"/>
    <cellStyle name="_Comma_Sheet1_Deal Input" xfId="280" xr:uid="{00000000-0005-0000-0000-000093000000}"/>
    <cellStyle name="_Comma_Sheet1_Direct Cap Eye" xfId="281" xr:uid="{00000000-0005-0000-0000-000094000000}"/>
    <cellStyle name="_Comma_Sheet1_DPEM2005_vBetatest6" xfId="282" xr:uid="{00000000-0005-0000-0000-000095000000}"/>
    <cellStyle name="_Comma_Sheet1_ETR" xfId="283" xr:uid="{00000000-0005-0000-0000-000096000000}"/>
    <cellStyle name="_Comma_Sheet1_Existing Debt" xfId="284" xr:uid="{00000000-0005-0000-0000-000097000000}"/>
    <cellStyle name="_Comma_Sheet1_Input" xfId="285" xr:uid="{00000000-0005-0000-0000-000098000000}"/>
    <cellStyle name="_Comma_Sheet1_Input_1" xfId="286" xr:uid="{00000000-0005-0000-0000-000099000000}"/>
    <cellStyle name="_Comma_Sheet1_Input_Data Tape" xfId="287" xr:uid="{00000000-0005-0000-0000-00009A000000}"/>
    <cellStyle name="_Comma_Sheet1_Input_Database - Economics" xfId="288" xr:uid="{00000000-0005-0000-0000-00009B000000}"/>
    <cellStyle name="_Comma_Sheet1_M&amp;A Feed" xfId="289" xr:uid="{00000000-0005-0000-0000-00009C000000}"/>
    <cellStyle name="_Comma_Sheet1_NPV Case Eyechart" xfId="290" xr:uid="{00000000-0005-0000-0000-00009D000000}"/>
    <cellStyle name="_Comma_Sheet1_Pools" xfId="291" xr:uid="{00000000-0005-0000-0000-00009E000000}"/>
    <cellStyle name="_Comma_Sheet1_Pools_1" xfId="292" xr:uid="{00000000-0005-0000-0000-00009F000000}"/>
    <cellStyle name="_Comma_Sheet1_Pools_ControlTables" xfId="293" xr:uid="{00000000-0005-0000-0000-0000A0000000}"/>
    <cellStyle name="_Comma_Sheet1_Pools_ControlTablesI" xfId="294" xr:uid="{00000000-0005-0000-0000-0000A1000000}"/>
    <cellStyle name="_Comma_Sheet1_Pools_Database - Comparables" xfId="295" xr:uid="{00000000-0005-0000-0000-0000A2000000}"/>
    <cellStyle name="_Comma_Sheet1_Pools_DB_Eye" xfId="296" xr:uid="{00000000-0005-0000-0000-0000A3000000}"/>
    <cellStyle name="_Comma_Sheet1_Pools_Exec Summary" xfId="297" xr:uid="{00000000-0005-0000-0000-0000A4000000}"/>
    <cellStyle name="_Comma_Sheet1_Pools_Existing Debt" xfId="298" xr:uid="{00000000-0005-0000-0000-0000A5000000}"/>
    <cellStyle name="_Comma_Sheet1_Pools_Kor-Port_LEQ_6-10-04_CR_Final-Struct_FINAL" xfId="299" xr:uid="{00000000-0005-0000-0000-0000A6000000}"/>
    <cellStyle name="_Comma_Sheet1_Pools_Mallard's_Landing_LEQ_8-17-04" xfId="300" xr:uid="{00000000-0005-0000-0000-0000A7000000}"/>
    <cellStyle name="_Comma_Sheet1_Pools_Quick Property Input" xfId="301" xr:uid="{00000000-0005-0000-0000-0000A8000000}"/>
    <cellStyle name="_Comma_Sheet1_Pools_Sheet1" xfId="302" xr:uid="{00000000-0005-0000-0000-0000A9000000}"/>
    <cellStyle name="_Comma_Sheet1_Pools_Sheet1_Data Tape" xfId="303" xr:uid="{00000000-0005-0000-0000-0000AA000000}"/>
    <cellStyle name="_Comma_Sheet1_Pools_Sheet1_Deal Assumptions" xfId="304" xr:uid="{00000000-0005-0000-0000-0000AB000000}"/>
    <cellStyle name="_Comma_Sheet1_Pools_Sheet1_RE Valuation 2" xfId="305" xr:uid="{00000000-0005-0000-0000-0000AC000000}"/>
    <cellStyle name="_Comma_Sheet1_Pools_Sheet2" xfId="306" xr:uid="{00000000-0005-0000-0000-0000AD000000}"/>
    <cellStyle name="_Comma_Sheet1_Portfolio Valuation" xfId="307" xr:uid="{00000000-0005-0000-0000-0000AE000000}"/>
    <cellStyle name="_Comma_Sheet1_Prop 13" xfId="308" xr:uid="{00000000-0005-0000-0000-0000AF000000}"/>
    <cellStyle name="_Comma_Sheet1_Prop 13 Data" xfId="309" xr:uid="{00000000-0005-0000-0000-0000B0000000}"/>
    <cellStyle name="_Comma_Sheet1_Prop 13 Summary-11-10" xfId="310" xr:uid="{00000000-0005-0000-0000-0000B1000000}"/>
    <cellStyle name="_Comma_Sheet1_Property Assumptions" xfId="311" xr:uid="{00000000-0005-0000-0000-0000B2000000}"/>
    <cellStyle name="_Comma_Sheet1_Property Assumptions_1" xfId="312" xr:uid="{00000000-0005-0000-0000-0000B3000000}"/>
    <cellStyle name="_Comma_Sheet1_Quick Property Input" xfId="313" xr:uid="{00000000-0005-0000-0000-0000B4000000}"/>
    <cellStyle name="_Comma_Sheet1_Senario Input Assumptions" xfId="314" xr:uid="{00000000-0005-0000-0000-0000B5000000}"/>
    <cellStyle name="_Comma_Sheet1_Sheet1" xfId="315" xr:uid="{00000000-0005-0000-0000-0000B6000000}"/>
    <cellStyle name="_Comma_Sheet1_Sheet2" xfId="316" xr:uid="{00000000-0005-0000-0000-0000B7000000}"/>
    <cellStyle name="_Comma_Sheet1_Sheet2_1" xfId="317" xr:uid="{00000000-0005-0000-0000-0000B8000000}"/>
    <cellStyle name="_Comma_Sheet1_Sheet3" xfId="318" xr:uid="{00000000-0005-0000-0000-0000B9000000}"/>
    <cellStyle name="_Comma_Sheet1_Sheet5" xfId="319" xr:uid="{00000000-0005-0000-0000-0000BA000000}"/>
    <cellStyle name="_Comma_Sheet1_Structure Model_2003_test2" xfId="320" xr:uid="{00000000-0005-0000-0000-0000BB000000}"/>
    <cellStyle name="_Comma_Sheet2" xfId="321" xr:uid="{00000000-0005-0000-0000-0000BC000000}"/>
    <cellStyle name="_Comma_Sheet2_1" xfId="322" xr:uid="{00000000-0005-0000-0000-0000BD000000}"/>
    <cellStyle name="_Comma_Sheet3" xfId="323" xr:uid="{00000000-0005-0000-0000-0000BE000000}"/>
    <cellStyle name="_Comma_Sheet3_1" xfId="324" xr:uid="{00000000-0005-0000-0000-0000BF000000}"/>
    <cellStyle name="_Comma_Sheet4" xfId="325" xr:uid="{00000000-0005-0000-0000-0000C0000000}"/>
    <cellStyle name="_Comma_Sheet5" xfId="326" xr:uid="{00000000-0005-0000-0000-0000C1000000}"/>
    <cellStyle name="_Comma_Structure Model_2003_test2" xfId="327" xr:uid="{00000000-0005-0000-0000-0000C2000000}"/>
    <cellStyle name="_Comma_Structure Model_2003_test2_ControlTables" xfId="328" xr:uid="{00000000-0005-0000-0000-0000C3000000}"/>
    <cellStyle name="_Comma_Structure Model_2003_test2_ControlTablesI" xfId="329" xr:uid="{00000000-0005-0000-0000-0000C4000000}"/>
    <cellStyle name="_Comma_Structure Model_2003_test2_Database - Comparables" xfId="330" xr:uid="{00000000-0005-0000-0000-0000C5000000}"/>
    <cellStyle name="_Comma_Structure Model_2003_test2_DB_Eye" xfId="331" xr:uid="{00000000-0005-0000-0000-0000C6000000}"/>
    <cellStyle name="_Comma_Structure Model_2003_test2_Exec Summary" xfId="332" xr:uid="{00000000-0005-0000-0000-0000C7000000}"/>
    <cellStyle name="_Comma_Structure Model_2003_test2_Existing Debt" xfId="333" xr:uid="{00000000-0005-0000-0000-0000C8000000}"/>
    <cellStyle name="_Comma_Structure Model_2003_test2_Kor-Port_LEQ_6-10-04_CR_Final-Struct_FINAL" xfId="334" xr:uid="{00000000-0005-0000-0000-0000C9000000}"/>
    <cellStyle name="_Comma_Structure Model_2003_test2_Mallard's_Landing_LEQ_8-17-04" xfId="335" xr:uid="{00000000-0005-0000-0000-0000CA000000}"/>
    <cellStyle name="_Comma_Structure Model_2003_test2_Quick Property Input" xfId="336" xr:uid="{00000000-0005-0000-0000-0000CB000000}"/>
    <cellStyle name="_Comma_Structure Model_2003_test2_Sheet1" xfId="337" xr:uid="{00000000-0005-0000-0000-0000CC000000}"/>
    <cellStyle name="_Comma_Structure Model_2003_test2_Sheet1_Data Tape" xfId="338" xr:uid="{00000000-0005-0000-0000-0000CD000000}"/>
    <cellStyle name="_Comma_Structure Model_2003_test2_Sheet1_Deal Assumptions" xfId="339" xr:uid="{00000000-0005-0000-0000-0000CE000000}"/>
    <cellStyle name="_Comma_Structure Model_2003_test2_Sheet1_RE Valuation 2" xfId="340" xr:uid="{00000000-0005-0000-0000-0000CF000000}"/>
    <cellStyle name="_Comma_Structure Model_2003_test2_Sheet2" xfId="341" xr:uid="{00000000-0005-0000-0000-0000D0000000}"/>
    <cellStyle name="_Currency" xfId="342" xr:uid="{00000000-0005-0000-0000-0000D1000000}"/>
    <cellStyle name="_Currency_03-05-31 Final OBS Reports" xfId="343" xr:uid="{00000000-0005-0000-0000-0000D2000000}"/>
    <cellStyle name="_Currency_3-Yr Eyechart" xfId="344" xr:uid="{00000000-0005-0000-0000-0000D3000000}"/>
    <cellStyle name="_Currency_Alamosa Standalone6" xfId="345" xr:uid="{00000000-0005-0000-0000-0000D4000000}"/>
    <cellStyle name="_Currency_ARI Base Case July 25 TPS1" xfId="346" xr:uid="{00000000-0005-0000-0000-0000D5000000}"/>
    <cellStyle name="_Currency_Balance Sheet" xfId="347" xr:uid="{00000000-0005-0000-0000-0000D6000000}"/>
    <cellStyle name="_Currency_Balance Sheet_ControlTables" xfId="348" xr:uid="{00000000-0005-0000-0000-0000D7000000}"/>
    <cellStyle name="_Currency_Balance Sheet_ControlTablesI" xfId="349" xr:uid="{00000000-0005-0000-0000-0000D8000000}"/>
    <cellStyle name="_Currency_Balance Sheet_Database - Comparables" xfId="350" xr:uid="{00000000-0005-0000-0000-0000D9000000}"/>
    <cellStyle name="_Currency_Balance Sheet_DB_Eye" xfId="351" xr:uid="{00000000-0005-0000-0000-0000DA000000}"/>
    <cellStyle name="_Currency_Balance Sheet_Exec Summary" xfId="352" xr:uid="{00000000-0005-0000-0000-0000DB000000}"/>
    <cellStyle name="_Currency_Balance Sheet_Exec Summary_1" xfId="353" xr:uid="{00000000-0005-0000-0000-0000DC000000}"/>
    <cellStyle name="_Currency_Balance Sheet_Sheet1" xfId="354" xr:uid="{00000000-0005-0000-0000-0000DD000000}"/>
    <cellStyle name="_Currency_ControlTables" xfId="355" xr:uid="{00000000-0005-0000-0000-0000DE000000}"/>
    <cellStyle name="_Currency_ControlTablesI" xfId="356" xr:uid="{00000000-0005-0000-0000-0000DF000000}"/>
    <cellStyle name="_Currency_Cost Of Funds" xfId="357" xr:uid="{00000000-0005-0000-0000-0000E0000000}"/>
    <cellStyle name="_Currency_Criteria" xfId="358" xr:uid="{00000000-0005-0000-0000-0000E1000000}"/>
    <cellStyle name="_Currency_Criteria Test Export" xfId="359" xr:uid="{00000000-0005-0000-0000-0000E2000000}"/>
    <cellStyle name="_Currency_Criteria_ControlTables" xfId="360" xr:uid="{00000000-0005-0000-0000-0000E3000000}"/>
    <cellStyle name="_Currency_Criteria_ControlTablesI" xfId="361" xr:uid="{00000000-0005-0000-0000-0000E4000000}"/>
    <cellStyle name="_Currency_Criteria_Database - Comparables" xfId="362" xr:uid="{00000000-0005-0000-0000-0000E5000000}"/>
    <cellStyle name="_Currency_Criteria_DB_Eye" xfId="363" xr:uid="{00000000-0005-0000-0000-0000E6000000}"/>
    <cellStyle name="_Currency_Criteria_Exec Summary" xfId="364" xr:uid="{00000000-0005-0000-0000-0000E7000000}"/>
    <cellStyle name="_Currency_Criteria_Exec Summary_1" xfId="365" xr:uid="{00000000-0005-0000-0000-0000E8000000}"/>
    <cellStyle name="_Currency_Criteria_Sheet1" xfId="366" xr:uid="{00000000-0005-0000-0000-0000E9000000}"/>
    <cellStyle name="_Currency_Data Tape" xfId="367" xr:uid="{00000000-0005-0000-0000-0000EA000000}"/>
    <cellStyle name="_Currency_Data Tape_1" xfId="368" xr:uid="{00000000-0005-0000-0000-0000EB000000}"/>
    <cellStyle name="_Currency_Data Tape_ControlTables" xfId="369" xr:uid="{00000000-0005-0000-0000-0000EC000000}"/>
    <cellStyle name="_Currency_Data Tape_ControlTablesI" xfId="370" xr:uid="{00000000-0005-0000-0000-0000ED000000}"/>
    <cellStyle name="_Currency_Data Tape_Database - Comparables" xfId="371" xr:uid="{00000000-0005-0000-0000-0000EE000000}"/>
    <cellStyle name="_Currency_Data Tape_DB_Eye" xfId="372" xr:uid="{00000000-0005-0000-0000-0000EF000000}"/>
    <cellStyle name="_Currency_Data Tape_Exec Summary" xfId="373" xr:uid="{00000000-0005-0000-0000-0000F0000000}"/>
    <cellStyle name="_Currency_Data Tape_Exec Summary_1" xfId="374" xr:uid="{00000000-0005-0000-0000-0000F1000000}"/>
    <cellStyle name="_Currency_Data Tape_Sheet1" xfId="375" xr:uid="{00000000-0005-0000-0000-0000F2000000}"/>
    <cellStyle name="_Currency_Data_Tape" xfId="376" xr:uid="{00000000-0005-0000-0000-0000F3000000}"/>
    <cellStyle name="_Currency_Data_Tape_ControlTables" xfId="377" xr:uid="{00000000-0005-0000-0000-0000F4000000}"/>
    <cellStyle name="_Currency_Data_Tape_ControlTablesI" xfId="378" xr:uid="{00000000-0005-0000-0000-0000F5000000}"/>
    <cellStyle name="_Currency_Data_Tape_Database - Comparables" xfId="379" xr:uid="{00000000-0005-0000-0000-0000F6000000}"/>
    <cellStyle name="_Currency_Data_Tape_DB_Eye" xfId="380" xr:uid="{00000000-0005-0000-0000-0000F7000000}"/>
    <cellStyle name="_Currency_Data_Tape_Exec Summary" xfId="381" xr:uid="{00000000-0005-0000-0000-0000F8000000}"/>
    <cellStyle name="_Currency_Data_Tape_Exec Summary_1" xfId="382" xr:uid="{00000000-0005-0000-0000-0000F9000000}"/>
    <cellStyle name="_Currency_Data_Tape_Sheet1" xfId="383" xr:uid="{00000000-0005-0000-0000-0000FA000000}"/>
    <cellStyle name="_Currency_Database - Comparables" xfId="384" xr:uid="{00000000-0005-0000-0000-0000FB000000}"/>
    <cellStyle name="_Currency_Database - Economics" xfId="385" xr:uid="{00000000-0005-0000-0000-0000FC000000}"/>
    <cellStyle name="_Currency_DB_Eye" xfId="386" xr:uid="{00000000-0005-0000-0000-0000FD000000}"/>
    <cellStyle name="_Currency_Deal Input" xfId="387" xr:uid="{00000000-0005-0000-0000-0000FE000000}"/>
    <cellStyle name="_Currency_Direct Cap Eye" xfId="388" xr:uid="{00000000-0005-0000-0000-0000FF000000}"/>
    <cellStyle name="_Currency_DPEM2005_vBetatest6" xfId="389" xr:uid="{00000000-0005-0000-0000-000000010000}"/>
    <cellStyle name="_Currency_ETR" xfId="390" xr:uid="{00000000-0005-0000-0000-000001010000}"/>
    <cellStyle name="_Currency_Exec Summary" xfId="391" xr:uid="{00000000-0005-0000-0000-000002010000}"/>
    <cellStyle name="_Currency_Exec Summary_1" xfId="392" xr:uid="{00000000-0005-0000-0000-000003010000}"/>
    <cellStyle name="_Currency_Existing Debt" xfId="393" xr:uid="{00000000-0005-0000-0000-000004010000}"/>
    <cellStyle name="_Currency_Existing Debt_1" xfId="394" xr:uid="{00000000-0005-0000-0000-000005010000}"/>
    <cellStyle name="_Currency_EyeChart" xfId="395" xr:uid="{00000000-0005-0000-0000-000006010000}"/>
    <cellStyle name="_Currency_EyeChart 090503" xfId="396" xr:uid="{00000000-0005-0000-0000-000007010000}"/>
    <cellStyle name="_Currency_GMACCH_Loans_OBS_033103_Final_v2" xfId="397" xr:uid="{00000000-0005-0000-0000-000008010000}"/>
    <cellStyle name="_Currency_Input" xfId="398" xr:uid="{00000000-0005-0000-0000-000009010000}"/>
    <cellStyle name="_Currency_Input_1" xfId="399" xr:uid="{00000000-0005-0000-0000-00000A010000}"/>
    <cellStyle name="_Currency_Input_2" xfId="400" xr:uid="{00000000-0005-0000-0000-00000B010000}"/>
    <cellStyle name="_Currency_Input_ControlTables" xfId="401" xr:uid="{00000000-0005-0000-0000-00000C010000}"/>
    <cellStyle name="_Currency_Input_ControlTablesI" xfId="402" xr:uid="{00000000-0005-0000-0000-00000D010000}"/>
    <cellStyle name="_Currency_Input_Data Tape" xfId="403" xr:uid="{00000000-0005-0000-0000-00000E010000}"/>
    <cellStyle name="_Currency_Input_Database - Comparables" xfId="404" xr:uid="{00000000-0005-0000-0000-00000F010000}"/>
    <cellStyle name="_Currency_Input_Database - Economics" xfId="405" xr:uid="{00000000-0005-0000-0000-000010010000}"/>
    <cellStyle name="_Currency_Input_DB_Eye" xfId="406" xr:uid="{00000000-0005-0000-0000-000011010000}"/>
    <cellStyle name="_Currency_Input_Exec Summary" xfId="407" xr:uid="{00000000-0005-0000-0000-000012010000}"/>
    <cellStyle name="_Currency_Input_Exec Summary_1" xfId="408" xr:uid="{00000000-0005-0000-0000-000013010000}"/>
    <cellStyle name="_Currency_Input_Sheet1" xfId="409" xr:uid="{00000000-0005-0000-0000-000014010000}"/>
    <cellStyle name="_Currency_JV Economics" xfId="410" xr:uid="{00000000-0005-0000-0000-000015010000}"/>
    <cellStyle name="_Currency_M&amp;A Feed" xfId="411" xr:uid="{00000000-0005-0000-0000-000016010000}"/>
    <cellStyle name="_Currency_NPV Case Eyechart" xfId="412" xr:uid="{00000000-0005-0000-0000-000017010000}"/>
    <cellStyle name="_Currency_Pools" xfId="413" xr:uid="{00000000-0005-0000-0000-000018010000}"/>
    <cellStyle name="_Currency_Pools_1" xfId="414" xr:uid="{00000000-0005-0000-0000-000019010000}"/>
    <cellStyle name="_Currency_Pools_ControlTables" xfId="415" xr:uid="{00000000-0005-0000-0000-00001A010000}"/>
    <cellStyle name="_Currency_Pools_ControlTablesI" xfId="416" xr:uid="{00000000-0005-0000-0000-00001B010000}"/>
    <cellStyle name="_Currency_Pools_Database - Comparables" xfId="417" xr:uid="{00000000-0005-0000-0000-00001C010000}"/>
    <cellStyle name="_Currency_Pools_DB_Eye" xfId="418" xr:uid="{00000000-0005-0000-0000-00001D010000}"/>
    <cellStyle name="_Currency_Pools_Exec Summary" xfId="419" xr:uid="{00000000-0005-0000-0000-00001E010000}"/>
    <cellStyle name="_Currency_Pools_Exec Summary_1" xfId="420" xr:uid="{00000000-0005-0000-0000-00001F010000}"/>
    <cellStyle name="_Currency_Pools_Sheet1" xfId="421" xr:uid="{00000000-0005-0000-0000-000020010000}"/>
    <cellStyle name="_Currency_Portfolio Valuation" xfId="422" xr:uid="{00000000-0005-0000-0000-000021010000}"/>
    <cellStyle name="_Currency_Pricing" xfId="423" xr:uid="{00000000-0005-0000-0000-000022010000}"/>
    <cellStyle name="_Currency_Prop 13" xfId="424" xr:uid="{00000000-0005-0000-0000-000023010000}"/>
    <cellStyle name="_Currency_Prop 13 Data" xfId="425" xr:uid="{00000000-0005-0000-0000-000024010000}"/>
    <cellStyle name="_Currency_Prop 13 Summary-11-10" xfId="426" xr:uid="{00000000-0005-0000-0000-000025010000}"/>
    <cellStyle name="_Currency_Property Assumptions" xfId="427" xr:uid="{00000000-0005-0000-0000-000026010000}"/>
    <cellStyle name="_Currency_Property Assumptions_1" xfId="428" xr:uid="{00000000-0005-0000-0000-000027010000}"/>
    <cellStyle name="_Currency_Quick Property Input" xfId="429" xr:uid="{00000000-0005-0000-0000-000028010000}"/>
    <cellStyle name="_Currency_Roberts Standalone14 Quarterly 2" xfId="430" xr:uid="{00000000-0005-0000-0000-000029010000}"/>
    <cellStyle name="_Currency_Senario Input Assumptions" xfId="431" xr:uid="{00000000-0005-0000-0000-00002A010000}"/>
    <cellStyle name="_Currency_Senario Input Assumptions_ControlTables" xfId="432" xr:uid="{00000000-0005-0000-0000-00002B010000}"/>
    <cellStyle name="_Currency_Senario Input Assumptions_ControlTablesI" xfId="433" xr:uid="{00000000-0005-0000-0000-00002C010000}"/>
    <cellStyle name="_Currency_Senario Input Assumptions_Database - Comparables" xfId="434" xr:uid="{00000000-0005-0000-0000-00002D010000}"/>
    <cellStyle name="_Currency_Senario Input Assumptions_DB_Eye" xfId="435" xr:uid="{00000000-0005-0000-0000-00002E010000}"/>
    <cellStyle name="_Currency_Senario Input Assumptions_Exec Summary" xfId="436" xr:uid="{00000000-0005-0000-0000-00002F010000}"/>
    <cellStyle name="_Currency_Senario Input Assumptions_Exec Summary_1" xfId="437" xr:uid="{00000000-0005-0000-0000-000030010000}"/>
    <cellStyle name="_Currency_Senario Input Assumptions_Sheet1" xfId="438" xr:uid="{00000000-0005-0000-0000-000031010000}"/>
    <cellStyle name="_Currency_Sheet1" xfId="439" xr:uid="{00000000-0005-0000-0000-000032010000}"/>
    <cellStyle name="_Currency_Sheet1_1" xfId="440" xr:uid="{00000000-0005-0000-0000-000033010000}"/>
    <cellStyle name="_Currency_Sheet1_3-Yr Eyechart" xfId="441" xr:uid="{00000000-0005-0000-0000-000034010000}"/>
    <cellStyle name="_Currency_Sheet1_Balance Sheet" xfId="442" xr:uid="{00000000-0005-0000-0000-000035010000}"/>
    <cellStyle name="_Currency_Sheet1_Balance Sheet_ControlTables" xfId="443" xr:uid="{00000000-0005-0000-0000-000036010000}"/>
    <cellStyle name="_Currency_Sheet1_Balance Sheet_ControlTablesI" xfId="444" xr:uid="{00000000-0005-0000-0000-000037010000}"/>
    <cellStyle name="_Currency_Sheet1_Balance Sheet_Database - Comparables" xfId="445" xr:uid="{00000000-0005-0000-0000-000038010000}"/>
    <cellStyle name="_Currency_Sheet1_Balance Sheet_DB_Eye" xfId="446" xr:uid="{00000000-0005-0000-0000-000039010000}"/>
    <cellStyle name="_Currency_Sheet1_Balance Sheet_Exec Summary" xfId="447" xr:uid="{00000000-0005-0000-0000-00003A010000}"/>
    <cellStyle name="_Currency_Sheet1_Balance Sheet_Exec Summary_1" xfId="448" xr:uid="{00000000-0005-0000-0000-00003B010000}"/>
    <cellStyle name="_Currency_Sheet1_Balance Sheet_Sheet1" xfId="449" xr:uid="{00000000-0005-0000-0000-00003C010000}"/>
    <cellStyle name="_Currency_Sheet1_ControlTables" xfId="450" xr:uid="{00000000-0005-0000-0000-00003D010000}"/>
    <cellStyle name="_Currency_Sheet1_ControlTablesI" xfId="451" xr:uid="{00000000-0005-0000-0000-00003E010000}"/>
    <cellStyle name="_Currency_Sheet1_Cost Of Funds" xfId="452" xr:uid="{00000000-0005-0000-0000-00003F010000}"/>
    <cellStyle name="_Currency_Sheet1_Criteria" xfId="453" xr:uid="{00000000-0005-0000-0000-000040010000}"/>
    <cellStyle name="_Currency_Sheet1_Criteria Test Export" xfId="454" xr:uid="{00000000-0005-0000-0000-000041010000}"/>
    <cellStyle name="_Currency_Sheet1_Criteria_ControlTables" xfId="455" xr:uid="{00000000-0005-0000-0000-000042010000}"/>
    <cellStyle name="_Currency_Sheet1_Criteria_ControlTablesI" xfId="456" xr:uid="{00000000-0005-0000-0000-000043010000}"/>
    <cellStyle name="_Currency_Sheet1_Criteria_Database - Comparables" xfId="457" xr:uid="{00000000-0005-0000-0000-000044010000}"/>
    <cellStyle name="_Currency_Sheet1_Criteria_DB_Eye" xfId="458" xr:uid="{00000000-0005-0000-0000-000045010000}"/>
    <cellStyle name="_Currency_Sheet1_Criteria_Exec Summary" xfId="459" xr:uid="{00000000-0005-0000-0000-000046010000}"/>
    <cellStyle name="_Currency_Sheet1_Criteria_Exec Summary_1" xfId="460" xr:uid="{00000000-0005-0000-0000-000047010000}"/>
    <cellStyle name="_Currency_Sheet1_Criteria_Sheet1" xfId="461" xr:uid="{00000000-0005-0000-0000-000048010000}"/>
    <cellStyle name="_Currency_Sheet1_Data Tape" xfId="462" xr:uid="{00000000-0005-0000-0000-000049010000}"/>
    <cellStyle name="_Currency_Sheet1_Data Tape_1" xfId="463" xr:uid="{00000000-0005-0000-0000-00004A010000}"/>
    <cellStyle name="_Currency_Sheet1_Data Tape_ControlTables" xfId="464" xr:uid="{00000000-0005-0000-0000-00004B010000}"/>
    <cellStyle name="_Currency_Sheet1_Data Tape_ControlTablesI" xfId="465" xr:uid="{00000000-0005-0000-0000-00004C010000}"/>
    <cellStyle name="_Currency_Sheet1_Data Tape_Database - Comparables" xfId="466" xr:uid="{00000000-0005-0000-0000-00004D010000}"/>
    <cellStyle name="_Currency_Sheet1_Data Tape_DB_Eye" xfId="467" xr:uid="{00000000-0005-0000-0000-00004E010000}"/>
    <cellStyle name="_Currency_Sheet1_Data Tape_Exec Summary" xfId="468" xr:uid="{00000000-0005-0000-0000-00004F010000}"/>
    <cellStyle name="_Currency_Sheet1_Data Tape_Exec Summary_1" xfId="469" xr:uid="{00000000-0005-0000-0000-000050010000}"/>
    <cellStyle name="_Currency_Sheet1_Data Tape_Sheet1" xfId="470" xr:uid="{00000000-0005-0000-0000-000051010000}"/>
    <cellStyle name="_Currency_Sheet1_Data_Tape" xfId="471" xr:uid="{00000000-0005-0000-0000-000052010000}"/>
    <cellStyle name="_Currency_Sheet1_Data_Tape_ControlTables" xfId="472" xr:uid="{00000000-0005-0000-0000-000053010000}"/>
    <cellStyle name="_Currency_Sheet1_Data_Tape_ControlTablesI" xfId="473" xr:uid="{00000000-0005-0000-0000-000054010000}"/>
    <cellStyle name="_Currency_Sheet1_Data_Tape_DB_Eye" xfId="474" xr:uid="{00000000-0005-0000-0000-000055010000}"/>
    <cellStyle name="_Currency_Sheet1_Data_Tape_Exec Summary" xfId="475" xr:uid="{00000000-0005-0000-0000-000056010000}"/>
    <cellStyle name="_Currency_Sheet1_Data_Tape_Exec Summary_1" xfId="476" xr:uid="{00000000-0005-0000-0000-000057010000}"/>
    <cellStyle name="_Currency_Sheet1_Data_Tape_Sheet1" xfId="477" xr:uid="{00000000-0005-0000-0000-000058010000}"/>
    <cellStyle name="_Currency_Sheet1_Database - Comparables" xfId="478" xr:uid="{00000000-0005-0000-0000-000059010000}"/>
    <cellStyle name="_Currency_Sheet1_Database - Economics" xfId="479" xr:uid="{00000000-0005-0000-0000-00005A010000}"/>
    <cellStyle name="_Currency_Sheet1_DB_Eye" xfId="480" xr:uid="{00000000-0005-0000-0000-00005B010000}"/>
    <cellStyle name="_Currency_Sheet1_Deal Input" xfId="481" xr:uid="{00000000-0005-0000-0000-00005C010000}"/>
    <cellStyle name="_Currency_Sheet1_Direct Cap Eye" xfId="482" xr:uid="{00000000-0005-0000-0000-00005D010000}"/>
    <cellStyle name="_Currency_Sheet1_DPEM2005_vBetatest6" xfId="483" xr:uid="{00000000-0005-0000-0000-00005E010000}"/>
    <cellStyle name="_Currency_Sheet1_ETR" xfId="484" xr:uid="{00000000-0005-0000-0000-00005F010000}"/>
    <cellStyle name="_Currency_Sheet1_Exec Summary" xfId="485" xr:uid="{00000000-0005-0000-0000-000060010000}"/>
    <cellStyle name="_Currency_Sheet1_Exec Summary_1" xfId="486" xr:uid="{00000000-0005-0000-0000-000061010000}"/>
    <cellStyle name="_Currency_Sheet1_Existing Debt" xfId="487" xr:uid="{00000000-0005-0000-0000-000062010000}"/>
    <cellStyle name="_Currency_Sheet1_Input" xfId="488" xr:uid="{00000000-0005-0000-0000-000063010000}"/>
    <cellStyle name="_Currency_Sheet1_Input_1" xfId="489" xr:uid="{00000000-0005-0000-0000-000064010000}"/>
    <cellStyle name="_Currency_Sheet1_Input_ControlTables" xfId="490" xr:uid="{00000000-0005-0000-0000-000065010000}"/>
    <cellStyle name="_Currency_Sheet1_Input_ControlTablesI" xfId="491" xr:uid="{00000000-0005-0000-0000-000066010000}"/>
    <cellStyle name="_Currency_Sheet1_Input_Data Tape" xfId="492" xr:uid="{00000000-0005-0000-0000-000067010000}"/>
    <cellStyle name="_Currency_Sheet1_Input_Database - Economics" xfId="493" xr:uid="{00000000-0005-0000-0000-000068010000}"/>
    <cellStyle name="_Currency_Sheet1_Input_DB_Eye" xfId="494" xr:uid="{00000000-0005-0000-0000-000069010000}"/>
    <cellStyle name="_Currency_Sheet1_Input_Exec Summary" xfId="495" xr:uid="{00000000-0005-0000-0000-00006A010000}"/>
    <cellStyle name="_Currency_Sheet1_Input_Exec Summary_1" xfId="496" xr:uid="{00000000-0005-0000-0000-00006B010000}"/>
    <cellStyle name="_Currency_Sheet1_Input_Sheet1" xfId="497" xr:uid="{00000000-0005-0000-0000-00006C010000}"/>
    <cellStyle name="_Currency_Sheet1_M&amp;A Feed" xfId="498" xr:uid="{00000000-0005-0000-0000-00006D010000}"/>
    <cellStyle name="_Currency_Sheet1_NPV Case Eyechart" xfId="499" xr:uid="{00000000-0005-0000-0000-00006E010000}"/>
    <cellStyle name="_Currency_Sheet1_Pools" xfId="500" xr:uid="{00000000-0005-0000-0000-00006F010000}"/>
    <cellStyle name="_Currency_Sheet1_Pools_1" xfId="501" xr:uid="{00000000-0005-0000-0000-000070010000}"/>
    <cellStyle name="_Currency_Sheet1_Pools_ControlTables" xfId="502" xr:uid="{00000000-0005-0000-0000-000071010000}"/>
    <cellStyle name="_Currency_Sheet1_Pools_ControlTablesI" xfId="503" xr:uid="{00000000-0005-0000-0000-000072010000}"/>
    <cellStyle name="_Currency_Sheet1_Pools_DB_Eye" xfId="504" xr:uid="{00000000-0005-0000-0000-000073010000}"/>
    <cellStyle name="_Currency_Sheet1_Pools_Exec Summary" xfId="505" xr:uid="{00000000-0005-0000-0000-000074010000}"/>
    <cellStyle name="_Currency_Sheet1_Pools_Exec Summary_1" xfId="506" xr:uid="{00000000-0005-0000-0000-000075010000}"/>
    <cellStyle name="_Currency_Sheet1_Pools_Sheet1" xfId="507" xr:uid="{00000000-0005-0000-0000-000076010000}"/>
    <cellStyle name="_Currency_Sheet1_Portfolio Valuation" xfId="508" xr:uid="{00000000-0005-0000-0000-000077010000}"/>
    <cellStyle name="_Currency_Sheet1_Prop 13" xfId="509" xr:uid="{00000000-0005-0000-0000-000078010000}"/>
    <cellStyle name="_Currency_Sheet1_Prop 13 Data" xfId="510" xr:uid="{00000000-0005-0000-0000-000079010000}"/>
    <cellStyle name="_Currency_Sheet1_Prop 13 Summary-11-10" xfId="511" xr:uid="{00000000-0005-0000-0000-00007A010000}"/>
    <cellStyle name="_Currency_Sheet1_Property Assumptions" xfId="512" xr:uid="{00000000-0005-0000-0000-00007B010000}"/>
    <cellStyle name="_Currency_Sheet1_Property Assumptions_1" xfId="513" xr:uid="{00000000-0005-0000-0000-00007C010000}"/>
    <cellStyle name="_Currency_Sheet1_Quick Property Input" xfId="514" xr:uid="{00000000-0005-0000-0000-00007D010000}"/>
    <cellStyle name="_Currency_Sheet1_Senario Input Assumptions" xfId="515" xr:uid="{00000000-0005-0000-0000-00007E010000}"/>
    <cellStyle name="_Currency_Sheet1_Senario Input Assumptions_ControlTables" xfId="516" xr:uid="{00000000-0005-0000-0000-00007F010000}"/>
    <cellStyle name="_Currency_Sheet1_Senario Input Assumptions_ControlTablesI" xfId="517" xr:uid="{00000000-0005-0000-0000-000080010000}"/>
    <cellStyle name="_Currency_Sheet1_Senario Input Assumptions_DB_Eye" xfId="518" xr:uid="{00000000-0005-0000-0000-000081010000}"/>
    <cellStyle name="_Currency_Sheet1_Senario Input Assumptions_Exec Summary" xfId="519" xr:uid="{00000000-0005-0000-0000-000082010000}"/>
    <cellStyle name="_Currency_Sheet1_Senario Input Assumptions_Exec Summary_1" xfId="520" xr:uid="{00000000-0005-0000-0000-000083010000}"/>
    <cellStyle name="_Currency_Sheet1_Senario Input Assumptions_Sheet1" xfId="521" xr:uid="{00000000-0005-0000-0000-000084010000}"/>
    <cellStyle name="_Currency_Sheet1_Sheet1" xfId="522" xr:uid="{00000000-0005-0000-0000-000085010000}"/>
    <cellStyle name="_Currency_Sheet1_Sheet1_Data Tape" xfId="523" xr:uid="{00000000-0005-0000-0000-000086010000}"/>
    <cellStyle name="_Currency_Sheet1_Sheet1_Database - Eyechart" xfId="524" xr:uid="{00000000-0005-0000-0000-000087010000}"/>
    <cellStyle name="_Currency_Sheet1_Sheet1_Deal Assumptions" xfId="525" xr:uid="{00000000-0005-0000-0000-000088010000}"/>
    <cellStyle name="_Currency_Sheet1_Sheet1_Model" xfId="526" xr:uid="{00000000-0005-0000-0000-000089010000}"/>
    <cellStyle name="_Currency_Sheet1_Sheet1_Monthly CF Input" xfId="527" xr:uid="{00000000-0005-0000-0000-00008A010000}"/>
    <cellStyle name="_Currency_Sheet1_Sheet1_Property Assumptions" xfId="528" xr:uid="{00000000-0005-0000-0000-00008B010000}"/>
    <cellStyle name="_Currency_Sheet1_Sheet1_RE Valuation 2" xfId="529" xr:uid="{00000000-0005-0000-0000-00008C010000}"/>
    <cellStyle name="_Currency_Sheet1_Sheet1_Sensitivities" xfId="530" xr:uid="{00000000-0005-0000-0000-00008D010000}"/>
    <cellStyle name="_Currency_Sheet1_Sheet2" xfId="531" xr:uid="{00000000-0005-0000-0000-00008E010000}"/>
    <cellStyle name="_Currency_Sheet1_Sheet2_1" xfId="532" xr:uid="{00000000-0005-0000-0000-00008F010000}"/>
    <cellStyle name="_Currency_Sheet1_Sheet3" xfId="533" xr:uid="{00000000-0005-0000-0000-000090010000}"/>
    <cellStyle name="_Currency_Sheet1_Sheet5" xfId="534" xr:uid="{00000000-0005-0000-0000-000091010000}"/>
    <cellStyle name="_Currency_Sheet1_Structure Model_2003_test2" xfId="535" xr:uid="{00000000-0005-0000-0000-000092010000}"/>
    <cellStyle name="_Currency_Sheet1_Structure Model_2003_test2_ControlTables" xfId="536" xr:uid="{00000000-0005-0000-0000-000093010000}"/>
    <cellStyle name="_Currency_Sheet1_Structure Model_2003_test2_ControlTablesI" xfId="537" xr:uid="{00000000-0005-0000-0000-000094010000}"/>
    <cellStyle name="_Currency_Sheet1_Structure Model_2003_test2_DB_Eye" xfId="538" xr:uid="{00000000-0005-0000-0000-000095010000}"/>
    <cellStyle name="_Currency_Sheet1_Structure Model_2003_test2_Exec Summary" xfId="539" xr:uid="{00000000-0005-0000-0000-000096010000}"/>
    <cellStyle name="_Currency_Sheet1_Structure Model_2003_test2_Exec Summary_1" xfId="540" xr:uid="{00000000-0005-0000-0000-000097010000}"/>
    <cellStyle name="_Currency_Sheet1_Structure Model_2003_test2_Sheet1" xfId="541" xr:uid="{00000000-0005-0000-0000-000098010000}"/>
    <cellStyle name="_Currency_Sheet2" xfId="542" xr:uid="{00000000-0005-0000-0000-000099010000}"/>
    <cellStyle name="_Currency_Sheet2_1" xfId="543" xr:uid="{00000000-0005-0000-0000-00009A010000}"/>
    <cellStyle name="_Currency_Sheet3" xfId="544" xr:uid="{00000000-0005-0000-0000-00009B010000}"/>
    <cellStyle name="_Currency_Sheet3_1" xfId="545" xr:uid="{00000000-0005-0000-0000-00009C010000}"/>
    <cellStyle name="_Currency_Sheet3_ControlTables" xfId="546" xr:uid="{00000000-0005-0000-0000-00009D010000}"/>
    <cellStyle name="_Currency_Sheet3_ControlTablesI" xfId="547" xr:uid="{00000000-0005-0000-0000-00009E010000}"/>
    <cellStyle name="_Currency_Sheet3_DB_Eye" xfId="548" xr:uid="{00000000-0005-0000-0000-00009F010000}"/>
    <cellStyle name="_Currency_Sheet3_Exec Summary" xfId="549" xr:uid="{00000000-0005-0000-0000-0000A0010000}"/>
    <cellStyle name="_Currency_Sheet3_Exec Summary_1" xfId="550" xr:uid="{00000000-0005-0000-0000-0000A1010000}"/>
    <cellStyle name="_Currency_Sheet3_Sheet1" xfId="551" xr:uid="{00000000-0005-0000-0000-0000A2010000}"/>
    <cellStyle name="_Currency_Sheet4" xfId="552" xr:uid="{00000000-0005-0000-0000-0000A3010000}"/>
    <cellStyle name="_Currency_Sheet5" xfId="553" xr:uid="{00000000-0005-0000-0000-0000A4010000}"/>
    <cellStyle name="_Currency_Structure Model_2003_test2" xfId="554" xr:uid="{00000000-0005-0000-0000-0000A5010000}"/>
    <cellStyle name="_Currency_Structure Model_2003_test2_ControlTables" xfId="555" xr:uid="{00000000-0005-0000-0000-0000A6010000}"/>
    <cellStyle name="_Currency_Structure Model_2003_test2_ControlTablesI" xfId="556" xr:uid="{00000000-0005-0000-0000-0000A7010000}"/>
    <cellStyle name="_Currency_Structure Model_2003_test2_DB_Eye" xfId="557" xr:uid="{00000000-0005-0000-0000-0000A8010000}"/>
    <cellStyle name="_Currency_Structure Model_2003_test2_Exec Summary" xfId="558" xr:uid="{00000000-0005-0000-0000-0000A9010000}"/>
    <cellStyle name="_Currency_Structure Model_2003_test2_Exec Summary_1" xfId="559" xr:uid="{00000000-0005-0000-0000-0000AA010000}"/>
    <cellStyle name="_Currency_Structure Model_2003_test2_Sheet1" xfId="560" xr:uid="{00000000-0005-0000-0000-0000AB010000}"/>
    <cellStyle name="_CurrencySpace" xfId="561" xr:uid="{00000000-0005-0000-0000-0000AC010000}"/>
    <cellStyle name="_CurrencySpace_3-Yr Eyechart" xfId="562" xr:uid="{00000000-0005-0000-0000-0000AD010000}"/>
    <cellStyle name="_CurrencySpace_Balance Sheet" xfId="563" xr:uid="{00000000-0005-0000-0000-0000AE010000}"/>
    <cellStyle name="_CurrencySpace_Balance Sheet_ControlTables" xfId="564" xr:uid="{00000000-0005-0000-0000-0000AF010000}"/>
    <cellStyle name="_CurrencySpace_Balance Sheet_ControlTablesI" xfId="565" xr:uid="{00000000-0005-0000-0000-0000B0010000}"/>
    <cellStyle name="_CurrencySpace_Balance Sheet_DB_Eye" xfId="566" xr:uid="{00000000-0005-0000-0000-0000B1010000}"/>
    <cellStyle name="_CurrencySpace_Balance Sheet_Exec Summary" xfId="567" xr:uid="{00000000-0005-0000-0000-0000B2010000}"/>
    <cellStyle name="_CurrencySpace_Balance Sheet_Exec Summary_1" xfId="568" xr:uid="{00000000-0005-0000-0000-0000B3010000}"/>
    <cellStyle name="_CurrencySpace_Balance Sheet_Sheet1" xfId="569" xr:uid="{00000000-0005-0000-0000-0000B4010000}"/>
    <cellStyle name="_CurrencySpace_ControlTables" xfId="570" xr:uid="{00000000-0005-0000-0000-0000B5010000}"/>
    <cellStyle name="_CurrencySpace_ControlTablesI" xfId="571" xr:uid="{00000000-0005-0000-0000-0000B6010000}"/>
    <cellStyle name="_CurrencySpace_Cost Of Funds" xfId="572" xr:uid="{00000000-0005-0000-0000-0000B7010000}"/>
    <cellStyle name="_CurrencySpace_Criteria" xfId="573" xr:uid="{00000000-0005-0000-0000-0000B8010000}"/>
    <cellStyle name="_CurrencySpace_Criteria Test Export" xfId="574" xr:uid="{00000000-0005-0000-0000-0000B9010000}"/>
    <cellStyle name="_CurrencySpace_Criteria_ControlTables" xfId="575" xr:uid="{00000000-0005-0000-0000-0000BA010000}"/>
    <cellStyle name="_CurrencySpace_Criteria_ControlTablesI" xfId="576" xr:uid="{00000000-0005-0000-0000-0000BB010000}"/>
    <cellStyle name="_CurrencySpace_Criteria_DB_Eye" xfId="577" xr:uid="{00000000-0005-0000-0000-0000BC010000}"/>
    <cellStyle name="_CurrencySpace_Criteria_Exec Summary" xfId="578" xr:uid="{00000000-0005-0000-0000-0000BD010000}"/>
    <cellStyle name="_CurrencySpace_Criteria_Exec Summary_1" xfId="579" xr:uid="{00000000-0005-0000-0000-0000BE010000}"/>
    <cellStyle name="_CurrencySpace_Criteria_Sheet1" xfId="580" xr:uid="{00000000-0005-0000-0000-0000BF010000}"/>
    <cellStyle name="_CurrencySpace_Data Tape" xfId="581" xr:uid="{00000000-0005-0000-0000-0000C0010000}"/>
    <cellStyle name="_CurrencySpace_Data Tape_1" xfId="582" xr:uid="{00000000-0005-0000-0000-0000C1010000}"/>
    <cellStyle name="_CurrencySpace_Data Tape_ControlTables" xfId="583" xr:uid="{00000000-0005-0000-0000-0000C2010000}"/>
    <cellStyle name="_CurrencySpace_Data Tape_ControlTablesI" xfId="584" xr:uid="{00000000-0005-0000-0000-0000C3010000}"/>
    <cellStyle name="_CurrencySpace_Data Tape_DB_Eye" xfId="585" xr:uid="{00000000-0005-0000-0000-0000C4010000}"/>
    <cellStyle name="_CurrencySpace_Data Tape_Exec Summary" xfId="586" xr:uid="{00000000-0005-0000-0000-0000C5010000}"/>
    <cellStyle name="_CurrencySpace_Data Tape_Exec Summary_1" xfId="587" xr:uid="{00000000-0005-0000-0000-0000C6010000}"/>
    <cellStyle name="_CurrencySpace_Data Tape_Sheet1" xfId="588" xr:uid="{00000000-0005-0000-0000-0000C7010000}"/>
    <cellStyle name="_CurrencySpace_Data_Tape" xfId="589" xr:uid="{00000000-0005-0000-0000-0000C8010000}"/>
    <cellStyle name="_CurrencySpace_Database - Economics" xfId="590" xr:uid="{00000000-0005-0000-0000-0000C9010000}"/>
    <cellStyle name="_CurrencySpace_DB_Eye" xfId="591" xr:uid="{00000000-0005-0000-0000-0000CA010000}"/>
    <cellStyle name="_CurrencySpace_Deal Input" xfId="592" xr:uid="{00000000-0005-0000-0000-0000CB010000}"/>
    <cellStyle name="_CurrencySpace_Direct Cap Eye" xfId="593" xr:uid="{00000000-0005-0000-0000-0000CC010000}"/>
    <cellStyle name="_CurrencySpace_DPEM2005_vBetatest6" xfId="594" xr:uid="{00000000-0005-0000-0000-0000CD010000}"/>
    <cellStyle name="_CurrencySpace_ETR" xfId="595" xr:uid="{00000000-0005-0000-0000-0000CE010000}"/>
    <cellStyle name="_CurrencySpace_Exec Summary" xfId="596" xr:uid="{00000000-0005-0000-0000-0000CF010000}"/>
    <cellStyle name="_CurrencySpace_Exec Summary_1" xfId="597" xr:uid="{00000000-0005-0000-0000-0000D0010000}"/>
    <cellStyle name="_CurrencySpace_Existing Debt" xfId="598" xr:uid="{00000000-0005-0000-0000-0000D1010000}"/>
    <cellStyle name="_CurrencySpace_EyeChart" xfId="599" xr:uid="{00000000-0005-0000-0000-0000D2010000}"/>
    <cellStyle name="_CurrencySpace_EyeChart 090503" xfId="600" xr:uid="{00000000-0005-0000-0000-0000D3010000}"/>
    <cellStyle name="_CurrencySpace_Input" xfId="601" xr:uid="{00000000-0005-0000-0000-0000D4010000}"/>
    <cellStyle name="_CurrencySpace_Input_1" xfId="602" xr:uid="{00000000-0005-0000-0000-0000D5010000}"/>
    <cellStyle name="_CurrencySpace_Input_ControlTables" xfId="603" xr:uid="{00000000-0005-0000-0000-0000D6010000}"/>
    <cellStyle name="_CurrencySpace_Input_ControlTablesI" xfId="604" xr:uid="{00000000-0005-0000-0000-0000D7010000}"/>
    <cellStyle name="_CurrencySpace_Input_Data Tape" xfId="605" xr:uid="{00000000-0005-0000-0000-0000D8010000}"/>
    <cellStyle name="_CurrencySpace_Input_Database - Economics" xfId="606" xr:uid="{00000000-0005-0000-0000-0000D9010000}"/>
    <cellStyle name="_CurrencySpace_Input_DB_Eye" xfId="607" xr:uid="{00000000-0005-0000-0000-0000DA010000}"/>
    <cellStyle name="_CurrencySpace_Input_Exec Summary" xfId="608" xr:uid="{00000000-0005-0000-0000-0000DB010000}"/>
    <cellStyle name="_CurrencySpace_Input_Exec Summary_1" xfId="609" xr:uid="{00000000-0005-0000-0000-0000DC010000}"/>
    <cellStyle name="_CurrencySpace_Input_Sheet1" xfId="610" xr:uid="{00000000-0005-0000-0000-0000DD010000}"/>
    <cellStyle name="_CurrencySpace_JV Economics" xfId="611" xr:uid="{00000000-0005-0000-0000-0000DE010000}"/>
    <cellStyle name="_CurrencySpace_M&amp;A Feed" xfId="612" xr:uid="{00000000-0005-0000-0000-0000DF010000}"/>
    <cellStyle name="_CurrencySpace_NPV Case Eyechart" xfId="613" xr:uid="{00000000-0005-0000-0000-0000E0010000}"/>
    <cellStyle name="_CurrencySpace_Pools" xfId="614" xr:uid="{00000000-0005-0000-0000-0000E1010000}"/>
    <cellStyle name="_CurrencySpace_Pools_1" xfId="615" xr:uid="{00000000-0005-0000-0000-0000E2010000}"/>
    <cellStyle name="_CurrencySpace_Portfolio Valuation" xfId="616" xr:uid="{00000000-0005-0000-0000-0000E3010000}"/>
    <cellStyle name="_CurrencySpace_Pricing" xfId="617" xr:uid="{00000000-0005-0000-0000-0000E4010000}"/>
    <cellStyle name="_CurrencySpace_Prop 13" xfId="618" xr:uid="{00000000-0005-0000-0000-0000E5010000}"/>
    <cellStyle name="_CurrencySpace_Prop 13 Data" xfId="619" xr:uid="{00000000-0005-0000-0000-0000E6010000}"/>
    <cellStyle name="_CurrencySpace_Prop 13 Summary-11-10" xfId="620" xr:uid="{00000000-0005-0000-0000-0000E7010000}"/>
    <cellStyle name="_CurrencySpace_Property Assumptions" xfId="621" xr:uid="{00000000-0005-0000-0000-0000E8010000}"/>
    <cellStyle name="_CurrencySpace_Property Assumptions_1" xfId="622" xr:uid="{00000000-0005-0000-0000-0000E9010000}"/>
    <cellStyle name="_CurrencySpace_Quick Property Input" xfId="623" xr:uid="{00000000-0005-0000-0000-0000EA010000}"/>
    <cellStyle name="_CurrencySpace_Senario Input Assumptions" xfId="624" xr:uid="{00000000-0005-0000-0000-0000EB010000}"/>
    <cellStyle name="_CurrencySpace_Senario Input Assumptions_ControlTables" xfId="625" xr:uid="{00000000-0005-0000-0000-0000EC010000}"/>
    <cellStyle name="_CurrencySpace_Senario Input Assumptions_ControlTablesI" xfId="626" xr:uid="{00000000-0005-0000-0000-0000ED010000}"/>
    <cellStyle name="_CurrencySpace_Senario Input Assumptions_DB_Eye" xfId="627" xr:uid="{00000000-0005-0000-0000-0000EE010000}"/>
    <cellStyle name="_CurrencySpace_Senario Input Assumptions_Exec Summary" xfId="628" xr:uid="{00000000-0005-0000-0000-0000EF010000}"/>
    <cellStyle name="_CurrencySpace_Senario Input Assumptions_Exec Summary_1" xfId="629" xr:uid="{00000000-0005-0000-0000-0000F0010000}"/>
    <cellStyle name="_CurrencySpace_Senario Input Assumptions_Sheet1" xfId="630" xr:uid="{00000000-0005-0000-0000-0000F1010000}"/>
    <cellStyle name="_CurrencySpace_Sheet1" xfId="631" xr:uid="{00000000-0005-0000-0000-0000F2010000}"/>
    <cellStyle name="_CurrencySpace_Sheet1_1" xfId="632" xr:uid="{00000000-0005-0000-0000-0000F3010000}"/>
    <cellStyle name="_CurrencySpace_Sheet1_3-Yr Eyechart" xfId="633" xr:uid="{00000000-0005-0000-0000-0000F4010000}"/>
    <cellStyle name="_CurrencySpace_Sheet1_Balance Sheet" xfId="634" xr:uid="{00000000-0005-0000-0000-0000F5010000}"/>
    <cellStyle name="_CurrencySpace_Sheet1_Cost Of Funds" xfId="635" xr:uid="{00000000-0005-0000-0000-0000F6010000}"/>
    <cellStyle name="_CurrencySpace_Sheet1_Criteria" xfId="636" xr:uid="{00000000-0005-0000-0000-0000F7010000}"/>
    <cellStyle name="_CurrencySpace_Sheet1_Criteria Test Export" xfId="637" xr:uid="{00000000-0005-0000-0000-0000F8010000}"/>
    <cellStyle name="_CurrencySpace_Sheet1_Data Tape" xfId="638" xr:uid="{00000000-0005-0000-0000-0000F9010000}"/>
    <cellStyle name="_CurrencySpace_Sheet1_Data Tape_1" xfId="639" xr:uid="{00000000-0005-0000-0000-0000FA010000}"/>
    <cellStyle name="_CurrencySpace_Sheet1_Data_Tape" xfId="640" xr:uid="{00000000-0005-0000-0000-0000FB010000}"/>
    <cellStyle name="_CurrencySpace_Sheet1_Data_Tape_ControlTables" xfId="641" xr:uid="{00000000-0005-0000-0000-0000FC010000}"/>
    <cellStyle name="_CurrencySpace_Sheet1_Data_Tape_ControlTablesI" xfId="642" xr:uid="{00000000-0005-0000-0000-0000FD010000}"/>
    <cellStyle name="_CurrencySpace_Sheet1_Data_Tape_DB_Eye" xfId="643" xr:uid="{00000000-0005-0000-0000-0000FE010000}"/>
    <cellStyle name="_CurrencySpace_Sheet1_Data_Tape_Exec Summary" xfId="644" xr:uid="{00000000-0005-0000-0000-0000FF010000}"/>
    <cellStyle name="_CurrencySpace_Sheet1_Data_Tape_Exec Summary_1" xfId="645" xr:uid="{00000000-0005-0000-0000-000000020000}"/>
    <cellStyle name="_CurrencySpace_Sheet1_Data_Tape_Sheet1" xfId="646" xr:uid="{00000000-0005-0000-0000-000001020000}"/>
    <cellStyle name="_CurrencySpace_Sheet1_Database - Economics" xfId="647" xr:uid="{00000000-0005-0000-0000-000002020000}"/>
    <cellStyle name="_CurrencySpace_Sheet1_Deal Input" xfId="648" xr:uid="{00000000-0005-0000-0000-000003020000}"/>
    <cellStyle name="_CurrencySpace_Sheet1_Direct Cap Eye" xfId="649" xr:uid="{00000000-0005-0000-0000-000004020000}"/>
    <cellStyle name="_CurrencySpace_Sheet1_DPEM2005_vBetatest6" xfId="650" xr:uid="{00000000-0005-0000-0000-000005020000}"/>
    <cellStyle name="_CurrencySpace_Sheet1_ETR" xfId="651" xr:uid="{00000000-0005-0000-0000-000006020000}"/>
    <cellStyle name="_CurrencySpace_Sheet1_Existing Debt" xfId="652" xr:uid="{00000000-0005-0000-0000-000007020000}"/>
    <cellStyle name="_CurrencySpace_Sheet1_Input" xfId="653" xr:uid="{00000000-0005-0000-0000-000008020000}"/>
    <cellStyle name="_CurrencySpace_Sheet1_Input_1" xfId="654" xr:uid="{00000000-0005-0000-0000-000009020000}"/>
    <cellStyle name="_CurrencySpace_Sheet1_Input_Data Tape" xfId="655" xr:uid="{00000000-0005-0000-0000-00000A020000}"/>
    <cellStyle name="_CurrencySpace_Sheet1_Input_Database - Economics" xfId="656" xr:uid="{00000000-0005-0000-0000-00000B020000}"/>
    <cellStyle name="_CurrencySpace_Sheet1_M&amp;A Feed" xfId="657" xr:uid="{00000000-0005-0000-0000-00000C020000}"/>
    <cellStyle name="_CurrencySpace_Sheet1_NPV Case Eyechart" xfId="658" xr:uid="{00000000-0005-0000-0000-00000D020000}"/>
    <cellStyle name="_CurrencySpace_Sheet1_Pools" xfId="659" xr:uid="{00000000-0005-0000-0000-00000E020000}"/>
    <cellStyle name="_CurrencySpace_Sheet1_Pools_1" xfId="660" xr:uid="{00000000-0005-0000-0000-00000F020000}"/>
    <cellStyle name="_CurrencySpace_Sheet1_Pools_ControlTables" xfId="661" xr:uid="{00000000-0005-0000-0000-000010020000}"/>
    <cellStyle name="_CurrencySpace_Sheet1_Pools_ControlTablesI" xfId="662" xr:uid="{00000000-0005-0000-0000-000011020000}"/>
    <cellStyle name="_CurrencySpace_Sheet1_Pools_DB_Eye" xfId="663" xr:uid="{00000000-0005-0000-0000-000012020000}"/>
    <cellStyle name="_CurrencySpace_Sheet1_Pools_Exec Summary" xfId="664" xr:uid="{00000000-0005-0000-0000-000013020000}"/>
    <cellStyle name="_CurrencySpace_Sheet1_Pools_Exec Summary_1" xfId="665" xr:uid="{00000000-0005-0000-0000-000014020000}"/>
    <cellStyle name="_CurrencySpace_Sheet1_Pools_Sheet1" xfId="666" xr:uid="{00000000-0005-0000-0000-000015020000}"/>
    <cellStyle name="_CurrencySpace_Sheet1_Portfolio Valuation" xfId="667" xr:uid="{00000000-0005-0000-0000-000016020000}"/>
    <cellStyle name="_CurrencySpace_Sheet1_Prop 13" xfId="668" xr:uid="{00000000-0005-0000-0000-000017020000}"/>
    <cellStyle name="_CurrencySpace_Sheet1_Prop 13 Data" xfId="669" xr:uid="{00000000-0005-0000-0000-000018020000}"/>
    <cellStyle name="_CurrencySpace_Sheet1_Prop 13 Summary-11-10" xfId="670" xr:uid="{00000000-0005-0000-0000-000019020000}"/>
    <cellStyle name="_CurrencySpace_Sheet1_Property Assumptions" xfId="671" xr:uid="{00000000-0005-0000-0000-00001A020000}"/>
    <cellStyle name="_CurrencySpace_Sheet1_Property Assumptions_1" xfId="672" xr:uid="{00000000-0005-0000-0000-00001B020000}"/>
    <cellStyle name="_CurrencySpace_Sheet1_Quick Property Input" xfId="673" xr:uid="{00000000-0005-0000-0000-00001C020000}"/>
    <cellStyle name="_CurrencySpace_Sheet1_Senario Input Assumptions" xfId="674" xr:uid="{00000000-0005-0000-0000-00001D020000}"/>
    <cellStyle name="_CurrencySpace_Sheet1_Sheet1" xfId="675" xr:uid="{00000000-0005-0000-0000-00001E020000}"/>
    <cellStyle name="_CurrencySpace_Sheet1_Sheet2" xfId="676" xr:uid="{00000000-0005-0000-0000-00001F020000}"/>
    <cellStyle name="_CurrencySpace_Sheet1_Sheet2_1" xfId="677" xr:uid="{00000000-0005-0000-0000-000020020000}"/>
    <cellStyle name="_CurrencySpace_Sheet1_Sheet3" xfId="678" xr:uid="{00000000-0005-0000-0000-000021020000}"/>
    <cellStyle name="_CurrencySpace_Sheet1_Sheet5" xfId="679" xr:uid="{00000000-0005-0000-0000-000022020000}"/>
    <cellStyle name="_CurrencySpace_Sheet1_Structure Model_2003_test2" xfId="680" xr:uid="{00000000-0005-0000-0000-000023020000}"/>
    <cellStyle name="_CurrencySpace_Sheet2" xfId="681" xr:uid="{00000000-0005-0000-0000-000024020000}"/>
    <cellStyle name="_CurrencySpace_Sheet2_1" xfId="682" xr:uid="{00000000-0005-0000-0000-000025020000}"/>
    <cellStyle name="_CurrencySpace_Sheet3" xfId="683" xr:uid="{00000000-0005-0000-0000-000026020000}"/>
    <cellStyle name="_CurrencySpace_Sheet3_1" xfId="684" xr:uid="{00000000-0005-0000-0000-000027020000}"/>
    <cellStyle name="_CurrencySpace_Sheet4" xfId="685" xr:uid="{00000000-0005-0000-0000-000028020000}"/>
    <cellStyle name="_CurrencySpace_Sheet5" xfId="686" xr:uid="{00000000-0005-0000-0000-000029020000}"/>
    <cellStyle name="_CurrencySpace_Structure Model_2003_test2" xfId="687" xr:uid="{00000000-0005-0000-0000-00002A020000}"/>
    <cellStyle name="_CurrencySpace_Structure Model_2003_test2_ControlTables" xfId="688" xr:uid="{00000000-0005-0000-0000-00002B020000}"/>
    <cellStyle name="_CurrencySpace_Structure Model_2003_test2_ControlTablesI" xfId="689" xr:uid="{00000000-0005-0000-0000-00002C020000}"/>
    <cellStyle name="_CurrencySpace_Structure Model_2003_test2_DB_Eye" xfId="690" xr:uid="{00000000-0005-0000-0000-00002D020000}"/>
    <cellStyle name="_CurrencySpace_Structure Model_2003_test2_Exec Summary" xfId="691" xr:uid="{00000000-0005-0000-0000-00002E020000}"/>
    <cellStyle name="_CurrencySpace_Structure Model_2003_test2_Exec Summary_1" xfId="692" xr:uid="{00000000-0005-0000-0000-00002F020000}"/>
    <cellStyle name="_CurrencySpace_Structure Model_2003_test2_Sheet1" xfId="693" xr:uid="{00000000-0005-0000-0000-000030020000}"/>
    <cellStyle name="_Euro" xfId="694" xr:uid="{00000000-0005-0000-0000-000031020000}"/>
    <cellStyle name="_Euro_ControlTables" xfId="695" xr:uid="{00000000-0005-0000-0000-000032020000}"/>
    <cellStyle name="_Euro_ControlTablesI" xfId="696" xr:uid="{00000000-0005-0000-0000-000033020000}"/>
    <cellStyle name="_Euro_DB Eye" xfId="697" xr:uid="{00000000-0005-0000-0000-000034020000}"/>
    <cellStyle name="_Euro_DB_Eye" xfId="698" xr:uid="{00000000-0005-0000-0000-000035020000}"/>
    <cellStyle name="_Euro_Exec Summary" xfId="699" xr:uid="{00000000-0005-0000-0000-000036020000}"/>
    <cellStyle name="_Euro_Sheet1" xfId="700" xr:uid="{00000000-0005-0000-0000-000037020000}"/>
    <cellStyle name="_Existing Debt" xfId="701" xr:uid="{00000000-0005-0000-0000-000038020000}"/>
    <cellStyle name="_Heading" xfId="702" xr:uid="{00000000-0005-0000-0000-000039020000}"/>
    <cellStyle name="_Highlight" xfId="703" xr:uid="{00000000-0005-0000-0000-00003A020000}"/>
    <cellStyle name="_Multiple" xfId="704" xr:uid="{00000000-0005-0000-0000-00003B020000}"/>
    <cellStyle name="_Multiple_3-Yr Eyechart" xfId="705" xr:uid="{00000000-0005-0000-0000-00003C020000}"/>
    <cellStyle name="_Multiple_ARI Base Case July 25 TPS1" xfId="706" xr:uid="{00000000-0005-0000-0000-00003D020000}"/>
    <cellStyle name="_Multiple_Balance Sheet" xfId="707" xr:uid="{00000000-0005-0000-0000-00003E020000}"/>
    <cellStyle name="_Multiple_Cost Of Funds" xfId="708" xr:uid="{00000000-0005-0000-0000-00003F020000}"/>
    <cellStyle name="_Multiple_Criteria" xfId="709" xr:uid="{00000000-0005-0000-0000-000040020000}"/>
    <cellStyle name="_Multiple_Criteria Test Export" xfId="710" xr:uid="{00000000-0005-0000-0000-000041020000}"/>
    <cellStyle name="_Multiple_Data Tape" xfId="711" xr:uid="{00000000-0005-0000-0000-000042020000}"/>
    <cellStyle name="_Multiple_Data Tape_1" xfId="712" xr:uid="{00000000-0005-0000-0000-000043020000}"/>
    <cellStyle name="_Multiple_Data_Tape" xfId="713" xr:uid="{00000000-0005-0000-0000-000044020000}"/>
    <cellStyle name="_Multiple_DB_Eye" xfId="714" xr:uid="{00000000-0005-0000-0000-000045020000}"/>
    <cellStyle name="_Multiple_Deal Input" xfId="715" xr:uid="{00000000-0005-0000-0000-000046020000}"/>
    <cellStyle name="_Multiple_Direct Cap Eye" xfId="716" xr:uid="{00000000-0005-0000-0000-000047020000}"/>
    <cellStyle name="_Multiple_DPEM2005_vBetatest6" xfId="717" xr:uid="{00000000-0005-0000-0000-000048020000}"/>
    <cellStyle name="_Multiple_ETR" xfId="718" xr:uid="{00000000-0005-0000-0000-000049020000}"/>
    <cellStyle name="_Multiple_Existing Debt" xfId="719" xr:uid="{00000000-0005-0000-0000-00004A020000}"/>
    <cellStyle name="_Multiple_Existing Debt_1" xfId="720" xr:uid="{00000000-0005-0000-0000-00004B020000}"/>
    <cellStyle name="_Multiple_EyeChart" xfId="721" xr:uid="{00000000-0005-0000-0000-00004C020000}"/>
    <cellStyle name="_Multiple_EyeChart 090503" xfId="722" xr:uid="{00000000-0005-0000-0000-00004D020000}"/>
    <cellStyle name="_Multiple_Input" xfId="723" xr:uid="{00000000-0005-0000-0000-00004E020000}"/>
    <cellStyle name="_Multiple_Input_1" xfId="724" xr:uid="{00000000-0005-0000-0000-00004F020000}"/>
    <cellStyle name="_Multiple_Input_Data Tape" xfId="725" xr:uid="{00000000-0005-0000-0000-000050020000}"/>
    <cellStyle name="_Multiple_JV Economics" xfId="726" xr:uid="{00000000-0005-0000-0000-000051020000}"/>
    <cellStyle name="_Multiple_M&amp;A Feed" xfId="727" xr:uid="{00000000-0005-0000-0000-000052020000}"/>
    <cellStyle name="_Multiple_NPV Case Eyechart" xfId="728" xr:uid="{00000000-0005-0000-0000-000053020000}"/>
    <cellStyle name="_Multiple_Pools" xfId="729" xr:uid="{00000000-0005-0000-0000-000054020000}"/>
    <cellStyle name="_Multiple_Pools_1" xfId="730" xr:uid="{00000000-0005-0000-0000-000055020000}"/>
    <cellStyle name="_Multiple_Portfolio Valuation" xfId="731" xr:uid="{00000000-0005-0000-0000-000056020000}"/>
    <cellStyle name="_Multiple_Pricing" xfId="732" xr:uid="{00000000-0005-0000-0000-000057020000}"/>
    <cellStyle name="_Multiple_Prop 13" xfId="733" xr:uid="{00000000-0005-0000-0000-000058020000}"/>
    <cellStyle name="_Multiple_Prop 13 Data" xfId="734" xr:uid="{00000000-0005-0000-0000-000059020000}"/>
    <cellStyle name="_Multiple_Prop 13 Summary-11-10" xfId="735" xr:uid="{00000000-0005-0000-0000-00005A020000}"/>
    <cellStyle name="_Multiple_Property Assumptions" xfId="736" xr:uid="{00000000-0005-0000-0000-00005B020000}"/>
    <cellStyle name="_Multiple_Property Assumptions_1" xfId="737" xr:uid="{00000000-0005-0000-0000-00005C020000}"/>
    <cellStyle name="_Multiple_Quick Property Input" xfId="738" xr:uid="{00000000-0005-0000-0000-00005D020000}"/>
    <cellStyle name="_Multiple_Senario Input Assumptions" xfId="739" xr:uid="{00000000-0005-0000-0000-00005E020000}"/>
    <cellStyle name="_Multiple_Sheet1" xfId="740" xr:uid="{00000000-0005-0000-0000-00005F020000}"/>
    <cellStyle name="_Multiple_Sheet1_3-Yr Eyechart" xfId="741" xr:uid="{00000000-0005-0000-0000-000060020000}"/>
    <cellStyle name="_Multiple_Sheet1_Balance Sheet" xfId="742" xr:uid="{00000000-0005-0000-0000-000061020000}"/>
    <cellStyle name="_Multiple_Sheet1_Cost Of Funds" xfId="743" xr:uid="{00000000-0005-0000-0000-000062020000}"/>
    <cellStyle name="_Multiple_Sheet1_Criteria" xfId="744" xr:uid="{00000000-0005-0000-0000-000063020000}"/>
    <cellStyle name="_Multiple_Sheet1_Criteria Test Export" xfId="745" xr:uid="{00000000-0005-0000-0000-000064020000}"/>
    <cellStyle name="_Multiple_Sheet1_Data Tape" xfId="746" xr:uid="{00000000-0005-0000-0000-000065020000}"/>
    <cellStyle name="_Multiple_Sheet1_Data Tape_1" xfId="747" xr:uid="{00000000-0005-0000-0000-000066020000}"/>
    <cellStyle name="_Multiple_Sheet1_Data_Tape" xfId="748" xr:uid="{00000000-0005-0000-0000-000067020000}"/>
    <cellStyle name="_Multiple_Sheet1_Deal Input" xfId="749" xr:uid="{00000000-0005-0000-0000-000068020000}"/>
    <cellStyle name="_Multiple_Sheet1_Direct Cap Eye" xfId="750" xr:uid="{00000000-0005-0000-0000-000069020000}"/>
    <cellStyle name="_Multiple_Sheet1_DPEM2005_vBetatest6" xfId="751" xr:uid="{00000000-0005-0000-0000-00006A020000}"/>
    <cellStyle name="_Multiple_Sheet1_ETR" xfId="752" xr:uid="{00000000-0005-0000-0000-00006B020000}"/>
    <cellStyle name="_Multiple_Sheet1_Existing Debt" xfId="753" xr:uid="{00000000-0005-0000-0000-00006C020000}"/>
    <cellStyle name="_Multiple_Sheet1_Input" xfId="754" xr:uid="{00000000-0005-0000-0000-00006D020000}"/>
    <cellStyle name="_Multiple_Sheet1_Input_1" xfId="755" xr:uid="{00000000-0005-0000-0000-00006E020000}"/>
    <cellStyle name="_Multiple_Sheet1_Input_Data Tape" xfId="756" xr:uid="{00000000-0005-0000-0000-00006F020000}"/>
    <cellStyle name="_Multiple_Sheet1_M&amp;A Feed" xfId="757" xr:uid="{00000000-0005-0000-0000-000070020000}"/>
    <cellStyle name="_Multiple_Sheet1_NPV Case Eyechart" xfId="758" xr:uid="{00000000-0005-0000-0000-000071020000}"/>
    <cellStyle name="_Multiple_Sheet1_Pools" xfId="759" xr:uid="{00000000-0005-0000-0000-000072020000}"/>
    <cellStyle name="_Multiple_Sheet1_Pools_1" xfId="760" xr:uid="{00000000-0005-0000-0000-000073020000}"/>
    <cellStyle name="_Multiple_Sheet1_Portfolio Valuation" xfId="761" xr:uid="{00000000-0005-0000-0000-000074020000}"/>
    <cellStyle name="_Multiple_Sheet1_Prop 13" xfId="762" xr:uid="{00000000-0005-0000-0000-000075020000}"/>
    <cellStyle name="_Multiple_Sheet1_Prop 13 Data" xfId="763" xr:uid="{00000000-0005-0000-0000-000076020000}"/>
    <cellStyle name="_Multiple_Sheet1_Prop 13 Summary-11-10" xfId="764" xr:uid="{00000000-0005-0000-0000-000077020000}"/>
    <cellStyle name="_Multiple_Sheet1_Property Assumptions" xfId="765" xr:uid="{00000000-0005-0000-0000-000078020000}"/>
    <cellStyle name="_Multiple_Sheet1_Property Assumptions_1" xfId="766" xr:uid="{00000000-0005-0000-0000-000079020000}"/>
    <cellStyle name="_Multiple_Sheet1_Quick Property Input" xfId="767" xr:uid="{00000000-0005-0000-0000-00007A020000}"/>
    <cellStyle name="_Multiple_Sheet1_Senario Input Assumptions" xfId="768" xr:uid="{00000000-0005-0000-0000-00007B020000}"/>
    <cellStyle name="_Multiple_Sheet1_Sheet1" xfId="769" xr:uid="{00000000-0005-0000-0000-00007C020000}"/>
    <cellStyle name="_Multiple_Sheet1_Sheet2" xfId="770" xr:uid="{00000000-0005-0000-0000-00007D020000}"/>
    <cellStyle name="_Multiple_Sheet1_Sheet2_1" xfId="771" xr:uid="{00000000-0005-0000-0000-00007E020000}"/>
    <cellStyle name="_Multiple_Sheet1_Sheet3" xfId="772" xr:uid="{00000000-0005-0000-0000-00007F020000}"/>
    <cellStyle name="_Multiple_Sheet1_Sheet5" xfId="773" xr:uid="{00000000-0005-0000-0000-000080020000}"/>
    <cellStyle name="_Multiple_Sheet1_Structure Model_2003_test2" xfId="774" xr:uid="{00000000-0005-0000-0000-000081020000}"/>
    <cellStyle name="_Multiple_Sheet2" xfId="775" xr:uid="{00000000-0005-0000-0000-000082020000}"/>
    <cellStyle name="_Multiple_Sheet2_1" xfId="776" xr:uid="{00000000-0005-0000-0000-000083020000}"/>
    <cellStyle name="_Multiple_Sheet3" xfId="777" xr:uid="{00000000-0005-0000-0000-000084020000}"/>
    <cellStyle name="_Multiple_Sheet3_1" xfId="778" xr:uid="{00000000-0005-0000-0000-000085020000}"/>
    <cellStyle name="_Multiple_Sheet4" xfId="779" xr:uid="{00000000-0005-0000-0000-000086020000}"/>
    <cellStyle name="_Multiple_Sheet5" xfId="780" xr:uid="{00000000-0005-0000-0000-000087020000}"/>
    <cellStyle name="_Multiple_Structure Model_2003_test2" xfId="781" xr:uid="{00000000-0005-0000-0000-000088020000}"/>
    <cellStyle name="_MultipleSpace" xfId="782" xr:uid="{00000000-0005-0000-0000-000089020000}"/>
    <cellStyle name="_MultipleSpace_ARI Base Case July 25 TPS1" xfId="783" xr:uid="{00000000-0005-0000-0000-00008A020000}"/>
    <cellStyle name="_MultipleSpace_DB_Eye" xfId="784" xr:uid="{00000000-0005-0000-0000-00008B020000}"/>
    <cellStyle name="_MultipleSpace_Existing Debt" xfId="785" xr:uid="{00000000-0005-0000-0000-00008C020000}"/>
    <cellStyle name="_MultipleSpace_EyeChart" xfId="786" xr:uid="{00000000-0005-0000-0000-00008D020000}"/>
    <cellStyle name="_MultipleSpace_EyeChart 090503" xfId="787" xr:uid="{00000000-0005-0000-0000-00008E020000}"/>
    <cellStyle name="_MultipleSpace_Input" xfId="788" xr:uid="{00000000-0005-0000-0000-00008F020000}"/>
    <cellStyle name="_MultipleSpace_Input_1" xfId="789" xr:uid="{00000000-0005-0000-0000-000090020000}"/>
    <cellStyle name="_MultipleSpace_Pricing" xfId="790" xr:uid="{00000000-0005-0000-0000-000091020000}"/>
    <cellStyle name="_MultipleSpace_Sheet2" xfId="791" xr:uid="{00000000-0005-0000-0000-000092020000}"/>
    <cellStyle name="_MultipleSpace_Sheet4" xfId="792" xr:uid="{00000000-0005-0000-0000-000093020000}"/>
    <cellStyle name="_Percent" xfId="793" xr:uid="{00000000-0005-0000-0000-000094020000}"/>
    <cellStyle name="_Percent_ARI Base Case July 25 TPS1" xfId="794" xr:uid="{00000000-0005-0000-0000-000095020000}"/>
    <cellStyle name="_Percent_Existing Debt" xfId="795" xr:uid="{00000000-0005-0000-0000-000096020000}"/>
    <cellStyle name="_PercentSpace" xfId="796" xr:uid="{00000000-0005-0000-0000-000097020000}"/>
    <cellStyle name="_PercentSpace_ARI Base Case July 25 TPS1" xfId="797" xr:uid="{00000000-0005-0000-0000-000098020000}"/>
    <cellStyle name="_PercentSpace_Existing Debt" xfId="798" xr:uid="{00000000-0005-0000-0000-000099020000}"/>
    <cellStyle name="_SubHeading" xfId="799" xr:uid="{00000000-0005-0000-0000-00009A020000}"/>
    <cellStyle name="_Table" xfId="800" xr:uid="{00000000-0005-0000-0000-00009B020000}"/>
    <cellStyle name="_TableHead" xfId="801" xr:uid="{00000000-0005-0000-0000-00009C020000}"/>
    <cellStyle name="_TableRowHead" xfId="802" xr:uid="{00000000-0005-0000-0000-00009D020000}"/>
    <cellStyle name="_TableSuperHead" xfId="803" xr:uid="{00000000-0005-0000-0000-00009E020000}"/>
    <cellStyle name="0.0 x" xfId="804" xr:uid="{00000000-0005-0000-0000-0000A2020000}"/>
    <cellStyle name="000" xfId="805" xr:uid="{00000000-0005-0000-0000-0000A3020000}"/>
    <cellStyle name="1" xfId="806" xr:uid="{00000000-0005-0000-0000-0000A4020000}"/>
    <cellStyle name="1_03-05-31 Final OBS Reports" xfId="807" xr:uid="{00000000-0005-0000-0000-0000A5020000}"/>
    <cellStyle name="1_GMACCH_Loans_OBS_033103_Final_v2" xfId="808" xr:uid="{00000000-0005-0000-0000-0000A6020000}"/>
    <cellStyle name="1_Japan - 3Q02 Risk Rating Worksheet - 101602_Japan" xfId="809" xr:uid="{00000000-0005-0000-0000-0000A7020000}"/>
    <cellStyle name="1_Japan - 3Q02 Risk Rating Worksheet - 101602_Japan_Comparison vs. prior_Q2 2003" xfId="810" xr:uid="{00000000-0005-0000-0000-0000A8020000}"/>
    <cellStyle name="1_Japan - 4Q2002 - Risk Rating Worksheet_final" xfId="811" xr:uid="{00000000-0005-0000-0000-0000A9020000}"/>
    <cellStyle name="1_Japan - 4Q2002 - Risk Rating Worksheet_final_12.11.2002" xfId="812" xr:uid="{00000000-0005-0000-0000-0000AA020000}"/>
    <cellStyle name="1_Japan - 4Q2002 - Risk Rating Worksheet_final_12.11.2002_Comparison vs. prior_Q2 2003" xfId="813" xr:uid="{00000000-0005-0000-0000-0000AB020000}"/>
    <cellStyle name="1_Japan - 4Q2002 - Risk Rating Worksheet_final_Comparison vs. prior_Q2 2003" xfId="814" xr:uid="{00000000-0005-0000-0000-0000AC020000}"/>
    <cellStyle name="1_Japan-1Q2003 - Risk Rating Worksheet03.06.2003F" xfId="815" xr:uid="{00000000-0005-0000-0000-0000AD020000}"/>
    <cellStyle name="1_Japan-1Q2003 - Risk Rating Worksheet03.06.2003F_Comparison vs. prior_Q2 2003" xfId="816" xr:uid="{00000000-0005-0000-0000-0000AE020000}"/>
    <cellStyle name="1_SALEM" xfId="817" xr:uid="{00000000-0005-0000-0000-0000AF020000}"/>
    <cellStyle name="1_SALEM_03-05-31 Final OBS Reports" xfId="818" xr:uid="{00000000-0005-0000-0000-0000B0020000}"/>
    <cellStyle name="1_SALEM_GMACCH_Loans_OBS_033103_Final_v2" xfId="819" xr:uid="{00000000-0005-0000-0000-0000B1020000}"/>
    <cellStyle name="1_SALEM_Japan - 3Q02 Risk Rating Worksheet - 101602_Japan" xfId="820" xr:uid="{00000000-0005-0000-0000-0000B2020000}"/>
    <cellStyle name="1_SALEM_Japan - 3Q02 Risk Rating Worksheet - 101602_Japan_Comparison vs. prior_Q2 2003" xfId="821" xr:uid="{00000000-0005-0000-0000-0000B3020000}"/>
    <cellStyle name="1_SALEM_Japan - 4Q2002 - Risk Rating Worksheet_final" xfId="822" xr:uid="{00000000-0005-0000-0000-0000B4020000}"/>
    <cellStyle name="1_SALEM_Japan - 4Q2002 - Risk Rating Worksheet_final_12.11.2002" xfId="823" xr:uid="{00000000-0005-0000-0000-0000B5020000}"/>
    <cellStyle name="1_SALEM_Japan - 4Q2002 - Risk Rating Worksheet_final_12.11.2002_Comparison vs. prior_Q2 2003" xfId="824" xr:uid="{00000000-0005-0000-0000-0000B6020000}"/>
    <cellStyle name="1_SALEM_Japan - 4Q2002 - Risk Rating Worksheet_final_Comparison vs. prior_Q2 2003" xfId="825" xr:uid="{00000000-0005-0000-0000-0000B7020000}"/>
    <cellStyle name="1_SALEM_Japan-1Q2003 - Risk Rating Worksheet03.06.2003F" xfId="826" xr:uid="{00000000-0005-0000-0000-0000B8020000}"/>
    <cellStyle name="1_SALEM_Japan-1Q2003 - Risk Rating Worksheet03.06.2003F_Comparison vs. prior_Q2 2003" xfId="827" xr:uid="{00000000-0005-0000-0000-0000B9020000}"/>
    <cellStyle name="1_SALEM_Sheet1" xfId="828" xr:uid="{00000000-0005-0000-0000-0000BA020000}"/>
    <cellStyle name="1_SALEM_Sheet3" xfId="829" xr:uid="{00000000-0005-0000-0000-0000BB020000}"/>
    <cellStyle name="1_sec8 (2)" xfId="830" xr:uid="{00000000-0005-0000-0000-0000BC020000}"/>
    <cellStyle name="1_sec8 (2)_03-05-31 Final OBS Reports" xfId="831" xr:uid="{00000000-0005-0000-0000-0000BD020000}"/>
    <cellStyle name="1_sec8 (2)_GMACCH_Loans_OBS_033103_Final_v2" xfId="832" xr:uid="{00000000-0005-0000-0000-0000BE020000}"/>
    <cellStyle name="1_sec8 (2)_Japan - 3Q02 Risk Rating Worksheet - 101602_Japan" xfId="833" xr:uid="{00000000-0005-0000-0000-0000BF020000}"/>
    <cellStyle name="1_sec8 (2)_Japan - 3Q02 Risk Rating Worksheet - 101602_Japan_Comparison vs. prior_Q2 2003" xfId="834" xr:uid="{00000000-0005-0000-0000-0000C0020000}"/>
    <cellStyle name="1_sec8 (2)_Japan - 4Q2002 - Risk Rating Worksheet_final" xfId="835" xr:uid="{00000000-0005-0000-0000-0000C1020000}"/>
    <cellStyle name="1_sec8 (2)_Japan - 4Q2002 - Risk Rating Worksheet_final_12.11.2002" xfId="836" xr:uid="{00000000-0005-0000-0000-0000C2020000}"/>
    <cellStyle name="1_sec8 (2)_Japan - 4Q2002 - Risk Rating Worksheet_final_12.11.2002_Comparison vs. prior_Q2 2003" xfId="837" xr:uid="{00000000-0005-0000-0000-0000C3020000}"/>
    <cellStyle name="1_sec8 (2)_Japan - 4Q2002 - Risk Rating Worksheet_final_Comparison vs. prior_Q2 2003" xfId="838" xr:uid="{00000000-0005-0000-0000-0000C4020000}"/>
    <cellStyle name="1_sec8 (2)_Japan-1Q2003 - Risk Rating Worksheet03.06.2003F" xfId="839" xr:uid="{00000000-0005-0000-0000-0000C5020000}"/>
    <cellStyle name="1_sec8 (2)_Japan-1Q2003 - Risk Rating Worksheet03.06.2003F_Comparison vs. prior_Q2 2003" xfId="840" xr:uid="{00000000-0005-0000-0000-0000C6020000}"/>
    <cellStyle name="1_sec8 (2)_Sheet1" xfId="841" xr:uid="{00000000-0005-0000-0000-0000C7020000}"/>
    <cellStyle name="1_sec8 (2)_Sheet3" xfId="842" xr:uid="{00000000-0005-0000-0000-0000C8020000}"/>
    <cellStyle name="1_Sheet1" xfId="843" xr:uid="{00000000-0005-0000-0000-0000C9020000}"/>
    <cellStyle name="1_Sheet3" xfId="844" xr:uid="{00000000-0005-0000-0000-0000CA020000}"/>
    <cellStyle name="2" xfId="845" xr:uid="{00000000-0005-0000-0000-0000CB020000}"/>
    <cellStyle name="2_03-05-31 Final OBS Reports" xfId="846" xr:uid="{00000000-0005-0000-0000-0000CC020000}"/>
    <cellStyle name="2_GMACCH_Loans_OBS_033103_Final_v2" xfId="847" xr:uid="{00000000-0005-0000-0000-0000CD020000}"/>
    <cellStyle name="2_Japan - 3Q02 Risk Rating Worksheet - 101602_Japan" xfId="848" xr:uid="{00000000-0005-0000-0000-0000CE020000}"/>
    <cellStyle name="2_Japan - 3Q02 Risk Rating Worksheet - 101602_Japan_Comparison vs. prior_Q2 2003" xfId="849" xr:uid="{00000000-0005-0000-0000-0000CF020000}"/>
    <cellStyle name="2_Japan - 4Q2002 - Risk Rating Worksheet_final" xfId="850" xr:uid="{00000000-0005-0000-0000-0000D0020000}"/>
    <cellStyle name="2_Japan - 4Q2002 - Risk Rating Worksheet_final_12.11.2002" xfId="851" xr:uid="{00000000-0005-0000-0000-0000D1020000}"/>
    <cellStyle name="2_Japan - 4Q2002 - Risk Rating Worksheet_final_12.11.2002_Comparison vs. prior_Q2 2003" xfId="852" xr:uid="{00000000-0005-0000-0000-0000D2020000}"/>
    <cellStyle name="2_Japan - 4Q2002 - Risk Rating Worksheet_final_Comparison vs. prior_Q2 2003" xfId="853" xr:uid="{00000000-0005-0000-0000-0000D3020000}"/>
    <cellStyle name="2_Japan-1Q2003 - Risk Rating Worksheet03.06.2003F" xfId="854" xr:uid="{00000000-0005-0000-0000-0000D4020000}"/>
    <cellStyle name="2_Japan-1Q2003 - Risk Rating Worksheet03.06.2003F_Comparison vs. prior_Q2 2003" xfId="855" xr:uid="{00000000-0005-0000-0000-0000D5020000}"/>
    <cellStyle name="2_SALEM" xfId="856" xr:uid="{00000000-0005-0000-0000-0000D6020000}"/>
    <cellStyle name="2_SALEM_03-05-31 Final OBS Reports" xfId="857" xr:uid="{00000000-0005-0000-0000-0000D7020000}"/>
    <cellStyle name="2_SALEM_GMACCH_Loans_OBS_033103_Final_v2" xfId="858" xr:uid="{00000000-0005-0000-0000-0000D8020000}"/>
    <cellStyle name="2_SALEM_Japan - 3Q02 Risk Rating Worksheet - 101602_Japan" xfId="859" xr:uid="{00000000-0005-0000-0000-0000D9020000}"/>
    <cellStyle name="2_SALEM_Japan - 3Q02 Risk Rating Worksheet - 101602_Japan_Comparison vs. prior_Q2 2003" xfId="860" xr:uid="{00000000-0005-0000-0000-0000DA020000}"/>
    <cellStyle name="2_SALEM_Japan - 4Q2002 - Risk Rating Worksheet_final" xfId="861" xr:uid="{00000000-0005-0000-0000-0000DB020000}"/>
    <cellStyle name="2_SALEM_Japan - 4Q2002 - Risk Rating Worksheet_final_12.11.2002" xfId="862" xr:uid="{00000000-0005-0000-0000-0000DC020000}"/>
    <cellStyle name="2_SALEM_Japan - 4Q2002 - Risk Rating Worksheet_final_12.11.2002_Comparison vs. prior_Q2 2003" xfId="863" xr:uid="{00000000-0005-0000-0000-0000DD020000}"/>
    <cellStyle name="2_SALEM_Japan - 4Q2002 - Risk Rating Worksheet_final_Comparison vs. prior_Q2 2003" xfId="864" xr:uid="{00000000-0005-0000-0000-0000DE020000}"/>
    <cellStyle name="2_SALEM_Japan-1Q2003 - Risk Rating Worksheet03.06.2003F" xfId="865" xr:uid="{00000000-0005-0000-0000-0000DF020000}"/>
    <cellStyle name="2_SALEM_Japan-1Q2003 - Risk Rating Worksheet03.06.2003F_Comparison vs. prior_Q2 2003" xfId="866" xr:uid="{00000000-0005-0000-0000-0000E0020000}"/>
    <cellStyle name="2_SALEM_Sheet1" xfId="867" xr:uid="{00000000-0005-0000-0000-0000E1020000}"/>
    <cellStyle name="2_SALEM_Sheet3" xfId="868" xr:uid="{00000000-0005-0000-0000-0000E2020000}"/>
    <cellStyle name="2_Sheet1" xfId="869" xr:uid="{00000000-0005-0000-0000-0000E3020000}"/>
    <cellStyle name="2_Sheet3" xfId="870" xr:uid="{00000000-0005-0000-0000-0000E4020000}"/>
    <cellStyle name="3" xfId="871" xr:uid="{00000000-0005-0000-0000-0000E5020000}"/>
    <cellStyle name="3$" xfId="872" xr:uid="{00000000-0005-0000-0000-0000F2020000}"/>
    <cellStyle name="3_03-05-31 Final OBS Reports" xfId="873" xr:uid="{00000000-0005-0000-0000-0000E6020000}"/>
    <cellStyle name="3_GMACCH_Loans_OBS_033103_Final_v2" xfId="874" xr:uid="{00000000-0005-0000-0000-0000E7020000}"/>
    <cellStyle name="3_Japan - 3Q02 Risk Rating Worksheet - 101602_Japan" xfId="875" xr:uid="{00000000-0005-0000-0000-0000E8020000}"/>
    <cellStyle name="3_Japan - 3Q02 Risk Rating Worksheet - 101602_Japan_Comparison vs. prior_Q2 2003" xfId="876" xr:uid="{00000000-0005-0000-0000-0000E9020000}"/>
    <cellStyle name="3_Japan - 4Q2002 - Risk Rating Worksheet_final" xfId="877" xr:uid="{00000000-0005-0000-0000-0000EA020000}"/>
    <cellStyle name="3_Japan - 4Q2002 - Risk Rating Worksheet_final_12.11.2002" xfId="878" xr:uid="{00000000-0005-0000-0000-0000EB020000}"/>
    <cellStyle name="3_Japan - 4Q2002 - Risk Rating Worksheet_final_12.11.2002_Comparison vs. prior_Q2 2003" xfId="879" xr:uid="{00000000-0005-0000-0000-0000EC020000}"/>
    <cellStyle name="3_Japan - 4Q2002 - Risk Rating Worksheet_final_Comparison vs. prior_Q2 2003" xfId="880" xr:uid="{00000000-0005-0000-0000-0000ED020000}"/>
    <cellStyle name="3_Japan-1Q2003 - Risk Rating Worksheet03.06.2003F" xfId="881" xr:uid="{00000000-0005-0000-0000-0000EE020000}"/>
    <cellStyle name="3_Japan-1Q2003 - Risk Rating Worksheet03.06.2003F_Comparison vs. prior_Q2 2003" xfId="882" xr:uid="{00000000-0005-0000-0000-0000EF020000}"/>
    <cellStyle name="3_Sheet1" xfId="883" xr:uid="{00000000-0005-0000-0000-0000F0020000}"/>
    <cellStyle name="3_Sheet3" xfId="884" xr:uid="{00000000-0005-0000-0000-0000F1020000}"/>
    <cellStyle name="A" xfId="885" xr:uid="{00000000-0005-0000-0000-0000F3020000}"/>
    <cellStyle name="Actual Date" xfId="886" xr:uid="{00000000-0005-0000-0000-0000F4020000}"/>
    <cellStyle name="AFE" xfId="887" xr:uid="{00000000-0005-0000-0000-0000F5020000}"/>
    <cellStyle name="ag" xfId="888" xr:uid="{00000000-0005-0000-0000-0000F6020000}"/>
    <cellStyle name="args.style" xfId="889" xr:uid="{00000000-0005-0000-0000-0000F7020000}"/>
    <cellStyle name="Arial 10" xfId="890" xr:uid="{00000000-0005-0000-0000-0000F8020000}"/>
    <cellStyle name="Arial 12" xfId="891" xr:uid="{00000000-0005-0000-0000-0000F9020000}"/>
    <cellStyle name="BLACK" xfId="892" xr:uid="{00000000-0005-0000-0000-0000FA020000}"/>
    <cellStyle name="Blank[,]" xfId="893" xr:uid="{00000000-0005-0000-0000-0000FB020000}"/>
    <cellStyle name="Blank[1%]" xfId="894" xr:uid="{00000000-0005-0000-0000-0000FC020000}"/>
    <cellStyle name="Blue" xfId="895" xr:uid="{00000000-0005-0000-0000-0000FD020000}"/>
    <cellStyle name="blue currency" xfId="896" xr:uid="{00000000-0005-0000-0000-0000FE020000}"/>
    <cellStyle name="BLUE date" xfId="897" xr:uid="{00000000-0005-0000-0000-0000FF020000}"/>
    <cellStyle name="blue$00" xfId="898" xr:uid="{00000000-0005-0000-0000-000001030000}"/>
    <cellStyle name="BLUE_Citrix_2pgr2" xfId="899" xr:uid="{00000000-0005-0000-0000-000000030000}"/>
    <cellStyle name="Body" xfId="900" xr:uid="{00000000-0005-0000-0000-000002030000}"/>
    <cellStyle name="BOLD, 8 POINT" xfId="901" xr:uid="{00000000-0005-0000-0000-000003030000}"/>
    <cellStyle name="BoldItalicNoUnderline" xfId="902" xr:uid="{00000000-0005-0000-0000-000004030000}"/>
    <cellStyle name="BoldSDoubUnderlineBack" xfId="903" xr:uid="{00000000-0005-0000-0000-000005030000}"/>
    <cellStyle name="BoldSingUnderline" xfId="904" xr:uid="{00000000-0005-0000-0000-000006030000}"/>
    <cellStyle name="Border Heavy" xfId="905" xr:uid="{00000000-0005-0000-0000-000007030000}"/>
    <cellStyle name="Border Thin" xfId="906" xr:uid="{00000000-0005-0000-0000-000008030000}"/>
    <cellStyle name="bottomHeavy" xfId="907" xr:uid="{00000000-0005-0000-0000-000009030000}"/>
    <cellStyle name="bottomHeavy-w-left" xfId="908" xr:uid="{00000000-0005-0000-0000-00000A030000}"/>
    <cellStyle name="brad" xfId="909" xr:uid="{00000000-0005-0000-0000-00000B030000}"/>
    <cellStyle name="British Pound" xfId="910" xr:uid="{00000000-0005-0000-0000-00000C030000}"/>
    <cellStyle name="Ç¥ÁØ_¿ù°£¿ä¾àº¸°í" xfId="911" xr:uid="{00000000-0005-0000-0000-00000D030000}"/>
    <cellStyle name="Calc Currency (0)" xfId="912" xr:uid="{00000000-0005-0000-0000-00000E030000}"/>
    <cellStyle name="Calc Currency (2)" xfId="913" xr:uid="{00000000-0005-0000-0000-00000F030000}"/>
    <cellStyle name="Calc Percent (0)" xfId="914" xr:uid="{00000000-0005-0000-0000-000010030000}"/>
    <cellStyle name="Calc Percent (1)" xfId="915" xr:uid="{00000000-0005-0000-0000-000011030000}"/>
    <cellStyle name="Calc Percent (2)" xfId="916" xr:uid="{00000000-0005-0000-0000-000012030000}"/>
    <cellStyle name="Calc Units (0)" xfId="917" xr:uid="{00000000-0005-0000-0000-000013030000}"/>
    <cellStyle name="Calc Units (1)" xfId="918" xr:uid="{00000000-0005-0000-0000-000014030000}"/>
    <cellStyle name="Calc Units (2)" xfId="919" xr:uid="{00000000-0005-0000-0000-000015030000}"/>
    <cellStyle name="caps 0.00" xfId="920" xr:uid="{00000000-0005-0000-0000-000016030000}"/>
    <cellStyle name="capsdate" xfId="921" xr:uid="{00000000-0005-0000-0000-000017030000}"/>
    <cellStyle name="Case" xfId="922" xr:uid="{00000000-0005-0000-0000-000018030000}"/>
    <cellStyle name="Cash Flow Statement" xfId="923" xr:uid="{00000000-0005-0000-0000-000019030000}"/>
    <cellStyle name="Center Across" xfId="924" xr:uid="{00000000-0005-0000-0000-00001A030000}"/>
    <cellStyle name="colheadleft" xfId="925" xr:uid="{00000000-0005-0000-0000-00001B030000}"/>
    <cellStyle name="colheadright" xfId="926" xr:uid="{00000000-0005-0000-0000-00001C030000}"/>
    <cellStyle name="Column Heading" xfId="927" xr:uid="{00000000-0005-0000-0000-00001D030000}"/>
    <cellStyle name="ColumnHeading" xfId="928" xr:uid="{00000000-0005-0000-0000-00001E030000}"/>
    <cellStyle name="Comma [00]" xfId="929" xr:uid="{00000000-0005-0000-0000-000020030000}"/>
    <cellStyle name="Comma [1]" xfId="930" xr:uid="{00000000-0005-0000-0000-000021030000}"/>
    <cellStyle name="Comma 0" xfId="931" xr:uid="{00000000-0005-0000-0000-000022030000}"/>
    <cellStyle name="Comma 0*" xfId="932" xr:uid="{00000000-0005-0000-0000-000023030000}"/>
    <cellStyle name="Comma 2" xfId="3" xr:uid="{00000000-0005-0000-0000-000024030000}"/>
    <cellStyle name="Comma 2 10" xfId="21" xr:uid="{00000000-0005-0000-0000-000025030000}"/>
    <cellStyle name="Comma 2 2" xfId="11" xr:uid="{00000000-0005-0000-0000-000026030000}"/>
    <cellStyle name="Comma 3" xfId="17" xr:uid="{00000000-0005-0000-0000-000027030000}"/>
    <cellStyle name="Comma 4" xfId="19" xr:uid="{00000000-0005-0000-0000-000028030000}"/>
    <cellStyle name="Comma 5" xfId="933" xr:uid="{00000000-0005-0000-0000-000029030000}"/>
    <cellStyle name="Comma 6" xfId="934" xr:uid="{00000000-0005-0000-0000-00002A030000}"/>
    <cellStyle name="Comma 7" xfId="935" xr:uid="{00000000-0005-0000-0000-00002B030000}"/>
    <cellStyle name="Comma 8" xfId="1349" xr:uid="{00000000-0005-0000-0000-00002C030000}"/>
    <cellStyle name="Comma 9" xfId="1358" xr:uid="{DC164E84-3E58-4E35-9903-251FD07BA1A7}"/>
    <cellStyle name="Comma0" xfId="936" xr:uid="{00000000-0005-0000-0000-00002D030000}"/>
    <cellStyle name="Comma0 - Style3" xfId="937" xr:uid="{00000000-0005-0000-0000-00002E030000}"/>
    <cellStyle name="Comma0 - Style5" xfId="938" xr:uid="{00000000-0005-0000-0000-00002F030000}"/>
    <cellStyle name="Comma0_Criteria" xfId="939" xr:uid="{00000000-0005-0000-0000-000030030000}"/>
    <cellStyle name="Comma1 - Style1" xfId="940" xr:uid="{00000000-0005-0000-0000-000031030000}"/>
    <cellStyle name="CommaFixed" xfId="941" xr:uid="{00000000-0005-0000-0000-000032030000}"/>
    <cellStyle name="CommaNoDec" xfId="942" xr:uid="{00000000-0005-0000-0000-000033030000}"/>
    <cellStyle name="CommaNoDecTot" xfId="943" xr:uid="{00000000-0005-0000-0000-000034030000}"/>
    <cellStyle name="CommaTotTop" xfId="944" xr:uid="{00000000-0005-0000-0000-000035030000}"/>
    <cellStyle name="CommaTotTopNoDec" xfId="945" xr:uid="{00000000-0005-0000-0000-000036030000}"/>
    <cellStyle name="Copied" xfId="946" xr:uid="{00000000-0005-0000-0000-000037030000}"/>
    <cellStyle name="COST1" xfId="947" xr:uid="{00000000-0005-0000-0000-000038030000}"/>
    <cellStyle name="Curren - Style2" xfId="948" xr:uid="{00000000-0005-0000-0000-000039030000}"/>
    <cellStyle name="Curren - Style4" xfId="949" xr:uid="{00000000-0005-0000-0000-00003A030000}"/>
    <cellStyle name="Currency [00]" xfId="950" xr:uid="{00000000-0005-0000-0000-00003C030000}"/>
    <cellStyle name="Currency [2]" xfId="951" xr:uid="{00000000-0005-0000-0000-00003D030000}"/>
    <cellStyle name="Currency 0" xfId="952" xr:uid="{00000000-0005-0000-0000-00003E030000}"/>
    <cellStyle name="Currency 2" xfId="4" xr:uid="{00000000-0005-0000-0000-00003F030000}"/>
    <cellStyle name="Currency 2 2" xfId="12" xr:uid="{00000000-0005-0000-0000-000040030000}"/>
    <cellStyle name="Currency 2 3" xfId="1354" xr:uid="{00000000-0005-0000-0000-000041030000}"/>
    <cellStyle name="Currency 3" xfId="953" xr:uid="{00000000-0005-0000-0000-000042030000}"/>
    <cellStyle name="Currency 4" xfId="954" xr:uid="{00000000-0005-0000-0000-000043030000}"/>
    <cellStyle name="Currency 5" xfId="955" xr:uid="{00000000-0005-0000-0000-000044030000}"/>
    <cellStyle name="Currency 6" xfId="956" xr:uid="{00000000-0005-0000-0000-000045030000}"/>
    <cellStyle name="Currency 7" xfId="957" xr:uid="{00000000-0005-0000-0000-000046030000}"/>
    <cellStyle name="Currency 8" xfId="1357" xr:uid="{E3B2DBE1-D04C-412B-9A10-6043A65E5AC8}"/>
    <cellStyle name="Currency0" xfId="958" xr:uid="{00000000-0005-0000-0000-000047030000}"/>
    <cellStyle name="Currency1" xfId="959" xr:uid="{00000000-0005-0000-0000-000048030000}"/>
    <cellStyle name="CurrencyTotTop[" xfId="960" xr:uid="{00000000-0005-0000-0000-000049030000}"/>
    <cellStyle name="D" xfId="961" xr:uid="{00000000-0005-0000-0000-00004A030000}"/>
    <cellStyle name="Date" xfId="962" xr:uid="{00000000-0005-0000-0000-00004B030000}"/>
    <cellStyle name="Date Aligned" xfId="963" xr:uid="{00000000-0005-0000-0000-00004C030000}"/>
    <cellStyle name="date month-year" xfId="964" xr:uid="{00000000-0005-0000-0000-00004D030000}"/>
    <cellStyle name="Date Short" xfId="965" xr:uid="{00000000-0005-0000-0000-00004E030000}"/>
    <cellStyle name="date_09.01.01_Property_Tax_Basis1" xfId="966" xr:uid="{00000000-0005-0000-0000-00004F030000}"/>
    <cellStyle name="Date1" xfId="967" xr:uid="{00000000-0005-0000-0000-000050030000}"/>
    <cellStyle name="DATETIME" xfId="968" xr:uid="{00000000-0005-0000-0000-000051030000}"/>
    <cellStyle name="decimal 0" xfId="969" xr:uid="{00000000-0005-0000-0000-000052030000}"/>
    <cellStyle name="decimal 1" xfId="970" xr:uid="{00000000-0005-0000-0000-000053030000}"/>
    <cellStyle name="decimal 2" xfId="971" xr:uid="{00000000-0005-0000-0000-000054030000}"/>
    <cellStyle name="Dollar" xfId="972" xr:uid="{00000000-0005-0000-0000-000055030000}"/>
    <cellStyle name="Dollar1" xfId="973" xr:uid="{00000000-0005-0000-0000-000056030000}"/>
    <cellStyle name="Dollar1Blue" xfId="974" xr:uid="{00000000-0005-0000-0000-000057030000}"/>
    <cellStyle name="Dollar2" xfId="975" xr:uid="{00000000-0005-0000-0000-000058030000}"/>
    <cellStyle name="Dotted Line" xfId="976" xr:uid="{00000000-0005-0000-0000-000059030000}"/>
    <cellStyle name="Double Accounting" xfId="977" xr:uid="{00000000-0005-0000-0000-00005A030000}"/>
    <cellStyle name="dp*Accent" xfId="978" xr:uid="{00000000-0005-0000-0000-00005B030000}"/>
    <cellStyle name="dp*ChartSubTitle" xfId="979" xr:uid="{00000000-0005-0000-0000-00005C030000}"/>
    <cellStyle name="dp*ChartTitle" xfId="980" xr:uid="{00000000-0005-0000-0000-00005D030000}"/>
    <cellStyle name="dp*ColumnHeading1" xfId="981" xr:uid="{00000000-0005-0000-0000-00005E030000}"/>
    <cellStyle name="dp*ColumnHeading2" xfId="982" xr:uid="{00000000-0005-0000-0000-00005F030000}"/>
    <cellStyle name="dp*ColumnHeadingDate" xfId="983" xr:uid="{00000000-0005-0000-0000-000060030000}"/>
    <cellStyle name="dp*FiscalDate" xfId="984" xr:uid="{00000000-0005-0000-0000-000061030000}"/>
    <cellStyle name="dp*Footnote" xfId="985" xr:uid="{00000000-0005-0000-0000-000062030000}"/>
    <cellStyle name="dp*Information" xfId="986" xr:uid="{00000000-0005-0000-0000-000063030000}"/>
    <cellStyle name="dp*LabelItalics" xfId="987" xr:uid="{00000000-0005-0000-0000-000064030000}"/>
    <cellStyle name="dp*LabelItalicsLineAbove" xfId="988" xr:uid="{00000000-0005-0000-0000-000065030000}"/>
    <cellStyle name="dp*LabelLine" xfId="989" xr:uid="{00000000-0005-0000-0000-000066030000}"/>
    <cellStyle name="dp*Labels" xfId="990" xr:uid="{00000000-0005-0000-0000-000067030000}"/>
    <cellStyle name="dp*Normal" xfId="991" xr:uid="{00000000-0005-0000-0000-000068030000}"/>
    <cellStyle name="dp*NormalCurrency1Dec." xfId="992" xr:uid="{00000000-0005-0000-0000-000069030000}"/>
    <cellStyle name="dp*NormalCurrency2Dec." xfId="993" xr:uid="{00000000-0005-0000-0000-00006A030000}"/>
    <cellStyle name="dp*Number%Italics" xfId="994" xr:uid="{00000000-0005-0000-0000-00006B030000}"/>
    <cellStyle name="dp*Number%ItalicsLineAbove" xfId="995" xr:uid="{00000000-0005-0000-0000-00006C030000}"/>
    <cellStyle name="dp*NumberCurrencyLine" xfId="996" xr:uid="{00000000-0005-0000-0000-00006D030000}"/>
    <cellStyle name="dp*NumberGeneral" xfId="997" xr:uid="{00000000-0005-0000-0000-00006E030000}"/>
    <cellStyle name="dp*NumberGeneral2Dec." xfId="998" xr:uid="{00000000-0005-0000-0000-00006F030000}"/>
    <cellStyle name="dp*NumberLine" xfId="999" xr:uid="{00000000-0005-0000-0000-000070030000}"/>
    <cellStyle name="dp*NumberLineEPS" xfId="1000" xr:uid="{00000000-0005-0000-0000-000071030000}"/>
    <cellStyle name="dp*NumberSpecial" xfId="1001" xr:uid="{00000000-0005-0000-0000-000072030000}"/>
    <cellStyle name="dp*RatioX" xfId="1002" xr:uid="{00000000-0005-0000-0000-000073030000}"/>
    <cellStyle name="dp*SeriesName" xfId="1003" xr:uid="{00000000-0005-0000-0000-000074030000}"/>
    <cellStyle name="dp*SheetSubTitle" xfId="1004" xr:uid="{00000000-0005-0000-0000-000075030000}"/>
    <cellStyle name="dp*SheetTitle" xfId="1005" xr:uid="{00000000-0005-0000-0000-000076030000}"/>
    <cellStyle name="dp*SubTitle" xfId="1006" xr:uid="{00000000-0005-0000-0000-000077030000}"/>
    <cellStyle name="dp*ThickLineAbove" xfId="1007" xr:uid="{00000000-0005-0000-0000-000078030000}"/>
    <cellStyle name="dp*ThickLineBelow" xfId="1008" xr:uid="{00000000-0005-0000-0000-000079030000}"/>
    <cellStyle name="dp*ThinLineAbove" xfId="1009" xr:uid="{00000000-0005-0000-0000-00007A030000}"/>
    <cellStyle name="dp*ThinLineBelow" xfId="1010" xr:uid="{00000000-0005-0000-0000-00007B030000}"/>
    <cellStyle name="dp*XAxisTitle" xfId="1011" xr:uid="{00000000-0005-0000-0000-00007C030000}"/>
    <cellStyle name="dp*Y2AxisTitle" xfId="1012" xr:uid="{00000000-0005-0000-0000-00007D030000}"/>
    <cellStyle name="dp*YAxisTitle" xfId="1013" xr:uid="{00000000-0005-0000-0000-00007E030000}"/>
    <cellStyle name="Driver" xfId="1014" xr:uid="{00000000-0005-0000-0000-00007F030000}"/>
    <cellStyle name="Enter Currency (0)" xfId="1015" xr:uid="{00000000-0005-0000-0000-000080030000}"/>
    <cellStyle name="Enter Currency (2)" xfId="1016" xr:uid="{00000000-0005-0000-0000-000081030000}"/>
    <cellStyle name="Enter Units (0)" xfId="1017" xr:uid="{00000000-0005-0000-0000-000082030000}"/>
    <cellStyle name="Enter Units (1)" xfId="1018" xr:uid="{00000000-0005-0000-0000-000083030000}"/>
    <cellStyle name="Enter Units (2)" xfId="1019" xr:uid="{00000000-0005-0000-0000-000084030000}"/>
    <cellStyle name="Entered" xfId="1020" xr:uid="{00000000-0005-0000-0000-000085030000}"/>
    <cellStyle name="Euro" xfId="1021" xr:uid="{00000000-0005-0000-0000-000086030000}"/>
    <cellStyle name="EvenBodyShade" xfId="1022" xr:uid="{00000000-0005-0000-0000-000087030000}"/>
    <cellStyle name="EvenBodyShade 2" xfId="1023" xr:uid="{00000000-0005-0000-0000-000088030000}"/>
    <cellStyle name="EvenBodyShade 3" xfId="1024" xr:uid="{00000000-0005-0000-0000-000089030000}"/>
    <cellStyle name="EvenBodyShade 4" xfId="1025" xr:uid="{00000000-0005-0000-0000-00008A030000}"/>
    <cellStyle name="EvenBodyShade 5" xfId="1026" xr:uid="{00000000-0005-0000-0000-00008B030000}"/>
    <cellStyle name="EvenBodyShade 9" xfId="1027" xr:uid="{00000000-0005-0000-0000-00008C030000}"/>
    <cellStyle name="EY House" xfId="1028" xr:uid="{00000000-0005-0000-0000-00008D030000}"/>
    <cellStyle name="F1" xfId="1029" xr:uid="{00000000-0005-0000-0000-00008E030000}"/>
    <cellStyle name="Fixed" xfId="1030" xr:uid="{00000000-0005-0000-0000-00008F030000}"/>
    <cellStyle name="Fixed4 - Style4" xfId="1031" xr:uid="{00000000-0005-0000-0000-000090030000}"/>
    <cellStyle name="Followed Hyperlink" xfId="87" builtinId="9" hidden="1"/>
    <cellStyle name="Followed Hyperlink" xfId="88" builtinId="9" hidden="1"/>
    <cellStyle name="Followed Hyperlink" xfId="89" builtinId="9" hidden="1"/>
    <cellStyle name="Followed Hyperlink" xfId="90" builtinId="9" hidden="1"/>
    <cellStyle name="Followed Hyperlink" xfId="91" builtinId="9" hidden="1"/>
    <cellStyle name="Followed Hyperlink" xfId="92" builtinId="9" hidden="1"/>
    <cellStyle name="Followed Hyperlink" xfId="93" builtinId="9" hidden="1"/>
    <cellStyle name="Followed Hyperlink" xfId="94" builtinId="9" hidden="1"/>
    <cellStyle name="Followed Hyperlink" xfId="95" builtinId="9" hidden="1"/>
    <cellStyle name="Followed Hyperlink" xfId="96" builtinId="9" hidden="1"/>
    <cellStyle name="Followed Hyperlink" xfId="97" builtinId="9" hidden="1"/>
    <cellStyle name="Followed Hyperlink" xfId="98" builtinId="9" hidden="1"/>
    <cellStyle name="Followed Hyperlink" xfId="99" builtinId="9" hidden="1"/>
    <cellStyle name="Followed Hyperlink" xfId="100" builtinId="9" hidden="1"/>
    <cellStyle name="Followed Hyperlink" xfId="102" builtinId="9" hidden="1"/>
    <cellStyle name="Followed Hyperlink" xfId="103" builtinId="9" hidden="1"/>
    <cellStyle name="Followed Hyperlink" xfId="104" builtinId="9" hidden="1"/>
    <cellStyle name="Followed Hyperlink" xfId="105" builtinId="9" hidden="1"/>
    <cellStyle name="Followed Hyperlink" xfId="106" builtinId="9" hidden="1"/>
    <cellStyle name="Followed Hyperlink" xfId="107" builtinId="9" hidden="1"/>
    <cellStyle name="Followed Hyperlink" xfId="108" builtinId="9" hidden="1"/>
    <cellStyle name="Followed Hyperlink" xfId="109" builtinId="9" hidden="1"/>
    <cellStyle name="Followed Hyperlink" xfId="110" builtinId="9" hidden="1"/>
    <cellStyle name="Followed Hyperlink" xfId="111" builtinId="9" hidden="1"/>
    <cellStyle name="Followed Hyperlink" xfId="112" builtinId="9" hidden="1"/>
    <cellStyle name="Followed Hyperlink" xfId="113" builtinId="9" hidden="1"/>
    <cellStyle name="Followed Hyperlink" xfId="114" builtinId="9" hidden="1"/>
    <cellStyle name="Followed Hyperlink" xfId="115" builtinId="9" hidden="1"/>
    <cellStyle name="Followed Hyperlink" xfId="116" builtinId="9" hidden="1"/>
    <cellStyle name="Followed Hyperlink" xfId="118" builtinId="9" hidden="1"/>
    <cellStyle name="Followed Hyperlink" xfId="119" builtinId="9" hidden="1"/>
    <cellStyle name="Followed Hyperlink" xfId="120" builtinId="9" hidden="1"/>
    <cellStyle name="Followed Hyperlink" xfId="121" builtinId="9" hidden="1"/>
    <cellStyle name="Followed Hyperlink" xfId="122" builtinId="9" hidden="1"/>
    <cellStyle name="Followed Hyperlink" xfId="123" builtinId="9" hidden="1"/>
    <cellStyle name="Followed Hyperlink" xfId="124" builtinId="9" hidden="1"/>
    <cellStyle name="Followed Hyperlink" xfId="125" builtinId="9" hidden="1"/>
    <cellStyle name="Followed Hyperlink" xfId="1335" builtinId="9" hidden="1"/>
    <cellStyle name="Followed Hyperlink" xfId="1336" builtinId="9" hidden="1"/>
    <cellStyle name="Followed Hyperlink" xfId="1337" builtinId="9" hidden="1"/>
    <cellStyle name="Followed Hyperlink" xfId="1341" builtinId="9" hidden="1"/>
    <cellStyle name="Followed Hyperlink" xfId="1343" builtinId="9" hidden="1"/>
    <cellStyle name="Followed Hyperlink" xfId="1345" builtinId="9" hidden="1"/>
    <cellStyle name="Followed Hyperlink" xfId="117" builtinId="9" hidden="1"/>
    <cellStyle name="Followed Hyperlink" xfId="101"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2"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Followed Hyperlink" xfId="68" builtinId="9" hidden="1"/>
    <cellStyle name="Followed Hyperlink" xfId="70" builtinId="9" hidden="1"/>
    <cellStyle name="Followed Hyperlink" xfId="71" builtinId="9" hidden="1"/>
    <cellStyle name="Followed Hyperlink" xfId="72" builtinId="9" hidden="1"/>
    <cellStyle name="Followed Hyperlink" xfId="73" builtinId="9" hidden="1"/>
    <cellStyle name="Followed Hyperlink" xfId="74" builtinId="9" hidden="1"/>
    <cellStyle name="Followed Hyperlink" xfId="75" builtinId="9" hidden="1"/>
    <cellStyle name="Followed Hyperlink" xfId="76" builtinId="9" hidden="1"/>
    <cellStyle name="Followed Hyperlink" xfId="77" builtinId="9" hidden="1"/>
    <cellStyle name="Followed Hyperlink" xfId="78" builtinId="9" hidden="1"/>
    <cellStyle name="Followed Hyperlink" xfId="79" builtinId="9" hidden="1"/>
    <cellStyle name="Followed Hyperlink" xfId="80" builtinId="9" hidden="1"/>
    <cellStyle name="Followed Hyperlink" xfId="81" builtinId="9" hidden="1"/>
    <cellStyle name="Followed Hyperlink" xfId="82" builtinId="9" hidden="1"/>
    <cellStyle name="Followed Hyperlink" xfId="83" builtinId="9" hidden="1"/>
    <cellStyle name="Followed Hyperlink" xfId="84" builtinId="9" hidden="1"/>
    <cellStyle name="Followed Hyperlink" xfId="85" builtinId="9" hidden="1"/>
    <cellStyle name="Followed Hyperlink" xfId="86" builtinId="9" hidden="1"/>
    <cellStyle name="Followed Hyperlink" xfId="69"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25" builtinId="9" hidden="1"/>
    <cellStyle name="Followed Hyperlink" xfId="26" builtinId="9" hidden="1"/>
    <cellStyle name="Followed Hyperlink" xfId="24" builtinId="9" hidden="1"/>
    <cellStyle name="Footnote" xfId="1032" xr:uid="{00000000-0005-0000-0000-0000FD030000}"/>
    <cellStyle name="general" xfId="1033" xr:uid="{00000000-0005-0000-0000-0000FE030000}"/>
    <cellStyle name="Good 2" xfId="1344" xr:uid="{00000000-0005-0000-0000-0000FF030000}"/>
    <cellStyle name="GrandTotal" xfId="1034" xr:uid="{00000000-0005-0000-0000-000000040000}"/>
    <cellStyle name="Grey" xfId="1035" xr:uid="{00000000-0005-0000-0000-000001040000}"/>
    <cellStyle name="Hard Percent" xfId="1036" xr:uid="{00000000-0005-0000-0000-000002040000}"/>
    <cellStyle name="Head 1" xfId="1037" xr:uid="{00000000-0005-0000-0000-000003040000}"/>
    <cellStyle name="Head0" xfId="1038" xr:uid="{00000000-0005-0000-0000-000004040000}"/>
    <cellStyle name="Head1" xfId="1039" xr:uid="{00000000-0005-0000-0000-000005040000}"/>
    <cellStyle name="Head2" xfId="1040" xr:uid="{00000000-0005-0000-0000-000006040000}"/>
    <cellStyle name="Head3" xfId="1041" xr:uid="{00000000-0005-0000-0000-000007040000}"/>
    <cellStyle name="Head4" xfId="1042" xr:uid="{00000000-0005-0000-0000-000008040000}"/>
    <cellStyle name="Head5" xfId="1043" xr:uid="{00000000-0005-0000-0000-000009040000}"/>
    <cellStyle name="Head6" xfId="1044" xr:uid="{00000000-0005-0000-0000-00000A040000}"/>
    <cellStyle name="Head7" xfId="1045" xr:uid="{00000000-0005-0000-0000-00000B040000}"/>
    <cellStyle name="Head8" xfId="1046" xr:uid="{00000000-0005-0000-0000-00000C040000}"/>
    <cellStyle name="Head9" xfId="1047" xr:uid="{00000000-0005-0000-0000-00000D040000}"/>
    <cellStyle name="HEADER" xfId="1048" xr:uid="{00000000-0005-0000-0000-00000E040000}"/>
    <cellStyle name="Header1" xfId="1049" xr:uid="{00000000-0005-0000-0000-00000F040000}"/>
    <cellStyle name="Header2" xfId="1050" xr:uid="{00000000-0005-0000-0000-000010040000}"/>
    <cellStyle name="Heading" xfId="1051" xr:uid="{00000000-0005-0000-0000-000011040000}"/>
    <cellStyle name="Heading 2 2" xfId="1350" xr:uid="{00000000-0005-0000-0000-000012040000}"/>
    <cellStyle name="Heading Left" xfId="1052" xr:uid="{00000000-0005-0000-0000-000013040000}"/>
    <cellStyle name="Heading Right" xfId="1053" xr:uid="{00000000-0005-0000-0000-000014040000}"/>
    <cellStyle name="Heading1" xfId="1054" xr:uid="{00000000-0005-0000-0000-000015040000}"/>
    <cellStyle name="Heading2" xfId="1055" xr:uid="{00000000-0005-0000-0000-000016040000}"/>
    <cellStyle name="HeadingS" xfId="1056" xr:uid="{00000000-0005-0000-0000-000017040000}"/>
    <cellStyle name="HEADINGSTOP" xfId="1057" xr:uid="{00000000-0005-0000-0000-000018040000}"/>
    <cellStyle name="Headline" xfId="1058" xr:uid="{00000000-0005-0000-0000-000019040000}"/>
    <cellStyle name="HeadShade" xfId="1059" xr:uid="{00000000-0005-0000-0000-00001A040000}"/>
    <cellStyle name="HeadShade 2" xfId="1060" xr:uid="{00000000-0005-0000-0000-00001B040000}"/>
    <cellStyle name="HeadShade 3" xfId="1061" xr:uid="{00000000-0005-0000-0000-00001C040000}"/>
    <cellStyle name="HeadShade 4" xfId="1062" xr:uid="{00000000-0005-0000-0000-00001D040000}"/>
    <cellStyle name="HeadShade 5" xfId="1063" xr:uid="{00000000-0005-0000-0000-00001E040000}"/>
    <cellStyle name="HeadShade 9" xfId="1064" xr:uid="{00000000-0005-0000-0000-00001F040000}"/>
    <cellStyle name="helv narrow 8" xfId="1065" xr:uid="{00000000-0005-0000-0000-000020040000}"/>
    <cellStyle name="Hidden" xfId="1066" xr:uid="{00000000-0005-0000-0000-000021040000}"/>
    <cellStyle name="Hide" xfId="1067" xr:uid="{00000000-0005-0000-0000-000022040000}"/>
    <cellStyle name="HIGHLIGHT" xfId="1068" xr:uid="{00000000-0005-0000-0000-000023040000}"/>
    <cellStyle name="Hyperlink" xfId="1342" builtinId="8" hidden="1"/>
    <cellStyle name="Hyperlink" xfId="1340" builtinId="8" hidden="1"/>
    <cellStyle name="Hyperlink 2" xfId="1356" xr:uid="{3D23AB57-93B8-4255-940A-082865DDDD0E}"/>
    <cellStyle name="I" xfId="1069" xr:uid="{00000000-0005-0000-0000-000026040000}"/>
    <cellStyle name="Input [yellow]" xfId="1070" xr:uid="{00000000-0005-0000-0000-000027040000}"/>
    <cellStyle name="Input Comma" xfId="1071" xr:uid="{00000000-0005-0000-0000-000028040000}"/>
    <cellStyle name="Input Comma [0]" xfId="1072" xr:uid="{00000000-0005-0000-0000-000029040000}"/>
    <cellStyle name="Input Currency" xfId="1073" xr:uid="{00000000-0005-0000-0000-00002A040000}"/>
    <cellStyle name="Input Currency [0]" xfId="1074" xr:uid="{00000000-0005-0000-0000-00002B040000}"/>
    <cellStyle name="Input Percent" xfId="1075" xr:uid="{00000000-0005-0000-0000-00002C040000}"/>
    <cellStyle name="Input Percent [0]" xfId="1076" xr:uid="{00000000-0005-0000-0000-00002D040000}"/>
    <cellStyle name="Inputs" xfId="1077" xr:uid="{00000000-0005-0000-0000-00002E040000}"/>
    <cellStyle name="Italics" xfId="1078" xr:uid="{00000000-0005-0000-0000-00002F040000}"/>
    <cellStyle name="Lable8Left" xfId="1079" xr:uid="{00000000-0005-0000-0000-000030040000}"/>
    <cellStyle name="left" xfId="1080" xr:uid="{00000000-0005-0000-0000-000031040000}"/>
    <cellStyle name="Ligne" xfId="1081" xr:uid="{00000000-0005-0000-0000-000032040000}"/>
    <cellStyle name="Lines" xfId="1082" xr:uid="{00000000-0005-0000-0000-000033040000}"/>
    <cellStyle name="Link Currency (0)" xfId="1083" xr:uid="{00000000-0005-0000-0000-000034040000}"/>
    <cellStyle name="Link Currency (2)" xfId="1084" xr:uid="{00000000-0005-0000-0000-000035040000}"/>
    <cellStyle name="Link Units (0)" xfId="1085" xr:uid="{00000000-0005-0000-0000-000036040000}"/>
    <cellStyle name="Link Units (1)" xfId="1086" xr:uid="{00000000-0005-0000-0000-000037040000}"/>
    <cellStyle name="Link Units (2)" xfId="1087" xr:uid="{00000000-0005-0000-0000-000038040000}"/>
    <cellStyle name="Linked" xfId="1088" xr:uid="{00000000-0005-0000-0000-000039040000}"/>
    <cellStyle name="LISAM" xfId="1089" xr:uid="{00000000-0005-0000-0000-00003A040000}"/>
    <cellStyle name="M" xfId="1090" xr:uid="{00000000-0005-0000-0000-00003B040000}"/>
    <cellStyle name="Margins" xfId="1091" xr:uid="{00000000-0005-0000-0000-00003C040000}"/>
    <cellStyle name="Migliaia (0)_Foglio1 (2)" xfId="1092" xr:uid="{00000000-0005-0000-0000-00003D040000}"/>
    <cellStyle name="Migliaia_Foglio1 (2)" xfId="1093" xr:uid="{00000000-0005-0000-0000-00003E040000}"/>
    <cellStyle name="Millares [0]_results" xfId="1094" xr:uid="{00000000-0005-0000-0000-00003F040000}"/>
    <cellStyle name="Millares_results" xfId="1095" xr:uid="{00000000-0005-0000-0000-000040040000}"/>
    <cellStyle name="Milliers [0]_!!!GO" xfId="1096" xr:uid="{00000000-0005-0000-0000-000041040000}"/>
    <cellStyle name="Milliers_!!!GO" xfId="1097" xr:uid="{00000000-0005-0000-0000-000042040000}"/>
    <cellStyle name="Moeda [0]_Arrendamiraflores" xfId="1098" xr:uid="{00000000-0005-0000-0000-000043040000}"/>
    <cellStyle name="Moeda_Arrendamiraflores" xfId="1099" xr:uid="{00000000-0005-0000-0000-000044040000}"/>
    <cellStyle name="Moneda [0]_results" xfId="1100" xr:uid="{00000000-0005-0000-0000-000045040000}"/>
    <cellStyle name="Moneda_results" xfId="1101" xr:uid="{00000000-0005-0000-0000-000046040000}"/>
    <cellStyle name="Monétaire [0]_!!!GO" xfId="1102" xr:uid="{00000000-0005-0000-0000-000047040000}"/>
    <cellStyle name="Monétaire_!!!GO" xfId="1103" xr:uid="{00000000-0005-0000-0000-000048040000}"/>
    <cellStyle name="MSectionHeadings" xfId="1104" xr:uid="{00000000-0005-0000-0000-000049040000}"/>
    <cellStyle name="Multiple" xfId="1105" xr:uid="{00000000-0005-0000-0000-00004A040000}"/>
    <cellStyle name="Multiple (no x)" xfId="1106" xr:uid="{00000000-0005-0000-0000-00004B040000}"/>
    <cellStyle name="Multiple (with x)" xfId="1107" xr:uid="{00000000-0005-0000-0000-00004C040000}"/>
    <cellStyle name="Multiple_09.01.01_Property_Tax_Basis1" xfId="1108" xr:uid="{00000000-0005-0000-0000-00004D040000}"/>
    <cellStyle name="no dec" xfId="1109" xr:uid="{00000000-0005-0000-0000-00004E040000}"/>
    <cellStyle name="nodle1" xfId="1110" xr:uid="{00000000-0005-0000-0000-00004F040000}"/>
    <cellStyle name="Normal" xfId="0" builtinId="0"/>
    <cellStyle name="Normal - Style1" xfId="1111" xr:uid="{00000000-0005-0000-0000-000051040000}"/>
    <cellStyle name="Normal 10" xfId="1346" xr:uid="{00000000-0005-0000-0000-000052040000}"/>
    <cellStyle name="Normal 11" xfId="1347" xr:uid="{00000000-0005-0000-0000-000053040000}"/>
    <cellStyle name="Normal 12" xfId="1351" xr:uid="{00000000-0005-0000-0000-000054040000}"/>
    <cellStyle name="Normal 13" xfId="1348" xr:uid="{00000000-0005-0000-0000-000055040000}"/>
    <cellStyle name="Normal 14" xfId="1359" xr:uid="{7330EED2-B70A-9746-A6EF-B661D9350968}"/>
    <cellStyle name="Normal 15" xfId="1360" xr:uid="{C1D92FBB-4500-4B45-86B4-09D6E4938AA8}"/>
    <cellStyle name="Normal 16" xfId="1361" xr:uid="{E212890D-3341-7543-A13A-E3AE4E92FFD3}"/>
    <cellStyle name="Normal 2" xfId="2" xr:uid="{00000000-0005-0000-0000-000056040000}"/>
    <cellStyle name="Normal 2 2" xfId="5" xr:uid="{00000000-0005-0000-0000-000057040000}"/>
    <cellStyle name="Normal 2 3" xfId="9" xr:uid="{00000000-0005-0000-0000-000058040000}"/>
    <cellStyle name="Normal 2 4" xfId="1355" xr:uid="{00000000-0005-0000-0000-000059040000}"/>
    <cellStyle name="Normal 3" xfId="6" xr:uid="{00000000-0005-0000-0000-00005A040000}"/>
    <cellStyle name="Normal 3 3" xfId="20" xr:uid="{00000000-0005-0000-0000-00005B040000}"/>
    <cellStyle name="Normal 4" xfId="15" xr:uid="{00000000-0005-0000-0000-00005C040000}"/>
    <cellStyle name="Normal 4 2" xfId="22" xr:uid="{00000000-0005-0000-0000-00005D040000}"/>
    <cellStyle name="Normal 5" xfId="18" xr:uid="{00000000-0005-0000-0000-00005E040000}"/>
    <cellStyle name="Normal 6" xfId="126" xr:uid="{00000000-0005-0000-0000-00005F040000}"/>
    <cellStyle name="Normal 6 2" xfId="1333" xr:uid="{00000000-0005-0000-0000-000060040000}"/>
    <cellStyle name="Normal 6 3" xfId="1352" xr:uid="{00000000-0005-0000-0000-000061040000}"/>
    <cellStyle name="Normal 7" xfId="128" xr:uid="{00000000-0005-0000-0000-000062040000}"/>
    <cellStyle name="Normal 7 2" xfId="1331" xr:uid="{00000000-0005-0000-0000-000063040000}"/>
    <cellStyle name="Normal 7 3" xfId="1338" xr:uid="{00000000-0005-0000-0000-000064040000}"/>
    <cellStyle name="Normal 8" xfId="1112" xr:uid="{00000000-0005-0000-0000-000065040000}"/>
    <cellStyle name="Normal 9" xfId="1330" xr:uid="{00000000-0005-0000-0000-000066040000}"/>
    <cellStyle name="Normal_Simple pro-forma" xfId="14" xr:uid="{00000000-0005-0000-0000-000068040000}"/>
    <cellStyle name="NormalBack" xfId="1113" xr:uid="{00000000-0005-0000-0000-00006A040000}"/>
    <cellStyle name="NormalBorder" xfId="1114" xr:uid="{00000000-0005-0000-0000-00006B040000}"/>
    <cellStyle name="Normale_INVENTARIO AL 31.12.99 Con composizioni2BUSSI" xfId="1115" xr:uid="{00000000-0005-0000-0000-00006C040000}"/>
    <cellStyle name="NormalGB" xfId="1116" xr:uid="{00000000-0005-0000-0000-00006D040000}"/>
    <cellStyle name="NormalLeft" xfId="1117" xr:uid="{00000000-0005-0000-0000-00006E040000}"/>
    <cellStyle name="NormalNumber%" xfId="1118" xr:uid="{00000000-0005-0000-0000-00006F040000}"/>
    <cellStyle name="NormalRightNum" xfId="1119" xr:uid="{00000000-0005-0000-0000-000070040000}"/>
    <cellStyle name="NormalRightPercent" xfId="1120" xr:uid="{00000000-0005-0000-0000-000071040000}"/>
    <cellStyle name="nPlode" xfId="1121" xr:uid="{00000000-0005-0000-0000-000072040000}"/>
    <cellStyle name="nPlode1" xfId="1122" xr:uid="{00000000-0005-0000-0000-000073040000}"/>
    <cellStyle name="nPlode2" xfId="1123" xr:uid="{00000000-0005-0000-0000-000074040000}"/>
    <cellStyle name="nPlode3" xfId="1124" xr:uid="{00000000-0005-0000-0000-000075040000}"/>
    <cellStyle name="nPlosion" xfId="1125" xr:uid="{00000000-0005-0000-0000-000076040000}"/>
    <cellStyle name="NPRO" xfId="1126" xr:uid="{00000000-0005-0000-0000-000077040000}"/>
    <cellStyle name="Num0Un" xfId="1127" xr:uid="{00000000-0005-0000-0000-000078040000}"/>
    <cellStyle name="Num1" xfId="1128" xr:uid="{00000000-0005-0000-0000-000079040000}"/>
    <cellStyle name="Num1Blue" xfId="1129" xr:uid="{00000000-0005-0000-0000-00007A040000}"/>
    <cellStyle name="Num2" xfId="1130" xr:uid="{00000000-0005-0000-0000-00007B040000}"/>
    <cellStyle name="Num2Un" xfId="1131" xr:uid="{00000000-0005-0000-0000-00007C040000}"/>
    <cellStyle name="Number" xfId="1132" xr:uid="{00000000-0005-0000-0000-00007D040000}"/>
    <cellStyle name="OddBodyShade" xfId="1133" xr:uid="{00000000-0005-0000-0000-00007E040000}"/>
    <cellStyle name="OddBodyShade 2" xfId="1134" xr:uid="{00000000-0005-0000-0000-00007F040000}"/>
    <cellStyle name="OddBodyShade 3" xfId="1135" xr:uid="{00000000-0005-0000-0000-000080040000}"/>
    <cellStyle name="OddBodyShade 4" xfId="1136" xr:uid="{00000000-0005-0000-0000-000081040000}"/>
    <cellStyle name="OddBodyShade 5" xfId="1137" xr:uid="{00000000-0005-0000-0000-000082040000}"/>
    <cellStyle name="OddBodyShade 9" xfId="1138" xr:uid="{00000000-0005-0000-0000-000083040000}"/>
    <cellStyle name="Œ…‹æØ‚è [0.00]_!!!GO" xfId="1139" xr:uid="{00000000-0005-0000-0000-000084040000}"/>
    <cellStyle name="Œ…‹æØ‚è_!!!GO" xfId="1140" xr:uid="{00000000-0005-0000-0000-000085040000}"/>
    <cellStyle name="One Pager Input" xfId="1141" xr:uid="{00000000-0005-0000-0000-000086040000}"/>
    <cellStyle name="OutlineSpec" xfId="1142" xr:uid="{00000000-0005-0000-0000-000087040000}"/>
    <cellStyle name="Output Amounts" xfId="1143" xr:uid="{00000000-0005-0000-0000-000088040000}"/>
    <cellStyle name="Output Column Headings" xfId="1144" xr:uid="{00000000-0005-0000-0000-000089040000}"/>
    <cellStyle name="Output Line Items" xfId="1145" xr:uid="{00000000-0005-0000-0000-00008A040000}"/>
    <cellStyle name="Output Report Heading" xfId="1146" xr:uid="{00000000-0005-0000-0000-00008B040000}"/>
    <cellStyle name="Output Report Title" xfId="1147" xr:uid="{00000000-0005-0000-0000-00008C040000}"/>
    <cellStyle name="Overscore" xfId="1148" xr:uid="{00000000-0005-0000-0000-00008D040000}"/>
    <cellStyle name="Overscore 2" xfId="1149" xr:uid="{00000000-0005-0000-0000-00008E040000}"/>
    <cellStyle name="Overscore 3" xfId="1150" xr:uid="{00000000-0005-0000-0000-00008F040000}"/>
    <cellStyle name="Overscore 4" xfId="1151" xr:uid="{00000000-0005-0000-0000-000090040000}"/>
    <cellStyle name="Overscore 5" xfId="1152" xr:uid="{00000000-0005-0000-0000-000091040000}"/>
    <cellStyle name="Overscore 9" xfId="1153" xr:uid="{00000000-0005-0000-0000-000092040000}"/>
    <cellStyle name="Overunder" xfId="1154" xr:uid="{00000000-0005-0000-0000-000093040000}"/>
    <cellStyle name="P" xfId="1155" xr:uid="{00000000-0005-0000-0000-000094040000}"/>
    <cellStyle name="Page Heading" xfId="1156" xr:uid="{00000000-0005-0000-0000-000095040000}"/>
    <cellStyle name="Page Heading Large" xfId="1157" xr:uid="{00000000-0005-0000-0000-000096040000}"/>
    <cellStyle name="Page Heading Small" xfId="1158" xr:uid="{00000000-0005-0000-0000-000097040000}"/>
    <cellStyle name="Page Number" xfId="1159" xr:uid="{00000000-0005-0000-0000-000098040000}"/>
    <cellStyle name="Page Title (Blue/Gray)" xfId="1160" xr:uid="{00000000-0005-0000-0000-000099040000}"/>
    <cellStyle name="patterns" xfId="1161" xr:uid="{00000000-0005-0000-0000-00009A040000}"/>
    <cellStyle name="PB Table Heading" xfId="1162" xr:uid="{00000000-0005-0000-0000-00009B040000}"/>
    <cellStyle name="PB Table Highlight1" xfId="1163" xr:uid="{00000000-0005-0000-0000-00009C040000}"/>
    <cellStyle name="PB Table Highlight2" xfId="1164" xr:uid="{00000000-0005-0000-0000-00009D040000}"/>
    <cellStyle name="PB Table Highlight3" xfId="1165" xr:uid="{00000000-0005-0000-0000-00009E040000}"/>
    <cellStyle name="PB Table Standard Row" xfId="1166" xr:uid="{00000000-0005-0000-0000-00009F040000}"/>
    <cellStyle name="PB Table Subtotal Row" xfId="1167" xr:uid="{00000000-0005-0000-0000-0000A0040000}"/>
    <cellStyle name="PB Table Total Row" xfId="1168" xr:uid="{00000000-0005-0000-0000-0000A1040000}"/>
    <cellStyle name="pb_page_heading_LS" xfId="1169" xr:uid="{00000000-0005-0000-0000-0000A2040000}"/>
    <cellStyle name="per.style" xfId="1170" xr:uid="{00000000-0005-0000-0000-0000A3040000}"/>
    <cellStyle name="Perc1" xfId="1171" xr:uid="{00000000-0005-0000-0000-0000A4040000}"/>
    <cellStyle name="Percen - Style1" xfId="1172" xr:uid="{00000000-0005-0000-0000-0000A5040000}"/>
    <cellStyle name="Percen - Style2" xfId="1173" xr:uid="{00000000-0005-0000-0000-0000A6040000}"/>
    <cellStyle name="Percen - Style3" xfId="1174" xr:uid="{00000000-0005-0000-0000-0000A7040000}"/>
    <cellStyle name="Percent" xfId="1" builtinId="5"/>
    <cellStyle name="Percent [0%]" xfId="1175" xr:uid="{00000000-0005-0000-0000-0000AB040000}"/>
    <cellStyle name="Percent [0.00%]" xfId="1176" xr:uid="{00000000-0005-0000-0000-0000A9040000}"/>
    <cellStyle name="Percent [0]" xfId="1177" xr:uid="{00000000-0005-0000-0000-0000AA040000}"/>
    <cellStyle name="Percent [00]" xfId="1178" xr:uid="{00000000-0005-0000-0000-0000AC040000}"/>
    <cellStyle name="Percent [2]" xfId="1179" xr:uid="{00000000-0005-0000-0000-0000AD040000}"/>
    <cellStyle name="percent 1 decimal" xfId="1180" xr:uid="{00000000-0005-0000-0000-0000AE040000}"/>
    <cellStyle name="Percent 2" xfId="7" xr:uid="{00000000-0005-0000-0000-0000AF040000}"/>
    <cellStyle name="Percent 2 2" xfId="8" xr:uid="{00000000-0005-0000-0000-0000B0040000}"/>
    <cellStyle name="Percent 2 2 2" xfId="23" xr:uid="{00000000-0005-0000-0000-0000B1040000}"/>
    <cellStyle name="Percent 2 3" xfId="10" xr:uid="{00000000-0005-0000-0000-0000B2040000}"/>
    <cellStyle name="percent 2 decimal" xfId="1181" xr:uid="{00000000-0005-0000-0000-0000B3040000}"/>
    <cellStyle name="Percent 3" xfId="13" xr:uid="{00000000-0005-0000-0000-0000B4040000}"/>
    <cellStyle name="Percent 4" xfId="16" xr:uid="{00000000-0005-0000-0000-0000B5040000}"/>
    <cellStyle name="Percent 5" xfId="127" xr:uid="{00000000-0005-0000-0000-0000B6040000}"/>
    <cellStyle name="Percent 5 2" xfId="1334" xr:uid="{00000000-0005-0000-0000-0000B7040000}"/>
    <cellStyle name="Percent 5 3" xfId="1353" xr:uid="{00000000-0005-0000-0000-0000B8040000}"/>
    <cellStyle name="Percent 6" xfId="129" xr:uid="{00000000-0005-0000-0000-0000B9040000}"/>
    <cellStyle name="Percent 6 2" xfId="1332" xr:uid="{00000000-0005-0000-0000-0000BA040000}"/>
    <cellStyle name="Percent 6 3" xfId="1339" xr:uid="{00000000-0005-0000-0000-0000BB040000}"/>
    <cellStyle name="Percent Hard" xfId="1182" xr:uid="{00000000-0005-0000-0000-0000BC040000}"/>
    <cellStyle name="percent no decimal" xfId="1183" xr:uid="{00000000-0005-0000-0000-0000BD040000}"/>
    <cellStyle name="Percent(4places)TotTop" xfId="1184" xr:uid="{00000000-0005-0000-0000-0000BE040000}"/>
    <cellStyle name="Percent1" xfId="1185" xr:uid="{00000000-0005-0000-0000-0000BF040000}"/>
    <cellStyle name="Percent1Blue" xfId="1186" xr:uid="{00000000-0005-0000-0000-0000C0040000}"/>
    <cellStyle name="Percent2" xfId="1187" xr:uid="{00000000-0005-0000-0000-0000C1040000}"/>
    <cellStyle name="Percent2Blue" xfId="1188" xr:uid="{00000000-0005-0000-0000-0000C2040000}"/>
    <cellStyle name="PercentTotal" xfId="1189" xr:uid="{00000000-0005-0000-0000-0000C3040000}"/>
    <cellStyle name="Pounds" xfId="1190" xr:uid="{00000000-0005-0000-0000-0000C4040000}"/>
    <cellStyle name="Pourcentage_agree" xfId="1191" xr:uid="{00000000-0005-0000-0000-0000C5040000}"/>
    <cellStyle name="PrePop Currency (0)" xfId="1192" xr:uid="{00000000-0005-0000-0000-0000C6040000}"/>
    <cellStyle name="PrePop Currency (2)" xfId="1193" xr:uid="{00000000-0005-0000-0000-0000C7040000}"/>
    <cellStyle name="PrePop Units (0)" xfId="1194" xr:uid="{00000000-0005-0000-0000-0000C8040000}"/>
    <cellStyle name="PrePop Units (1)" xfId="1195" xr:uid="{00000000-0005-0000-0000-0000C9040000}"/>
    <cellStyle name="PrePop Units (2)" xfId="1196" xr:uid="{00000000-0005-0000-0000-0000CA040000}"/>
    <cellStyle name="Price" xfId="1197" xr:uid="{00000000-0005-0000-0000-0000CB040000}"/>
    <cellStyle name="PriceUn" xfId="1198" xr:uid="{00000000-0005-0000-0000-0000CC040000}"/>
    <cellStyle name="pricing" xfId="1199" xr:uid="{00000000-0005-0000-0000-0000CD040000}"/>
    <cellStyle name="PSChar" xfId="1200" xr:uid="{00000000-0005-0000-0000-0000CE040000}"/>
    <cellStyle name="PSDate" xfId="1201" xr:uid="{00000000-0005-0000-0000-0000CF040000}"/>
    <cellStyle name="PSDec" xfId="1202" xr:uid="{00000000-0005-0000-0000-0000D0040000}"/>
    <cellStyle name="PSHeading" xfId="1203" xr:uid="{00000000-0005-0000-0000-0000D1040000}"/>
    <cellStyle name="PSInt" xfId="1204" xr:uid="{00000000-0005-0000-0000-0000D2040000}"/>
    <cellStyle name="PSSpacer" xfId="1205" xr:uid="{00000000-0005-0000-0000-0000D3040000}"/>
    <cellStyle name="Reg1" xfId="1206" xr:uid="{00000000-0005-0000-0000-0000D4040000}"/>
    <cellStyle name="Reg2" xfId="1207" xr:uid="{00000000-0005-0000-0000-0000D5040000}"/>
    <cellStyle name="Reg3" xfId="1208" xr:uid="{00000000-0005-0000-0000-0000D6040000}"/>
    <cellStyle name="Reg4" xfId="1209" xr:uid="{00000000-0005-0000-0000-0000D7040000}"/>
    <cellStyle name="Reg5" xfId="1210" xr:uid="{00000000-0005-0000-0000-0000D8040000}"/>
    <cellStyle name="Reg6" xfId="1211" xr:uid="{00000000-0005-0000-0000-0000D9040000}"/>
    <cellStyle name="Reg7" xfId="1212" xr:uid="{00000000-0005-0000-0000-0000DA040000}"/>
    <cellStyle name="Reg8" xfId="1213" xr:uid="{00000000-0005-0000-0000-0000DB040000}"/>
    <cellStyle name="Reg9" xfId="1214" xr:uid="{00000000-0005-0000-0000-0000DC040000}"/>
    <cellStyle name="regstoresfromspecstores" xfId="1215" xr:uid="{00000000-0005-0000-0000-0000DD040000}"/>
    <cellStyle name="RevList" xfId="1216" xr:uid="{00000000-0005-0000-0000-0000DE040000}"/>
    <cellStyle name="Right" xfId="1217" xr:uid="{00000000-0005-0000-0000-0000DF040000}"/>
    <cellStyle name="s" xfId="1218" xr:uid="{00000000-0005-0000-0000-0000E0040000}"/>
    <cellStyle name="Salomon Logo" xfId="1219" xr:uid="{00000000-0005-0000-0000-0000E1040000}"/>
    <cellStyle name="ScotchRule" xfId="1220" xr:uid="{00000000-0005-0000-0000-0000E2040000}"/>
    <cellStyle name="Second Heading_dynex lihtcperm" xfId="1221" xr:uid="{00000000-0005-0000-0000-0000E3040000}"/>
    <cellStyle name="Separador de milhares [0]_Arrendamiraflores" xfId="1222" xr:uid="{00000000-0005-0000-0000-0000E4040000}"/>
    <cellStyle name="Shaded" xfId="1223" xr:uid="{00000000-0005-0000-0000-0000E5040000}"/>
    <cellStyle name="SHADEDSTORES" xfId="1224" xr:uid="{00000000-0005-0000-0000-0000E6040000}"/>
    <cellStyle name="Single Accounting" xfId="1225" xr:uid="{00000000-0005-0000-0000-0000E7040000}"/>
    <cellStyle name="Small Page Heading" xfId="1226" xr:uid="{00000000-0005-0000-0000-0000E8040000}"/>
    <cellStyle name="Sous-Total" xfId="1227" xr:uid="{00000000-0005-0000-0000-0000E9040000}"/>
    <cellStyle name="SpecialHeader" xfId="1228" xr:uid="{00000000-0005-0000-0000-0000EA040000}"/>
    <cellStyle name="specstores" xfId="1229" xr:uid="{00000000-0005-0000-0000-0000EB040000}"/>
    <cellStyle name="Standaard_Almere" xfId="1230" xr:uid="{00000000-0005-0000-0000-0000EC040000}"/>
    <cellStyle name="Standard_1CC-N-12" xfId="1231" xr:uid="{00000000-0005-0000-0000-0000ED040000}"/>
    <cellStyle name="Style 1" xfId="1232" xr:uid="{00000000-0005-0000-0000-0000EE040000}"/>
    <cellStyle name="Style１" xfId="1233" xr:uid="{00000000-0005-0000-0000-0000EF040000}"/>
    <cellStyle name="subhead" xfId="1234" xr:uid="{00000000-0005-0000-0000-0000F0040000}"/>
    <cellStyle name="SubHeader" xfId="1235" xr:uid="{00000000-0005-0000-0000-0000F1040000}"/>
    <cellStyle name="Subscribers" xfId="1236" xr:uid="{00000000-0005-0000-0000-0000F2040000}"/>
    <cellStyle name="Subtitle" xfId="1237" xr:uid="{00000000-0005-0000-0000-0000F3040000}"/>
    <cellStyle name="SubTotal" xfId="1238" xr:uid="{00000000-0005-0000-0000-0000F4040000}"/>
    <cellStyle name="T" xfId="1239" xr:uid="{00000000-0005-0000-0000-0000F5040000}"/>
    <cellStyle name="Table Col Head" xfId="1240" xr:uid="{00000000-0005-0000-0000-0000F6040000}"/>
    <cellStyle name="Table Head" xfId="1241" xr:uid="{00000000-0005-0000-0000-0000F7040000}"/>
    <cellStyle name="Table Head Aligned" xfId="1242" xr:uid="{00000000-0005-0000-0000-0000F8040000}"/>
    <cellStyle name="Table Head Blue" xfId="1243" xr:uid="{00000000-0005-0000-0000-0000F9040000}"/>
    <cellStyle name="Table Head Green" xfId="1244" xr:uid="{00000000-0005-0000-0000-0000FA040000}"/>
    <cellStyle name="Table Head_Alamosa Bids II" xfId="1245" xr:uid="{00000000-0005-0000-0000-0000FB040000}"/>
    <cellStyle name="Table Heading" xfId="1246" xr:uid="{00000000-0005-0000-0000-0000FC040000}"/>
    <cellStyle name="Table Sub Head" xfId="1247" xr:uid="{00000000-0005-0000-0000-0000FD040000}"/>
    <cellStyle name="Table Text" xfId="1248" xr:uid="{00000000-0005-0000-0000-0000FE040000}"/>
    <cellStyle name="Table Title" xfId="1249" xr:uid="{00000000-0005-0000-0000-0000FF040000}"/>
    <cellStyle name="Table Units" xfId="1250" xr:uid="{00000000-0005-0000-0000-000000050000}"/>
    <cellStyle name="Table_Header" xfId="1251" xr:uid="{00000000-0005-0000-0000-000001050000}"/>
    <cellStyle name="TableBody_sbcpac" xfId="1252" xr:uid="{00000000-0005-0000-0000-000002050000}"/>
    <cellStyle name="Text 1" xfId="1253" xr:uid="{00000000-0005-0000-0000-000003050000}"/>
    <cellStyle name="Text 8" xfId="1254" xr:uid="{00000000-0005-0000-0000-000004050000}"/>
    <cellStyle name="Text Head 1" xfId="1255" xr:uid="{00000000-0005-0000-0000-000005050000}"/>
    <cellStyle name="Text Indent A" xfId="1256" xr:uid="{00000000-0005-0000-0000-000006050000}"/>
    <cellStyle name="Text Indent B" xfId="1257" xr:uid="{00000000-0005-0000-0000-000007050000}"/>
    <cellStyle name="Text Indent C" xfId="1258" xr:uid="{00000000-0005-0000-0000-000008050000}"/>
    <cellStyle name="TIME" xfId="1259" xr:uid="{00000000-0005-0000-0000-000009050000}"/>
    <cellStyle name="Times 10" xfId="1260" xr:uid="{00000000-0005-0000-0000-00000A050000}"/>
    <cellStyle name="Times 12" xfId="1261" xr:uid="{00000000-0005-0000-0000-00000B050000}"/>
    <cellStyle name="Times New Roman" xfId="1262" xr:uid="{00000000-0005-0000-0000-00000C050000}"/>
    <cellStyle name="times roman" xfId="1263" xr:uid="{00000000-0005-0000-0000-00000D050000}"/>
    <cellStyle name="Title1" xfId="1264" xr:uid="{00000000-0005-0000-0000-00000E050000}"/>
    <cellStyle name="Title10" xfId="1265" xr:uid="{00000000-0005-0000-0000-00000F050000}"/>
    <cellStyle name="Title2" xfId="1266" xr:uid="{00000000-0005-0000-0000-000010050000}"/>
    <cellStyle name="Title8" xfId="1267" xr:uid="{00000000-0005-0000-0000-000011050000}"/>
    <cellStyle name="Title8Left" xfId="1268" xr:uid="{00000000-0005-0000-0000-000012050000}"/>
    <cellStyle name="TitleCenter" xfId="1269" xr:uid="{00000000-0005-0000-0000-000013050000}"/>
    <cellStyle name="TitleLeft" xfId="1270" xr:uid="{00000000-0005-0000-0000-000014050000}"/>
    <cellStyle name="TitleOther" xfId="1271" xr:uid="{00000000-0005-0000-0000-000015050000}"/>
    <cellStyle name="Titolo1" xfId="1272" xr:uid="{00000000-0005-0000-0000-000016050000}"/>
    <cellStyle name="Titolo2" xfId="1273" xr:uid="{00000000-0005-0000-0000-000017050000}"/>
    <cellStyle name="Titolo3" xfId="1274" xr:uid="{00000000-0005-0000-0000-000018050000}"/>
    <cellStyle name="topline" xfId="1275" xr:uid="{00000000-0005-0000-0000-000019050000}"/>
    <cellStyle name="TopThick" xfId="1276" xr:uid="{00000000-0005-0000-0000-00001A050000}"/>
    <cellStyle name="Total1" xfId="1277" xr:uid="{00000000-0005-0000-0000-00001B050000}"/>
    <cellStyle name="Total2" xfId="1278" xr:uid="{00000000-0005-0000-0000-00001C050000}"/>
    <cellStyle name="Total3" xfId="1279" xr:uid="{00000000-0005-0000-0000-00001D050000}"/>
    <cellStyle name="Total4" xfId="1280" xr:uid="{00000000-0005-0000-0000-00001E050000}"/>
    <cellStyle name="Total5" xfId="1281" xr:uid="{00000000-0005-0000-0000-00001F050000}"/>
    <cellStyle name="Total6" xfId="1282" xr:uid="{00000000-0005-0000-0000-000020050000}"/>
    <cellStyle name="Total7" xfId="1283" xr:uid="{00000000-0005-0000-0000-000021050000}"/>
    <cellStyle name="Total8" xfId="1284" xr:uid="{00000000-0005-0000-0000-000022050000}"/>
    <cellStyle name="Total9" xfId="1285" xr:uid="{00000000-0005-0000-0000-000023050000}"/>
    <cellStyle name="Totals" xfId="1286" xr:uid="{00000000-0005-0000-0000-000024050000}"/>
    <cellStyle name="TotalsComma" xfId="1287" xr:uid="{00000000-0005-0000-0000-000025050000}"/>
    <cellStyle name="TotShade" xfId="1288" xr:uid="{00000000-0005-0000-0000-000026050000}"/>
    <cellStyle name="TotShade 2" xfId="1289" xr:uid="{00000000-0005-0000-0000-000027050000}"/>
    <cellStyle name="TotShade 3" xfId="1290" xr:uid="{00000000-0005-0000-0000-000028050000}"/>
    <cellStyle name="TotShade 4" xfId="1291" xr:uid="{00000000-0005-0000-0000-000029050000}"/>
    <cellStyle name="TotShade 5" xfId="1292" xr:uid="{00000000-0005-0000-0000-00002A050000}"/>
    <cellStyle name="TotShade 9" xfId="1293" xr:uid="{00000000-0005-0000-0000-00002B050000}"/>
    <cellStyle name="TransVal" xfId="1294" xr:uid="{00000000-0005-0000-0000-00002C050000}"/>
    <cellStyle name="ubordinated Debt" xfId="1295" xr:uid="{00000000-0005-0000-0000-00002D050000}"/>
    <cellStyle name="underline 1 decimal" xfId="1296" xr:uid="{00000000-0005-0000-0000-00002E050000}"/>
    <cellStyle name="underline 2 decimals" xfId="1297" xr:uid="{00000000-0005-0000-0000-00002F050000}"/>
    <cellStyle name="underline flush left" xfId="1298" xr:uid="{00000000-0005-0000-0000-000030050000}"/>
    <cellStyle name="underline no decimals" xfId="1299" xr:uid="{00000000-0005-0000-0000-000031050000}"/>
    <cellStyle name="Underline_Single" xfId="1300" xr:uid="{00000000-0005-0000-0000-000032050000}"/>
    <cellStyle name="Underscore" xfId="1301" xr:uid="{00000000-0005-0000-0000-000033050000}"/>
    <cellStyle name="Underscore 2" xfId="1302" xr:uid="{00000000-0005-0000-0000-000034050000}"/>
    <cellStyle name="Underscore 3" xfId="1303" xr:uid="{00000000-0005-0000-0000-000035050000}"/>
    <cellStyle name="Underscore 4" xfId="1304" xr:uid="{00000000-0005-0000-0000-000036050000}"/>
    <cellStyle name="Underscore 5" xfId="1305" xr:uid="{00000000-0005-0000-0000-000037050000}"/>
    <cellStyle name="Underscore 9" xfId="1306" xr:uid="{00000000-0005-0000-0000-000038050000}"/>
    <cellStyle name="Unprot" xfId="1307" xr:uid="{00000000-0005-0000-0000-000039050000}"/>
    <cellStyle name="Unprot$" xfId="1308" xr:uid="{00000000-0005-0000-0000-00003A050000}"/>
    <cellStyle name="Unprotect" xfId="1309" xr:uid="{00000000-0005-0000-0000-00003B050000}"/>
    <cellStyle name="User_Defined_A" xfId="1310" xr:uid="{00000000-0005-0000-0000-00003C050000}"/>
    <cellStyle name="Valuta (0)_Foglio1 (2)" xfId="1311" xr:uid="{00000000-0005-0000-0000-00003D050000}"/>
    <cellStyle name="Valuta_Foglio1 (2)" xfId="1312" xr:uid="{00000000-0005-0000-0000-00003E050000}"/>
    <cellStyle name="Vírgula_Arrendamiraflores" xfId="1313" xr:uid="{00000000-0005-0000-0000-00003F050000}"/>
    <cellStyle name="White" xfId="1314" xr:uid="{00000000-0005-0000-0000-000040050000}"/>
    <cellStyle name="y" xfId="1315" xr:uid="{00000000-0005-0000-0000-000041050000}"/>
    <cellStyle name="y_Citrix_2pgr2" xfId="1316" xr:uid="{00000000-0005-0000-0000-000042050000}"/>
    <cellStyle name="y_Iron-Steel" xfId="1317" xr:uid="{00000000-0005-0000-0000-000043050000}"/>
    <cellStyle name="y_MERQ_6-14_V8" xfId="1318" xr:uid="{00000000-0005-0000-0000-000044050000}"/>
    <cellStyle name="y_RATL_SRNA synergies" xfId="1319" xr:uid="{00000000-0005-0000-0000-000045050000}"/>
    <cellStyle name="y_Valuation_Jan2" xfId="1320" xr:uid="{00000000-0005-0000-0000-000046050000}"/>
    <cellStyle name="year" xfId="1321" xr:uid="{00000000-0005-0000-0000-000047050000}"/>
    <cellStyle name="Yen" xfId="1322" xr:uid="{00000000-0005-0000-0000-000048050000}"/>
    <cellStyle name="YES NO" xfId="1323" xr:uid="{00000000-0005-0000-0000-000049050000}"/>
    <cellStyle name="型番" xfId="1324" xr:uid="{00000000-0005-0000-0000-00004A050000}"/>
    <cellStyle name="桁区切り [0.00]_Book2" xfId="1325" xr:uid="{00000000-0005-0000-0000-00004B050000}"/>
    <cellStyle name="桁区切り_AssetBalance Template" xfId="1326" xr:uid="{00000000-0005-0000-0000-00004C050000}"/>
    <cellStyle name="標準_1Q01SS-backup_Megalon 3Q2" xfId="1327" xr:uid="{00000000-0005-0000-0000-00004D050000}"/>
    <cellStyle name="通貨 [0.00]_Book2" xfId="1328" xr:uid="{00000000-0005-0000-0000-00004E050000}"/>
    <cellStyle name="通貨_Book2" xfId="1329" xr:uid="{00000000-0005-0000-0000-00004F050000}"/>
  </cellStyles>
  <dxfs count="44">
    <dxf>
      <font>
        <color rgb="FF006100"/>
      </font>
      <fill>
        <patternFill>
          <bgColor rgb="FFC6EFCE"/>
        </patternFill>
      </fill>
    </dxf>
    <dxf>
      <font>
        <color rgb="FF9C0006"/>
      </font>
      <fill>
        <patternFill>
          <bgColor rgb="FFFFC7CE"/>
        </patternFill>
      </fill>
    </dxf>
    <dxf>
      <font>
        <color rgb="FF9C6500"/>
      </font>
      <fill>
        <patternFill>
          <bgColor rgb="FFFFEB9C"/>
        </patternFill>
      </fill>
    </dxf>
    <dxf>
      <fill>
        <patternFill>
          <bgColor rgb="FFFFFF00"/>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ill>
        <patternFill>
          <bgColor rgb="FFFFFF00"/>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ill>
        <patternFill>
          <bgColor rgb="FFFFFF00"/>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ill>
        <patternFill>
          <bgColor rgb="FFFFFF00"/>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ill>
        <patternFill>
          <bgColor rgb="FFFFFF00"/>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ill>
        <patternFill>
          <bgColor rgb="FFFFFF00"/>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ill>
        <patternFill>
          <bgColor rgb="FFFFFF00"/>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ill>
        <patternFill>
          <bgColor rgb="FFFFFF00"/>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ill>
        <patternFill>
          <bgColor rgb="FFFFFF00"/>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ill>
        <patternFill>
          <bgColor rgb="FFFFFF00"/>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ill>
        <patternFill>
          <bgColor rgb="FFFFFF00"/>
        </patternFill>
      </fill>
    </dxf>
  </dxfs>
  <tableStyles count="0" defaultTableStyle="TableStyleMedium9" defaultPivotStyle="PivotStyleLight16"/>
  <colors>
    <mruColors>
      <color rgb="FF0432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5.xml"/><Relationship Id="rId39" Type="http://schemas.openxmlformats.org/officeDocument/2006/relationships/customXml" Target="../customXml/item2.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4.xml"/><Relationship Id="rId33" Type="http://schemas.openxmlformats.org/officeDocument/2006/relationships/externalLink" Target="externalLinks/externalLink12.xml"/><Relationship Id="rId38"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8.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3.xml"/><Relationship Id="rId32" Type="http://schemas.openxmlformats.org/officeDocument/2006/relationships/externalLink" Target="externalLinks/externalLink11.xml"/><Relationship Id="rId37" Type="http://schemas.openxmlformats.org/officeDocument/2006/relationships/calcChain" Target="calcChain.xml"/><Relationship Id="rId40"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2.xml"/><Relationship Id="rId28" Type="http://schemas.openxmlformats.org/officeDocument/2006/relationships/externalLink" Target="externalLinks/externalLink7.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 Id="rId27" Type="http://schemas.openxmlformats.org/officeDocument/2006/relationships/externalLink" Target="externalLinks/externalLink6.xml"/><Relationship Id="rId30" Type="http://schemas.openxmlformats.org/officeDocument/2006/relationships/externalLink" Target="externalLinks/externalLink9.xml"/><Relationship Id="rId35"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Table of Contents'!A1"/></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1.png"/><Relationship Id="rId1" Type="http://schemas.openxmlformats.org/officeDocument/2006/relationships/hyperlink" Target="#'Table of Contents'!A1"/></Relationships>
</file>

<file path=xl/drawings/_rels/drawing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1.png"/><Relationship Id="rId1" Type="http://schemas.openxmlformats.org/officeDocument/2006/relationships/hyperlink" Target="#'Table of Contents'!A1"/></Relationships>
</file>

<file path=xl/drawings/_rels/drawing5.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1.png"/><Relationship Id="rId1" Type="http://schemas.openxmlformats.org/officeDocument/2006/relationships/hyperlink" Target="#'Table of Contents'!A1"/></Relationships>
</file>

<file path=xl/drawings/_rels/drawing6.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1.png"/><Relationship Id="rId1" Type="http://schemas.openxmlformats.org/officeDocument/2006/relationships/hyperlink" Target="#'Table of Contents'!A1"/></Relationships>
</file>

<file path=xl/drawings/_rels/drawing7.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1.png"/><Relationship Id="rId1" Type="http://schemas.openxmlformats.org/officeDocument/2006/relationships/hyperlink" Target="#'Table of Contents'!A1"/></Relationships>
</file>

<file path=xl/drawings/_rels/drawing8.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1.png"/><Relationship Id="rId1" Type="http://schemas.openxmlformats.org/officeDocument/2006/relationships/hyperlink" Target="#'Table of Contents'!A1"/></Relationships>
</file>

<file path=xl/drawings/_rels/drawing9.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1.png"/><Relationship Id="rId1" Type="http://schemas.openxmlformats.org/officeDocument/2006/relationships/hyperlink" Target="#'Table of Contents'!A1"/></Relationships>
</file>

<file path=xl/drawings/drawing1.xml><?xml version="1.0" encoding="utf-8"?>
<xdr:wsDr xmlns:xdr="http://schemas.openxmlformats.org/drawingml/2006/spreadsheetDrawing" xmlns:a="http://schemas.openxmlformats.org/drawingml/2006/main">
  <xdr:twoCellAnchor editAs="oneCell">
    <xdr:from>
      <xdr:col>29</xdr:col>
      <xdr:colOff>0</xdr:colOff>
      <xdr:row>22</xdr:row>
      <xdr:rowOff>0</xdr:rowOff>
    </xdr:from>
    <xdr:to>
      <xdr:col>60</xdr:col>
      <xdr:colOff>611276</xdr:colOff>
      <xdr:row>24</xdr:row>
      <xdr:rowOff>36879</xdr:rowOff>
    </xdr:to>
    <xdr:pic>
      <xdr:nvPicPr>
        <xdr:cNvPr id="2" name="Picture 1">
          <a:hlinkClick xmlns:r="http://schemas.openxmlformats.org/officeDocument/2006/relationships" r:id="rId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2"/>
        <a:stretch>
          <a:fillRect/>
        </a:stretch>
      </xdr:blipFill>
      <xdr:spPr>
        <a:xfrm>
          <a:off x="28659508" y="0"/>
          <a:ext cx="18831544" cy="332153"/>
        </a:xfrm>
        <a:prstGeom prst="rect">
          <a:avLst/>
        </a:prstGeom>
        <a:effectLst>
          <a:reflection blurRad="6350" stA="52000" endA="300" endPos="32000" dist="12700" dir="5400000" sy="-100000" algn="bl" rotWithShape="0"/>
        </a:effec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169334</xdr:colOff>
      <xdr:row>14</xdr:row>
      <xdr:rowOff>225778</xdr:rowOff>
    </xdr:from>
    <xdr:to>
      <xdr:col>3</xdr:col>
      <xdr:colOff>558060</xdr:colOff>
      <xdr:row>18</xdr:row>
      <xdr:rowOff>135513</xdr:rowOff>
    </xdr:to>
    <xdr:pic>
      <xdr:nvPicPr>
        <xdr:cNvPr id="2" name="Picture 1">
          <a:extLst>
            <a:ext uri="{FF2B5EF4-FFF2-40B4-BE49-F238E27FC236}">
              <a16:creationId xmlns:a16="http://schemas.microsoft.com/office/drawing/2014/main" id="{AEF571B8-BA06-4FF1-DF71-6B9F99854457}"/>
            </a:ext>
          </a:extLst>
        </xdr:cNvPr>
        <xdr:cNvPicPr>
          <a:picLocks noChangeAspect="1"/>
        </xdr:cNvPicPr>
      </xdr:nvPicPr>
      <xdr:blipFill>
        <a:blip xmlns:r="http://schemas.openxmlformats.org/officeDocument/2006/relationships" r:embed="rId1"/>
        <a:stretch>
          <a:fillRect/>
        </a:stretch>
      </xdr:blipFill>
      <xdr:spPr>
        <a:xfrm>
          <a:off x="493890" y="5954889"/>
          <a:ext cx="5553392" cy="137729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23</xdr:col>
      <xdr:colOff>74983</xdr:colOff>
      <xdr:row>1</xdr:row>
      <xdr:rowOff>0</xdr:rowOff>
    </xdr:from>
    <xdr:to>
      <xdr:col>55</xdr:col>
      <xdr:colOff>12103</xdr:colOff>
      <xdr:row>2</xdr:row>
      <xdr:rowOff>62277</xdr:rowOff>
    </xdr:to>
    <xdr:pic>
      <xdr:nvPicPr>
        <xdr:cNvPr id="2" name="Picture 1">
          <a:hlinkClick xmlns:r="http://schemas.openxmlformats.org/officeDocument/2006/relationships" r:id="rId1"/>
          <a:extLst>
            <a:ext uri="{FF2B5EF4-FFF2-40B4-BE49-F238E27FC236}">
              <a16:creationId xmlns:a16="http://schemas.microsoft.com/office/drawing/2014/main" id="{EE7058EB-B4F9-E444-A96A-BCE822DFF1BA}"/>
            </a:ext>
          </a:extLst>
        </xdr:cNvPr>
        <xdr:cNvPicPr>
          <a:picLocks noChangeAspect="1"/>
        </xdr:cNvPicPr>
      </xdr:nvPicPr>
      <xdr:blipFill>
        <a:blip xmlns:r="http://schemas.openxmlformats.org/officeDocument/2006/relationships" r:embed="rId2"/>
        <a:stretch>
          <a:fillRect/>
        </a:stretch>
      </xdr:blipFill>
      <xdr:spPr>
        <a:xfrm>
          <a:off x="22960383" y="292100"/>
          <a:ext cx="21476320" cy="328977"/>
        </a:xfrm>
        <a:prstGeom prst="rect">
          <a:avLst/>
        </a:prstGeom>
        <a:effectLst>
          <a:reflection blurRad="6350" stA="52000" endA="300" endPos="32000" dist="12700" dir="5400000" sy="-100000" algn="bl" rotWithShape="0"/>
        </a:effectLst>
      </xdr:spPr>
    </xdr:pic>
    <xdr:clientData/>
  </xdr:twoCellAnchor>
  <xdr:twoCellAnchor>
    <xdr:from>
      <xdr:col>65</xdr:col>
      <xdr:colOff>97945</xdr:colOff>
      <xdr:row>1</xdr:row>
      <xdr:rowOff>0</xdr:rowOff>
    </xdr:from>
    <xdr:to>
      <xdr:col>77</xdr:col>
      <xdr:colOff>44818</xdr:colOff>
      <xdr:row>2</xdr:row>
      <xdr:rowOff>0</xdr:rowOff>
    </xdr:to>
    <xdr:pic>
      <xdr:nvPicPr>
        <xdr:cNvPr id="3" name="Picture 2">
          <a:extLst>
            <a:ext uri="{FF2B5EF4-FFF2-40B4-BE49-F238E27FC236}">
              <a16:creationId xmlns:a16="http://schemas.microsoft.com/office/drawing/2014/main" id="{D2F46CB7-B1FA-3B41-9861-6A4A0CDEB873}"/>
            </a:ext>
          </a:extLst>
        </xdr:cNvPr>
        <xdr:cNvPicPr>
          <a:picLocks noChangeAspect="1" noChangeArrowheads="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4176" t="15556" r="4002" b="14074"/>
        <a:stretch/>
      </xdr:blipFill>
      <xdr:spPr bwMode="auto">
        <a:xfrm>
          <a:off x="51253545" y="292100"/>
          <a:ext cx="8024073" cy="2921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in">
              <a:solidFill>
                <a:srgbClr xmlns:mc="http://schemas.openxmlformats.org/markup-compatibility/2006" val="000000" mc:Ignorable="a14" a14:legacySpreadsheetColorIndex="0"/>
              </a:solidFill>
              <a:miter lim="800000"/>
              <a:headEnd/>
              <a:tailEnd/>
            </a14:hiddenLine>
          </a:ext>
          <a:ext uri="{AF507438-7753-43E0-B8FC-AC1667EBCBE1}">
            <a14:hiddenEffects xmlns:a14="http://schemas.microsoft.com/office/drawing/2010/main">
              <a:effectLst>
                <a:outerShdw dist="35921" dir="2700000" algn="ctr" rotWithShape="0">
                  <a:srgbClr val="EEECE1"/>
                </a:outerShdw>
              </a:effectLst>
            </a14:hiddenEffects>
          </a:ext>
        </a:extLst>
      </xdr:spPr>
    </xdr:pic>
    <xdr:clientData/>
  </xdr:twoCellAnchor>
  <xdr:twoCellAnchor>
    <xdr:from>
      <xdr:col>65</xdr:col>
      <xdr:colOff>51529</xdr:colOff>
      <xdr:row>2</xdr:row>
      <xdr:rowOff>0</xdr:rowOff>
    </xdr:from>
    <xdr:to>
      <xdr:col>77</xdr:col>
      <xdr:colOff>95096</xdr:colOff>
      <xdr:row>2</xdr:row>
      <xdr:rowOff>85668</xdr:rowOff>
    </xdr:to>
    <xdr:sp macro="" textlink="">
      <xdr:nvSpPr>
        <xdr:cNvPr id="4" name="Text Box 7">
          <a:extLst>
            <a:ext uri="{FF2B5EF4-FFF2-40B4-BE49-F238E27FC236}">
              <a16:creationId xmlns:a16="http://schemas.microsoft.com/office/drawing/2014/main" id="{227D65C5-50B0-FE4E-8809-537A48CE5349}"/>
            </a:ext>
          </a:extLst>
        </xdr:cNvPr>
        <xdr:cNvSpPr txBox="1">
          <a:spLocks noChangeArrowheads="1"/>
        </xdr:cNvSpPr>
      </xdr:nvSpPr>
      <xdr:spPr bwMode="auto">
        <a:xfrm>
          <a:off x="51207129" y="876300"/>
          <a:ext cx="8120767" cy="85668"/>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in">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EEECE1"/>
                </a:outerShdw>
              </a:effectLst>
            </a14:hiddenEffects>
          </a:ext>
        </a:extLst>
      </xdr:spPr>
      <xdr:txBody>
        <a:bodyPr vertOverflow="clip" wrap="square" lIns="36576" tIns="36576" rIns="36576" bIns="36576"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US" sz="800" b="1" i="0" u="none" strike="noStrike" kern="0" cap="none" spc="0" normalizeH="0" baseline="0" noProof="0">
              <a:ln>
                <a:noFill/>
              </a:ln>
              <a:solidFill>
                <a:srgbClr val="FFFFFF"/>
              </a:solidFill>
              <a:effectLst/>
              <a:uLnTx/>
              <a:uFillTx/>
              <a:latin typeface="Calibri"/>
              <a:cs typeface="Calibri"/>
            </a:rPr>
            <a:t>D  e  v  e  l  o  p  m  e  n  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1600" b="1" i="0" u="none" strike="noStrike" kern="0" cap="none" spc="0" normalizeH="0" baseline="0" noProof="0">
            <a:ln>
              <a:noFill/>
            </a:ln>
            <a:solidFill>
              <a:srgbClr val="FFFFFF"/>
            </a:solidFill>
            <a:effectLst/>
            <a:uLnTx/>
            <a:uFillTx/>
            <a:latin typeface="Calibri"/>
            <a:cs typeface="Calibri"/>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23</xdr:col>
      <xdr:colOff>74983</xdr:colOff>
      <xdr:row>1</xdr:row>
      <xdr:rowOff>0</xdr:rowOff>
    </xdr:from>
    <xdr:to>
      <xdr:col>55</xdr:col>
      <xdr:colOff>12103</xdr:colOff>
      <xdr:row>2</xdr:row>
      <xdr:rowOff>62277</xdr:rowOff>
    </xdr:to>
    <xdr:pic>
      <xdr:nvPicPr>
        <xdr:cNvPr id="2" name="Picture 1">
          <a:hlinkClick xmlns:r="http://schemas.openxmlformats.org/officeDocument/2006/relationships" r:id="rId1"/>
          <a:extLst>
            <a:ext uri="{FF2B5EF4-FFF2-40B4-BE49-F238E27FC236}">
              <a16:creationId xmlns:a16="http://schemas.microsoft.com/office/drawing/2014/main" id="{8D80E03D-1CC8-5E46-9072-658616589C3C}"/>
            </a:ext>
          </a:extLst>
        </xdr:cNvPr>
        <xdr:cNvPicPr>
          <a:picLocks noChangeAspect="1"/>
        </xdr:cNvPicPr>
      </xdr:nvPicPr>
      <xdr:blipFill>
        <a:blip xmlns:r="http://schemas.openxmlformats.org/officeDocument/2006/relationships" r:embed="rId2"/>
        <a:stretch>
          <a:fillRect/>
        </a:stretch>
      </xdr:blipFill>
      <xdr:spPr>
        <a:xfrm>
          <a:off x="33628383" y="152400"/>
          <a:ext cx="21476320" cy="328977"/>
        </a:xfrm>
        <a:prstGeom prst="rect">
          <a:avLst/>
        </a:prstGeom>
        <a:effectLst>
          <a:reflection blurRad="6350" stA="52000" endA="300" endPos="32000" dist="12700" dir="5400000" sy="-100000" algn="bl" rotWithShape="0"/>
        </a:effectLst>
      </xdr:spPr>
    </xdr:pic>
    <xdr:clientData/>
  </xdr:twoCellAnchor>
  <xdr:twoCellAnchor>
    <xdr:from>
      <xdr:col>65</xdr:col>
      <xdr:colOff>97945</xdr:colOff>
      <xdr:row>1</xdr:row>
      <xdr:rowOff>0</xdr:rowOff>
    </xdr:from>
    <xdr:to>
      <xdr:col>77</xdr:col>
      <xdr:colOff>44818</xdr:colOff>
      <xdr:row>2</xdr:row>
      <xdr:rowOff>0</xdr:rowOff>
    </xdr:to>
    <xdr:pic>
      <xdr:nvPicPr>
        <xdr:cNvPr id="3" name="Picture 2">
          <a:extLst>
            <a:ext uri="{FF2B5EF4-FFF2-40B4-BE49-F238E27FC236}">
              <a16:creationId xmlns:a16="http://schemas.microsoft.com/office/drawing/2014/main" id="{138FE8C8-DCF0-C049-BED9-82B374C5775C}"/>
            </a:ext>
          </a:extLst>
        </xdr:cNvPr>
        <xdr:cNvPicPr>
          <a:picLocks noChangeAspect="1" noChangeArrowheads="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4176" t="15556" r="4002" b="14074"/>
        <a:stretch/>
      </xdr:blipFill>
      <xdr:spPr bwMode="auto">
        <a:xfrm>
          <a:off x="61921545" y="152400"/>
          <a:ext cx="8024073" cy="2667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in">
              <a:solidFill>
                <a:srgbClr xmlns:mc="http://schemas.openxmlformats.org/markup-compatibility/2006" val="000000" mc:Ignorable="a14" a14:legacySpreadsheetColorIndex="0"/>
              </a:solidFill>
              <a:miter lim="800000"/>
              <a:headEnd/>
              <a:tailEnd/>
            </a14:hiddenLine>
          </a:ext>
          <a:ext uri="{AF507438-7753-43E0-B8FC-AC1667EBCBE1}">
            <a14:hiddenEffects xmlns:a14="http://schemas.microsoft.com/office/drawing/2010/main">
              <a:effectLst>
                <a:outerShdw dist="35921" dir="2700000" algn="ctr" rotWithShape="0">
                  <a:srgbClr val="EEECE1"/>
                </a:outerShdw>
              </a:effectLst>
            </a14:hiddenEffects>
          </a:ext>
        </a:extLst>
      </xdr:spPr>
    </xdr:pic>
    <xdr:clientData/>
  </xdr:twoCellAnchor>
  <xdr:twoCellAnchor>
    <xdr:from>
      <xdr:col>65</xdr:col>
      <xdr:colOff>51529</xdr:colOff>
      <xdr:row>2</xdr:row>
      <xdr:rowOff>0</xdr:rowOff>
    </xdr:from>
    <xdr:to>
      <xdr:col>77</xdr:col>
      <xdr:colOff>95096</xdr:colOff>
      <xdr:row>2</xdr:row>
      <xdr:rowOff>85668</xdr:rowOff>
    </xdr:to>
    <xdr:sp macro="" textlink="">
      <xdr:nvSpPr>
        <xdr:cNvPr id="4" name="Text Box 7">
          <a:extLst>
            <a:ext uri="{FF2B5EF4-FFF2-40B4-BE49-F238E27FC236}">
              <a16:creationId xmlns:a16="http://schemas.microsoft.com/office/drawing/2014/main" id="{FC2ABB3C-CF07-1643-A61B-FBE5909368E1}"/>
            </a:ext>
          </a:extLst>
        </xdr:cNvPr>
        <xdr:cNvSpPr txBox="1">
          <a:spLocks noChangeArrowheads="1"/>
        </xdr:cNvSpPr>
      </xdr:nvSpPr>
      <xdr:spPr bwMode="auto">
        <a:xfrm>
          <a:off x="61875129" y="419100"/>
          <a:ext cx="8120767" cy="85668"/>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in">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EEECE1"/>
                </a:outerShdw>
              </a:effectLst>
            </a14:hiddenEffects>
          </a:ext>
        </a:extLst>
      </xdr:spPr>
      <xdr:txBody>
        <a:bodyPr vertOverflow="clip" wrap="square" lIns="36576" tIns="36576" rIns="36576" bIns="36576"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US" sz="800" b="1" i="0" u="none" strike="noStrike" kern="0" cap="none" spc="0" normalizeH="0" baseline="0" noProof="0">
              <a:ln>
                <a:noFill/>
              </a:ln>
              <a:solidFill>
                <a:srgbClr val="FFFFFF"/>
              </a:solidFill>
              <a:effectLst/>
              <a:uLnTx/>
              <a:uFillTx/>
              <a:latin typeface="Calibri"/>
              <a:cs typeface="Calibri"/>
            </a:rPr>
            <a:t>D  e  v  e  l  o  p  m  e  n  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1600" b="1" i="0" u="none" strike="noStrike" kern="0" cap="none" spc="0" normalizeH="0" baseline="0" noProof="0">
            <a:ln>
              <a:noFill/>
            </a:ln>
            <a:solidFill>
              <a:srgbClr val="FFFFFF"/>
            </a:solidFill>
            <a:effectLst/>
            <a:uLnTx/>
            <a:uFillTx/>
            <a:latin typeface="Calibri"/>
            <a:cs typeface="Calibri"/>
          </a:endParaRP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23</xdr:col>
      <xdr:colOff>74983</xdr:colOff>
      <xdr:row>1</xdr:row>
      <xdr:rowOff>0</xdr:rowOff>
    </xdr:from>
    <xdr:to>
      <xdr:col>55</xdr:col>
      <xdr:colOff>12103</xdr:colOff>
      <xdr:row>2</xdr:row>
      <xdr:rowOff>62277</xdr:rowOff>
    </xdr:to>
    <xdr:pic>
      <xdr:nvPicPr>
        <xdr:cNvPr id="2" name="Picture 1">
          <a:hlinkClick xmlns:r="http://schemas.openxmlformats.org/officeDocument/2006/relationships" r:id="rId1"/>
          <a:extLst>
            <a:ext uri="{FF2B5EF4-FFF2-40B4-BE49-F238E27FC236}">
              <a16:creationId xmlns:a16="http://schemas.microsoft.com/office/drawing/2014/main" id="{880893C2-C8B5-D94E-8012-897E6DB42CF7}"/>
            </a:ext>
          </a:extLst>
        </xdr:cNvPr>
        <xdr:cNvPicPr>
          <a:picLocks noChangeAspect="1"/>
        </xdr:cNvPicPr>
      </xdr:nvPicPr>
      <xdr:blipFill>
        <a:blip xmlns:r="http://schemas.openxmlformats.org/officeDocument/2006/relationships" r:embed="rId2"/>
        <a:stretch>
          <a:fillRect/>
        </a:stretch>
      </xdr:blipFill>
      <xdr:spPr>
        <a:xfrm>
          <a:off x="33628383" y="152400"/>
          <a:ext cx="21476320" cy="328977"/>
        </a:xfrm>
        <a:prstGeom prst="rect">
          <a:avLst/>
        </a:prstGeom>
        <a:effectLst>
          <a:reflection blurRad="6350" stA="52000" endA="300" endPos="32000" dist="12700" dir="5400000" sy="-100000" algn="bl" rotWithShape="0"/>
        </a:effectLst>
      </xdr:spPr>
    </xdr:pic>
    <xdr:clientData/>
  </xdr:twoCellAnchor>
  <xdr:twoCellAnchor>
    <xdr:from>
      <xdr:col>65</xdr:col>
      <xdr:colOff>97945</xdr:colOff>
      <xdr:row>1</xdr:row>
      <xdr:rowOff>0</xdr:rowOff>
    </xdr:from>
    <xdr:to>
      <xdr:col>77</xdr:col>
      <xdr:colOff>44818</xdr:colOff>
      <xdr:row>2</xdr:row>
      <xdr:rowOff>0</xdr:rowOff>
    </xdr:to>
    <xdr:pic>
      <xdr:nvPicPr>
        <xdr:cNvPr id="3" name="Picture 2">
          <a:extLst>
            <a:ext uri="{FF2B5EF4-FFF2-40B4-BE49-F238E27FC236}">
              <a16:creationId xmlns:a16="http://schemas.microsoft.com/office/drawing/2014/main" id="{868AC291-F8F5-BC44-BFC3-8405DE815524}"/>
            </a:ext>
          </a:extLst>
        </xdr:cNvPr>
        <xdr:cNvPicPr>
          <a:picLocks noChangeAspect="1" noChangeArrowheads="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4176" t="15556" r="4002" b="14074"/>
        <a:stretch/>
      </xdr:blipFill>
      <xdr:spPr bwMode="auto">
        <a:xfrm>
          <a:off x="61921545" y="152400"/>
          <a:ext cx="8024073" cy="2667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in">
              <a:solidFill>
                <a:srgbClr xmlns:mc="http://schemas.openxmlformats.org/markup-compatibility/2006" val="000000" mc:Ignorable="a14" a14:legacySpreadsheetColorIndex="0"/>
              </a:solidFill>
              <a:miter lim="800000"/>
              <a:headEnd/>
              <a:tailEnd/>
            </a14:hiddenLine>
          </a:ext>
          <a:ext uri="{AF507438-7753-43E0-B8FC-AC1667EBCBE1}">
            <a14:hiddenEffects xmlns:a14="http://schemas.microsoft.com/office/drawing/2010/main">
              <a:effectLst>
                <a:outerShdw dist="35921" dir="2700000" algn="ctr" rotWithShape="0">
                  <a:srgbClr val="EEECE1"/>
                </a:outerShdw>
              </a:effectLst>
            </a14:hiddenEffects>
          </a:ext>
        </a:extLst>
      </xdr:spPr>
    </xdr:pic>
    <xdr:clientData/>
  </xdr:twoCellAnchor>
  <xdr:twoCellAnchor>
    <xdr:from>
      <xdr:col>65</xdr:col>
      <xdr:colOff>51529</xdr:colOff>
      <xdr:row>2</xdr:row>
      <xdr:rowOff>0</xdr:rowOff>
    </xdr:from>
    <xdr:to>
      <xdr:col>77</xdr:col>
      <xdr:colOff>95096</xdr:colOff>
      <xdr:row>2</xdr:row>
      <xdr:rowOff>85668</xdr:rowOff>
    </xdr:to>
    <xdr:sp macro="" textlink="">
      <xdr:nvSpPr>
        <xdr:cNvPr id="4" name="Text Box 7">
          <a:extLst>
            <a:ext uri="{FF2B5EF4-FFF2-40B4-BE49-F238E27FC236}">
              <a16:creationId xmlns:a16="http://schemas.microsoft.com/office/drawing/2014/main" id="{B9D4B83F-70FC-8845-A9C7-1DF216036F7F}"/>
            </a:ext>
          </a:extLst>
        </xdr:cNvPr>
        <xdr:cNvSpPr txBox="1">
          <a:spLocks noChangeArrowheads="1"/>
        </xdr:cNvSpPr>
      </xdr:nvSpPr>
      <xdr:spPr bwMode="auto">
        <a:xfrm>
          <a:off x="61875129" y="419100"/>
          <a:ext cx="8120767" cy="85668"/>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in">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EEECE1"/>
                </a:outerShdw>
              </a:effectLst>
            </a14:hiddenEffects>
          </a:ext>
        </a:extLst>
      </xdr:spPr>
      <xdr:txBody>
        <a:bodyPr vertOverflow="clip" wrap="square" lIns="36576" tIns="36576" rIns="36576" bIns="36576"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US" sz="800" b="1" i="0" u="none" strike="noStrike" kern="0" cap="none" spc="0" normalizeH="0" baseline="0" noProof="0">
              <a:ln>
                <a:noFill/>
              </a:ln>
              <a:solidFill>
                <a:srgbClr val="FFFFFF"/>
              </a:solidFill>
              <a:effectLst/>
              <a:uLnTx/>
              <a:uFillTx/>
              <a:latin typeface="Calibri"/>
              <a:cs typeface="Calibri"/>
            </a:rPr>
            <a:t>D  e  v  e  l  o  p  m  e  n  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1600" b="1" i="0" u="none" strike="noStrike" kern="0" cap="none" spc="0" normalizeH="0" baseline="0" noProof="0">
            <a:ln>
              <a:noFill/>
            </a:ln>
            <a:solidFill>
              <a:srgbClr val="FFFFFF"/>
            </a:solidFill>
            <a:effectLst/>
            <a:uLnTx/>
            <a:uFillTx/>
            <a:latin typeface="Calibri"/>
            <a:cs typeface="Calibri"/>
          </a:endParaRP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23</xdr:col>
      <xdr:colOff>74983</xdr:colOff>
      <xdr:row>1</xdr:row>
      <xdr:rowOff>0</xdr:rowOff>
    </xdr:from>
    <xdr:to>
      <xdr:col>55</xdr:col>
      <xdr:colOff>12103</xdr:colOff>
      <xdr:row>2</xdr:row>
      <xdr:rowOff>62277</xdr:rowOff>
    </xdr:to>
    <xdr:pic>
      <xdr:nvPicPr>
        <xdr:cNvPr id="2" name="Picture 1">
          <a:hlinkClick xmlns:r="http://schemas.openxmlformats.org/officeDocument/2006/relationships" r:id="rId1"/>
          <a:extLst>
            <a:ext uri="{FF2B5EF4-FFF2-40B4-BE49-F238E27FC236}">
              <a16:creationId xmlns:a16="http://schemas.microsoft.com/office/drawing/2014/main" id="{E117722B-3E04-864E-AB83-A84DA7474FA7}"/>
            </a:ext>
          </a:extLst>
        </xdr:cNvPr>
        <xdr:cNvPicPr>
          <a:picLocks noChangeAspect="1"/>
        </xdr:cNvPicPr>
      </xdr:nvPicPr>
      <xdr:blipFill>
        <a:blip xmlns:r="http://schemas.openxmlformats.org/officeDocument/2006/relationships" r:embed="rId2"/>
        <a:stretch>
          <a:fillRect/>
        </a:stretch>
      </xdr:blipFill>
      <xdr:spPr>
        <a:xfrm>
          <a:off x="33628383" y="152400"/>
          <a:ext cx="21476320" cy="328977"/>
        </a:xfrm>
        <a:prstGeom prst="rect">
          <a:avLst/>
        </a:prstGeom>
        <a:effectLst>
          <a:reflection blurRad="6350" stA="52000" endA="300" endPos="32000" dist="12700" dir="5400000" sy="-100000" algn="bl" rotWithShape="0"/>
        </a:effectLst>
      </xdr:spPr>
    </xdr:pic>
    <xdr:clientData/>
  </xdr:twoCellAnchor>
  <xdr:twoCellAnchor>
    <xdr:from>
      <xdr:col>65</xdr:col>
      <xdr:colOff>97945</xdr:colOff>
      <xdr:row>1</xdr:row>
      <xdr:rowOff>0</xdr:rowOff>
    </xdr:from>
    <xdr:to>
      <xdr:col>77</xdr:col>
      <xdr:colOff>44818</xdr:colOff>
      <xdr:row>2</xdr:row>
      <xdr:rowOff>0</xdr:rowOff>
    </xdr:to>
    <xdr:pic>
      <xdr:nvPicPr>
        <xdr:cNvPr id="3" name="Picture 2">
          <a:extLst>
            <a:ext uri="{FF2B5EF4-FFF2-40B4-BE49-F238E27FC236}">
              <a16:creationId xmlns:a16="http://schemas.microsoft.com/office/drawing/2014/main" id="{2DE7A092-D330-2442-A60D-EF36A1003469}"/>
            </a:ext>
          </a:extLst>
        </xdr:cNvPr>
        <xdr:cNvPicPr>
          <a:picLocks noChangeAspect="1" noChangeArrowheads="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4176" t="15556" r="4002" b="14074"/>
        <a:stretch/>
      </xdr:blipFill>
      <xdr:spPr bwMode="auto">
        <a:xfrm>
          <a:off x="61921545" y="152400"/>
          <a:ext cx="8024073" cy="2667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in">
              <a:solidFill>
                <a:srgbClr xmlns:mc="http://schemas.openxmlformats.org/markup-compatibility/2006" val="000000" mc:Ignorable="a14" a14:legacySpreadsheetColorIndex="0"/>
              </a:solidFill>
              <a:miter lim="800000"/>
              <a:headEnd/>
              <a:tailEnd/>
            </a14:hiddenLine>
          </a:ext>
          <a:ext uri="{AF507438-7753-43E0-B8FC-AC1667EBCBE1}">
            <a14:hiddenEffects xmlns:a14="http://schemas.microsoft.com/office/drawing/2010/main">
              <a:effectLst>
                <a:outerShdw dist="35921" dir="2700000" algn="ctr" rotWithShape="0">
                  <a:srgbClr val="EEECE1"/>
                </a:outerShdw>
              </a:effectLst>
            </a14:hiddenEffects>
          </a:ext>
        </a:extLst>
      </xdr:spPr>
    </xdr:pic>
    <xdr:clientData/>
  </xdr:twoCellAnchor>
  <xdr:twoCellAnchor>
    <xdr:from>
      <xdr:col>65</xdr:col>
      <xdr:colOff>51529</xdr:colOff>
      <xdr:row>2</xdr:row>
      <xdr:rowOff>0</xdr:rowOff>
    </xdr:from>
    <xdr:to>
      <xdr:col>77</xdr:col>
      <xdr:colOff>95096</xdr:colOff>
      <xdr:row>2</xdr:row>
      <xdr:rowOff>85668</xdr:rowOff>
    </xdr:to>
    <xdr:sp macro="" textlink="">
      <xdr:nvSpPr>
        <xdr:cNvPr id="4" name="Text Box 7">
          <a:extLst>
            <a:ext uri="{FF2B5EF4-FFF2-40B4-BE49-F238E27FC236}">
              <a16:creationId xmlns:a16="http://schemas.microsoft.com/office/drawing/2014/main" id="{184C4C8F-21D8-FF4D-902E-8456C23363E1}"/>
            </a:ext>
          </a:extLst>
        </xdr:cNvPr>
        <xdr:cNvSpPr txBox="1">
          <a:spLocks noChangeArrowheads="1"/>
        </xdr:cNvSpPr>
      </xdr:nvSpPr>
      <xdr:spPr bwMode="auto">
        <a:xfrm>
          <a:off x="61875129" y="419100"/>
          <a:ext cx="8120767" cy="85668"/>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in">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EEECE1"/>
                </a:outerShdw>
              </a:effectLst>
            </a14:hiddenEffects>
          </a:ext>
        </a:extLst>
      </xdr:spPr>
      <xdr:txBody>
        <a:bodyPr vertOverflow="clip" wrap="square" lIns="36576" tIns="36576" rIns="36576" bIns="36576"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US" sz="800" b="1" i="0" u="none" strike="noStrike" kern="0" cap="none" spc="0" normalizeH="0" baseline="0" noProof="0">
              <a:ln>
                <a:noFill/>
              </a:ln>
              <a:solidFill>
                <a:srgbClr val="FFFFFF"/>
              </a:solidFill>
              <a:effectLst/>
              <a:uLnTx/>
              <a:uFillTx/>
              <a:latin typeface="Calibri"/>
              <a:cs typeface="Calibri"/>
            </a:rPr>
            <a:t>D  e  v  e  l  o  p  m  e  n  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1600" b="1" i="0" u="none" strike="noStrike" kern="0" cap="none" spc="0" normalizeH="0" baseline="0" noProof="0">
            <a:ln>
              <a:noFill/>
            </a:ln>
            <a:solidFill>
              <a:srgbClr val="FFFFFF"/>
            </a:solidFill>
            <a:effectLst/>
            <a:uLnTx/>
            <a:uFillTx/>
            <a:latin typeface="Calibri"/>
            <a:cs typeface="Calibri"/>
          </a:endParaRPr>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23</xdr:col>
      <xdr:colOff>74983</xdr:colOff>
      <xdr:row>1</xdr:row>
      <xdr:rowOff>0</xdr:rowOff>
    </xdr:from>
    <xdr:to>
      <xdr:col>55</xdr:col>
      <xdr:colOff>12103</xdr:colOff>
      <xdr:row>2</xdr:row>
      <xdr:rowOff>62277</xdr:rowOff>
    </xdr:to>
    <xdr:pic>
      <xdr:nvPicPr>
        <xdr:cNvPr id="2" name="Picture 1">
          <a:hlinkClick xmlns:r="http://schemas.openxmlformats.org/officeDocument/2006/relationships" r:id="rId1"/>
          <a:extLst>
            <a:ext uri="{FF2B5EF4-FFF2-40B4-BE49-F238E27FC236}">
              <a16:creationId xmlns:a16="http://schemas.microsoft.com/office/drawing/2014/main" id="{0690324F-EF6D-C740-832C-55FE67226F3D}"/>
            </a:ext>
          </a:extLst>
        </xdr:cNvPr>
        <xdr:cNvPicPr>
          <a:picLocks noChangeAspect="1"/>
        </xdr:cNvPicPr>
      </xdr:nvPicPr>
      <xdr:blipFill>
        <a:blip xmlns:r="http://schemas.openxmlformats.org/officeDocument/2006/relationships" r:embed="rId2"/>
        <a:stretch>
          <a:fillRect/>
        </a:stretch>
      </xdr:blipFill>
      <xdr:spPr>
        <a:xfrm>
          <a:off x="33628383" y="152400"/>
          <a:ext cx="21476320" cy="328977"/>
        </a:xfrm>
        <a:prstGeom prst="rect">
          <a:avLst/>
        </a:prstGeom>
        <a:effectLst>
          <a:reflection blurRad="6350" stA="52000" endA="300" endPos="32000" dist="12700" dir="5400000" sy="-100000" algn="bl" rotWithShape="0"/>
        </a:effectLst>
      </xdr:spPr>
    </xdr:pic>
    <xdr:clientData/>
  </xdr:twoCellAnchor>
  <xdr:twoCellAnchor>
    <xdr:from>
      <xdr:col>65</xdr:col>
      <xdr:colOff>97945</xdr:colOff>
      <xdr:row>1</xdr:row>
      <xdr:rowOff>0</xdr:rowOff>
    </xdr:from>
    <xdr:to>
      <xdr:col>77</xdr:col>
      <xdr:colOff>44818</xdr:colOff>
      <xdr:row>2</xdr:row>
      <xdr:rowOff>0</xdr:rowOff>
    </xdr:to>
    <xdr:pic>
      <xdr:nvPicPr>
        <xdr:cNvPr id="3" name="Picture 2">
          <a:extLst>
            <a:ext uri="{FF2B5EF4-FFF2-40B4-BE49-F238E27FC236}">
              <a16:creationId xmlns:a16="http://schemas.microsoft.com/office/drawing/2014/main" id="{CCD2577C-555C-D440-9798-D1850B81B737}"/>
            </a:ext>
          </a:extLst>
        </xdr:cNvPr>
        <xdr:cNvPicPr>
          <a:picLocks noChangeAspect="1" noChangeArrowheads="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4176" t="15556" r="4002" b="14074"/>
        <a:stretch/>
      </xdr:blipFill>
      <xdr:spPr bwMode="auto">
        <a:xfrm>
          <a:off x="61921545" y="152400"/>
          <a:ext cx="8024073" cy="2667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in">
              <a:solidFill>
                <a:srgbClr xmlns:mc="http://schemas.openxmlformats.org/markup-compatibility/2006" val="000000" mc:Ignorable="a14" a14:legacySpreadsheetColorIndex="0"/>
              </a:solidFill>
              <a:miter lim="800000"/>
              <a:headEnd/>
              <a:tailEnd/>
            </a14:hiddenLine>
          </a:ext>
          <a:ext uri="{AF507438-7753-43E0-B8FC-AC1667EBCBE1}">
            <a14:hiddenEffects xmlns:a14="http://schemas.microsoft.com/office/drawing/2010/main">
              <a:effectLst>
                <a:outerShdw dist="35921" dir="2700000" algn="ctr" rotWithShape="0">
                  <a:srgbClr val="EEECE1"/>
                </a:outerShdw>
              </a:effectLst>
            </a14:hiddenEffects>
          </a:ext>
        </a:extLst>
      </xdr:spPr>
    </xdr:pic>
    <xdr:clientData/>
  </xdr:twoCellAnchor>
  <xdr:twoCellAnchor>
    <xdr:from>
      <xdr:col>65</xdr:col>
      <xdr:colOff>51529</xdr:colOff>
      <xdr:row>2</xdr:row>
      <xdr:rowOff>0</xdr:rowOff>
    </xdr:from>
    <xdr:to>
      <xdr:col>77</xdr:col>
      <xdr:colOff>95096</xdr:colOff>
      <xdr:row>2</xdr:row>
      <xdr:rowOff>85668</xdr:rowOff>
    </xdr:to>
    <xdr:sp macro="" textlink="">
      <xdr:nvSpPr>
        <xdr:cNvPr id="4" name="Text Box 7">
          <a:extLst>
            <a:ext uri="{FF2B5EF4-FFF2-40B4-BE49-F238E27FC236}">
              <a16:creationId xmlns:a16="http://schemas.microsoft.com/office/drawing/2014/main" id="{D13534E0-ED49-CC44-98CB-503638B1002E}"/>
            </a:ext>
          </a:extLst>
        </xdr:cNvPr>
        <xdr:cNvSpPr txBox="1">
          <a:spLocks noChangeArrowheads="1"/>
        </xdr:cNvSpPr>
      </xdr:nvSpPr>
      <xdr:spPr bwMode="auto">
        <a:xfrm>
          <a:off x="61875129" y="419100"/>
          <a:ext cx="8120767" cy="85668"/>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in">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EEECE1"/>
                </a:outerShdw>
              </a:effectLst>
            </a14:hiddenEffects>
          </a:ext>
        </a:extLst>
      </xdr:spPr>
      <xdr:txBody>
        <a:bodyPr vertOverflow="clip" wrap="square" lIns="36576" tIns="36576" rIns="36576" bIns="36576"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US" sz="800" b="1" i="0" u="none" strike="noStrike" kern="0" cap="none" spc="0" normalizeH="0" baseline="0" noProof="0">
              <a:ln>
                <a:noFill/>
              </a:ln>
              <a:solidFill>
                <a:srgbClr val="FFFFFF"/>
              </a:solidFill>
              <a:effectLst/>
              <a:uLnTx/>
              <a:uFillTx/>
              <a:latin typeface="Calibri"/>
              <a:cs typeface="Calibri"/>
            </a:rPr>
            <a:t>D  e  v  e  l  o  p  m  e  n  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1600" b="1" i="0" u="none" strike="noStrike" kern="0" cap="none" spc="0" normalizeH="0" baseline="0" noProof="0">
            <a:ln>
              <a:noFill/>
            </a:ln>
            <a:solidFill>
              <a:srgbClr val="FFFFFF"/>
            </a:solidFill>
            <a:effectLst/>
            <a:uLnTx/>
            <a:uFillTx/>
            <a:latin typeface="Calibri"/>
            <a:cs typeface="Calibri"/>
          </a:endParaRPr>
        </a:p>
      </xdr:txBody>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23</xdr:col>
      <xdr:colOff>74983</xdr:colOff>
      <xdr:row>1</xdr:row>
      <xdr:rowOff>0</xdr:rowOff>
    </xdr:from>
    <xdr:to>
      <xdr:col>55</xdr:col>
      <xdr:colOff>12103</xdr:colOff>
      <xdr:row>2</xdr:row>
      <xdr:rowOff>62277</xdr:rowOff>
    </xdr:to>
    <xdr:pic>
      <xdr:nvPicPr>
        <xdr:cNvPr id="2" name="Picture 1">
          <a:hlinkClick xmlns:r="http://schemas.openxmlformats.org/officeDocument/2006/relationships" r:id="rId1"/>
          <a:extLst>
            <a:ext uri="{FF2B5EF4-FFF2-40B4-BE49-F238E27FC236}">
              <a16:creationId xmlns:a16="http://schemas.microsoft.com/office/drawing/2014/main" id="{C92EC436-0DA3-5948-9DEA-1A37128BF68D}"/>
            </a:ext>
          </a:extLst>
        </xdr:cNvPr>
        <xdr:cNvPicPr>
          <a:picLocks noChangeAspect="1"/>
        </xdr:cNvPicPr>
      </xdr:nvPicPr>
      <xdr:blipFill>
        <a:blip xmlns:r="http://schemas.openxmlformats.org/officeDocument/2006/relationships" r:embed="rId2"/>
        <a:stretch>
          <a:fillRect/>
        </a:stretch>
      </xdr:blipFill>
      <xdr:spPr>
        <a:xfrm>
          <a:off x="33628383" y="152400"/>
          <a:ext cx="21476320" cy="328977"/>
        </a:xfrm>
        <a:prstGeom prst="rect">
          <a:avLst/>
        </a:prstGeom>
        <a:effectLst>
          <a:reflection blurRad="6350" stA="52000" endA="300" endPos="32000" dist="12700" dir="5400000" sy="-100000" algn="bl" rotWithShape="0"/>
        </a:effectLst>
      </xdr:spPr>
    </xdr:pic>
    <xdr:clientData/>
  </xdr:twoCellAnchor>
  <xdr:twoCellAnchor>
    <xdr:from>
      <xdr:col>65</xdr:col>
      <xdr:colOff>97945</xdr:colOff>
      <xdr:row>1</xdr:row>
      <xdr:rowOff>0</xdr:rowOff>
    </xdr:from>
    <xdr:to>
      <xdr:col>77</xdr:col>
      <xdr:colOff>44818</xdr:colOff>
      <xdr:row>2</xdr:row>
      <xdr:rowOff>0</xdr:rowOff>
    </xdr:to>
    <xdr:pic>
      <xdr:nvPicPr>
        <xdr:cNvPr id="3" name="Picture 2">
          <a:extLst>
            <a:ext uri="{FF2B5EF4-FFF2-40B4-BE49-F238E27FC236}">
              <a16:creationId xmlns:a16="http://schemas.microsoft.com/office/drawing/2014/main" id="{3EF42DC9-93B5-5D44-9661-6AC57EC5D8D1}"/>
            </a:ext>
          </a:extLst>
        </xdr:cNvPr>
        <xdr:cNvPicPr>
          <a:picLocks noChangeAspect="1" noChangeArrowheads="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4176" t="15556" r="4002" b="14074"/>
        <a:stretch/>
      </xdr:blipFill>
      <xdr:spPr bwMode="auto">
        <a:xfrm>
          <a:off x="61921545" y="152400"/>
          <a:ext cx="8024073" cy="2667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in">
              <a:solidFill>
                <a:srgbClr xmlns:mc="http://schemas.openxmlformats.org/markup-compatibility/2006" val="000000" mc:Ignorable="a14" a14:legacySpreadsheetColorIndex="0"/>
              </a:solidFill>
              <a:miter lim="800000"/>
              <a:headEnd/>
              <a:tailEnd/>
            </a14:hiddenLine>
          </a:ext>
          <a:ext uri="{AF507438-7753-43E0-B8FC-AC1667EBCBE1}">
            <a14:hiddenEffects xmlns:a14="http://schemas.microsoft.com/office/drawing/2010/main">
              <a:effectLst>
                <a:outerShdw dist="35921" dir="2700000" algn="ctr" rotWithShape="0">
                  <a:srgbClr val="EEECE1"/>
                </a:outerShdw>
              </a:effectLst>
            </a14:hiddenEffects>
          </a:ext>
        </a:extLst>
      </xdr:spPr>
    </xdr:pic>
    <xdr:clientData/>
  </xdr:twoCellAnchor>
  <xdr:twoCellAnchor>
    <xdr:from>
      <xdr:col>65</xdr:col>
      <xdr:colOff>51529</xdr:colOff>
      <xdr:row>2</xdr:row>
      <xdr:rowOff>0</xdr:rowOff>
    </xdr:from>
    <xdr:to>
      <xdr:col>77</xdr:col>
      <xdr:colOff>95096</xdr:colOff>
      <xdr:row>2</xdr:row>
      <xdr:rowOff>85668</xdr:rowOff>
    </xdr:to>
    <xdr:sp macro="" textlink="">
      <xdr:nvSpPr>
        <xdr:cNvPr id="4" name="Text Box 7">
          <a:extLst>
            <a:ext uri="{FF2B5EF4-FFF2-40B4-BE49-F238E27FC236}">
              <a16:creationId xmlns:a16="http://schemas.microsoft.com/office/drawing/2014/main" id="{0CCF5940-4EBE-EC4C-BA4B-4FFAF00709D5}"/>
            </a:ext>
          </a:extLst>
        </xdr:cNvPr>
        <xdr:cNvSpPr txBox="1">
          <a:spLocks noChangeArrowheads="1"/>
        </xdr:cNvSpPr>
      </xdr:nvSpPr>
      <xdr:spPr bwMode="auto">
        <a:xfrm>
          <a:off x="61875129" y="419100"/>
          <a:ext cx="8120767" cy="85668"/>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in">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EEECE1"/>
                </a:outerShdw>
              </a:effectLst>
            </a14:hiddenEffects>
          </a:ext>
        </a:extLst>
      </xdr:spPr>
      <xdr:txBody>
        <a:bodyPr vertOverflow="clip" wrap="square" lIns="36576" tIns="36576" rIns="36576" bIns="36576"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US" sz="800" b="1" i="0" u="none" strike="noStrike" kern="0" cap="none" spc="0" normalizeH="0" baseline="0" noProof="0">
              <a:ln>
                <a:noFill/>
              </a:ln>
              <a:solidFill>
                <a:srgbClr val="FFFFFF"/>
              </a:solidFill>
              <a:effectLst/>
              <a:uLnTx/>
              <a:uFillTx/>
              <a:latin typeface="Calibri"/>
              <a:cs typeface="Calibri"/>
            </a:rPr>
            <a:t>D  e  v  e  l  o  p  m  e  n  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1600" b="1" i="0" u="none" strike="noStrike" kern="0" cap="none" spc="0" normalizeH="0" baseline="0" noProof="0">
            <a:ln>
              <a:noFill/>
            </a:ln>
            <a:solidFill>
              <a:srgbClr val="FFFFFF"/>
            </a:solidFill>
            <a:effectLst/>
            <a:uLnTx/>
            <a:uFillTx/>
            <a:latin typeface="Calibri"/>
            <a:cs typeface="Calibri"/>
          </a:endParaRPr>
        </a:p>
      </xdr:txBody>
    </xdr:sp>
    <xdr:clientData/>
  </xdr:twoCellAnchor>
</xdr:wsDr>
</file>

<file path=xl/drawings/drawing9.xml><?xml version="1.0" encoding="utf-8"?>
<xdr:wsDr xmlns:xdr="http://schemas.openxmlformats.org/drawingml/2006/spreadsheetDrawing" xmlns:a="http://schemas.openxmlformats.org/drawingml/2006/main">
  <xdr:twoCellAnchor editAs="oneCell">
    <xdr:from>
      <xdr:col>23</xdr:col>
      <xdr:colOff>74983</xdr:colOff>
      <xdr:row>1</xdr:row>
      <xdr:rowOff>0</xdr:rowOff>
    </xdr:from>
    <xdr:to>
      <xdr:col>55</xdr:col>
      <xdr:colOff>12103</xdr:colOff>
      <xdr:row>2</xdr:row>
      <xdr:rowOff>62277</xdr:rowOff>
    </xdr:to>
    <xdr:pic>
      <xdr:nvPicPr>
        <xdr:cNvPr id="2" name="Picture 1">
          <a:hlinkClick xmlns:r="http://schemas.openxmlformats.org/officeDocument/2006/relationships" r:id="rId1"/>
          <a:extLst>
            <a:ext uri="{FF2B5EF4-FFF2-40B4-BE49-F238E27FC236}">
              <a16:creationId xmlns:a16="http://schemas.microsoft.com/office/drawing/2014/main" id="{5536007F-B354-0548-A1A5-AA8F93E87337}"/>
            </a:ext>
          </a:extLst>
        </xdr:cNvPr>
        <xdr:cNvPicPr>
          <a:picLocks noChangeAspect="1"/>
        </xdr:cNvPicPr>
      </xdr:nvPicPr>
      <xdr:blipFill>
        <a:blip xmlns:r="http://schemas.openxmlformats.org/officeDocument/2006/relationships" r:embed="rId2"/>
        <a:stretch>
          <a:fillRect/>
        </a:stretch>
      </xdr:blipFill>
      <xdr:spPr>
        <a:xfrm>
          <a:off x="33628383" y="152400"/>
          <a:ext cx="21476320" cy="328977"/>
        </a:xfrm>
        <a:prstGeom prst="rect">
          <a:avLst/>
        </a:prstGeom>
        <a:effectLst>
          <a:reflection blurRad="6350" stA="52000" endA="300" endPos="32000" dist="12700" dir="5400000" sy="-100000" algn="bl" rotWithShape="0"/>
        </a:effectLst>
      </xdr:spPr>
    </xdr:pic>
    <xdr:clientData/>
  </xdr:twoCellAnchor>
  <xdr:twoCellAnchor>
    <xdr:from>
      <xdr:col>65</xdr:col>
      <xdr:colOff>97945</xdr:colOff>
      <xdr:row>1</xdr:row>
      <xdr:rowOff>0</xdr:rowOff>
    </xdr:from>
    <xdr:to>
      <xdr:col>77</xdr:col>
      <xdr:colOff>44818</xdr:colOff>
      <xdr:row>2</xdr:row>
      <xdr:rowOff>0</xdr:rowOff>
    </xdr:to>
    <xdr:pic>
      <xdr:nvPicPr>
        <xdr:cNvPr id="3" name="Picture 2">
          <a:extLst>
            <a:ext uri="{FF2B5EF4-FFF2-40B4-BE49-F238E27FC236}">
              <a16:creationId xmlns:a16="http://schemas.microsoft.com/office/drawing/2014/main" id="{702C132F-7C84-5945-8266-1231029340A7}"/>
            </a:ext>
          </a:extLst>
        </xdr:cNvPr>
        <xdr:cNvPicPr>
          <a:picLocks noChangeAspect="1" noChangeArrowheads="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4176" t="15556" r="4002" b="14074"/>
        <a:stretch/>
      </xdr:blipFill>
      <xdr:spPr bwMode="auto">
        <a:xfrm>
          <a:off x="61921545" y="152400"/>
          <a:ext cx="8024073" cy="2667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in">
              <a:solidFill>
                <a:srgbClr xmlns:mc="http://schemas.openxmlformats.org/markup-compatibility/2006" val="000000" mc:Ignorable="a14" a14:legacySpreadsheetColorIndex="0"/>
              </a:solidFill>
              <a:miter lim="800000"/>
              <a:headEnd/>
              <a:tailEnd/>
            </a14:hiddenLine>
          </a:ext>
          <a:ext uri="{AF507438-7753-43E0-B8FC-AC1667EBCBE1}">
            <a14:hiddenEffects xmlns:a14="http://schemas.microsoft.com/office/drawing/2010/main">
              <a:effectLst>
                <a:outerShdw dist="35921" dir="2700000" algn="ctr" rotWithShape="0">
                  <a:srgbClr val="EEECE1"/>
                </a:outerShdw>
              </a:effectLst>
            </a14:hiddenEffects>
          </a:ext>
        </a:extLst>
      </xdr:spPr>
    </xdr:pic>
    <xdr:clientData/>
  </xdr:twoCellAnchor>
  <xdr:twoCellAnchor>
    <xdr:from>
      <xdr:col>65</xdr:col>
      <xdr:colOff>51529</xdr:colOff>
      <xdr:row>2</xdr:row>
      <xdr:rowOff>0</xdr:rowOff>
    </xdr:from>
    <xdr:to>
      <xdr:col>77</xdr:col>
      <xdr:colOff>95096</xdr:colOff>
      <xdr:row>2</xdr:row>
      <xdr:rowOff>85668</xdr:rowOff>
    </xdr:to>
    <xdr:sp macro="" textlink="">
      <xdr:nvSpPr>
        <xdr:cNvPr id="4" name="Text Box 7">
          <a:extLst>
            <a:ext uri="{FF2B5EF4-FFF2-40B4-BE49-F238E27FC236}">
              <a16:creationId xmlns:a16="http://schemas.microsoft.com/office/drawing/2014/main" id="{8AFD94CD-2BD6-F04C-9FB5-3FDE75EFEF5E}"/>
            </a:ext>
          </a:extLst>
        </xdr:cNvPr>
        <xdr:cNvSpPr txBox="1">
          <a:spLocks noChangeArrowheads="1"/>
        </xdr:cNvSpPr>
      </xdr:nvSpPr>
      <xdr:spPr bwMode="auto">
        <a:xfrm>
          <a:off x="61875129" y="419100"/>
          <a:ext cx="8120767" cy="85668"/>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in">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EEECE1"/>
                </a:outerShdw>
              </a:effectLst>
            </a14:hiddenEffects>
          </a:ext>
        </a:extLst>
      </xdr:spPr>
      <xdr:txBody>
        <a:bodyPr vertOverflow="clip" wrap="square" lIns="36576" tIns="36576" rIns="36576" bIns="36576"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US" sz="800" b="1" i="0" u="none" strike="noStrike" kern="0" cap="none" spc="0" normalizeH="0" baseline="0" noProof="0">
              <a:ln>
                <a:noFill/>
              </a:ln>
              <a:solidFill>
                <a:srgbClr val="FFFFFF"/>
              </a:solidFill>
              <a:effectLst/>
              <a:uLnTx/>
              <a:uFillTx/>
              <a:latin typeface="Calibri"/>
              <a:cs typeface="Calibri"/>
            </a:rPr>
            <a:t>D  e  v  e  l  o  p  m  e  n  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1600" b="1" i="0" u="none" strike="noStrike" kern="0" cap="none" spc="0" normalizeH="0" baseline="0" noProof="0">
            <a:ln>
              <a:noFill/>
            </a:ln>
            <a:solidFill>
              <a:srgbClr val="FFFFFF"/>
            </a:solidFill>
            <a:effectLst/>
            <a:uLnTx/>
            <a:uFillTx/>
            <a:latin typeface="Calibri"/>
            <a:cs typeface="Calibri"/>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uli.sharepoint.com/My%20Documents/Closed%20Deals/Mack-Cali%20Portfolio/Investment%20Committee%20Book/$600k%20price%20adjustment%20VI/Section%203%20-%20Mack-Cali%20Portfolio%20FINAL.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ttps://uli.sharepoint.com/Users/Charles%20A%20Long/Dropbox/Development-L-T/West%20Oakland/1600%207th%20St/Equity%20Book%20and%20Financials/efscluster1/eusersdefpaths/greystar/live/419009144761.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https://uli.sharepoint.com/Documents%20and%20Settings/ahiggins/Local%20Settings/Temporary%20Internet%20Files/OLK16E/North%20Houston%20Medical%20Base%20Case%208-17-04%20(2).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https://uli.sharepoint.com/LAXUsers/koura/Analyst%20Bullpen/2%20-%20Seattle%20Deals/Seattle/South%20Lake%20Union/1%208%2012%20-%20Seattle%20282%20-%20AW_KAO_1.10.13.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uli.sharepoint.com/Users/matthewticknor/Dropbox/Development-L-T/Oakland/585%2022nd%20St/Asset%20Management/G:/Real%20Estate/_New%20Deals/NYC%20-%2085%20West%20Broadway/Model/hotel%20model/kimpton%20hotel%20development%20model.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uli.sharepoint.com/Users/matthewticknor/Dropbox/Development-L-T/Oakland/585%2022nd%20St/Asset%20Management/G:/My%20Documents/Starwood/Models/FiMo%20Clean%203-1-04%20-%20May%20actfore.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uli.sharepoint.com/BCI-FS1/Users/FHC/ESTIMATE/Large%20Projects%20Estimates%202005/Carmichael%20Library%2025006/Bid%20Card%20Carmichael%20Library%201_27_05.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uli.sharepoint.com/Documents%20and%20Settings/tpender.CHS/Local%20Settings/Temporary%20Internet%20Files/OLK12F/457609343762.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s://uli.sharepoint.com/Users/Matt/Dropbox/Greystar/Deals/Menlo%20Park/Equity%20Book/Menlo%20Park%20-%2065%25%20LTC%20-%2011-17-2013%20-%20broken%20links.xlsm"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s://uli.sharepoint.com/users/SAMR/Invoices/Greystar%20Investments/GCP%20Invoice-JMIGRP.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s://uli.sharepoint.com/beaconlakes/Shared%20Documents/Beacon%20Lakes/100%20Land%20and%20Feasibility/Project%20Budget/MULE%20and%20Partners%20model%20greystar%20Beacon%20Lakes%203-5-07%20v5/beacon%20MULE2007_Beta2.3/MULE2007_Beta2.3.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s://uli.sharepoint.com/Documents%20and%20Settings/drbrown.AUSTIN/Local%20Settings/Temporary%20Internet%20Files/OLK1/49864162724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
      <sheetName val="Dealsumm"/>
      <sheetName val="Assm"/>
      <sheetName val="#"/>
      <sheetName val="#debt"/>
      <sheetName val="A"/>
      <sheetName val="B"/>
      <sheetName val="C"/>
      <sheetName val="Profit"/>
      <sheetName val="FeeAnalysis"/>
      <sheetName val="Land Assm"/>
      <sheetName val="Land #"/>
      <sheetName val="Land #debt"/>
      <sheetName val="Mont Assm"/>
      <sheetName val="Mont #"/>
      <sheetName val="Mont #debt"/>
      <sheetName val="Metr Assm"/>
      <sheetName val="Metr #"/>
      <sheetName val="Metr #debt"/>
      <sheetName val="Rep Assm"/>
      <sheetName val="Rep #"/>
      <sheetName val="Rep #deb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emplate"/>
    </sheetNames>
    <sheetDataSet>
      <sheetData sheetId="0"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operty taxes-NOI-Prop 13 2538"/>
      <sheetName val="585 22nd NOI reduction-Prop 13"/>
      <sheetName val="471 Fees and allowances"/>
      <sheetName val="Unit mix revised 2538 08-04-16"/>
      <sheetName val="Unit mix revised 585 01-24-17"/>
      <sheetName val="570 Fees and Allowances"/>
      <sheetName val="Operating Expense &amp; Income 2538"/>
      <sheetName val="Rental pro-forma-97 UNITS-2538"/>
      <sheetName val="OVERALL DRAW 2538"/>
      <sheetName val="Equity Investor Sheet 2538"/>
      <sheetName val="26th - PM Budget"/>
      <sheetName val="2538 ALL EXPENSES"/>
      <sheetName val="2538 CONTRACTS"/>
      <sheetName val="Monthly Draw 585&amp;2538"/>
      <sheetName val="Operating Expense &amp; Income-585"/>
      <sheetName val="Rental pro-forma 585"/>
      <sheetName val="OVERALL DRAW 585"/>
      <sheetName val="Equity Investor Sheet 585"/>
      <sheetName val="21st - PM Budget"/>
      <sheetName val="585 ALL EXPENSES"/>
      <sheetName val="585 CONTRACTS"/>
      <sheetName val="UBS Waterfall"/>
      <sheetName val="Return Summary"/>
      <sheetName val="Trended CF-Simple 2538"/>
      <sheetName val="Trended CF-Simple585"/>
      <sheetName val="2538 BID LOG 5-16-17"/>
      <sheetName val="2538 BID LOG 6-6-17"/>
      <sheetName val="COSTS BOTH"/>
      <sheetName val="CONSOLIDATED"/>
      <sheetName val="DESIGN DRAW 585"/>
      <sheetName val="DESIGN DRAW 2538"/>
      <sheetName val="10y Libor"/>
      <sheetName val="60 units-OLD"/>
      <sheetName val="TIC Structure"/>
      <sheetName val="10 Yr. - Cash Flow"/>
      <sheetName val="One Pager - Assumptions"/>
      <sheetName val="NOI Down"/>
      <sheetName val="Rent Roll"/>
      <sheetName val="Rent"/>
      <sheetName val="TI"/>
      <sheetName val="Supporting Info."/>
      <sheetName val="Lease-Up"/>
      <sheetName val="Client Specific"/>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refreshError="1"/>
      <sheetData sheetId="34" refreshError="1"/>
      <sheetData sheetId="35"/>
      <sheetData sheetId="36" refreshError="1"/>
      <sheetData sheetId="37" refreshError="1"/>
      <sheetData sheetId="38" refreshError="1"/>
      <sheetData sheetId="39" refreshError="1"/>
      <sheetData sheetId="40" refreshError="1"/>
      <sheetData sheetId="41" refreshError="1"/>
      <sheetData sheetId="42"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operty taxes-NOI-Prop 13 2538"/>
      <sheetName val="585 22nd NOI reduction-Prop 13"/>
      <sheetName val="471 Fees and allowances"/>
      <sheetName val="Unit mix revised 2538 08-04-16"/>
      <sheetName val="Unit mix revised 585 01-24-17"/>
      <sheetName val="570 Fees and Allowances"/>
      <sheetName val="Operating Expense &amp; Income 2538"/>
      <sheetName val="Rental pro-forma-97 UNITS-2538"/>
      <sheetName val="OVERALL DRAW 2538"/>
      <sheetName val="Equity Investor Sheet 2538"/>
      <sheetName val="26th - PM Budget"/>
      <sheetName val="2538 ALL EXPENSES"/>
      <sheetName val="2538 CONTRACTS"/>
      <sheetName val="Monthly Draw 585&amp;2538"/>
      <sheetName val="Operating Expense &amp; Income-585"/>
      <sheetName val="Rental pro-forma 585"/>
      <sheetName val="OVERALL DRAW 585"/>
      <sheetName val="Equity Investor Sheet 585"/>
      <sheetName val="21st - PM Budget"/>
      <sheetName val="585 ALL EXPENSES"/>
      <sheetName val="585 CONTRACTS"/>
      <sheetName val="UBS Waterfall"/>
      <sheetName val="Return Summary"/>
      <sheetName val="Trended CF-Simple 2538"/>
      <sheetName val="Trended CF-Simple585"/>
      <sheetName val="2538 BID LOG 5-16-17"/>
      <sheetName val="2538 BID LOG 6-6-17"/>
      <sheetName val="COSTS BOTH"/>
      <sheetName val="CONSOLIDATED"/>
      <sheetName val="DESIGN DRAW 585"/>
      <sheetName val="DESIGN DRAW 2538"/>
      <sheetName val="10y Libor"/>
      <sheetName val="60 units-OLD"/>
      <sheetName val="Updates"/>
      <sheetName val="Negotiations Page"/>
      <sheetName val="Land Flip"/>
      <sheetName val="Parking"/>
      <sheetName val="base case"/>
      <sheetName val="Spent to Date"/>
      <sheetName val="Table of Contents"/>
      <sheetName val="Lanes Analysis"/>
      <sheetName val="Investment Committee Cover"/>
      <sheetName val="Executive Summary"/>
      <sheetName val="Assumptions Tracker"/>
      <sheetName val="Development Images"/>
      <sheetName val="Lanes Summary"/>
      <sheetName val="1 - Location"/>
      <sheetName val="2 - Supply &amp; Demand"/>
      <sheetName val="3 - Basis"/>
      <sheetName val="4 - Rents"/>
      <sheetName val="5 - Rent Growth"/>
      <sheetName val="6 - Development"/>
      <sheetName val="7 - Construction"/>
      <sheetName val="8 - Transaction Timing"/>
      <sheetName val="9 - Partnership Structure"/>
      <sheetName val="10 - Returns"/>
      <sheetName val="NOT IN USE - Detailed Budget"/>
      <sheetName val="Muni Fees"/>
      <sheetName val="New Detailed Budget MT"/>
      <sheetName val="Input"/>
      <sheetName val="Equity Package"/>
      <sheetName val="Coinvest Analysis"/>
      <sheetName val="Pursuit Schedule"/>
      <sheetName val="Comparison IC"/>
      <sheetName val="Sales Analysis"/>
      <sheetName val="REIS 2Q12"/>
      <sheetName val="Untrended Cash Flow"/>
      <sheetName val="Trended Cash Flow"/>
      <sheetName val="Comparison Table"/>
      <sheetName val="REIS YE2011"/>
      <sheetName val="Mgmt Sign Off"/>
      <sheetName val="Capitalization"/>
      <sheetName val="Comparison"/>
      <sheetName val="3Q11 REIS Report"/>
      <sheetName val="Exhibits"/>
      <sheetName val="Develop. Integrated Lifecycle"/>
      <sheetName val="Integrated Checklist"/>
      <sheetName val="Conceptual Design Review"/>
      <sheetName val="Detailed Costs"/>
      <sheetName val="Deposit Dollars"/>
      <sheetName val="Pursuit Costs"/>
      <sheetName val="Tools"/>
      <sheetName val="Generic Cover"/>
      <sheetName val="Notes"/>
      <sheetName val="Protocol &amp; Policy"/>
      <sheetName val="Suggestions"/>
      <sheetName val="Calc Table"/>
      <sheetName val="Project Cost Summary"/>
      <sheetName val="Lease Up"/>
      <sheetName val="Lists"/>
      <sheetName val="Origin"/>
      <sheetName val="Construction Costs"/>
      <sheetName val="Expense Detail"/>
      <sheetName val="Data"/>
      <sheetName val="Operating Expense &amp; Income"/>
      <sheetName val="Property taxes-NOI- Prop 13"/>
      <sheetName val="Rental pro-forma-97 UNITS"/>
      <sheetName val="Schedule-Budgets-2538"/>
      <sheetName val="Monthly Draw 2538"/>
      <sheetName val="Trended CF-Simple"/>
      <sheetName val="Rent Roll table for Equity Book"/>
      <sheetName val="Cost Allocation to commercial"/>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INPUT"/>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eneral"/>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operty taxes-NOI-Prop 13 2538"/>
      <sheetName val="585 22nd NOI reduction-Prop 13"/>
      <sheetName val="471 Fees and allowances"/>
      <sheetName val="Unit mix revised 2538 08-04-16"/>
      <sheetName val="Unit mix revised 585 01-24-17"/>
      <sheetName val="570 Fees and Allowances"/>
      <sheetName val="Operating Expense &amp; Income 2538"/>
      <sheetName val="Rental pro-forma-97 UNITS-2538"/>
      <sheetName val="OVERALL DRAW 2538"/>
      <sheetName val="Equity Investor Sheet 2538"/>
      <sheetName val="26th - PM Budget"/>
      <sheetName val="2538 ALL EXPENSES"/>
      <sheetName val="2538 CONTRACTS"/>
      <sheetName val="Monthly Draw 585&amp;2538"/>
      <sheetName val="Operating Expense &amp; Income-585"/>
      <sheetName val="Rental pro-forma 585"/>
      <sheetName val="OVERALL DRAW 585"/>
      <sheetName val="Equity Investor Sheet 585"/>
      <sheetName val="21st - PM Budget"/>
      <sheetName val="585 ALL EXPENSES"/>
      <sheetName val="585 CONTRACTS"/>
      <sheetName val="UBS Waterfall"/>
      <sheetName val="Return Summary"/>
      <sheetName val="Trended CF-Simple 2538"/>
      <sheetName val="Trended CF-Simple585"/>
      <sheetName val="2538 BID LOG 5-16-17"/>
      <sheetName val="2538 BID LOG 6-6-17"/>
      <sheetName val="COSTS BOTH"/>
      <sheetName val="CONSOLIDATED"/>
      <sheetName val="DESIGN DRAW 585"/>
      <sheetName val="DESIGN DRAW 2538"/>
      <sheetName val="10y Libor"/>
      <sheetName val="60 units-OLD"/>
      <sheetName val="Frontsheet"/>
      <sheetName val="Bid Form"/>
      <sheetName val="1"/>
      <sheetName val="2"/>
      <sheetName val="3"/>
      <sheetName val="4"/>
      <sheetName val="5"/>
      <sheetName val="6"/>
      <sheetName val="8"/>
      <sheetName val="7"/>
      <sheetName val="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 val="29"/>
      <sheetName val="30"/>
      <sheetName val="31"/>
      <sheetName val="32"/>
      <sheetName val="33"/>
      <sheetName val="34"/>
      <sheetName val="35"/>
      <sheetName val="36"/>
      <sheetName val="37"/>
      <sheetName val="38"/>
      <sheetName val="39"/>
      <sheetName val="40"/>
      <sheetName val="41"/>
      <sheetName val="42"/>
      <sheetName val="43"/>
      <sheetName val="44"/>
      <sheetName val="45"/>
      <sheetName val="46"/>
      <sheetName val="47"/>
      <sheetName val="48"/>
      <sheetName val="49"/>
      <sheetName val="50"/>
      <sheetName val="51"/>
      <sheetName val="52"/>
      <sheetName val="53"/>
      <sheetName val="54"/>
      <sheetName val="55"/>
      <sheetName val="56"/>
      <sheetName val="57"/>
      <sheetName val="58"/>
      <sheetName val="59"/>
      <sheetName val="60"/>
      <sheetName val="61"/>
      <sheetName val="62"/>
      <sheetName val="63"/>
      <sheetName val="64"/>
      <sheetName val="65"/>
      <sheetName val="66"/>
      <sheetName val="67"/>
      <sheetName val="68"/>
      <sheetName val="69"/>
      <sheetName val="70"/>
      <sheetName val="71"/>
      <sheetName val="72"/>
      <sheetName val="73"/>
      <sheetName val="74"/>
      <sheetName val="75"/>
      <sheetName val="76"/>
      <sheetName val="77"/>
      <sheetName val="78"/>
      <sheetName val="79"/>
      <sheetName val="80"/>
      <sheetName val="81"/>
      <sheetName val="82"/>
      <sheetName val="83"/>
      <sheetName val="84"/>
      <sheetName val="85"/>
      <sheetName val="86"/>
      <sheetName val="87"/>
      <sheetName val="88"/>
      <sheetName val="89"/>
      <sheetName val="90"/>
      <sheetName val="91"/>
      <sheetName val="92"/>
      <sheetName val="93"/>
      <sheetName val="94"/>
      <sheetName val="95"/>
      <sheetName val="96"/>
      <sheetName val="97"/>
      <sheetName val="98"/>
      <sheetName val="99"/>
      <sheetName val="Trade Breakdown"/>
      <sheetName val="Notes"/>
      <sheetName val="Macr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emplate"/>
      <sheetName val="Report"/>
      <sheetName val="Message"/>
      <sheetName val="Operating Expense &amp; Income"/>
      <sheetName val="Property taxes-NOI- Prop 13"/>
      <sheetName val="Rental pro-forma-97 UNITS"/>
      <sheetName val="OVERALL DRAW 2538"/>
      <sheetName val="Schedule-Budgets-2538"/>
      <sheetName val="Equity Investor Sheet 2538"/>
      <sheetName val="Monthly Draw 2538"/>
      <sheetName val="Trended CF-Simple"/>
      <sheetName val="Rent Roll table for Equity Book"/>
      <sheetName val="Cost Allocation to commercial"/>
      <sheetName val="DESIGN DRAW 2538"/>
      <sheetName val="2538 CONTRACTS"/>
      <sheetName val="60 units-OLD"/>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Updates"/>
      <sheetName val="Lanes Analysis"/>
      <sheetName val="Pursuit Schedule"/>
      <sheetName val="Investment Committee Cover"/>
      <sheetName val="Executive Summary"/>
      <sheetName val="Development Images"/>
      <sheetName val="Lanes Summary"/>
      <sheetName val="1 - Location"/>
      <sheetName val="2 - Supply &amp; Demand"/>
      <sheetName val="3 - Basis"/>
      <sheetName val="4 - Rents"/>
      <sheetName val="5 - Rent Growth"/>
      <sheetName val="6 - Development"/>
      <sheetName val="7 - Construction"/>
      <sheetName val="8 - Transaction Timing"/>
      <sheetName val="10 - Returns"/>
      <sheetName val="9 - Assumptions Tracker"/>
      <sheetName val="Sales Comps"/>
      <sheetName val="Rent Comps"/>
      <sheetName val="Equity Page"/>
      <sheetName val="Mgmt Sign Off"/>
      <sheetName val="Input"/>
      <sheetName val="Trended Cash Flow"/>
      <sheetName val="Coinvest Analysis"/>
      <sheetName val="Sale Value Analysis"/>
      <sheetName val="Pursuit Cost IRR"/>
      <sheetName val="Sheet1"/>
      <sheetName val="Detailed Budget"/>
      <sheetName val="Development Budget"/>
      <sheetName val="Muni Fees"/>
      <sheetName val="Elan San Fran"/>
      <sheetName val="Yardi"/>
      <sheetName val="REIS"/>
      <sheetName val="Project Budget"/>
      <sheetName val="Sensitivity Analysis"/>
      <sheetName val="IRR Bridge"/>
      <sheetName val="Calc Table"/>
      <sheetName val="Unit Matrix"/>
      <sheetName val="Concord Mix"/>
      <sheetName val="Pursuit_Expenses by cost code"/>
      <sheetName val="Tracker"/>
      <sheetName val="Construction"/>
      <sheetName val="Budget"/>
      <sheetName val="Unit Mix"/>
      <sheetName val="Inclusionary Housing"/>
      <sheetName val="Untrended Cash Flow"/>
      <sheetName val="Project Cost Summary"/>
      <sheetName val="Capitalization"/>
      <sheetName val="Lease Up"/>
      <sheetName val="Lists"/>
      <sheetName val="Dat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sheetData sheetId="22"/>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sheetData sheetId="40" refreshError="1"/>
      <sheetData sheetId="41" refreshError="1"/>
      <sheetData sheetId="42" refreshError="1"/>
      <sheetData sheetId="43" refreshError="1"/>
      <sheetData sheetId="44" refreshError="1"/>
      <sheetData sheetId="45"/>
      <sheetData sheetId="46" refreshError="1"/>
      <sheetData sheetId="47" refreshError="1"/>
      <sheetData sheetId="48" refreshError="1"/>
      <sheetData sheetId="49"/>
      <sheetData sheetId="5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ustomize Your Invoice"/>
      <sheetName val="AutoOpen Stub Data"/>
      <sheetName val="Invoice"/>
      <sheetName val="Macros"/>
      <sheetName val="ATW"/>
      <sheetName val="Lock"/>
      <sheetName val="Intl Data Table"/>
      <sheetName val="TemplateInformation"/>
      <sheetName val="GCP Invoice-JMIGR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eal Input"/>
      <sheetName val="Annual CF Input"/>
      <sheetName val="Monthly CF Input"/>
      <sheetName val="Pools"/>
      <sheetName val="RE Valuation"/>
      <sheetName val="JV Financials"/>
      <sheetName val="GE Economics"/>
      <sheetName val="Metrics"/>
      <sheetName val="Sensitivities"/>
      <sheetName val="Deal Assumptions"/>
      <sheetName val="Property Assumptions"/>
      <sheetName val="Debt Worksheet"/>
      <sheetName val="Equity Worksheet"/>
      <sheetName val="FAS 141"/>
      <sheetName val="Overhead"/>
      <sheetName val="Data Tape"/>
      <sheetName val="Criteria"/>
      <sheetName val="UW vs Actual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498641627242"/>
      <sheetName val="Template"/>
      <sheetName val="Sheet3"/>
    </sheetNames>
    <sheetDataSet>
      <sheetData sheetId="0" refreshError="1"/>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pageSetUpPr fitToPage="1"/>
  </sheetPr>
  <dimension ref="B1:X42"/>
  <sheetViews>
    <sheetView showGridLines="0" topLeftCell="C1" zoomScale="90" zoomScaleNormal="70" zoomScaleSheetLayoutView="90" workbookViewId="0">
      <selection activeCell="F12" sqref="F12"/>
    </sheetView>
  </sheetViews>
  <sheetFormatPr defaultColWidth="8.77734375" defaultRowHeight="23.25" customHeight="1"/>
  <cols>
    <col min="1" max="1" width="4.77734375" style="62" customWidth="1"/>
    <col min="2" max="2" width="42.33203125" style="62" customWidth="1"/>
    <col min="3" max="3" width="50.33203125" style="62" bestFit="1" customWidth="1"/>
    <col min="4" max="4" width="20.77734375" style="62" customWidth="1"/>
    <col min="5" max="5" width="24.33203125" style="62" bestFit="1" customWidth="1"/>
    <col min="6" max="6" width="25.44140625" style="62" customWidth="1"/>
    <col min="7" max="8" width="23.6640625" style="62" customWidth="1"/>
    <col min="9" max="9" width="22.109375" style="62" customWidth="1"/>
    <col min="10" max="10" width="20.77734375" style="62" customWidth="1"/>
    <col min="11" max="11" width="22.33203125" style="62" customWidth="1"/>
    <col min="12" max="12" width="23.109375" style="62" customWidth="1"/>
    <col min="13" max="13" width="21.77734375" style="62" customWidth="1"/>
    <col min="14" max="14" width="17" style="62" customWidth="1"/>
    <col min="15" max="15" width="28.33203125" style="62" customWidth="1"/>
    <col min="16" max="16" width="29.33203125" style="62" customWidth="1"/>
    <col min="17" max="17" width="37" style="62" customWidth="1"/>
    <col min="18" max="18" width="14.77734375" style="62" customWidth="1"/>
    <col min="19" max="20" width="20.44140625" style="62" bestFit="1" customWidth="1"/>
    <col min="21" max="21" width="17" style="62" bestFit="1" customWidth="1"/>
    <col min="22" max="22" width="17" style="62" customWidth="1"/>
    <col min="23" max="23" width="22.109375" style="62" customWidth="1"/>
    <col min="24" max="16384" width="8.77734375" style="62"/>
  </cols>
  <sheetData>
    <row r="1" spans="2:24" ht="23.25" customHeight="1" thickBot="1"/>
    <row r="2" spans="2:24" ht="23.25" customHeight="1">
      <c r="B2" s="961" t="s">
        <v>35</v>
      </c>
      <c r="C2" s="962"/>
      <c r="D2" s="962"/>
      <c r="E2" s="962"/>
      <c r="F2" s="962"/>
      <c r="G2" s="962"/>
      <c r="H2" s="962"/>
      <c r="I2" s="962"/>
      <c r="J2" s="962"/>
      <c r="K2" s="962"/>
      <c r="L2" s="962"/>
      <c r="M2" s="962"/>
      <c r="N2" s="962"/>
      <c r="O2" s="962"/>
      <c r="P2" s="962"/>
      <c r="Q2" s="963"/>
      <c r="R2" s="92"/>
      <c r="S2" s="92"/>
      <c r="T2" s="92"/>
      <c r="U2" s="92"/>
    </row>
    <row r="3" spans="2:24" ht="23.25" customHeight="1" thickBot="1">
      <c r="B3" s="964"/>
      <c r="C3" s="965"/>
      <c r="D3" s="965"/>
      <c r="E3" s="965"/>
      <c r="F3" s="965"/>
      <c r="G3" s="965"/>
      <c r="H3" s="965"/>
      <c r="I3" s="965"/>
      <c r="J3" s="965"/>
      <c r="K3" s="965"/>
      <c r="L3" s="965"/>
      <c r="M3" s="965"/>
      <c r="N3" s="965"/>
      <c r="O3" s="965"/>
      <c r="P3" s="965"/>
      <c r="Q3" s="966"/>
      <c r="R3" s="92"/>
      <c r="X3" s="63"/>
    </row>
    <row r="4" spans="2:24" ht="61.5" customHeight="1">
      <c r="B4" s="49" t="s">
        <v>36</v>
      </c>
      <c r="C4" s="50" t="s">
        <v>37</v>
      </c>
      <c r="D4" s="50" t="s">
        <v>131</v>
      </c>
      <c r="E4" s="50" t="s">
        <v>306</v>
      </c>
      <c r="F4" s="51" t="s">
        <v>38</v>
      </c>
      <c r="G4" s="52" t="s">
        <v>416</v>
      </c>
      <c r="H4" s="53" t="s">
        <v>132</v>
      </c>
      <c r="I4" s="50" t="s">
        <v>417</v>
      </c>
      <c r="J4" s="51" t="s">
        <v>133</v>
      </c>
      <c r="K4" s="50" t="s">
        <v>39</v>
      </c>
      <c r="L4" s="50" t="s">
        <v>134</v>
      </c>
      <c r="M4" s="52" t="s">
        <v>135</v>
      </c>
      <c r="N4" s="53" t="s">
        <v>40</v>
      </c>
      <c r="O4" s="50" t="s">
        <v>508</v>
      </c>
      <c r="P4" s="50" t="s">
        <v>136</v>
      </c>
      <c r="Q4" s="54" t="s">
        <v>41</v>
      </c>
    </row>
    <row r="5" spans="2:24" s="64" customFormat="1" ht="22.95" customHeight="1">
      <c r="B5" s="153" t="s">
        <v>430</v>
      </c>
      <c r="C5" s="55" t="s">
        <v>128</v>
      </c>
      <c r="D5" s="152">
        <v>607123</v>
      </c>
      <c r="E5" s="152" t="s">
        <v>307</v>
      </c>
      <c r="F5" s="151" t="s">
        <v>424</v>
      </c>
      <c r="G5" s="419">
        <f>'Site 1 - Financial'!D8+'Site 1 - Financial'!D15</f>
        <v>215250</v>
      </c>
      <c r="H5" s="419">
        <f>'Site 1 - Financial'!D19</f>
        <v>184565</v>
      </c>
      <c r="I5" s="580">
        <f>'Site 1 - Financial'!B30</f>
        <v>12</v>
      </c>
      <c r="J5" s="352">
        <f>'Site 1 - Financial'!F35</f>
        <v>402640403.12739003</v>
      </c>
      <c r="K5" s="352">
        <f>'Site 1 - Financial'!I27</f>
        <v>240868139.19582939</v>
      </c>
      <c r="L5" s="353">
        <f>'Site 1 - Financial'!E24</f>
        <v>96347255.678331763</v>
      </c>
      <c r="M5" s="353">
        <f>'Site 1 - Financial'!E23</f>
        <v>144520883.51749763</v>
      </c>
      <c r="N5" s="354">
        <f>'Site 1 - Financial'!E25</f>
        <v>0</v>
      </c>
      <c r="O5" s="355">
        <f>J5/(K5-N5)-1</f>
        <v>0.67162167844887688</v>
      </c>
      <c r="P5" s="358">
        <f>'Site 1 - Draw'!C59</f>
        <v>0.27294837085437251</v>
      </c>
      <c r="Q5" s="359">
        <f>'Site 1 - Draw'!C65</f>
        <v>0.69169644968421573</v>
      </c>
    </row>
    <row r="6" spans="2:24" s="64" customFormat="1" ht="22.95" customHeight="1">
      <c r="B6" s="395" t="s">
        <v>431</v>
      </c>
      <c r="C6" s="56" t="s">
        <v>422</v>
      </c>
      <c r="D6" s="396">
        <v>397411</v>
      </c>
      <c r="E6" s="396" t="s">
        <v>401</v>
      </c>
      <c r="F6" s="397" t="s">
        <v>424</v>
      </c>
      <c r="G6" s="419">
        <f>'Site 2 - Financial'!D8</f>
        <v>166000</v>
      </c>
      <c r="H6" s="419">
        <f>'Site 2 - Financial'!D13</f>
        <v>373337</v>
      </c>
      <c r="I6" s="581">
        <f>'Site 2 - Financial'!B24</f>
        <v>27</v>
      </c>
      <c r="J6" s="437">
        <f>'Site 2 - Financial'!I29</f>
        <v>444043558.88026083</v>
      </c>
      <c r="K6" s="437">
        <f>'Site 2 - Financial'!I27</f>
        <v>346425098.54283142</v>
      </c>
      <c r="L6" s="424">
        <f>'Site 2 - Financial'!E18</f>
        <v>136628839.41713259</v>
      </c>
      <c r="M6" s="438">
        <f>'Site 2 - Financial'!E17</f>
        <v>204943259.12569883</v>
      </c>
      <c r="N6" s="438">
        <f>'Site 2 - Financial'!E19</f>
        <v>4853000</v>
      </c>
      <c r="O6" s="426">
        <f t="shared" ref="O6:O11" si="0">J6/(K6-N6)-1</f>
        <v>0.29999950456896007</v>
      </c>
      <c r="P6" s="435">
        <f>'Site 2 - Draw'!C58</f>
        <v>0.12060940125363007</v>
      </c>
      <c r="Q6" s="436">
        <f>'Site 2 - Draw'!C64</f>
        <v>0.13940828210977041</v>
      </c>
    </row>
    <row r="7" spans="2:24" s="64" customFormat="1" ht="22.95" customHeight="1">
      <c r="B7" s="439" t="s">
        <v>425</v>
      </c>
      <c r="C7" s="381" t="s">
        <v>426</v>
      </c>
      <c r="D7" s="440">
        <v>350141</v>
      </c>
      <c r="E7" s="440" t="s">
        <v>307</v>
      </c>
      <c r="F7" s="441" t="s">
        <v>424</v>
      </c>
      <c r="G7" s="420">
        <f>'Site 3 - Financial'!D8+'Site 3 - Financial'!D15</f>
        <v>175700</v>
      </c>
      <c r="H7" s="420">
        <f>'Site 3 - Financial'!D20</f>
        <v>97131</v>
      </c>
      <c r="I7" s="581">
        <f>'Site 3 - Financial'!B31</f>
        <v>13</v>
      </c>
      <c r="J7" s="442">
        <f>'Site 3 - Financial'!I28</f>
        <v>242699238.69515097</v>
      </c>
      <c r="K7" s="443">
        <f>'Site 3 - Financial'!I27</f>
        <v>146003992.76267236</v>
      </c>
      <c r="L7" s="442">
        <f>'Site 3 - Financial'!E25</f>
        <v>58401597.105068952</v>
      </c>
      <c r="M7" s="442">
        <f>'Site 3 - Financial'!E24</f>
        <v>87602395.657603413</v>
      </c>
      <c r="N7" s="442">
        <f>'Site 3 - Financial'!E26</f>
        <v>0</v>
      </c>
      <c r="O7" s="444">
        <f t="shared" si="0"/>
        <v>0.66227809324129572</v>
      </c>
      <c r="P7" s="445">
        <f>'Site 3 - Draw'!C66</f>
        <v>0.30976289996776463</v>
      </c>
      <c r="Q7" s="446">
        <f>'Site 3 - Draw'!C72</f>
        <v>0.46933320843686932</v>
      </c>
    </row>
    <row r="8" spans="2:24" s="64" customFormat="1" ht="22.95" customHeight="1">
      <c r="B8" s="418" t="s">
        <v>432</v>
      </c>
      <c r="C8" s="423" t="s">
        <v>410</v>
      </c>
      <c r="D8" s="393">
        <v>221651</v>
      </c>
      <c r="E8" s="393" t="s">
        <v>307</v>
      </c>
      <c r="F8" s="394" t="s">
        <v>423</v>
      </c>
      <c r="G8" s="419">
        <f>'Site 4 - Financial'!D8</f>
        <v>0</v>
      </c>
      <c r="H8" s="419">
        <f>'Site 4 - Financial'!D13</f>
        <v>152646</v>
      </c>
      <c r="I8" s="579">
        <f>'Site 4 - Financial'!B24</f>
        <v>9</v>
      </c>
      <c r="J8" s="424">
        <f>'Site 4 - Financial'!I28</f>
        <v>127670472.33730945</v>
      </c>
      <c r="K8" s="424">
        <f>'Site 4 - Financial'!I27</f>
        <v>97350192.138122782</v>
      </c>
      <c r="L8" s="424">
        <f>'Site 4 - Financial'!E18</f>
        <v>38940076.855249114</v>
      </c>
      <c r="M8" s="424">
        <f>'Site 4 - Financial'!E17</f>
        <v>58410115.282873668</v>
      </c>
      <c r="N8" s="425">
        <f>'Site 4 - Financial'!E19</f>
        <v>0</v>
      </c>
      <c r="O8" s="426">
        <f t="shared" si="0"/>
        <v>0.31145578178384614</v>
      </c>
      <c r="P8" s="435">
        <f>'Site 4 - Draw'!C57</f>
        <v>0.18680126839979883</v>
      </c>
      <c r="Q8" s="436">
        <f>'Site 4 - Draw'!C63</f>
        <v>0.30459740130696145</v>
      </c>
    </row>
    <row r="9" spans="2:24" s="64" customFormat="1" ht="22.95" customHeight="1">
      <c r="B9" s="418" t="s">
        <v>434</v>
      </c>
      <c r="C9" s="423" t="s">
        <v>433</v>
      </c>
      <c r="D9" s="393">
        <v>274942</v>
      </c>
      <c r="E9" s="393" t="s">
        <v>436</v>
      </c>
      <c r="F9" s="394" t="s">
        <v>435</v>
      </c>
      <c r="G9" s="419">
        <f>'Site 5 - Financial'!D8</f>
        <v>204000</v>
      </c>
      <c r="H9" s="419">
        <f>'Site 5 - Financial'!D13</f>
        <v>95410</v>
      </c>
      <c r="I9" s="579">
        <f>'Site 5 - Financial'!B24</f>
        <v>22</v>
      </c>
      <c r="J9" s="424">
        <f>'Site 5 - Financial'!I29</f>
        <v>243096706.2993975</v>
      </c>
      <c r="K9" s="424">
        <f>'Site 5 - Financial'!I27</f>
        <v>220089457.08845338</v>
      </c>
      <c r="L9" s="424">
        <f>'Site 5 - Financial'!E18</f>
        <v>74798982.835381359</v>
      </c>
      <c r="M9" s="424">
        <f>'Site 5 - Financial'!E17</f>
        <v>112198474.25307202</v>
      </c>
      <c r="N9" s="425">
        <f>'Site 5 - Financial'!E19</f>
        <v>33092000</v>
      </c>
      <c r="O9" s="476">
        <f t="shared" si="0"/>
        <v>0.30000006462338202</v>
      </c>
      <c r="P9" s="435">
        <f>'Site 5 - Draw'!C58</f>
        <v>0.1597091972776834</v>
      </c>
      <c r="Q9" s="436">
        <f>'Site 5 - Draw'!C64</f>
        <v>0.2137434821958899</v>
      </c>
    </row>
    <row r="10" spans="2:24" s="64" customFormat="1" ht="22.95" customHeight="1">
      <c r="B10" s="432" t="s">
        <v>446</v>
      </c>
      <c r="C10" s="513" t="s">
        <v>585</v>
      </c>
      <c r="D10" s="449">
        <v>20422</v>
      </c>
      <c r="E10" s="449" t="s">
        <v>401</v>
      </c>
      <c r="F10" s="450" t="s">
        <v>435</v>
      </c>
      <c r="G10" s="422">
        <f>'Site 6 - Financial'!D8</f>
        <v>77000</v>
      </c>
      <c r="H10" s="422">
        <f>'Site 6 - Financial'!D13</f>
        <v>14577</v>
      </c>
      <c r="I10" s="579">
        <f>'Site 6 - Financial'!B24</f>
        <v>8</v>
      </c>
      <c r="J10" s="433">
        <f>'Site 6 - Financial'!I29</f>
        <v>65208028.121702403</v>
      </c>
      <c r="K10" s="451">
        <f>'Site 6 - Financial'!I27</f>
        <v>53396970.074003562</v>
      </c>
      <c r="L10" s="433">
        <f>'Site 6 - Financial'!E18</f>
        <v>20063988.029601425</v>
      </c>
      <c r="M10" s="433">
        <f>'Site 6 - Financial'!E17</f>
        <v>30095982.044402137</v>
      </c>
      <c r="N10" s="433">
        <f>'Site 6 - Financial'!E19</f>
        <v>3237000</v>
      </c>
      <c r="O10" s="476">
        <f t="shared" si="0"/>
        <v>0.30000133623480374</v>
      </c>
      <c r="P10" s="434">
        <f>'Site 6 - Draw'!C58</f>
        <v>0.12536851933948623</v>
      </c>
      <c r="Q10" s="514">
        <f>'Site 6 - Draw'!C64</f>
        <v>0.14388825187933385</v>
      </c>
    </row>
    <row r="11" spans="2:24" s="64" customFormat="1" ht="22.95" customHeight="1">
      <c r="B11" s="432" t="s">
        <v>541</v>
      </c>
      <c r="C11" s="513" t="s">
        <v>542</v>
      </c>
      <c r="D11" s="449">
        <v>121389</v>
      </c>
      <c r="E11" s="449" t="s">
        <v>307</v>
      </c>
      <c r="F11" s="450" t="s">
        <v>435</v>
      </c>
      <c r="G11" s="422">
        <f>'Site 7 - Financial'!D8</f>
        <v>68250</v>
      </c>
      <c r="H11" s="422">
        <f>'Site 7 - Financial'!D13</f>
        <v>27037</v>
      </c>
      <c r="I11" s="579">
        <f>'Site 7 - Financial'!B24</f>
        <v>7</v>
      </c>
      <c r="J11" s="433">
        <f>'Site 7 - Financial'!I29</f>
        <v>63700117.793943793</v>
      </c>
      <c r="K11" s="451">
        <f>'Site 7 - Financial'!I27</f>
        <v>59784384.71041204</v>
      </c>
      <c r="L11" s="433">
        <f>'Site 7 - Financial'!E18</f>
        <v>19648153.884164818</v>
      </c>
      <c r="M11" s="433">
        <f>'Site 7 - Financial'!E17</f>
        <v>29472230.826247223</v>
      </c>
      <c r="N11" s="433">
        <f>'Site 7 - Financial'!E19</f>
        <v>10664000</v>
      </c>
      <c r="O11" s="476">
        <f t="shared" si="0"/>
        <v>0.29681634558617964</v>
      </c>
      <c r="P11" s="434">
        <f>'Site 7 - Draw'!C58</f>
        <v>0.27131034569024082</v>
      </c>
      <c r="Q11" s="514">
        <f>'Site 7 - Draw'!C64</f>
        <v>0.41552359222812729</v>
      </c>
    </row>
    <row r="12" spans="2:24" ht="30.75" customHeight="1" thickBot="1">
      <c r="B12" s="57" t="s">
        <v>42</v>
      </c>
      <c r="C12" s="58"/>
      <c r="D12" s="59">
        <f>SUM(D5:D11)</f>
        <v>1993079</v>
      </c>
      <c r="E12" s="59"/>
      <c r="F12" s="60"/>
      <c r="G12" s="421">
        <f>SUM(G5:G11)</f>
        <v>906200</v>
      </c>
      <c r="H12" s="421">
        <f>SUM(H5:H11)</f>
        <v>944703</v>
      </c>
      <c r="I12" s="60"/>
      <c r="J12" s="61">
        <f>SUM(J5:J11)</f>
        <v>1589058525.2551548</v>
      </c>
      <c r="K12" s="61">
        <f>SUM(K5:K11)</f>
        <v>1163918234.512325</v>
      </c>
      <c r="L12" s="61">
        <f>SUM(L5:L11)</f>
        <v>444828893.80492997</v>
      </c>
      <c r="M12" s="61">
        <f>SUM(M5:M11)</f>
        <v>667243340.70739484</v>
      </c>
      <c r="N12" s="939">
        <f>SUM(N5:N11)</f>
        <v>51846000</v>
      </c>
      <c r="O12" s="472">
        <f>J12/(K12-N12)-1</f>
        <v>0.42891664402717655</v>
      </c>
      <c r="P12" s="639">
        <f>'All Components Draw'!C12</f>
        <v>0.21399341717929743</v>
      </c>
      <c r="Q12" s="640">
        <f>'All Components Draw'!C21</f>
        <v>0.45134315014296522</v>
      </c>
    </row>
    <row r="13" spans="2:24" ht="23.25" customHeight="1" thickBot="1">
      <c r="B13" s="967" t="s">
        <v>43</v>
      </c>
      <c r="C13" s="968"/>
      <c r="D13" s="968"/>
      <c r="E13" s="968"/>
      <c r="F13" s="968"/>
      <c r="G13" s="968"/>
      <c r="H13" s="968"/>
      <c r="I13" s="968"/>
      <c r="J13" s="968"/>
      <c r="K13" s="968"/>
      <c r="L13" s="968"/>
      <c r="M13" s="968"/>
      <c r="N13" s="968"/>
      <c r="O13" s="968"/>
      <c r="P13" s="968"/>
      <c r="Q13" s="969"/>
    </row>
    <row r="14" spans="2:24" ht="34.799999999999997" customHeight="1">
      <c r="B14" s="412" t="s">
        <v>44</v>
      </c>
      <c r="C14" s="141" t="s">
        <v>444</v>
      </c>
      <c r="D14" s="482" t="s">
        <v>534</v>
      </c>
      <c r="E14" s="141" t="s">
        <v>447</v>
      </c>
      <c r="F14" s="413" t="s">
        <v>45</v>
      </c>
      <c r="G14" s="985" t="str">
        <f>B5</f>
        <v>King's Court</v>
      </c>
      <c r="H14" s="986"/>
      <c r="I14" s="959" t="str">
        <f>B6</f>
        <v>Hawk's Nest</v>
      </c>
      <c r="J14" s="960"/>
      <c r="K14" s="950" t="str">
        <f>B7</f>
        <v>Chinook</v>
      </c>
      <c r="L14" s="951"/>
      <c r="M14" s="950" t="str">
        <f>B8</f>
        <v>County Center</v>
      </c>
      <c r="N14" s="951"/>
      <c r="O14" s="475" t="str">
        <f>B9</f>
        <v>Goat Hill</v>
      </c>
      <c r="P14" s="518" t="str">
        <f>B10</f>
        <v>The Argyle</v>
      </c>
      <c r="Q14" s="461" t="str">
        <f>B11</f>
        <v>The Yesler</v>
      </c>
    </row>
    <row r="15" spans="2:24" ht="15" customHeight="1">
      <c r="B15" s="453" t="s">
        <v>536</v>
      </c>
      <c r="C15" s="457">
        <f>14325.88/43560</f>
        <v>0.32887695133149675</v>
      </c>
      <c r="D15" s="483">
        <f>C15*'Site 1 - Financial'!$H$10*0.25</f>
        <v>3699865.7024793383</v>
      </c>
      <c r="E15" s="486">
        <v>2500000</v>
      </c>
      <c r="F15" s="489">
        <f>E15+D15</f>
        <v>6199865.7024793383</v>
      </c>
      <c r="G15" s="958">
        <f>F15*(3/7)</f>
        <v>2657085.3010625732</v>
      </c>
      <c r="H15" s="956"/>
      <c r="I15" s="956">
        <f>$F15*(1/35)</f>
        <v>177139.02007083822</v>
      </c>
      <c r="J15" s="956"/>
      <c r="K15" s="956">
        <f>$F15*(3/7)</f>
        <v>2657085.3010625732</v>
      </c>
      <c r="L15" s="956"/>
      <c r="M15" s="956">
        <f>$F15*(1/35)</f>
        <v>177139.02007083822</v>
      </c>
      <c r="N15" s="956"/>
      <c r="O15" s="489">
        <f t="shared" ref="O15:O21" si="1">$F15*(1/35)</f>
        <v>177139.02007083822</v>
      </c>
      <c r="P15" s="492">
        <f>F15*(1/35)</f>
        <v>177139.02007083822</v>
      </c>
      <c r="Q15" s="495">
        <f>$F15*(1/35)</f>
        <v>177139.02007083822</v>
      </c>
    </row>
    <row r="16" spans="2:24" ht="15" customHeight="1">
      <c r="B16" s="454" t="s">
        <v>443</v>
      </c>
      <c r="C16" s="458">
        <f>14366.79/43560</f>
        <v>0.32981611570247937</v>
      </c>
      <c r="D16" s="484">
        <f>C16*'Site 1 - Financial'!$H$10*0.25</f>
        <v>3710431.301652893</v>
      </c>
      <c r="E16" s="487">
        <v>2500000</v>
      </c>
      <c r="F16" s="490">
        <f t="shared" ref="F16:F21" si="2">E16+D16</f>
        <v>6210431.3016528934</v>
      </c>
      <c r="G16" s="957">
        <f t="shared" ref="G16:G21" si="3">F16*(3/7)</f>
        <v>2661613.4149940968</v>
      </c>
      <c r="H16" s="954"/>
      <c r="I16" s="954">
        <f t="shared" ref="I16:I21" si="4">$F16*(1/35)</f>
        <v>177440.89433293982</v>
      </c>
      <c r="J16" s="954"/>
      <c r="K16" s="954">
        <f t="shared" ref="K16:K21" si="5">$F16*(3/7)</f>
        <v>2661613.4149940968</v>
      </c>
      <c r="L16" s="954"/>
      <c r="M16" s="954">
        <f t="shared" ref="M16:M21" si="6">$F16*(1/35)</f>
        <v>177440.89433293982</v>
      </c>
      <c r="N16" s="954"/>
      <c r="O16" s="490">
        <f t="shared" si="1"/>
        <v>177440.89433293982</v>
      </c>
      <c r="P16" s="493">
        <f t="shared" ref="P16:P21" si="7">F16*(1/35)</f>
        <v>177440.89433293982</v>
      </c>
      <c r="Q16" s="496">
        <f t="shared" ref="Q16:Q21" si="8">$F16*(1/35)</f>
        <v>177440.89433293982</v>
      </c>
    </row>
    <row r="17" spans="2:17" ht="15" customHeight="1">
      <c r="B17" s="454" t="s">
        <v>442</v>
      </c>
      <c r="C17" s="458">
        <f>5950/43560</f>
        <v>0.13659320477502296</v>
      </c>
      <c r="D17" s="484">
        <f>C17*'Site 1 - Financial'!$H$10*0.25</f>
        <v>1536673.5537190083</v>
      </c>
      <c r="E17" s="487">
        <v>2500000</v>
      </c>
      <c r="F17" s="490">
        <f t="shared" si="2"/>
        <v>4036673.5537190083</v>
      </c>
      <c r="G17" s="957">
        <f t="shared" si="3"/>
        <v>1730002.9515938605</v>
      </c>
      <c r="H17" s="954"/>
      <c r="I17" s="954">
        <f t="shared" si="4"/>
        <v>115333.53010625737</v>
      </c>
      <c r="J17" s="954"/>
      <c r="K17" s="954">
        <f t="shared" si="5"/>
        <v>1730002.9515938605</v>
      </c>
      <c r="L17" s="954"/>
      <c r="M17" s="954">
        <f t="shared" si="6"/>
        <v>115333.53010625737</v>
      </c>
      <c r="N17" s="954"/>
      <c r="O17" s="490">
        <f t="shared" si="1"/>
        <v>115333.53010625737</v>
      </c>
      <c r="P17" s="493">
        <f t="shared" si="7"/>
        <v>115333.53010625737</v>
      </c>
      <c r="Q17" s="496">
        <f t="shared" si="8"/>
        <v>115333.53010625737</v>
      </c>
    </row>
    <row r="18" spans="2:17" ht="15" customHeight="1">
      <c r="B18" s="454" t="s">
        <v>441</v>
      </c>
      <c r="C18" s="458">
        <f>26066.42/43560</f>
        <v>0.59840266299357203</v>
      </c>
      <c r="D18" s="484">
        <f>C18*'Site 1 - Financial'!$H$10*0.25</f>
        <v>6732029.9586776858</v>
      </c>
      <c r="E18" s="487">
        <v>2500000</v>
      </c>
      <c r="F18" s="490">
        <f t="shared" si="2"/>
        <v>9232029.9586776868</v>
      </c>
      <c r="G18" s="957">
        <f t="shared" si="3"/>
        <v>3956584.2680047229</v>
      </c>
      <c r="H18" s="954"/>
      <c r="I18" s="954">
        <f t="shared" si="4"/>
        <v>263772.28453364817</v>
      </c>
      <c r="J18" s="954"/>
      <c r="K18" s="954">
        <f t="shared" si="5"/>
        <v>3956584.2680047229</v>
      </c>
      <c r="L18" s="954"/>
      <c r="M18" s="954">
        <f t="shared" si="6"/>
        <v>263772.28453364817</v>
      </c>
      <c r="N18" s="954"/>
      <c r="O18" s="490">
        <f t="shared" si="1"/>
        <v>263772.28453364817</v>
      </c>
      <c r="P18" s="493">
        <f t="shared" si="7"/>
        <v>263772.28453364817</v>
      </c>
      <c r="Q18" s="496">
        <f t="shared" si="8"/>
        <v>263772.28453364817</v>
      </c>
    </row>
    <row r="19" spans="2:17" ht="15" customHeight="1">
      <c r="B19" s="454" t="s">
        <v>535</v>
      </c>
      <c r="C19" s="458">
        <f>11010.82/43560</f>
        <v>0.25277364554637283</v>
      </c>
      <c r="D19" s="484">
        <f>C19*'Site 1 - Financial'!$H$10*0.25</f>
        <v>2843703.5123966942</v>
      </c>
      <c r="E19" s="487">
        <v>2500000</v>
      </c>
      <c r="F19" s="490">
        <f t="shared" si="2"/>
        <v>5343703.5123966942</v>
      </c>
      <c r="G19" s="957">
        <f t="shared" si="3"/>
        <v>2290158.6481700116</v>
      </c>
      <c r="H19" s="954"/>
      <c r="I19" s="954">
        <f t="shared" si="4"/>
        <v>152677.24321133411</v>
      </c>
      <c r="J19" s="954"/>
      <c r="K19" s="954">
        <f t="shared" si="5"/>
        <v>2290158.6481700116</v>
      </c>
      <c r="L19" s="954"/>
      <c r="M19" s="954">
        <f t="shared" si="6"/>
        <v>152677.24321133411</v>
      </c>
      <c r="N19" s="954"/>
      <c r="O19" s="490">
        <f t="shared" si="1"/>
        <v>152677.24321133411</v>
      </c>
      <c r="P19" s="493">
        <f t="shared" si="7"/>
        <v>152677.24321133411</v>
      </c>
      <c r="Q19" s="496">
        <f t="shared" si="8"/>
        <v>152677.24321133411</v>
      </c>
    </row>
    <row r="20" spans="2:17" ht="15" customHeight="1">
      <c r="B20" s="454" t="s">
        <v>440</v>
      </c>
      <c r="C20" s="458">
        <f>3900/43560</f>
        <v>8.9531680440771352E-2</v>
      </c>
      <c r="D20" s="484">
        <f>C20*'Site 1 - Financial'!$H$10*0.25</f>
        <v>1007231.4049586777</v>
      </c>
      <c r="E20" s="487">
        <v>2500000</v>
      </c>
      <c r="F20" s="490">
        <f t="shared" si="2"/>
        <v>3507231.4049586775</v>
      </c>
      <c r="G20" s="957">
        <f t="shared" si="3"/>
        <v>1503099.1735537187</v>
      </c>
      <c r="H20" s="954"/>
      <c r="I20" s="954">
        <f t="shared" si="4"/>
        <v>100206.61157024793</v>
      </c>
      <c r="J20" s="954"/>
      <c r="K20" s="954">
        <f t="shared" si="5"/>
        <v>1503099.1735537187</v>
      </c>
      <c r="L20" s="954"/>
      <c r="M20" s="954">
        <f t="shared" si="6"/>
        <v>100206.61157024793</v>
      </c>
      <c r="N20" s="954"/>
      <c r="O20" s="490">
        <f t="shared" si="1"/>
        <v>100206.61157024793</v>
      </c>
      <c r="P20" s="493">
        <f t="shared" si="7"/>
        <v>100206.61157024793</v>
      </c>
      <c r="Q20" s="496">
        <f t="shared" si="8"/>
        <v>100206.61157024793</v>
      </c>
    </row>
    <row r="21" spans="2:17" ht="15" customHeight="1">
      <c r="B21" s="455" t="s">
        <v>439</v>
      </c>
      <c r="C21" s="459">
        <f>37874.47/43560</f>
        <v>0.86947819100091828</v>
      </c>
      <c r="D21" s="485">
        <f>C21*'Site 1 - Financial'!$H$10*0.25</f>
        <v>9781629.6487603299</v>
      </c>
      <c r="E21" s="488">
        <v>2500000</v>
      </c>
      <c r="F21" s="491">
        <f t="shared" si="2"/>
        <v>12281629.64876033</v>
      </c>
      <c r="G21" s="984">
        <f t="shared" si="3"/>
        <v>5263555.5637544272</v>
      </c>
      <c r="H21" s="955"/>
      <c r="I21" s="955">
        <f t="shared" si="4"/>
        <v>350903.70425029512</v>
      </c>
      <c r="J21" s="955"/>
      <c r="K21" s="955">
        <f t="shared" si="5"/>
        <v>5263555.5637544272</v>
      </c>
      <c r="L21" s="955"/>
      <c r="M21" s="955">
        <f t="shared" si="6"/>
        <v>350903.70425029512</v>
      </c>
      <c r="N21" s="955"/>
      <c r="O21" s="491">
        <f t="shared" si="1"/>
        <v>350903.70425029512</v>
      </c>
      <c r="P21" s="494">
        <f t="shared" si="7"/>
        <v>350903.70425029512</v>
      </c>
      <c r="Q21" s="497">
        <f t="shared" si="8"/>
        <v>350903.70425029512</v>
      </c>
    </row>
    <row r="22" spans="2:17" s="65" customFormat="1" ht="23.25" customHeight="1" thickBot="1">
      <c r="B22" s="415" t="s">
        <v>46</v>
      </c>
      <c r="C22" s="460">
        <f>SUM(C15:C21)</f>
        <v>2.6054724517906331</v>
      </c>
      <c r="D22" s="456">
        <f>SUM(D15:D21)</f>
        <v>29311565.082644626</v>
      </c>
      <c r="E22" s="456">
        <f>SUM(E15:E21)</f>
        <v>17500000</v>
      </c>
      <c r="F22" s="414">
        <f>SUM(F15:F21)</f>
        <v>46811565.082644626</v>
      </c>
      <c r="G22" s="987">
        <f>SUM(G15:H21)</f>
        <v>20062099.321133409</v>
      </c>
      <c r="H22" s="988"/>
      <c r="I22" s="952">
        <f>SUM(I15:J21)</f>
        <v>1337473.2880755607</v>
      </c>
      <c r="J22" s="953"/>
      <c r="K22" s="952">
        <f>SUM(K15:L21)</f>
        <v>20062099.321133409</v>
      </c>
      <c r="L22" s="953"/>
      <c r="M22" s="952">
        <f>SUM(M15:N21)</f>
        <v>1337473.2880755607</v>
      </c>
      <c r="N22" s="953"/>
      <c r="O22" s="473">
        <f>SUM(O15:O21)</f>
        <v>1337473.2880755607</v>
      </c>
      <c r="P22" s="519">
        <f>SUM(P15:P21)</f>
        <v>1337473.2880755607</v>
      </c>
      <c r="Q22" s="462">
        <f>SUM(Q15:Q21)</f>
        <v>1337473.2880755607</v>
      </c>
    </row>
    <row r="23" spans="2:17" ht="23.25" hidden="1" customHeight="1" thickTop="1" thickBot="1">
      <c r="B23" s="463"/>
      <c r="Q23" s="464"/>
    </row>
    <row r="24" spans="2:17" ht="23.25" customHeight="1" thickBot="1">
      <c r="B24" s="989" t="s">
        <v>141</v>
      </c>
      <c r="C24" s="990"/>
      <c r="D24" s="990"/>
      <c r="E24" s="990"/>
      <c r="F24" s="990"/>
      <c r="G24" s="990"/>
      <c r="H24" s="990"/>
      <c r="I24" s="990"/>
      <c r="J24" s="990"/>
      <c r="K24" s="990"/>
      <c r="L24" s="990"/>
      <c r="M24" s="990"/>
      <c r="N24" s="990"/>
      <c r="O24" s="990"/>
      <c r="P24" s="990"/>
      <c r="Q24" s="991"/>
    </row>
    <row r="25" spans="2:17" s="357" customFormat="1" ht="35.25" customHeight="1">
      <c r="B25" s="998" t="s">
        <v>36</v>
      </c>
      <c r="C25" s="999"/>
      <c r="D25" s="999"/>
      <c r="E25" s="999"/>
      <c r="F25" s="1000"/>
      <c r="G25" s="970" t="str">
        <f>G14</f>
        <v>King's Court</v>
      </c>
      <c r="H25" s="971"/>
      <c r="I25" s="971" t="str">
        <f>I14</f>
        <v>Hawk's Nest</v>
      </c>
      <c r="J25" s="971"/>
      <c r="K25" s="982" t="str">
        <f>K14</f>
        <v>Chinook</v>
      </c>
      <c r="L25" s="982"/>
      <c r="M25" s="971" t="str">
        <f>M14</f>
        <v>County Center</v>
      </c>
      <c r="N25" s="971"/>
      <c r="O25" s="474" t="str">
        <f>O14</f>
        <v>Goat Hill</v>
      </c>
      <c r="P25" s="474" t="str">
        <f>P14</f>
        <v>The Argyle</v>
      </c>
      <c r="Q25" s="356" t="str">
        <f>Q14</f>
        <v>The Yesler</v>
      </c>
    </row>
    <row r="26" spans="2:17" ht="35.25" customHeight="1">
      <c r="B26" s="976" t="s">
        <v>139</v>
      </c>
      <c r="C26" s="977"/>
      <c r="D26" s="977"/>
      <c r="E26" s="977"/>
      <c r="F26" s="978"/>
      <c r="G26" s="972" t="s">
        <v>637</v>
      </c>
      <c r="H26" s="973"/>
      <c r="I26" s="973" t="s">
        <v>652</v>
      </c>
      <c r="J26" s="973"/>
      <c r="K26" s="973" t="s">
        <v>637</v>
      </c>
      <c r="L26" s="973"/>
      <c r="M26" s="983" t="s">
        <v>637</v>
      </c>
      <c r="N26" s="983"/>
      <c r="O26" s="515" t="s">
        <v>640</v>
      </c>
      <c r="P26" s="582" t="s">
        <v>644</v>
      </c>
      <c r="Q26" s="498" t="s">
        <v>648</v>
      </c>
    </row>
    <row r="27" spans="2:17" ht="35.25" customHeight="1">
      <c r="B27" s="979" t="s">
        <v>140</v>
      </c>
      <c r="C27" s="980"/>
      <c r="D27" s="980"/>
      <c r="E27" s="980"/>
      <c r="F27" s="981"/>
      <c r="G27" s="974" t="s">
        <v>445</v>
      </c>
      <c r="H27" s="975"/>
      <c r="I27" s="975" t="s">
        <v>653</v>
      </c>
      <c r="J27" s="975"/>
      <c r="K27" s="975" t="s">
        <v>445</v>
      </c>
      <c r="L27" s="975"/>
      <c r="M27" s="992" t="s">
        <v>445</v>
      </c>
      <c r="N27" s="992"/>
      <c r="O27" s="516" t="s">
        <v>445</v>
      </c>
      <c r="P27" s="516" t="s">
        <v>645</v>
      </c>
      <c r="Q27" s="499" t="s">
        <v>445</v>
      </c>
    </row>
    <row r="28" spans="2:17" ht="35.25" customHeight="1">
      <c r="B28" s="979" t="s">
        <v>137</v>
      </c>
      <c r="C28" s="980"/>
      <c r="D28" s="980"/>
      <c r="E28" s="980"/>
      <c r="F28" s="981"/>
      <c r="G28" s="974" t="s">
        <v>651</v>
      </c>
      <c r="H28" s="975"/>
      <c r="I28" s="975" t="s">
        <v>654</v>
      </c>
      <c r="J28" s="975"/>
      <c r="K28" s="975" t="s">
        <v>651</v>
      </c>
      <c r="L28" s="975"/>
      <c r="M28" s="992" t="s">
        <v>638</v>
      </c>
      <c r="N28" s="992"/>
      <c r="O28" s="516" t="s">
        <v>642</v>
      </c>
      <c r="P28" s="516" t="s">
        <v>646</v>
      </c>
      <c r="Q28" s="499" t="s">
        <v>649</v>
      </c>
    </row>
    <row r="29" spans="2:17" ht="35.25" customHeight="1" thickBot="1">
      <c r="B29" s="995" t="s">
        <v>138</v>
      </c>
      <c r="C29" s="996"/>
      <c r="D29" s="996"/>
      <c r="E29" s="996"/>
      <c r="F29" s="997"/>
      <c r="G29" s="993" t="s">
        <v>641</v>
      </c>
      <c r="H29" s="994"/>
      <c r="I29" s="994" t="s">
        <v>655</v>
      </c>
      <c r="J29" s="994"/>
      <c r="K29" s="994" t="s">
        <v>641</v>
      </c>
      <c r="L29" s="994"/>
      <c r="M29" s="1001" t="s">
        <v>639</v>
      </c>
      <c r="N29" s="1001"/>
      <c r="O29" s="517" t="s">
        <v>643</v>
      </c>
      <c r="P29" s="517" t="s">
        <v>647</v>
      </c>
      <c r="Q29" s="500" t="s">
        <v>650</v>
      </c>
    </row>
    <row r="30" spans="2:17" ht="35.25" customHeight="1">
      <c r="H30" s="66"/>
      <c r="I30" s="67"/>
      <c r="J30" s="68"/>
      <c r="K30" s="68"/>
      <c r="L30" s="69"/>
    </row>
    <row r="31" spans="2:17" ht="35.25" customHeight="1">
      <c r="B31" s="92" t="s">
        <v>331</v>
      </c>
      <c r="C31" s="92" t="s">
        <v>612</v>
      </c>
      <c r="D31" s="92" t="s">
        <v>613</v>
      </c>
      <c r="H31" s="66"/>
      <c r="I31" s="67"/>
      <c r="J31" s="68"/>
      <c r="K31" s="68"/>
      <c r="L31" s="69"/>
    </row>
    <row r="32" spans="2:17" ht="23.55" customHeight="1">
      <c r="B32" s="63" t="s">
        <v>615</v>
      </c>
      <c r="C32" s="803">
        <f>'Site 1 - Financial'!C15+'Site 2 - Financial'!C8+'Site 3 - Financial'!C15+'Site 5 - Financial'!C8+'Site 6 - Financial'!C8+'Site 7 - Financial'!C8</f>
        <v>870</v>
      </c>
      <c r="D32" s="800">
        <f t="shared" ref="D32:D33" si="9">C32/$C$34</f>
        <v>0.65610859728506787</v>
      </c>
      <c r="H32" s="66"/>
      <c r="I32" s="67"/>
      <c r="J32" s="68"/>
      <c r="K32" s="68"/>
      <c r="L32" s="69"/>
    </row>
    <row r="33" spans="2:12" ht="23.25" customHeight="1">
      <c r="B33" s="63" t="s">
        <v>614</v>
      </c>
      <c r="C33" s="803">
        <f>'Site 1 - Financial'!C8+'Site 3 - Financial'!C8</f>
        <v>456</v>
      </c>
      <c r="D33" s="800">
        <f t="shared" si="9"/>
        <v>0.34389140271493213</v>
      </c>
      <c r="H33" s="66"/>
      <c r="I33" s="67"/>
      <c r="J33" s="68"/>
      <c r="K33" s="68"/>
      <c r="L33" s="69"/>
    </row>
    <row r="34" spans="2:12" ht="23.25" customHeight="1">
      <c r="B34" s="92" t="s">
        <v>104</v>
      </c>
      <c r="C34" s="804">
        <f>SUM(C32:C33)</f>
        <v>1326</v>
      </c>
      <c r="D34" s="801">
        <f>C34/$C$34</f>
        <v>1</v>
      </c>
      <c r="H34" s="66"/>
      <c r="I34" s="67"/>
      <c r="J34" s="68"/>
      <c r="K34" s="68"/>
      <c r="L34" s="69"/>
    </row>
    <row r="35" spans="2:12" ht="23.25" customHeight="1">
      <c r="B35" s="63"/>
      <c r="C35" s="63"/>
      <c r="D35" s="63"/>
      <c r="H35" s="66"/>
      <c r="I35" s="70"/>
      <c r="J35" s="68"/>
      <c r="K35" s="68"/>
      <c r="L35" s="68"/>
    </row>
    <row r="36" spans="2:12" ht="23.25" customHeight="1">
      <c r="B36" s="63"/>
      <c r="C36" s="63"/>
      <c r="D36" s="63"/>
      <c r="H36" s="66"/>
      <c r="I36" s="71"/>
      <c r="J36" s="63"/>
      <c r="K36" s="63"/>
      <c r="L36" s="63"/>
    </row>
    <row r="37" spans="2:12" ht="23.25" customHeight="1">
      <c r="B37" s="63"/>
      <c r="C37" s="63"/>
      <c r="D37" s="63"/>
    </row>
    <row r="38" spans="2:12" ht="23.25" customHeight="1">
      <c r="B38" s="63"/>
      <c r="C38" s="63"/>
      <c r="D38" s="63"/>
    </row>
    <row r="42" spans="2:12" ht="23.25" customHeight="1">
      <c r="I42" s="452"/>
    </row>
  </sheetData>
  <mergeCells count="64">
    <mergeCell ref="G22:H22"/>
    <mergeCell ref="B24:Q24"/>
    <mergeCell ref="K28:L28"/>
    <mergeCell ref="M27:N27"/>
    <mergeCell ref="G29:H29"/>
    <mergeCell ref="I25:J25"/>
    <mergeCell ref="I26:J26"/>
    <mergeCell ref="B29:F29"/>
    <mergeCell ref="I28:J28"/>
    <mergeCell ref="I29:J29"/>
    <mergeCell ref="B28:F28"/>
    <mergeCell ref="B25:F25"/>
    <mergeCell ref="G28:H28"/>
    <mergeCell ref="K29:L29"/>
    <mergeCell ref="M28:N28"/>
    <mergeCell ref="M29:N29"/>
    <mergeCell ref="B2:Q3"/>
    <mergeCell ref="B13:Q13"/>
    <mergeCell ref="G25:H25"/>
    <mergeCell ref="G26:H26"/>
    <mergeCell ref="G27:H27"/>
    <mergeCell ref="B26:F26"/>
    <mergeCell ref="B27:F27"/>
    <mergeCell ref="I27:J27"/>
    <mergeCell ref="K25:L25"/>
    <mergeCell ref="K26:L26"/>
    <mergeCell ref="K27:L27"/>
    <mergeCell ref="M25:N25"/>
    <mergeCell ref="M26:N26"/>
    <mergeCell ref="G21:H21"/>
    <mergeCell ref="I21:J21"/>
    <mergeCell ref="G14:H14"/>
    <mergeCell ref="G15:H15"/>
    <mergeCell ref="G16:H16"/>
    <mergeCell ref="G17:H17"/>
    <mergeCell ref="G18:H18"/>
    <mergeCell ref="I14:J14"/>
    <mergeCell ref="I15:J15"/>
    <mergeCell ref="I16:J16"/>
    <mergeCell ref="I17:J17"/>
    <mergeCell ref="I18:J18"/>
    <mergeCell ref="K17:L17"/>
    <mergeCell ref="K18:L18"/>
    <mergeCell ref="K19:L19"/>
    <mergeCell ref="G19:H19"/>
    <mergeCell ref="G20:H20"/>
    <mergeCell ref="I19:J19"/>
    <mergeCell ref="I20:J20"/>
    <mergeCell ref="K14:L14"/>
    <mergeCell ref="M14:N14"/>
    <mergeCell ref="M22:N22"/>
    <mergeCell ref="K22:L22"/>
    <mergeCell ref="I22:J22"/>
    <mergeCell ref="K20:L20"/>
    <mergeCell ref="K21:L21"/>
    <mergeCell ref="M15:N15"/>
    <mergeCell ref="M16:N16"/>
    <mergeCell ref="M17:N17"/>
    <mergeCell ref="M18:N18"/>
    <mergeCell ref="M19:N19"/>
    <mergeCell ref="M20:N20"/>
    <mergeCell ref="M21:N21"/>
    <mergeCell ref="K15:L15"/>
    <mergeCell ref="K16:L16"/>
  </mergeCells>
  <phoneticPr fontId="168" type="noConversion"/>
  <printOptions horizontalCentered="1" verticalCentered="1"/>
  <pageMargins left="0.7" right="0.7" top="0.75" bottom="0.75" header="0.3" footer="0.3"/>
  <pageSetup scale="26" fitToHeight="0" orientation="landscape" horizontalDpi="4294967292" verticalDpi="4294967292" r:id="rId1"/>
  <headerFooter>
    <oddHeader>&amp;C&amp;"Times New Roman Bold,Bold"&amp;14&amp;K000000INVESTOR SHEET</oddHeader>
    <oddFooter>&amp;CPage &amp;P of &amp;N</oddFooter>
  </headerFooter>
  <ignoredErrors>
    <ignoredError sqref="K15:L21" formula="1"/>
  </ignoredError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6CA8AC-BCB7-364E-832C-9735C2530453}">
  <sheetPr>
    <tabColor rgb="FF00B050"/>
    <pageSetUpPr fitToPage="1"/>
  </sheetPr>
  <dimension ref="B1:K90"/>
  <sheetViews>
    <sheetView showGridLines="0" zoomScale="89" zoomScaleNormal="110" zoomScaleSheetLayoutView="90" workbookViewId="0">
      <selection activeCell="I25" sqref="I25"/>
    </sheetView>
  </sheetViews>
  <sheetFormatPr defaultColWidth="8.77734375" defaultRowHeight="23.25" customHeight="1"/>
  <cols>
    <col min="1" max="1" width="2" style="48" customWidth="1"/>
    <col min="2" max="2" width="36.44140625" style="48" bestFit="1" customWidth="1"/>
    <col min="3" max="3" width="32.109375" style="48" bestFit="1" customWidth="1"/>
    <col min="4" max="4" width="22.44140625" style="48" bestFit="1" customWidth="1"/>
    <col min="5" max="5" width="18.44140625" style="48" customWidth="1"/>
    <col min="6" max="6" width="18.109375" style="48" bestFit="1" customWidth="1"/>
    <col min="7" max="7" width="44.77734375" style="48" customWidth="1"/>
    <col min="8" max="11" width="26.109375" style="48" customWidth="1"/>
    <col min="12" max="12" width="13.109375" style="48" bestFit="1" customWidth="1"/>
    <col min="13" max="13" width="24.44140625" style="48" customWidth="1"/>
    <col min="14" max="14" width="32.44140625" style="48" customWidth="1"/>
    <col min="15" max="15" width="20.109375" style="48" customWidth="1"/>
    <col min="16" max="16384" width="8.77734375" style="48"/>
  </cols>
  <sheetData>
    <row r="1" spans="2:10" ht="12" customHeight="1" thickBot="1">
      <c r="B1" s="121"/>
      <c r="C1" s="121"/>
      <c r="D1" s="119"/>
      <c r="E1" s="122"/>
    </row>
    <row r="2" spans="2:10" ht="21" customHeight="1">
      <c r="B2" s="1197" t="str">
        <f>'Development Program'!B7</f>
        <v>Chinook</v>
      </c>
      <c r="C2" s="1198"/>
      <c r="D2" s="1198"/>
      <c r="E2" s="1198"/>
      <c r="F2" s="1199"/>
      <c r="G2" s="1216" t="s">
        <v>101</v>
      </c>
      <c r="H2" s="1164" t="s">
        <v>18</v>
      </c>
      <c r="I2" s="1164" t="s">
        <v>97</v>
      </c>
      <c r="J2" s="1135" t="s">
        <v>91</v>
      </c>
    </row>
    <row r="3" spans="2:10" ht="21" customHeight="1" thickBot="1">
      <c r="B3" s="93" t="s">
        <v>427</v>
      </c>
      <c r="C3" s="327" t="s">
        <v>84</v>
      </c>
      <c r="D3" s="328" t="s">
        <v>193</v>
      </c>
      <c r="E3" s="327" t="s">
        <v>403</v>
      </c>
      <c r="F3" s="120" t="s">
        <v>404</v>
      </c>
      <c r="G3" s="1217"/>
      <c r="H3" s="1165"/>
      <c r="I3" s="1165"/>
      <c r="J3" s="1215"/>
    </row>
    <row r="4" spans="2:10" ht="21" customHeight="1">
      <c r="B4" s="154" t="s">
        <v>86</v>
      </c>
      <c r="C4" s="155">
        <f>46-10</f>
        <v>36</v>
      </c>
      <c r="D4" s="156">
        <f>Assumptions!C7*C4</f>
        <v>16200</v>
      </c>
      <c r="E4" s="157">
        <f>Assumptions!D7</f>
        <v>2000</v>
      </c>
      <c r="F4" s="158">
        <f>E4*C4*12</f>
        <v>864000</v>
      </c>
      <c r="G4" s="126" t="str">
        <f>Assumptions!F19</f>
        <v>Residential Condominium Hard Costs for Construction</v>
      </c>
      <c r="H4" s="284">
        <f>'Market Research'!H117</f>
        <v>275</v>
      </c>
      <c r="I4" s="285">
        <f>H4*D8</f>
        <v>38555000</v>
      </c>
      <c r="J4" s="306">
        <f t="shared" ref="J4:J9" si="0">I4/($C$15+$C$8+$C$20)</f>
        <v>155463.70967741936</v>
      </c>
    </row>
    <row r="5" spans="2:10" ht="21" customHeight="1">
      <c r="B5" s="159" t="s">
        <v>190</v>
      </c>
      <c r="C5" s="160">
        <f>100-20</f>
        <v>80</v>
      </c>
      <c r="D5" s="161">
        <f>Assumptions!C9*C5</f>
        <v>52000</v>
      </c>
      <c r="E5" s="162">
        <f>Assumptions!D9</f>
        <v>2400</v>
      </c>
      <c r="F5" s="163">
        <f>C5*E5*12</f>
        <v>2304000</v>
      </c>
      <c r="G5" s="520" t="s">
        <v>428</v>
      </c>
      <c r="H5" s="284">
        <f>'Market Research'!H122</f>
        <v>255</v>
      </c>
      <c r="I5" s="285">
        <f>H5*D19*0</f>
        <v>0</v>
      </c>
      <c r="J5" s="307">
        <f t="shared" si="0"/>
        <v>0</v>
      </c>
    </row>
    <row r="6" spans="2:10" ht="21" customHeight="1">
      <c r="B6" s="159" t="s">
        <v>191</v>
      </c>
      <c r="C6" s="160">
        <f>90-18</f>
        <v>72</v>
      </c>
      <c r="D6" s="161">
        <f>Assumptions!C11*C6</f>
        <v>72000</v>
      </c>
      <c r="E6" s="162">
        <f>Assumptions!D11</f>
        <v>3400</v>
      </c>
      <c r="F6" s="163">
        <f>C6*E6*12</f>
        <v>2937600</v>
      </c>
      <c r="G6" s="520" t="s">
        <v>310</v>
      </c>
      <c r="H6" s="284">
        <f>'Market Research'!H122</f>
        <v>255</v>
      </c>
      <c r="I6" s="285">
        <f>H5*D18</f>
        <v>9758340</v>
      </c>
      <c r="J6" s="307">
        <f t="shared" si="0"/>
        <v>39348.145161290326</v>
      </c>
    </row>
    <row r="7" spans="2:10" ht="21" customHeight="1" thickBot="1">
      <c r="B7" s="164" t="s">
        <v>192</v>
      </c>
      <c r="C7" s="165">
        <v>0</v>
      </c>
      <c r="D7" s="166">
        <f>Assumptions!C13*C7</f>
        <v>0</v>
      </c>
      <c r="E7" s="167">
        <f>Assumptions!D13</f>
        <v>4600</v>
      </c>
      <c r="F7" s="168">
        <f>E7*C7*12</f>
        <v>0</v>
      </c>
      <c r="G7" s="520" t="s">
        <v>429</v>
      </c>
      <c r="H7" s="284">
        <f>'Market Research'!H135</f>
        <v>130</v>
      </c>
      <c r="I7" s="285">
        <f>H7*C29*0.5</f>
        <v>5818475</v>
      </c>
      <c r="J7" s="307">
        <f t="shared" si="0"/>
        <v>23461.592741935485</v>
      </c>
    </row>
    <row r="8" spans="2:10" ht="21" customHeight="1">
      <c r="B8" s="1200" t="s">
        <v>87</v>
      </c>
      <c r="C8" s="1202">
        <f>SUM(C4:C7)</f>
        <v>188</v>
      </c>
      <c r="D8" s="1204">
        <f>SUM(D4:D7)</f>
        <v>140200</v>
      </c>
      <c r="E8" s="1206">
        <f>F8/C8/12</f>
        <v>2706.382978723404</v>
      </c>
      <c r="F8" s="1168">
        <f>SUM(F4:F7)</f>
        <v>6105600</v>
      </c>
      <c r="G8" s="520" t="s">
        <v>20</v>
      </c>
      <c r="H8" s="288">
        <v>0.1</v>
      </c>
      <c r="I8" s="285">
        <f>H8*SUM(I4:I7)</f>
        <v>5413181.5</v>
      </c>
      <c r="J8" s="307">
        <f t="shared" si="0"/>
        <v>21827.344758064515</v>
      </c>
    </row>
    <row r="9" spans="2:10" ht="21" customHeight="1">
      <c r="B9" s="1201"/>
      <c r="C9" s="1203"/>
      <c r="D9" s="1205"/>
      <c r="E9" s="1207"/>
      <c r="F9" s="1169"/>
      <c r="G9" s="126" t="s">
        <v>6</v>
      </c>
      <c r="H9" s="289" t="s">
        <v>24</v>
      </c>
      <c r="I9" s="285">
        <v>0</v>
      </c>
      <c r="J9" s="307">
        <f t="shared" si="0"/>
        <v>0</v>
      </c>
    </row>
    <row r="10" spans="2:10" ht="21" customHeight="1" thickBot="1">
      <c r="B10" s="93" t="s">
        <v>605</v>
      </c>
      <c r="C10" s="327" t="s">
        <v>84</v>
      </c>
      <c r="D10" s="328" t="s">
        <v>402</v>
      </c>
      <c r="E10" s="327" t="s">
        <v>606</v>
      </c>
      <c r="F10" s="120" t="s">
        <v>404</v>
      </c>
      <c r="G10" s="126" t="s">
        <v>312</v>
      </c>
      <c r="H10" s="290">
        <f>'Market Research'!C53</f>
        <v>45000000</v>
      </c>
      <c r="I10" s="285">
        <f>H10*C24</f>
        <v>29239669.4214876</v>
      </c>
      <c r="J10" s="307">
        <f t="shared" ref="J10:J17" si="1">I10/($C$15+$C$8+$C$20)</f>
        <v>117901.89282857903</v>
      </c>
    </row>
    <row r="11" spans="2:10" ht="21" customHeight="1">
      <c r="B11" s="154" t="s">
        <v>86</v>
      </c>
      <c r="C11" s="791">
        <v>10</v>
      </c>
      <c r="D11" s="156">
        <f>Assumptions!C7*C11</f>
        <v>4500</v>
      </c>
      <c r="E11" s="792">
        <v>1768</v>
      </c>
      <c r="F11" s="793">
        <f>E11*C11*12</f>
        <v>212160</v>
      </c>
      <c r="G11" s="520" t="s">
        <v>21</v>
      </c>
      <c r="H11" s="625" t="s">
        <v>380</v>
      </c>
      <c r="I11" s="285">
        <v>325000</v>
      </c>
      <c r="J11" s="306">
        <f t="shared" si="1"/>
        <v>1310.483870967742</v>
      </c>
    </row>
    <row r="12" spans="2:10" ht="21" customHeight="1">
      <c r="B12" s="159" t="s">
        <v>190</v>
      </c>
      <c r="C12" s="794">
        <v>20</v>
      </c>
      <c r="D12" s="161">
        <f>Assumptions!C9*C12</f>
        <v>13000</v>
      </c>
      <c r="E12" s="795">
        <v>1895</v>
      </c>
      <c r="F12" s="380">
        <f>E12*C12*12</f>
        <v>454800</v>
      </c>
      <c r="G12" s="520" t="s">
        <v>43</v>
      </c>
      <c r="H12" s="280" t="s">
        <v>381</v>
      </c>
      <c r="I12" s="285">
        <f>'Development Program'!K22</f>
        <v>20062099.321133409</v>
      </c>
      <c r="J12" s="307">
        <f t="shared" si="1"/>
        <v>80895.561778763746</v>
      </c>
    </row>
    <row r="13" spans="2:10" ht="21" customHeight="1">
      <c r="B13" s="159" t="s">
        <v>191</v>
      </c>
      <c r="C13" s="794">
        <v>18</v>
      </c>
      <c r="D13" s="161">
        <f>Assumptions!C11*C13</f>
        <v>18000</v>
      </c>
      <c r="E13" s="795">
        <v>2274</v>
      </c>
      <c r="F13" s="380">
        <f>E13*C13*12</f>
        <v>491184</v>
      </c>
      <c r="G13" s="531" t="s">
        <v>23</v>
      </c>
      <c r="H13" s="276" t="s">
        <v>24</v>
      </c>
      <c r="I13" s="277">
        <v>400000</v>
      </c>
      <c r="J13" s="307">
        <f t="shared" si="1"/>
        <v>1612.9032258064517</v>
      </c>
    </row>
    <row r="14" spans="2:10" ht="21" customHeight="1" thickBot="1">
      <c r="B14" s="164" t="s">
        <v>192</v>
      </c>
      <c r="C14" s="796">
        <v>0</v>
      </c>
      <c r="D14" s="166">
        <f>Assumptions!C13*C14</f>
        <v>0</v>
      </c>
      <c r="E14" s="797">
        <v>2628</v>
      </c>
      <c r="F14" s="798">
        <f>E14*C14*12</f>
        <v>0</v>
      </c>
      <c r="G14" s="124" t="s">
        <v>374</v>
      </c>
      <c r="H14" s="302">
        <v>0.02</v>
      </c>
      <c r="I14" s="277">
        <f>H14*I10</f>
        <v>584793.38842975197</v>
      </c>
      <c r="J14" s="307">
        <f t="shared" si="1"/>
        <v>2358.0378565715805</v>
      </c>
    </row>
    <row r="15" spans="2:10" ht="21" customHeight="1">
      <c r="B15" s="1200" t="s">
        <v>87</v>
      </c>
      <c r="C15" s="1202">
        <f>SUM(C11:C14)</f>
        <v>48</v>
      </c>
      <c r="D15" s="1204">
        <f>SUM(D11:D14)</f>
        <v>35500</v>
      </c>
      <c r="E15" s="1206">
        <f>F15/12/C15</f>
        <v>2010.6666666666667</v>
      </c>
      <c r="F15" s="1168">
        <f>SUM(F11:F14)</f>
        <v>1158144</v>
      </c>
      <c r="G15" s="124" t="s">
        <v>26</v>
      </c>
      <c r="H15" s="278">
        <v>0.04</v>
      </c>
      <c r="I15" s="277">
        <f>H15*SUM(I4:I7)</f>
        <v>2165272.6</v>
      </c>
      <c r="J15" s="307">
        <f t="shared" si="1"/>
        <v>8730.9379032258075</v>
      </c>
    </row>
    <row r="16" spans="2:10" ht="21" customHeight="1">
      <c r="B16" s="1201"/>
      <c r="C16" s="1203"/>
      <c r="D16" s="1205"/>
      <c r="E16" s="1207"/>
      <c r="F16" s="1169"/>
      <c r="G16" s="124" t="s">
        <v>27</v>
      </c>
      <c r="H16" s="279">
        <v>0.03</v>
      </c>
      <c r="I16" s="277">
        <f>H16*SUM(I4:I15)</f>
        <v>3369654.9369315221</v>
      </c>
      <c r="J16" s="307">
        <f t="shared" si="1"/>
        <v>13587.318294078717</v>
      </c>
    </row>
    <row r="17" spans="2:11" ht="21" customHeight="1" thickBot="1">
      <c r="B17" s="185" t="s">
        <v>88</v>
      </c>
      <c r="C17" s="327" t="s">
        <v>84</v>
      </c>
      <c r="D17" s="327" t="s">
        <v>402</v>
      </c>
      <c r="E17" s="327" t="s">
        <v>89</v>
      </c>
      <c r="F17" s="120" t="s">
        <v>85</v>
      </c>
      <c r="G17" s="124" t="s">
        <v>28</v>
      </c>
      <c r="H17" s="278">
        <v>0.02</v>
      </c>
      <c r="I17" s="277">
        <f>H17*SUM(I4:I7)</f>
        <v>1082636.3</v>
      </c>
      <c r="J17" s="307">
        <f t="shared" si="1"/>
        <v>4365.4689516129038</v>
      </c>
    </row>
    <row r="18" spans="2:11" ht="21" customHeight="1">
      <c r="B18" s="169" t="s">
        <v>1</v>
      </c>
      <c r="C18" s="170">
        <v>6</v>
      </c>
      <c r="D18" s="171">
        <v>38268</v>
      </c>
      <c r="E18" s="172">
        <f>Assumptions!F7</f>
        <v>35</v>
      </c>
      <c r="F18" s="173">
        <f>D18*E18</f>
        <v>1339380</v>
      </c>
      <c r="G18" s="531" t="s">
        <v>99</v>
      </c>
      <c r="H18" s="805">
        <v>8.8293999999999994E-3</v>
      </c>
      <c r="I18" s="277">
        <f>H18*I10</f>
        <v>258168.73719008258</v>
      </c>
      <c r="J18" s="307">
        <f>I18/($C$15+$C$8+$C$20)</f>
        <v>1041.0029725406555</v>
      </c>
    </row>
    <row r="19" spans="2:11" ht="21" customHeight="1" thickBot="1">
      <c r="B19" s="174" t="s">
        <v>0</v>
      </c>
      <c r="C19" s="175">
        <v>6</v>
      </c>
      <c r="D19" s="176">
        <v>58863</v>
      </c>
      <c r="E19" s="177">
        <f>Assumptions!G7</f>
        <v>45</v>
      </c>
      <c r="F19" s="178">
        <f>D19*E19</f>
        <v>2648835</v>
      </c>
      <c r="G19" s="124" t="s">
        <v>29</v>
      </c>
      <c r="H19" s="280">
        <v>6000</v>
      </c>
      <c r="I19" s="277">
        <f>H19*(C8+C20)</f>
        <v>1200000</v>
      </c>
      <c r="J19" s="307">
        <f t="shared" ref="J19:J26" si="2">I19/($C$15+$C$8+$C$20)</f>
        <v>4838.7096774193551</v>
      </c>
    </row>
    <row r="20" spans="2:11" ht="21" customHeight="1">
      <c r="B20" s="1200" t="s">
        <v>87</v>
      </c>
      <c r="C20" s="1202">
        <f>SUM(C18:C19)</f>
        <v>12</v>
      </c>
      <c r="D20" s="1209">
        <f>SUM(D18:D19)</f>
        <v>97131</v>
      </c>
      <c r="E20" s="1211">
        <f>IF(D20=0,0,F20/D20)</f>
        <v>41.060166167341016</v>
      </c>
      <c r="F20" s="1168">
        <f>SUM(F18:F19)</f>
        <v>3988215</v>
      </c>
      <c r="G20" s="124" t="s">
        <v>30</v>
      </c>
      <c r="H20" s="276" t="s">
        <v>24</v>
      </c>
      <c r="I20" s="277">
        <v>400000</v>
      </c>
      <c r="J20" s="307">
        <f t="shared" si="2"/>
        <v>1612.9032258064517</v>
      </c>
    </row>
    <row r="21" spans="2:11" ht="21" customHeight="1" thickBot="1">
      <c r="B21" s="1208"/>
      <c r="C21" s="1203"/>
      <c r="D21" s="1210"/>
      <c r="E21" s="1212"/>
      <c r="F21" s="1188"/>
      <c r="G21" s="124" t="s">
        <v>31</v>
      </c>
      <c r="H21" s="281" t="s">
        <v>376</v>
      </c>
      <c r="I21" s="277">
        <f>'Site 3 - Draw'!C23</f>
        <v>2376897.0575000001</v>
      </c>
      <c r="J21" s="307">
        <f t="shared" si="2"/>
        <v>9584.2623286290327</v>
      </c>
    </row>
    <row r="22" spans="2:11" ht="21" customHeight="1">
      <c r="B22" s="1120" t="s">
        <v>384</v>
      </c>
      <c r="C22" s="1122"/>
      <c r="D22" s="1194" t="s">
        <v>206</v>
      </c>
      <c r="E22" s="1195"/>
      <c r="F22" s="1196"/>
      <c r="G22" s="124" t="s">
        <v>377</v>
      </c>
      <c r="H22" s="282">
        <f>'Market Research'!H125</f>
        <v>140</v>
      </c>
      <c r="I22" s="277">
        <f>H22*D20</f>
        <v>13598340</v>
      </c>
      <c r="J22" s="307">
        <f t="shared" si="2"/>
        <v>54832.016129032258</v>
      </c>
    </row>
    <row r="23" spans="2:11" ht="21" customHeight="1" thickBot="1">
      <c r="B23" s="142" t="s">
        <v>331</v>
      </c>
      <c r="C23" s="198" t="s">
        <v>388</v>
      </c>
      <c r="D23" s="142" t="s">
        <v>331</v>
      </c>
      <c r="E23" s="143" t="s">
        <v>104</v>
      </c>
      <c r="F23" s="198" t="s">
        <v>91</v>
      </c>
      <c r="G23" s="124" t="s">
        <v>378</v>
      </c>
      <c r="H23" s="283">
        <v>0.06</v>
      </c>
      <c r="I23" s="277">
        <f>H23*('Site 3 - Draw'!G49+'Site 3 - Draw'!G58)*5</f>
        <v>1196464.5</v>
      </c>
      <c r="J23" s="307">
        <f t="shared" si="2"/>
        <v>4824.4536290322585</v>
      </c>
    </row>
    <row r="24" spans="2:11" ht="21" customHeight="1">
      <c r="B24" s="310" t="s">
        <v>385</v>
      </c>
      <c r="C24" s="311">
        <f>28304/43560</f>
        <v>0.64977043158861336</v>
      </c>
      <c r="D24" s="320">
        <f>Assumptions!I11</f>
        <v>0.6</v>
      </c>
      <c r="E24" s="321">
        <f>D24*I$27</f>
        <v>87602395.657603413</v>
      </c>
      <c r="F24" s="322">
        <f>E24/($C$8+$C$20)</f>
        <v>438011.97828801704</v>
      </c>
      <c r="G24" s="531" t="s">
        <v>33</v>
      </c>
      <c r="H24" s="532">
        <v>0.01</v>
      </c>
      <c r="I24" s="277">
        <v>900000</v>
      </c>
      <c r="J24" s="307">
        <f t="shared" si="2"/>
        <v>3629.0322580645161</v>
      </c>
    </row>
    <row r="25" spans="2:11" ht="21" customHeight="1">
      <c r="B25" s="312" t="s">
        <v>386</v>
      </c>
      <c r="C25" s="417">
        <f>111205+175700</f>
        <v>286905</v>
      </c>
      <c r="D25" s="323">
        <f>1-D24</f>
        <v>0.4</v>
      </c>
      <c r="E25" s="318">
        <f>D25*I$27</f>
        <v>58401597.105068952</v>
      </c>
      <c r="F25" s="319">
        <f>E25/($C$8+$C$20)</f>
        <v>292007.98552534473</v>
      </c>
      <c r="G25" s="533" t="s">
        <v>34</v>
      </c>
      <c r="H25" s="534">
        <v>7.0000000000000007E-2</v>
      </c>
      <c r="I25" s="277">
        <f>I24*7</f>
        <v>6300000</v>
      </c>
      <c r="J25" s="307">
        <f t="shared" si="2"/>
        <v>25403.225806451614</v>
      </c>
    </row>
    <row r="26" spans="2:11" ht="21" customHeight="1" thickBot="1">
      <c r="B26" s="312" t="s">
        <v>387</v>
      </c>
      <c r="C26" s="313">
        <f>D8+D20</f>
        <v>237331</v>
      </c>
      <c r="D26" s="312" t="s">
        <v>395</v>
      </c>
      <c r="E26" s="329">
        <v>0</v>
      </c>
      <c r="F26" s="330">
        <f>E26/($C$8+$C$20)</f>
        <v>0</v>
      </c>
      <c r="G26" s="127" t="s">
        <v>100</v>
      </c>
      <c r="H26" s="274" t="s">
        <v>24</v>
      </c>
      <c r="I26" s="275">
        <v>3000000</v>
      </c>
      <c r="J26" s="308">
        <f t="shared" si="2"/>
        <v>12096.774193548386</v>
      </c>
    </row>
    <row r="27" spans="2:11" ht="21" customHeight="1">
      <c r="B27" s="312" t="s">
        <v>389</v>
      </c>
      <c r="C27" s="314">
        <v>135</v>
      </c>
      <c r="D27" s="312" t="s">
        <v>396</v>
      </c>
      <c r="E27" s="324">
        <f>SUM(E24:E26)</f>
        <v>146003992.76267236</v>
      </c>
      <c r="F27" s="325">
        <f>SUM(F24:F26)</f>
        <v>730019.96381336171</v>
      </c>
      <c r="G27" s="128" t="s">
        <v>101</v>
      </c>
      <c r="H27" s="340" t="s">
        <v>205</v>
      </c>
      <c r="I27" s="341">
        <f>SUM(I4:I26)</f>
        <v>146003992.76267236</v>
      </c>
      <c r="J27" s="342">
        <f>I27/($C$20+$C$8)</f>
        <v>730019.96381336183</v>
      </c>
    </row>
    <row r="28" spans="2:11" ht="21" customHeight="1" thickBot="1">
      <c r="B28" s="312" t="s">
        <v>390</v>
      </c>
      <c r="C28" s="314">
        <v>135</v>
      </c>
      <c r="D28" s="316"/>
      <c r="E28" s="326"/>
      <c r="F28" s="317"/>
      <c r="G28" s="129" t="s">
        <v>336</v>
      </c>
      <c r="H28" s="343" t="s">
        <v>205</v>
      </c>
      <c r="I28" s="344">
        <f>'Site 3 - Draw'!G65+'Site 3 - Draw'!G56+'Site 3 - Draw'!G47+'Site 3 - Draw'!G38</f>
        <v>242699238.69515097</v>
      </c>
      <c r="J28" s="345">
        <f>I28/($C$20+$C$8)</f>
        <v>1213496.1934757549</v>
      </c>
    </row>
    <row r="29" spans="2:11" ht="21" customHeight="1">
      <c r="B29" s="315" t="s">
        <v>438</v>
      </c>
      <c r="C29" s="313">
        <v>89515</v>
      </c>
      <c r="D29" s="1172" t="s">
        <v>105</v>
      </c>
      <c r="E29" s="1174">
        <f>E24+E25</f>
        <v>146003992.76267236</v>
      </c>
      <c r="F29" s="1191">
        <f>ROUND((F25+F24),-3)</f>
        <v>730000</v>
      </c>
      <c r="G29" s="129" t="s">
        <v>102</v>
      </c>
      <c r="H29" s="343" t="s">
        <v>205</v>
      </c>
      <c r="I29" s="379">
        <f>('Site 3 - Draw'!G37+'Site 3 - Draw'!G55+'Site 3 - Draw'!G64)/I27</f>
        <v>6.7944338918847269E-2</v>
      </c>
      <c r="J29" s="346" t="s">
        <v>205</v>
      </c>
    </row>
    <row r="30" spans="2:11" ht="21" customHeight="1" thickBot="1">
      <c r="B30" s="448" t="s">
        <v>437</v>
      </c>
      <c r="C30" s="447">
        <f>C25/(C24*43560)</f>
        <v>10.136553137365745</v>
      </c>
      <c r="D30" s="1173"/>
      <c r="E30" s="1175"/>
      <c r="F30" s="1192"/>
      <c r="G30" s="129" t="s">
        <v>103</v>
      </c>
      <c r="H30" s="343" t="s">
        <v>205</v>
      </c>
      <c r="I30" s="552">
        <f>I28/I27-1</f>
        <v>0.66227809324129572</v>
      </c>
      <c r="J30" s="347" t="s">
        <v>205</v>
      </c>
    </row>
    <row r="31" spans="2:11" ht="21" customHeight="1" thickBot="1">
      <c r="B31" s="416">
        <v>13</v>
      </c>
      <c r="C31" s="417">
        <f>C25/B31</f>
        <v>22069.615384615383</v>
      </c>
      <c r="D31" s="1189" t="s">
        <v>106</v>
      </c>
      <c r="E31" s="1190"/>
      <c r="F31" s="260" t="s">
        <v>383</v>
      </c>
      <c r="G31" s="130">
        <v>0.5</v>
      </c>
      <c r="H31" s="348" t="s">
        <v>205</v>
      </c>
      <c r="I31" s="349">
        <f>I28/(1+G31)</f>
        <v>161799492.46343398</v>
      </c>
      <c r="J31" s="345">
        <f>I31/($C$20+$C$8)</f>
        <v>808997.46231716988</v>
      </c>
      <c r="K31" s="266"/>
    </row>
    <row r="32" spans="2:11" ht="21" customHeight="1" thickBot="1">
      <c r="B32" s="316" t="s">
        <v>393</v>
      </c>
      <c r="C32" s="317" t="s">
        <v>6</v>
      </c>
      <c r="D32" s="1182" t="s">
        <v>333</v>
      </c>
      <c r="E32" s="1183"/>
      <c r="F32" s="331">
        <f>'Site 3 - Draw'!G47+'Site 3 - Draw'!G38</f>
        <v>146261041.22471049</v>
      </c>
      <c r="G32" s="131">
        <v>0.3</v>
      </c>
      <c r="H32" s="350" t="s">
        <v>205</v>
      </c>
      <c r="I32" s="351">
        <f>ROUND((I28/(1+G32))-I27,-3)</f>
        <v>40688000</v>
      </c>
      <c r="J32" s="369">
        <f>I32/($C$20+$C$8)</f>
        <v>203440</v>
      </c>
      <c r="K32" s="266"/>
    </row>
    <row r="33" spans="2:11" ht="21" customHeight="1" thickBot="1">
      <c r="B33" s="1189" t="s">
        <v>110</v>
      </c>
      <c r="C33" s="1193"/>
      <c r="D33" s="1184" t="s">
        <v>391</v>
      </c>
      <c r="E33" s="1185"/>
      <c r="F33" s="380" t="s">
        <v>157</v>
      </c>
      <c r="G33" s="807"/>
      <c r="H33" s="808"/>
      <c r="I33" s="808"/>
      <c r="J33" s="808"/>
    </row>
    <row r="34" spans="2:11" ht="21" customHeight="1">
      <c r="B34" s="303" t="s">
        <v>311</v>
      </c>
      <c r="C34" s="338">
        <f>(F39+E25)/E25</f>
        <v>2.6556952331032395</v>
      </c>
      <c r="D34" s="1184" t="s">
        <v>392</v>
      </c>
      <c r="E34" s="1185"/>
      <c r="F34" s="332" t="s">
        <v>157</v>
      </c>
      <c r="G34" s="809"/>
      <c r="H34" s="810"/>
      <c r="I34" s="811"/>
      <c r="J34" s="810"/>
      <c r="K34" s="266"/>
    </row>
    <row r="35" spans="2:11" ht="21" customHeight="1">
      <c r="B35" s="304" t="s">
        <v>136</v>
      </c>
      <c r="C35" s="431">
        <f>'Site 3 - Draw'!C66</f>
        <v>0.30976289996776463</v>
      </c>
      <c r="D35" s="1170" t="s">
        <v>334</v>
      </c>
      <c r="E35" s="1171"/>
      <c r="F35" s="333">
        <f>'Site 3 - Draw'!G56+'Site 3 - Draw'!G65</f>
        <v>96438197.470440477</v>
      </c>
      <c r="G35" s="812"/>
      <c r="H35" s="1218"/>
      <c r="I35" s="1218"/>
      <c r="J35" s="810"/>
    </row>
    <row r="36" spans="2:11" ht="21" customHeight="1">
      <c r="B36" s="304" t="s">
        <v>41</v>
      </c>
      <c r="C36" s="431">
        <f>'Site 3 - Draw'!C72</f>
        <v>0.46933320843686932</v>
      </c>
      <c r="D36" s="1186" t="s">
        <v>335</v>
      </c>
      <c r="E36" s="1187"/>
      <c r="F36" s="334">
        <f>F32+F35</f>
        <v>242699238.69515097</v>
      </c>
      <c r="G36" s="813"/>
      <c r="H36" s="1219"/>
      <c r="I36" s="1219"/>
      <c r="J36" s="814"/>
    </row>
    <row r="37" spans="2:11" ht="21" customHeight="1">
      <c r="B37" s="304" t="s">
        <v>111</v>
      </c>
      <c r="C37" s="337" t="s">
        <v>337</v>
      </c>
      <c r="D37" s="1178" t="s">
        <v>107</v>
      </c>
      <c r="E37" s="1179"/>
      <c r="F37" s="333">
        <f>E24</f>
        <v>87602395.657603413</v>
      </c>
      <c r="G37" s="806"/>
      <c r="H37" s="806"/>
      <c r="I37" s="806"/>
      <c r="J37" s="806"/>
    </row>
    <row r="38" spans="2:11" ht="21" customHeight="1">
      <c r="B38" s="304" t="s">
        <v>397</v>
      </c>
      <c r="C38" s="336">
        <f>Assumptions!I9</f>
        <v>4.2500000000000003E-2</v>
      </c>
      <c r="D38" s="1178" t="s">
        <v>108</v>
      </c>
      <c r="E38" s="1179"/>
      <c r="F38" s="333">
        <f>E25</f>
        <v>58401597.105068952</v>
      </c>
      <c r="G38" s="806"/>
      <c r="H38" s="806"/>
      <c r="I38" s="806"/>
      <c r="J38" s="806"/>
    </row>
    <row r="39" spans="2:11" ht="21" customHeight="1" thickBot="1">
      <c r="B39" s="305" t="s">
        <v>398</v>
      </c>
      <c r="C39" s="339">
        <f>Assumptions!I8</f>
        <v>4.7500000000000001E-2</v>
      </c>
      <c r="D39" s="1180" t="s">
        <v>109</v>
      </c>
      <c r="E39" s="1181"/>
      <c r="F39" s="335">
        <f>F36-F37-F38</f>
        <v>96695245.932478607</v>
      </c>
      <c r="G39" s="815"/>
      <c r="H39" s="815"/>
      <c r="I39" s="815"/>
      <c r="J39" s="815"/>
    </row>
    <row r="40" spans="2:11" ht="16.05" customHeight="1"/>
    <row r="41" spans="2:11" ht="15" customHeight="1">
      <c r="D41" s="144"/>
      <c r="E41" s="144"/>
      <c r="F41" s="144"/>
    </row>
    <row r="42" spans="2:11" ht="15" customHeight="1">
      <c r="D42" s="132"/>
    </row>
    <row r="43" spans="2:11" ht="15" customHeight="1">
      <c r="D43" s="132"/>
      <c r="G43" s="144"/>
      <c r="H43" s="144"/>
      <c r="I43" s="144"/>
      <c r="J43" s="144"/>
    </row>
    <row r="44" spans="2:11" ht="13.2">
      <c r="D44" s="132"/>
      <c r="G44" s="132"/>
      <c r="H44" s="132"/>
      <c r="I44" s="132"/>
      <c r="J44" s="132"/>
    </row>
    <row r="45" spans="2:11" ht="13.2">
      <c r="D45" s="179"/>
      <c r="G45" s="132"/>
      <c r="H45" s="132"/>
      <c r="I45" s="132"/>
      <c r="J45" s="132"/>
    </row>
    <row r="46" spans="2:11" s="144" customFormat="1" ht="13.2">
      <c r="B46" s="48"/>
      <c r="C46" s="48"/>
      <c r="D46" s="179"/>
      <c r="E46" s="48"/>
      <c r="F46" s="48"/>
      <c r="G46" s="125"/>
      <c r="H46" s="125"/>
      <c r="I46" s="125"/>
      <c r="J46" s="125"/>
    </row>
    <row r="47" spans="2:11" ht="13.2">
      <c r="B47" s="144"/>
      <c r="C47" s="144"/>
      <c r="G47" s="132"/>
      <c r="H47" s="132"/>
      <c r="I47" s="132"/>
      <c r="J47" s="132"/>
    </row>
    <row r="48" spans="2:11" ht="13.05" customHeight="1">
      <c r="B48" s="132"/>
      <c r="C48" s="132"/>
      <c r="G48" s="132"/>
      <c r="H48" s="132"/>
      <c r="I48" s="132"/>
      <c r="J48" s="132"/>
    </row>
    <row r="49" spans="2:10" ht="13.2">
      <c r="B49" s="132"/>
      <c r="C49" s="132"/>
      <c r="G49" s="125"/>
      <c r="H49" s="125"/>
      <c r="I49" s="125"/>
      <c r="J49" s="125"/>
    </row>
    <row r="50" spans="2:10" s="144" customFormat="1" ht="13.2">
      <c r="B50" s="125"/>
      <c r="C50" s="125"/>
      <c r="D50" s="48"/>
      <c r="E50" s="48"/>
      <c r="F50" s="48"/>
      <c r="G50" s="132"/>
      <c r="H50" s="132"/>
      <c r="I50" s="132"/>
      <c r="J50" s="132"/>
    </row>
    <row r="51" spans="2:10" s="132" customFormat="1" ht="13.2">
      <c r="D51" s="48"/>
      <c r="E51" s="48"/>
      <c r="F51" s="48"/>
    </row>
    <row r="52" spans="2:10" s="132" customFormat="1" ht="13.2">
      <c r="D52" s="48"/>
      <c r="E52" s="48"/>
      <c r="F52" s="48"/>
    </row>
    <row r="53" spans="2:10" s="125" customFormat="1" ht="13.2">
      <c r="D53" s="48"/>
      <c r="E53" s="48"/>
      <c r="F53" s="48"/>
      <c r="G53" s="179"/>
      <c r="H53" s="179"/>
      <c r="I53" s="179"/>
      <c r="J53" s="179"/>
    </row>
    <row r="54" spans="2:10" s="132" customFormat="1" ht="13.2">
      <c r="D54" s="48"/>
      <c r="E54" s="48"/>
      <c r="F54" s="48"/>
      <c r="G54" s="179"/>
      <c r="H54" s="179"/>
      <c r="I54" s="179"/>
      <c r="J54" s="179"/>
    </row>
    <row r="55" spans="2:10" s="132" customFormat="1" ht="13.2">
      <c r="D55" s="48"/>
      <c r="E55" s="48"/>
      <c r="F55" s="48"/>
      <c r="G55" s="48"/>
      <c r="H55" s="48"/>
      <c r="I55" s="48"/>
      <c r="J55" s="48"/>
    </row>
    <row r="56" spans="2:10" s="125" customFormat="1" ht="13.2">
      <c r="B56" s="132"/>
      <c r="C56" s="132"/>
      <c r="D56" s="48"/>
      <c r="E56" s="48"/>
      <c r="F56" s="48"/>
      <c r="G56" s="48"/>
      <c r="H56" s="48"/>
      <c r="I56" s="48"/>
      <c r="J56" s="48"/>
    </row>
    <row r="57" spans="2:10" s="132" customFormat="1" ht="13.2">
      <c r="B57" s="48"/>
      <c r="C57" s="179"/>
      <c r="D57" s="48"/>
      <c r="E57" s="48"/>
      <c r="F57" s="48"/>
      <c r="G57" s="48"/>
      <c r="H57" s="48"/>
      <c r="I57" s="48"/>
      <c r="J57" s="48"/>
    </row>
    <row r="58" spans="2:10" s="132" customFormat="1" ht="13.2">
      <c r="B58" s="48"/>
      <c r="C58" s="179"/>
      <c r="D58" s="48"/>
      <c r="E58" s="48"/>
      <c r="F58" s="48"/>
      <c r="G58" s="179"/>
      <c r="H58" s="48"/>
      <c r="I58" s="48"/>
      <c r="J58" s="48"/>
    </row>
    <row r="59" spans="2:10" s="132" customFormat="1" ht="13.2">
      <c r="B59" s="48"/>
      <c r="C59" s="48"/>
      <c r="D59" s="48"/>
      <c r="E59" s="48"/>
      <c r="F59" s="48"/>
      <c r="G59" s="179"/>
      <c r="H59" s="48"/>
      <c r="I59" s="48"/>
      <c r="J59" s="48"/>
    </row>
    <row r="60" spans="2:10" ht="13.2"/>
    <row r="61" spans="2:10" ht="13.2"/>
    <row r="62" spans="2:10" ht="13.2">
      <c r="G62" s="179"/>
    </row>
    <row r="63" spans="2:10" ht="15" customHeight="1"/>
    <row r="64" spans="2:10" ht="13.2"/>
    <row r="65" ht="13.2"/>
    <row r="66" ht="13.2"/>
    <row r="67" ht="13.2"/>
    <row r="68" ht="13.2"/>
    <row r="69" ht="13.2"/>
    <row r="70" ht="15" customHeight="1"/>
    <row r="71" ht="15" customHeight="1"/>
    <row r="72" ht="13.2"/>
    <row r="73" ht="13.2"/>
    <row r="74" ht="13.2"/>
    <row r="75" ht="13.2"/>
    <row r="76" ht="13.2"/>
    <row r="77" ht="13.2"/>
    <row r="78" ht="13.2"/>
    <row r="79" ht="13.2"/>
    <row r="80" ht="13.2"/>
    <row r="81" ht="13.2"/>
    <row r="82" ht="13.2"/>
    <row r="83" ht="13.2"/>
    <row r="84" ht="13.2"/>
    <row r="85" ht="13.2"/>
    <row r="86" ht="13.2"/>
    <row r="87" ht="13.2"/>
    <row r="88" ht="13.2"/>
    <row r="89" ht="13.2"/>
    <row r="90" ht="13.2"/>
  </sheetData>
  <mergeCells count="37">
    <mergeCell ref="H2:H3"/>
    <mergeCell ref="I2:I3"/>
    <mergeCell ref="J2:J3"/>
    <mergeCell ref="B8:B9"/>
    <mergeCell ref="C8:C9"/>
    <mergeCell ref="D8:D9"/>
    <mergeCell ref="E8:E9"/>
    <mergeCell ref="F8:F9"/>
    <mergeCell ref="B2:F2"/>
    <mergeCell ref="G2:G3"/>
    <mergeCell ref="B15:B16"/>
    <mergeCell ref="C15:C16"/>
    <mergeCell ref="D15:D16"/>
    <mergeCell ref="E15:E16"/>
    <mergeCell ref="F15:F16"/>
    <mergeCell ref="D37:E37"/>
    <mergeCell ref="D38:E38"/>
    <mergeCell ref="D39:E39"/>
    <mergeCell ref="F20:F21"/>
    <mergeCell ref="B22:C22"/>
    <mergeCell ref="D22:F22"/>
    <mergeCell ref="B20:B21"/>
    <mergeCell ref="C20:C21"/>
    <mergeCell ref="D20:D21"/>
    <mergeCell ref="E20:E21"/>
    <mergeCell ref="B33:C33"/>
    <mergeCell ref="D33:E33"/>
    <mergeCell ref="F29:F30"/>
    <mergeCell ref="D31:E31"/>
    <mergeCell ref="D32:E32"/>
    <mergeCell ref="D29:D30"/>
    <mergeCell ref="E29:E30"/>
    <mergeCell ref="H35:I35"/>
    <mergeCell ref="H36:I36"/>
    <mergeCell ref="D34:E34"/>
    <mergeCell ref="D35:E35"/>
    <mergeCell ref="D36:E36"/>
  </mergeCells>
  <printOptions horizontalCentered="1" verticalCentered="1"/>
  <pageMargins left="0.7" right="0.7" top="0.75" bottom="0.75" header="0.3" footer="0.3"/>
  <pageSetup scale="91" fitToHeight="0" orientation="landscape" horizontalDpi="4294967292" verticalDpi="4294967292" r:id="rId1"/>
  <headerFooter>
    <oddHeader>&amp;C&amp;"Times New Roman Bold,Bold"&amp;14&amp;K000000INVESTOR SHEET</oddHeader>
    <oddFooter>&amp;CPage &amp;P of &amp;N</oddFooter>
  </headerFooter>
  <ignoredErrors>
    <ignoredError sqref="E20 E8" formula="1"/>
  </ignoredError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ED3F40-9C21-4C45-8DA5-2643E4554DF7}">
  <sheetPr>
    <tabColor rgb="FF00B050"/>
  </sheetPr>
  <dimension ref="A1:AS77"/>
  <sheetViews>
    <sheetView zoomScale="88" zoomScaleNormal="100" zoomScalePageLayoutView="125" workbookViewId="0">
      <selection activeCell="L34" sqref="L34"/>
    </sheetView>
  </sheetViews>
  <sheetFormatPr defaultColWidth="8.77734375" defaultRowHeight="14.4" outlineLevelRow="1"/>
  <cols>
    <col min="1" max="1" width="4" style="47" customWidth="1"/>
    <col min="2" max="2" width="49.109375" style="48" bestFit="1" customWidth="1"/>
    <col min="3" max="3" width="20.77734375" style="48" customWidth="1"/>
    <col min="4" max="15" width="15.109375" style="48" customWidth="1"/>
    <col min="16" max="38" width="17" style="48" customWidth="1"/>
    <col min="39" max="39" width="16.44140625" style="48" customWidth="1"/>
    <col min="40" max="40" width="15" style="95" customWidth="1"/>
    <col min="41" max="41" width="17.77734375" style="95" bestFit="1" customWidth="1"/>
    <col min="42" max="42" width="9.44140625" style="48" bestFit="1" customWidth="1"/>
    <col min="43" max="43" width="11.77734375" style="48" bestFit="1" customWidth="1"/>
    <col min="44" max="45" width="9.44140625" style="48" bestFit="1" customWidth="1"/>
    <col min="46" max="16384" width="8.77734375" style="48"/>
  </cols>
  <sheetData>
    <row r="1" spans="1:45" s="47" customFormat="1" ht="15" thickBot="1">
      <c r="AN1" s="133"/>
      <c r="AO1" s="133"/>
    </row>
    <row r="2" spans="1:45" s="95" customFormat="1" ht="15" thickBot="1">
      <c r="A2" s="133"/>
      <c r="B2" s="1213" t="str">
        <f>'Development Program'!K25</f>
        <v>Chinook</v>
      </c>
      <c r="C2" s="235" t="s">
        <v>343</v>
      </c>
      <c r="D2" s="123">
        <v>0</v>
      </c>
      <c r="E2" s="228">
        <f t="shared" ref="E2:O2" si="0">D2+1</f>
        <v>1</v>
      </c>
      <c r="F2" s="382">
        <f>E2+1</f>
        <v>2</v>
      </c>
      <c r="G2" s="136">
        <f>F2+1</f>
        <v>3</v>
      </c>
      <c r="H2" s="398">
        <f t="shared" si="0"/>
        <v>4</v>
      </c>
      <c r="I2" s="137">
        <f t="shared" si="0"/>
        <v>5</v>
      </c>
      <c r="J2" s="137">
        <f t="shared" si="0"/>
        <v>6</v>
      </c>
      <c r="K2" s="137">
        <f>J2+1</f>
        <v>7</v>
      </c>
      <c r="L2" s="137">
        <f>K2+1</f>
        <v>8</v>
      </c>
      <c r="M2" s="137">
        <f>L2+1</f>
        <v>9</v>
      </c>
      <c r="N2" s="137">
        <f t="shared" si="0"/>
        <v>10</v>
      </c>
      <c r="O2" s="261">
        <f t="shared" si="0"/>
        <v>11</v>
      </c>
      <c r="P2" s="48"/>
      <c r="Q2" s="48"/>
      <c r="R2" s="48"/>
      <c r="S2" s="48"/>
      <c r="T2" s="48"/>
      <c r="U2" s="48"/>
      <c r="V2" s="48"/>
      <c r="W2" s="48"/>
      <c r="X2" s="48"/>
      <c r="Y2" s="48"/>
      <c r="Z2" s="48"/>
      <c r="AA2" s="48"/>
      <c r="AB2" s="48"/>
      <c r="AC2" s="48"/>
      <c r="AD2" s="48"/>
      <c r="AE2" s="48"/>
      <c r="AF2" s="48"/>
      <c r="AG2" s="48"/>
      <c r="AH2" s="48"/>
      <c r="AI2" s="48"/>
      <c r="AJ2" s="48"/>
      <c r="AK2" s="48"/>
      <c r="AL2" s="48"/>
      <c r="AM2" s="48"/>
      <c r="AP2" s="48"/>
      <c r="AQ2" s="48"/>
      <c r="AR2" s="48"/>
      <c r="AS2" s="48"/>
    </row>
    <row r="3" spans="1:45" s="95" customFormat="1" ht="41.55" customHeight="1" thickBot="1">
      <c r="A3" s="133"/>
      <c r="B3" s="1158"/>
      <c r="C3" s="236" t="s">
        <v>104</v>
      </c>
      <c r="D3" s="291">
        <v>45413</v>
      </c>
      <c r="E3" s="292">
        <f t="shared" ref="E3:O3" si="1">EDATE(D3,12)</f>
        <v>45778</v>
      </c>
      <c r="F3" s="383">
        <f t="shared" si="1"/>
        <v>46143</v>
      </c>
      <c r="G3" s="224">
        <f t="shared" si="1"/>
        <v>46508</v>
      </c>
      <c r="H3" s="399">
        <f t="shared" si="1"/>
        <v>46874</v>
      </c>
      <c r="I3" s="225">
        <f t="shared" si="1"/>
        <v>47239</v>
      </c>
      <c r="J3" s="225">
        <f t="shared" si="1"/>
        <v>47604</v>
      </c>
      <c r="K3" s="225">
        <f t="shared" si="1"/>
        <v>47969</v>
      </c>
      <c r="L3" s="225">
        <f t="shared" si="1"/>
        <v>48335</v>
      </c>
      <c r="M3" s="225">
        <f t="shared" si="1"/>
        <v>48700</v>
      </c>
      <c r="N3" s="225">
        <f t="shared" si="1"/>
        <v>49065</v>
      </c>
      <c r="O3" s="226">
        <f t="shared" si="1"/>
        <v>49430</v>
      </c>
      <c r="P3" s="48"/>
      <c r="Q3" s="48"/>
      <c r="R3" s="48"/>
      <c r="S3" s="48"/>
      <c r="T3" s="48"/>
      <c r="U3" s="48"/>
      <c r="V3" s="48"/>
      <c r="W3" s="48"/>
      <c r="X3" s="48"/>
      <c r="Y3" s="48"/>
      <c r="Z3" s="48"/>
      <c r="AA3" s="48"/>
      <c r="AB3" s="48"/>
      <c r="AC3" s="48"/>
      <c r="AD3" s="48"/>
      <c r="AE3" s="48"/>
      <c r="AF3" s="48"/>
      <c r="AG3" s="48"/>
      <c r="AH3" s="48"/>
      <c r="AI3" s="48"/>
      <c r="AJ3" s="48"/>
      <c r="AK3" s="48"/>
      <c r="AL3" s="48"/>
      <c r="AM3" s="48"/>
      <c r="AP3" s="48"/>
      <c r="AQ3" s="48"/>
      <c r="AR3" s="48"/>
      <c r="AS3" s="48"/>
    </row>
    <row r="4" spans="1:45" s="95" customFormat="1" ht="64.05" hidden="1" customHeight="1" thickBot="1">
      <c r="A4" s="133"/>
      <c r="B4" s="1214"/>
      <c r="C4" s="237" t="s">
        <v>46</v>
      </c>
      <c r="D4" s="214" t="e">
        <f>EOMONTH(#REF!,3)</f>
        <v>#REF!</v>
      </c>
      <c r="E4" s="215" t="e">
        <f t="shared" ref="E4:J4" si="2">EOMONTH(D4,3)</f>
        <v>#REF!</v>
      </c>
      <c r="F4" s="384" t="e">
        <f>EOMONTH(#REF!,3)</f>
        <v>#REF!</v>
      </c>
      <c r="G4" s="114" t="e">
        <f>EOMONTH(#REF!,3)</f>
        <v>#REF!</v>
      </c>
      <c r="H4" s="538" t="e">
        <f t="shared" si="2"/>
        <v>#REF!</v>
      </c>
      <c r="I4" s="97" t="e">
        <f t="shared" si="2"/>
        <v>#REF!</v>
      </c>
      <c r="J4" s="97" t="e">
        <f t="shared" si="2"/>
        <v>#REF!</v>
      </c>
      <c r="K4" s="97" t="e">
        <f>EOMONTH(#REF!,3)</f>
        <v>#REF!</v>
      </c>
      <c r="L4" s="97" t="e">
        <f>EOMONTH(#REF!,3)</f>
        <v>#REF!</v>
      </c>
      <c r="M4" s="97" t="e">
        <f>EOMONTH(K4,3)</f>
        <v>#REF!</v>
      </c>
      <c r="N4" s="97" t="e">
        <f t="shared" ref="N4" si="3">EOMONTH(M4,3)</f>
        <v>#REF!</v>
      </c>
      <c r="O4" s="104" t="e">
        <f>EOMONTH(J4,3)</f>
        <v>#REF!</v>
      </c>
      <c r="AP4" s="48"/>
      <c r="AQ4" s="48"/>
      <c r="AR4" s="48"/>
      <c r="AS4" s="48"/>
    </row>
    <row r="5" spans="1:45" s="95" customFormat="1" ht="15" thickBot="1">
      <c r="A5" s="133"/>
      <c r="B5" s="98" t="s">
        <v>112</v>
      </c>
      <c r="C5" s="238">
        <v>1</v>
      </c>
      <c r="D5" s="535">
        <f>D29/$C$29</f>
        <v>0.30568298976281683</v>
      </c>
      <c r="E5" s="537">
        <f t="shared" ref="E5:F5" si="4">E29/$C$29</f>
        <v>0.34635329920246921</v>
      </c>
      <c r="F5" s="536">
        <f t="shared" si="4"/>
        <v>0.34796371103471402</v>
      </c>
      <c r="G5" s="227" t="s">
        <v>205</v>
      </c>
      <c r="H5" s="400" t="s">
        <v>205</v>
      </c>
      <c r="I5" s="101" t="s">
        <v>205</v>
      </c>
      <c r="J5" s="101" t="s">
        <v>205</v>
      </c>
      <c r="K5" s="101" t="s">
        <v>205</v>
      </c>
      <c r="L5" s="101" t="s">
        <v>205</v>
      </c>
      <c r="M5" s="101" t="s">
        <v>205</v>
      </c>
      <c r="N5" s="101" t="s">
        <v>205</v>
      </c>
      <c r="O5" s="118" t="s">
        <v>205</v>
      </c>
      <c r="AP5" s="48"/>
      <c r="AQ5" s="48"/>
      <c r="AR5" s="48"/>
      <c r="AS5" s="48"/>
    </row>
    <row r="6" spans="1:45" s="95" customFormat="1">
      <c r="A6" s="133"/>
      <c r="B6" s="273" t="str">
        <f>'Site 3 - Financial'!G4</f>
        <v>Residential Condominium Hard Costs for Construction</v>
      </c>
      <c r="C6" s="234">
        <f>'Site 3 - Financial'!I4</f>
        <v>38555000</v>
      </c>
      <c r="D6" s="528">
        <v>0</v>
      </c>
      <c r="E6" s="529">
        <f>(1/2)*$C6</f>
        <v>19277500</v>
      </c>
      <c r="F6" s="529">
        <f>(1/2)*$C$6</f>
        <v>19277500</v>
      </c>
      <c r="G6" s="527" t="s">
        <v>205</v>
      </c>
      <c r="H6" s="401" t="s">
        <v>205</v>
      </c>
      <c r="I6" s="268" t="s">
        <v>205</v>
      </c>
      <c r="J6" s="268" t="s">
        <v>205</v>
      </c>
      <c r="K6" s="268" t="s">
        <v>205</v>
      </c>
      <c r="L6" s="268" t="s">
        <v>205</v>
      </c>
      <c r="M6" s="268" t="s">
        <v>205</v>
      </c>
      <c r="N6" s="268" t="s">
        <v>205</v>
      </c>
      <c r="O6" s="269" t="s">
        <v>205</v>
      </c>
      <c r="P6" s="929"/>
      <c r="AP6" s="48"/>
      <c r="AQ6" s="48"/>
      <c r="AR6" s="48"/>
      <c r="AS6" s="48"/>
    </row>
    <row r="7" spans="1:45" s="95" customFormat="1">
      <c r="A7" s="133"/>
      <c r="B7" s="273" t="str">
        <f>'Site 3 - Financial'!G5</f>
        <v>Office Shell &amp; Core Hard Costs for Construction (0%)</v>
      </c>
      <c r="C7" s="234">
        <f>'Site 3 - Financial'!I5</f>
        <v>0</v>
      </c>
      <c r="D7" s="217">
        <v>0</v>
      </c>
      <c r="E7" s="529">
        <f t="shared" ref="E7:F10" si="5">(1/2)*$C7</f>
        <v>0</v>
      </c>
      <c r="F7" s="529">
        <f t="shared" si="5"/>
        <v>0</v>
      </c>
      <c r="G7" s="267" t="s">
        <v>205</v>
      </c>
      <c r="H7" s="401" t="s">
        <v>205</v>
      </c>
      <c r="I7" s="268" t="s">
        <v>205</v>
      </c>
      <c r="J7" s="268" t="s">
        <v>205</v>
      </c>
      <c r="K7" s="268" t="s">
        <v>205</v>
      </c>
      <c r="L7" s="268" t="s">
        <v>205</v>
      </c>
      <c r="M7" s="268" t="s">
        <v>205</v>
      </c>
      <c r="N7" s="268" t="s">
        <v>205</v>
      </c>
      <c r="O7" s="269" t="s">
        <v>205</v>
      </c>
      <c r="P7" s="929"/>
      <c r="AP7" s="48"/>
      <c r="AQ7" s="48"/>
      <c r="AR7" s="48"/>
      <c r="AS7" s="48"/>
    </row>
    <row r="8" spans="1:45" s="95" customFormat="1">
      <c r="A8" s="133"/>
      <c r="B8" s="273" t="str">
        <f>'Site 3 - Financial'!G6</f>
        <v>Retail Hard Costs for Construction</v>
      </c>
      <c r="C8" s="234">
        <f>'Site 3 - Financial'!I6</f>
        <v>9758340</v>
      </c>
      <c r="D8" s="217">
        <v>0</v>
      </c>
      <c r="E8" s="529">
        <f t="shared" si="5"/>
        <v>4879170</v>
      </c>
      <c r="F8" s="529">
        <f t="shared" si="5"/>
        <v>4879170</v>
      </c>
      <c r="G8" s="267" t="s">
        <v>205</v>
      </c>
      <c r="H8" s="401" t="s">
        <v>205</v>
      </c>
      <c r="I8" s="268" t="s">
        <v>205</v>
      </c>
      <c r="J8" s="268" t="s">
        <v>205</v>
      </c>
      <c r="K8" s="268" t="s">
        <v>205</v>
      </c>
      <c r="L8" s="268" t="s">
        <v>205</v>
      </c>
      <c r="M8" s="268" t="s">
        <v>205</v>
      </c>
      <c r="N8" s="268" t="s">
        <v>205</v>
      </c>
      <c r="O8" s="269" t="s">
        <v>205</v>
      </c>
      <c r="P8" s="929"/>
      <c r="AP8" s="48"/>
      <c r="AQ8" s="48"/>
      <c r="AR8" s="48"/>
      <c r="AS8" s="48"/>
    </row>
    <row r="9" spans="1:45" s="95" customFormat="1">
      <c r="A9" s="133"/>
      <c r="B9" s="273" t="str">
        <f>'Site 3 - Financial'!G7</f>
        <v>Parking stalls (0%)</v>
      </c>
      <c r="C9" s="234">
        <f>'Site 3 - Financial'!I7</f>
        <v>5818475</v>
      </c>
      <c r="D9" s="217">
        <v>0</v>
      </c>
      <c r="E9" s="529">
        <f t="shared" si="5"/>
        <v>2909237.5</v>
      </c>
      <c r="F9" s="529">
        <f t="shared" si="5"/>
        <v>2909237.5</v>
      </c>
      <c r="G9" s="267" t="s">
        <v>205</v>
      </c>
      <c r="H9" s="401" t="s">
        <v>205</v>
      </c>
      <c r="I9" s="268" t="s">
        <v>205</v>
      </c>
      <c r="J9" s="268" t="s">
        <v>205</v>
      </c>
      <c r="K9" s="268" t="s">
        <v>205</v>
      </c>
      <c r="L9" s="268" t="s">
        <v>205</v>
      </c>
      <c r="M9" s="268" t="s">
        <v>205</v>
      </c>
      <c r="N9" s="268" t="s">
        <v>205</v>
      </c>
      <c r="O9" s="269" t="s">
        <v>205</v>
      </c>
      <c r="P9" s="929"/>
      <c r="AP9" s="48"/>
      <c r="AQ9" s="48"/>
      <c r="AR9" s="48"/>
      <c r="AS9" s="48"/>
    </row>
    <row r="10" spans="1:45" s="95" customFormat="1">
      <c r="A10" s="133"/>
      <c r="B10" s="273" t="str">
        <f>'Site 3 - Financial'!G8</f>
        <v>Hard Cost Contingency</v>
      </c>
      <c r="C10" s="234">
        <f>'Site 3 - Financial'!I8</f>
        <v>5413181.5</v>
      </c>
      <c r="D10" s="217">
        <v>0</v>
      </c>
      <c r="E10" s="529">
        <f t="shared" si="5"/>
        <v>2706590.75</v>
      </c>
      <c r="F10" s="529">
        <f t="shared" si="5"/>
        <v>2706590.75</v>
      </c>
      <c r="G10" s="270" t="s">
        <v>205</v>
      </c>
      <c r="H10" s="402" t="s">
        <v>205</v>
      </c>
      <c r="I10" s="271" t="s">
        <v>205</v>
      </c>
      <c r="J10" s="271" t="s">
        <v>205</v>
      </c>
      <c r="K10" s="271" t="s">
        <v>205</v>
      </c>
      <c r="L10" s="271" t="s">
        <v>205</v>
      </c>
      <c r="M10" s="271" t="s">
        <v>205</v>
      </c>
      <c r="N10" s="271" t="s">
        <v>205</v>
      </c>
      <c r="O10" s="272" t="s">
        <v>205</v>
      </c>
      <c r="P10" s="929"/>
      <c r="AP10" s="48"/>
      <c r="AQ10" s="48"/>
      <c r="AR10" s="48"/>
      <c r="AS10" s="48"/>
    </row>
    <row r="11" spans="1:45" s="95" customFormat="1">
      <c r="A11" s="133"/>
      <c r="B11" s="273" t="str">
        <f>'Site 3 - Financial'!G9</f>
        <v>Demolition</v>
      </c>
      <c r="C11" s="234">
        <f>'Site 3 - Financial'!I9</f>
        <v>0</v>
      </c>
      <c r="D11" s="217">
        <v>0</v>
      </c>
      <c r="E11" s="218">
        <v>0</v>
      </c>
      <c r="F11" s="385">
        <v>0</v>
      </c>
      <c r="G11" s="270" t="s">
        <v>205</v>
      </c>
      <c r="H11" s="402" t="s">
        <v>205</v>
      </c>
      <c r="I11" s="271" t="s">
        <v>205</v>
      </c>
      <c r="J11" s="271" t="s">
        <v>205</v>
      </c>
      <c r="K11" s="271" t="s">
        <v>205</v>
      </c>
      <c r="L11" s="271" t="s">
        <v>205</v>
      </c>
      <c r="M11" s="271" t="s">
        <v>205</v>
      </c>
      <c r="N11" s="271" t="s">
        <v>205</v>
      </c>
      <c r="O11" s="272" t="s">
        <v>205</v>
      </c>
      <c r="P11" s="929"/>
      <c r="AP11" s="48"/>
      <c r="AQ11" s="48"/>
      <c r="AR11" s="48"/>
      <c r="AS11" s="48"/>
    </row>
    <row r="12" spans="1:45" s="95" customFormat="1" ht="19.05" customHeight="1">
      <c r="A12" s="133"/>
      <c r="B12" s="273" t="str">
        <f>'Site 3 - Financial'!G10</f>
        <v>Land</v>
      </c>
      <c r="C12" s="234">
        <f>'Site 3 - Financial'!I10</f>
        <v>29239669.4214876</v>
      </c>
      <c r="D12" s="217">
        <f>C12</f>
        <v>29239669.4214876</v>
      </c>
      <c r="E12" s="218">
        <v>0</v>
      </c>
      <c r="F12" s="385">
        <v>0</v>
      </c>
      <c r="G12" s="270" t="s">
        <v>205</v>
      </c>
      <c r="H12" s="402" t="s">
        <v>205</v>
      </c>
      <c r="I12" s="271" t="s">
        <v>205</v>
      </c>
      <c r="J12" s="271" t="s">
        <v>205</v>
      </c>
      <c r="K12" s="271" t="s">
        <v>205</v>
      </c>
      <c r="L12" s="271" t="s">
        <v>205</v>
      </c>
      <c r="M12" s="271" t="s">
        <v>205</v>
      </c>
      <c r="N12" s="268" t="s">
        <v>205</v>
      </c>
      <c r="O12" s="272" t="s">
        <v>205</v>
      </c>
      <c r="P12" s="929"/>
      <c r="AP12" s="48"/>
      <c r="AQ12" s="48"/>
      <c r="AR12" s="48"/>
      <c r="AS12" s="48"/>
    </row>
    <row r="13" spans="1:45" s="95" customFormat="1">
      <c r="A13" s="133"/>
      <c r="B13" s="273" t="str">
        <f>'Site 3 - Financial'!G11</f>
        <v>Municipal Fees and Allowances</v>
      </c>
      <c r="C13" s="234">
        <f>'Site 3 - Financial'!I11</f>
        <v>325000</v>
      </c>
      <c r="D13" s="217">
        <f>C13</f>
        <v>325000</v>
      </c>
      <c r="E13" s="218">
        <v>0</v>
      </c>
      <c r="F13" s="385">
        <v>0</v>
      </c>
      <c r="G13" s="270" t="s">
        <v>205</v>
      </c>
      <c r="H13" s="402" t="s">
        <v>205</v>
      </c>
      <c r="I13" s="271" t="s">
        <v>205</v>
      </c>
      <c r="J13" s="271" t="s">
        <v>205</v>
      </c>
      <c r="K13" s="271" t="s">
        <v>205</v>
      </c>
      <c r="L13" s="271" t="s">
        <v>205</v>
      </c>
      <c r="M13" s="271" t="s">
        <v>205</v>
      </c>
      <c r="N13" s="271" t="s">
        <v>205</v>
      </c>
      <c r="O13" s="272" t="s">
        <v>205</v>
      </c>
      <c r="P13" s="929"/>
      <c r="AP13" s="48"/>
      <c r="AQ13" s="48"/>
      <c r="AR13" s="48"/>
      <c r="AS13" s="48"/>
    </row>
    <row r="14" spans="1:45" s="95" customFormat="1">
      <c r="A14" s="133"/>
      <c r="B14" s="273" t="str">
        <f>'Site 3 - Financial'!G12</f>
        <v>Infrastructure Allocation</v>
      </c>
      <c r="C14" s="234">
        <f>'Site 3 - Financial'!I12</f>
        <v>20062099.321133409</v>
      </c>
      <c r="D14" s="217">
        <f>C14/3</f>
        <v>6687366.4403778026</v>
      </c>
      <c r="E14" s="218">
        <f>D14</f>
        <v>6687366.4403778026</v>
      </c>
      <c r="F14" s="385">
        <f>E14</f>
        <v>6687366.4403778026</v>
      </c>
      <c r="G14" s="267" t="s">
        <v>205</v>
      </c>
      <c r="H14" s="401" t="s">
        <v>205</v>
      </c>
      <c r="I14" s="268" t="s">
        <v>205</v>
      </c>
      <c r="J14" s="268" t="s">
        <v>205</v>
      </c>
      <c r="K14" s="268" t="s">
        <v>205</v>
      </c>
      <c r="L14" s="268" t="s">
        <v>205</v>
      </c>
      <c r="M14" s="268" t="s">
        <v>205</v>
      </c>
      <c r="N14" s="268" t="s">
        <v>205</v>
      </c>
      <c r="O14" s="269" t="s">
        <v>205</v>
      </c>
      <c r="P14" s="929"/>
      <c r="AP14" s="48"/>
      <c r="AQ14" s="48"/>
      <c r="AR14" s="48"/>
      <c r="AS14" s="48"/>
    </row>
    <row r="15" spans="1:45" s="95" customFormat="1">
      <c r="A15" s="133"/>
      <c r="B15" s="273" t="str">
        <f>'Site 3 - Financial'!G13</f>
        <v>Legal</v>
      </c>
      <c r="C15" s="234">
        <f>'Site 3 - Financial'!I13</f>
        <v>400000</v>
      </c>
      <c r="D15" s="217">
        <f>C15/2</f>
        <v>200000</v>
      </c>
      <c r="E15" s="218">
        <v>0</v>
      </c>
      <c r="F15" s="385">
        <f>C15/2</f>
        <v>200000</v>
      </c>
      <c r="G15" s="267" t="s">
        <v>205</v>
      </c>
      <c r="H15" s="401" t="s">
        <v>205</v>
      </c>
      <c r="I15" s="268" t="s">
        <v>205</v>
      </c>
      <c r="J15" s="268" t="s">
        <v>205</v>
      </c>
      <c r="K15" s="268" t="s">
        <v>205</v>
      </c>
      <c r="L15" s="268" t="s">
        <v>205</v>
      </c>
      <c r="M15" s="268" t="s">
        <v>205</v>
      </c>
      <c r="N15" s="268" t="s">
        <v>205</v>
      </c>
      <c r="O15" s="269" t="s">
        <v>205</v>
      </c>
      <c r="P15" s="929"/>
      <c r="AP15" s="48"/>
      <c r="AQ15" s="48"/>
      <c r="AR15" s="48"/>
      <c r="AS15" s="48"/>
    </row>
    <row r="16" spans="1:45" s="95" customFormat="1">
      <c r="A16" s="133"/>
      <c r="B16" s="273" t="str">
        <f>'Site 3 - Financial'!G14</f>
        <v>Land Closing Costs/Commissions</v>
      </c>
      <c r="C16" s="234">
        <f>'Site 3 - Financial'!I14</f>
        <v>584793.38842975197</v>
      </c>
      <c r="D16" s="217">
        <f>C16</f>
        <v>584793.38842975197</v>
      </c>
      <c r="E16" s="218">
        <v>0</v>
      </c>
      <c r="F16" s="385">
        <v>0</v>
      </c>
      <c r="G16" s="270" t="s">
        <v>205</v>
      </c>
      <c r="H16" s="402" t="s">
        <v>205</v>
      </c>
      <c r="I16" s="271" t="s">
        <v>205</v>
      </c>
      <c r="J16" s="271" t="s">
        <v>205</v>
      </c>
      <c r="K16" s="271" t="s">
        <v>205</v>
      </c>
      <c r="L16" s="271" t="s">
        <v>205</v>
      </c>
      <c r="M16" s="271" t="s">
        <v>205</v>
      </c>
      <c r="N16" s="271" t="s">
        <v>205</v>
      </c>
      <c r="O16" s="272" t="s">
        <v>205</v>
      </c>
      <c r="P16" s="929"/>
      <c r="AP16" s="48"/>
      <c r="AQ16" s="48"/>
      <c r="AR16" s="48"/>
      <c r="AS16" s="48"/>
    </row>
    <row r="17" spans="1:45" s="95" customFormat="1">
      <c r="A17" s="133"/>
      <c r="B17" s="273" t="str">
        <f>'Site 3 - Financial'!G15</f>
        <v xml:space="preserve">Design </v>
      </c>
      <c r="C17" s="234">
        <f>'Site 3 - Financial'!I15</f>
        <v>2165272.6</v>
      </c>
      <c r="D17" s="217">
        <f>C17*0.75</f>
        <v>1623954.4500000002</v>
      </c>
      <c r="E17" s="218">
        <f>C17*0.125</f>
        <v>270659.07500000001</v>
      </c>
      <c r="F17" s="385">
        <f>E17</f>
        <v>270659.07500000001</v>
      </c>
      <c r="G17" s="270" t="s">
        <v>205</v>
      </c>
      <c r="H17" s="402" t="s">
        <v>205</v>
      </c>
      <c r="I17" s="271" t="s">
        <v>205</v>
      </c>
      <c r="J17" s="271" t="s">
        <v>205</v>
      </c>
      <c r="K17" s="271" t="s">
        <v>205</v>
      </c>
      <c r="L17" s="271" t="s">
        <v>205</v>
      </c>
      <c r="M17" s="271" t="s">
        <v>205</v>
      </c>
      <c r="N17" s="271" t="s">
        <v>205</v>
      </c>
      <c r="O17" s="272" t="s">
        <v>205</v>
      </c>
      <c r="P17" s="929"/>
      <c r="AP17" s="48"/>
      <c r="AQ17" s="48"/>
      <c r="AR17" s="48"/>
      <c r="AS17" s="48"/>
    </row>
    <row r="18" spans="1:45" s="95" customFormat="1" ht="19.05" customHeight="1">
      <c r="A18" s="133"/>
      <c r="B18" s="273" t="str">
        <f>'Site 3 - Financial'!G16</f>
        <v>Developer Fee</v>
      </c>
      <c r="C18" s="234">
        <f>'Site 3 - Financial'!I16</f>
        <v>3369654.9369315221</v>
      </c>
      <c r="D18" s="217">
        <f>$C18/3</f>
        <v>1123218.3123105073</v>
      </c>
      <c r="E18" s="218">
        <f t="shared" ref="E18:F18" si="6">$C$18/3</f>
        <v>1123218.3123105073</v>
      </c>
      <c r="F18" s="219">
        <f t="shared" si="6"/>
        <v>1123218.3123105073</v>
      </c>
      <c r="G18" s="270" t="s">
        <v>205</v>
      </c>
      <c r="H18" s="402" t="s">
        <v>205</v>
      </c>
      <c r="I18" s="271" t="s">
        <v>205</v>
      </c>
      <c r="J18" s="271" t="s">
        <v>205</v>
      </c>
      <c r="K18" s="271" t="s">
        <v>205</v>
      </c>
      <c r="L18" s="271" t="s">
        <v>205</v>
      </c>
      <c r="M18" s="271" t="s">
        <v>205</v>
      </c>
      <c r="N18" s="268" t="s">
        <v>205</v>
      </c>
      <c r="O18" s="272" t="s">
        <v>205</v>
      </c>
      <c r="P18" s="929"/>
      <c r="AP18" s="48"/>
      <c r="AQ18" s="48"/>
      <c r="AR18" s="48"/>
      <c r="AS18" s="48"/>
    </row>
    <row r="19" spans="1:45" s="95" customFormat="1">
      <c r="A19" s="133"/>
      <c r="B19" s="273" t="str">
        <f>'Site 3 - Financial'!G17</f>
        <v>Construction Management Fee</v>
      </c>
      <c r="C19" s="234">
        <f>'Site 3 - Financial'!I17</f>
        <v>1082636.3</v>
      </c>
      <c r="D19" s="217">
        <f t="shared" ref="D19:F21" si="7">$C19/3</f>
        <v>360878.76666666666</v>
      </c>
      <c r="E19" s="218">
        <f t="shared" si="7"/>
        <v>360878.76666666666</v>
      </c>
      <c r="F19" s="219">
        <f t="shared" si="7"/>
        <v>360878.76666666666</v>
      </c>
      <c r="G19" s="270" t="s">
        <v>205</v>
      </c>
      <c r="H19" s="402" t="s">
        <v>205</v>
      </c>
      <c r="I19" s="271" t="s">
        <v>205</v>
      </c>
      <c r="J19" s="271" t="s">
        <v>205</v>
      </c>
      <c r="K19" s="271" t="s">
        <v>205</v>
      </c>
      <c r="L19" s="271" t="s">
        <v>205</v>
      </c>
      <c r="M19" s="271" t="s">
        <v>205</v>
      </c>
      <c r="N19" s="271" t="s">
        <v>205</v>
      </c>
      <c r="O19" s="272" t="s">
        <v>205</v>
      </c>
      <c r="P19" s="929"/>
      <c r="AP19" s="48"/>
      <c r="AQ19" s="48"/>
      <c r="AR19" s="48"/>
      <c r="AS19" s="48"/>
    </row>
    <row r="20" spans="1:45" s="95" customFormat="1">
      <c r="A20" s="133"/>
      <c r="B20" s="273" t="str">
        <f>'Site 3 - Financial'!G18</f>
        <v>Taxes</v>
      </c>
      <c r="C20" s="234">
        <f>'Site 3 - Financial'!I18</f>
        <v>258168.73719008258</v>
      </c>
      <c r="D20" s="217">
        <f>C20/3</f>
        <v>86056.245730027527</v>
      </c>
      <c r="E20" s="218">
        <f>D20</f>
        <v>86056.245730027527</v>
      </c>
      <c r="F20" s="385">
        <f>E20</f>
        <v>86056.245730027527</v>
      </c>
      <c r="G20" s="267" t="s">
        <v>205</v>
      </c>
      <c r="H20" s="401" t="s">
        <v>205</v>
      </c>
      <c r="I20" s="268" t="s">
        <v>205</v>
      </c>
      <c r="J20" s="268" t="s">
        <v>205</v>
      </c>
      <c r="K20" s="268" t="s">
        <v>205</v>
      </c>
      <c r="L20" s="268" t="s">
        <v>205</v>
      </c>
      <c r="M20" s="268" t="s">
        <v>205</v>
      </c>
      <c r="N20" s="268" t="s">
        <v>205</v>
      </c>
      <c r="O20" s="269" t="s">
        <v>205</v>
      </c>
      <c r="P20" s="929"/>
      <c r="AP20" s="48"/>
      <c r="AQ20" s="48"/>
      <c r="AR20" s="48"/>
      <c r="AS20" s="48"/>
    </row>
    <row r="21" spans="1:45" s="95" customFormat="1">
      <c r="A21" s="133"/>
      <c r="B21" s="273" t="str">
        <f>'Site 3 - Financial'!G19</f>
        <v>Insurance</v>
      </c>
      <c r="C21" s="234">
        <f>'Site 3 - Financial'!I19</f>
        <v>1200000</v>
      </c>
      <c r="D21" s="217">
        <f t="shared" si="7"/>
        <v>400000</v>
      </c>
      <c r="E21" s="218">
        <f t="shared" si="7"/>
        <v>400000</v>
      </c>
      <c r="F21" s="219">
        <f t="shared" si="7"/>
        <v>400000</v>
      </c>
      <c r="G21" s="267" t="s">
        <v>205</v>
      </c>
      <c r="H21" s="401" t="s">
        <v>205</v>
      </c>
      <c r="I21" s="268" t="s">
        <v>205</v>
      </c>
      <c r="J21" s="268" t="s">
        <v>205</v>
      </c>
      <c r="K21" s="268" t="s">
        <v>205</v>
      </c>
      <c r="L21" s="268" t="s">
        <v>205</v>
      </c>
      <c r="M21" s="268" t="s">
        <v>205</v>
      </c>
      <c r="N21" s="268" t="s">
        <v>205</v>
      </c>
      <c r="O21" s="269" t="s">
        <v>205</v>
      </c>
      <c r="P21" s="929"/>
      <c r="AP21" s="48"/>
      <c r="AQ21" s="48"/>
      <c r="AR21" s="48"/>
      <c r="AS21" s="48"/>
    </row>
    <row r="22" spans="1:45" s="95" customFormat="1">
      <c r="A22" s="133"/>
      <c r="B22" s="273" t="str">
        <f>'Site 3 - Financial'!G20</f>
        <v>Marketing, FFE and Preleasing</v>
      </c>
      <c r="C22" s="234">
        <f>'Site 3 - Financial'!I20</f>
        <v>400000</v>
      </c>
      <c r="D22" s="217">
        <v>0</v>
      </c>
      <c r="E22" s="218">
        <f>C22/2</f>
        <v>200000</v>
      </c>
      <c r="F22" s="385">
        <f>C22/2</f>
        <v>200000</v>
      </c>
      <c r="G22" s="267" t="s">
        <v>205</v>
      </c>
      <c r="H22" s="401" t="s">
        <v>205</v>
      </c>
      <c r="I22" s="268" t="s">
        <v>205</v>
      </c>
      <c r="J22" s="268" t="s">
        <v>205</v>
      </c>
      <c r="K22" s="268" t="s">
        <v>205</v>
      </c>
      <c r="L22" s="268" t="s">
        <v>205</v>
      </c>
      <c r="M22" s="268" t="s">
        <v>205</v>
      </c>
      <c r="N22" s="268" t="s">
        <v>205</v>
      </c>
      <c r="O22" s="269" t="s">
        <v>205</v>
      </c>
      <c r="P22" s="929"/>
      <c r="AP22" s="48"/>
      <c r="AQ22" s="48"/>
      <c r="AR22" s="48"/>
      <c r="AS22" s="48"/>
    </row>
    <row r="23" spans="1:45" s="95" customFormat="1">
      <c r="A23" s="133"/>
      <c r="B23" s="273" t="str">
        <f>'Site 3 - Financial'!G21</f>
        <v>Operating Deficit</v>
      </c>
      <c r="C23" s="234">
        <f>-SUM(D37:F37,D55:F55,D64:F64,D46:F46)</f>
        <v>2376897.0575000001</v>
      </c>
      <c r="D23" s="217">
        <f>-(D37+D55+D64+D46)</f>
        <v>0</v>
      </c>
      <c r="E23" s="218">
        <f t="shared" ref="E23:F23" si="8">-(E37+E55+E64+E46)</f>
        <v>1170885.25</v>
      </c>
      <c r="F23" s="385">
        <f t="shared" si="8"/>
        <v>1206011.8075000001</v>
      </c>
      <c r="G23" s="267" t="s">
        <v>205</v>
      </c>
      <c r="H23" s="401" t="s">
        <v>205</v>
      </c>
      <c r="I23" s="268" t="s">
        <v>205</v>
      </c>
      <c r="J23" s="268" t="s">
        <v>205</v>
      </c>
      <c r="K23" s="268" t="s">
        <v>205</v>
      </c>
      <c r="L23" s="268" t="s">
        <v>205</v>
      </c>
      <c r="M23" s="268" t="s">
        <v>205</v>
      </c>
      <c r="N23" s="268" t="s">
        <v>205</v>
      </c>
      <c r="O23" s="269" t="s">
        <v>205</v>
      </c>
      <c r="P23" s="929"/>
      <c r="AP23" s="48"/>
      <c r="AQ23" s="48"/>
      <c r="AR23" s="48"/>
      <c r="AS23" s="48"/>
    </row>
    <row r="24" spans="1:45" s="95" customFormat="1">
      <c r="A24" s="133"/>
      <c r="B24" s="273" t="str">
        <f>'Site 3 - Financial'!G22</f>
        <v>Commercial Interior Fitout Cost</v>
      </c>
      <c r="C24" s="234">
        <f>'Site 3 - Financial'!I22</f>
        <v>13598340</v>
      </c>
      <c r="D24" s="217">
        <v>0</v>
      </c>
      <c r="E24" s="218">
        <f>C24/2</f>
        <v>6799170</v>
      </c>
      <c r="F24" s="385">
        <f>C24/2</f>
        <v>6799170</v>
      </c>
      <c r="G24" s="267" t="s">
        <v>205</v>
      </c>
      <c r="H24" s="401" t="s">
        <v>205</v>
      </c>
      <c r="I24" s="268" t="s">
        <v>205</v>
      </c>
      <c r="J24" s="268" t="s">
        <v>205</v>
      </c>
      <c r="K24" s="268" t="s">
        <v>205</v>
      </c>
      <c r="L24" s="268" t="s">
        <v>205</v>
      </c>
      <c r="M24" s="268" t="s">
        <v>205</v>
      </c>
      <c r="N24" s="268" t="s">
        <v>205</v>
      </c>
      <c r="O24" s="269" t="s">
        <v>205</v>
      </c>
      <c r="P24" s="929"/>
      <c r="AP24" s="48"/>
      <c r="AQ24" s="48"/>
      <c r="AR24" s="48"/>
      <c r="AS24" s="48"/>
    </row>
    <row r="25" spans="1:45" s="95" customFormat="1">
      <c r="A25" s="133"/>
      <c r="B25" s="273" t="str">
        <f>'Site 3 - Financial'!G23</f>
        <v>Commercial Brokerage Commission</v>
      </c>
      <c r="C25" s="234">
        <f>'Site 3 - Financial'!I23</f>
        <v>1196464.5</v>
      </c>
      <c r="D25" s="217">
        <v>0</v>
      </c>
      <c r="E25" s="218">
        <f>C25/2</f>
        <v>598232.25</v>
      </c>
      <c r="F25" s="385">
        <f>C25/2</f>
        <v>598232.25</v>
      </c>
      <c r="G25" s="267" t="s">
        <v>205</v>
      </c>
      <c r="H25" s="401" t="s">
        <v>205</v>
      </c>
      <c r="I25" s="268" t="s">
        <v>205</v>
      </c>
      <c r="J25" s="268" t="s">
        <v>205</v>
      </c>
      <c r="K25" s="268" t="s">
        <v>205</v>
      </c>
      <c r="L25" s="268" t="s">
        <v>205</v>
      </c>
      <c r="M25" s="268" t="s">
        <v>205</v>
      </c>
      <c r="N25" s="268" t="s">
        <v>205</v>
      </c>
      <c r="O25" s="269" t="s">
        <v>205</v>
      </c>
      <c r="P25" s="929"/>
      <c r="AP25" s="48"/>
      <c r="AQ25" s="48"/>
      <c r="AR25" s="48"/>
      <c r="AS25" s="48"/>
    </row>
    <row r="26" spans="1:45" s="95" customFormat="1">
      <c r="A26" s="133"/>
      <c r="B26" s="273" t="str">
        <f>'Site 3 - Financial'!G24</f>
        <v>Construction Loan Origination</v>
      </c>
      <c r="C26" s="234">
        <f>'Site 3 - Financial'!I24</f>
        <v>900000</v>
      </c>
      <c r="D26" s="217">
        <f>C26</f>
        <v>900000</v>
      </c>
      <c r="E26" s="218">
        <v>0</v>
      </c>
      <c r="F26" s="385">
        <v>0</v>
      </c>
      <c r="G26" s="267" t="s">
        <v>205</v>
      </c>
      <c r="H26" s="401" t="s">
        <v>205</v>
      </c>
      <c r="I26" s="268" t="s">
        <v>205</v>
      </c>
      <c r="J26" s="268" t="s">
        <v>205</v>
      </c>
      <c r="K26" s="268" t="s">
        <v>205</v>
      </c>
      <c r="L26" s="268" t="s">
        <v>205</v>
      </c>
      <c r="M26" s="268" t="s">
        <v>205</v>
      </c>
      <c r="N26" s="268" t="s">
        <v>205</v>
      </c>
      <c r="O26" s="269" t="s">
        <v>205</v>
      </c>
      <c r="P26" s="929"/>
      <c r="AP26" s="48"/>
      <c r="AQ26" s="48"/>
      <c r="AR26" s="48"/>
      <c r="AS26" s="48"/>
    </row>
    <row r="27" spans="1:45" s="95" customFormat="1">
      <c r="A27" s="133"/>
      <c r="B27" s="273" t="str">
        <f>'Site 3 - Financial'!G25</f>
        <v>Construction Interest</v>
      </c>
      <c r="C27" s="234">
        <f>'Site 3 - Financial'!I25</f>
        <v>6300000</v>
      </c>
      <c r="D27" s="217">
        <f>C27/3</f>
        <v>2100000</v>
      </c>
      <c r="E27" s="218">
        <f>D27</f>
        <v>2100000</v>
      </c>
      <c r="F27" s="385">
        <f>E27</f>
        <v>2100000</v>
      </c>
      <c r="G27" s="267" t="s">
        <v>205</v>
      </c>
      <c r="H27" s="401" t="s">
        <v>205</v>
      </c>
      <c r="I27" s="268" t="s">
        <v>205</v>
      </c>
      <c r="J27" s="268" t="s">
        <v>205</v>
      </c>
      <c r="K27" s="268" t="s">
        <v>205</v>
      </c>
      <c r="L27" s="268" t="s">
        <v>205</v>
      </c>
      <c r="M27" s="268" t="s">
        <v>205</v>
      </c>
      <c r="N27" s="268" t="s">
        <v>205</v>
      </c>
      <c r="O27" s="269" t="s">
        <v>205</v>
      </c>
      <c r="P27" s="929"/>
      <c r="AP27" s="48"/>
      <c r="AQ27" s="48"/>
      <c r="AR27" s="48"/>
      <c r="AS27" s="48"/>
    </row>
    <row r="28" spans="1:45" s="95" customFormat="1" ht="15" thickBot="1">
      <c r="A28" s="133"/>
      <c r="B28" s="273" t="str">
        <f>'Site 3 - Financial'!G26</f>
        <v>Additional Contingency</v>
      </c>
      <c r="C28" s="234">
        <f>'Site 3 - Financial'!I26</f>
        <v>3000000</v>
      </c>
      <c r="D28" s="217">
        <f>C28/3</f>
        <v>1000000</v>
      </c>
      <c r="E28" s="218">
        <f>D28</f>
        <v>1000000</v>
      </c>
      <c r="F28" s="385">
        <f>E28</f>
        <v>1000000</v>
      </c>
      <c r="G28" s="267" t="s">
        <v>205</v>
      </c>
      <c r="H28" s="401" t="s">
        <v>205</v>
      </c>
      <c r="I28" s="268" t="s">
        <v>205</v>
      </c>
      <c r="J28" s="268" t="s">
        <v>205</v>
      </c>
      <c r="K28" s="268" t="s">
        <v>205</v>
      </c>
      <c r="L28" s="268" t="s">
        <v>205</v>
      </c>
      <c r="M28" s="268" t="s">
        <v>205</v>
      </c>
      <c r="N28" s="268" t="s">
        <v>205</v>
      </c>
      <c r="O28" s="269" t="s">
        <v>205</v>
      </c>
      <c r="P28" s="929"/>
      <c r="AP28" s="48"/>
      <c r="AQ28" s="48"/>
      <c r="AR28" s="48"/>
      <c r="AS28" s="48"/>
    </row>
    <row r="29" spans="1:45" s="95" customFormat="1" ht="15" thickBot="1">
      <c r="A29" s="133"/>
      <c r="B29" s="98" t="s">
        <v>39</v>
      </c>
      <c r="C29" s="254">
        <f t="shared" ref="C29:O29" si="9">SUM(C6:C28)</f>
        <v>146003992.76267236</v>
      </c>
      <c r="D29" s="255">
        <f t="shared" si="9"/>
        <v>44630937.02500236</v>
      </c>
      <c r="E29" s="256">
        <f t="shared" si="9"/>
        <v>50568964.590085007</v>
      </c>
      <c r="F29" s="386">
        <f t="shared" si="9"/>
        <v>50804091.147585005</v>
      </c>
      <c r="G29" s="255">
        <f t="shared" ref="G29" si="10">SUM(G6:G28)</f>
        <v>0</v>
      </c>
      <c r="H29" s="403">
        <f t="shared" si="9"/>
        <v>0</v>
      </c>
      <c r="I29" s="256">
        <f t="shared" si="9"/>
        <v>0</v>
      </c>
      <c r="J29" s="256">
        <f t="shared" si="9"/>
        <v>0</v>
      </c>
      <c r="K29" s="256">
        <f t="shared" si="9"/>
        <v>0</v>
      </c>
      <c r="L29" s="256">
        <f t="shared" si="9"/>
        <v>0</v>
      </c>
      <c r="M29" s="256">
        <f t="shared" si="9"/>
        <v>0</v>
      </c>
      <c r="N29" s="256">
        <f t="shared" si="9"/>
        <v>0</v>
      </c>
      <c r="O29" s="257">
        <f t="shared" si="9"/>
        <v>0</v>
      </c>
      <c r="AP29" s="48"/>
      <c r="AQ29" s="48"/>
      <c r="AR29" s="48"/>
      <c r="AS29" s="48"/>
    </row>
    <row r="30" spans="1:45" s="133" customFormat="1">
      <c r="B30" s="193" t="s">
        <v>608</v>
      </c>
      <c r="C30" s="230"/>
      <c r="D30" s="250"/>
      <c r="E30" s="241"/>
      <c r="F30" s="387"/>
      <c r="G30" s="250"/>
      <c r="H30" s="404"/>
      <c r="I30" s="241"/>
      <c r="J30" s="241"/>
      <c r="K30" s="241"/>
      <c r="L30" s="241"/>
      <c r="M30" s="241"/>
      <c r="N30" s="241"/>
      <c r="O30" s="242"/>
      <c r="AP30" s="47"/>
      <c r="AQ30" s="47"/>
      <c r="AR30" s="47"/>
      <c r="AS30" s="47"/>
    </row>
    <row r="31" spans="1:45" s="133" customFormat="1">
      <c r="B31" s="194" t="s">
        <v>92</v>
      </c>
      <c r="C31" s="231" t="s">
        <v>205</v>
      </c>
      <c r="D31" s="251">
        <v>0</v>
      </c>
      <c r="E31" s="243">
        <v>0</v>
      </c>
      <c r="F31" s="388">
        <v>0</v>
      </c>
      <c r="G31" s="251">
        <f>'Site 3 - Financial'!F8</f>
        <v>6105600</v>
      </c>
      <c r="H31" s="243">
        <f>G31*(1+Assumptions!$F$14)</f>
        <v>6288768</v>
      </c>
      <c r="I31" s="243" t="s">
        <v>205</v>
      </c>
      <c r="J31" s="243" t="s">
        <v>205</v>
      </c>
      <c r="K31" s="243" t="s">
        <v>205</v>
      </c>
      <c r="L31" s="243" t="s">
        <v>205</v>
      </c>
      <c r="M31" s="243" t="s">
        <v>205</v>
      </c>
      <c r="N31" s="243" t="s">
        <v>205</v>
      </c>
      <c r="O31" s="244" t="s">
        <v>205</v>
      </c>
      <c r="AP31" s="47"/>
      <c r="AQ31" s="47"/>
      <c r="AR31" s="47"/>
      <c r="AS31" s="47"/>
    </row>
    <row r="32" spans="1:45" s="133" customFormat="1">
      <c r="B32" s="194" t="s">
        <v>539</v>
      </c>
      <c r="C32" s="231" t="s">
        <v>205</v>
      </c>
      <c r="D32" s="251">
        <v>0</v>
      </c>
      <c r="E32" s="243">
        <v>0</v>
      </c>
      <c r="F32" s="388">
        <v>0</v>
      </c>
      <c r="G32" s="251">
        <f>'Site 3 - Financial'!C27*12*Assumptions!D20</f>
        <v>405000</v>
      </c>
      <c r="H32" s="243">
        <f>G32*(1+Assumptions!$F$14)</f>
        <v>417150</v>
      </c>
      <c r="I32" s="243" t="s">
        <v>205</v>
      </c>
      <c r="J32" s="243" t="s">
        <v>205</v>
      </c>
      <c r="K32" s="243" t="s">
        <v>205</v>
      </c>
      <c r="L32" s="243" t="s">
        <v>205</v>
      </c>
      <c r="M32" s="243" t="s">
        <v>205</v>
      </c>
      <c r="N32" s="243" t="s">
        <v>205</v>
      </c>
      <c r="O32" s="244" t="s">
        <v>205</v>
      </c>
      <c r="AP32" s="47"/>
      <c r="AQ32" s="47"/>
      <c r="AR32" s="47"/>
      <c r="AS32" s="47"/>
    </row>
    <row r="33" spans="2:45" s="133" customFormat="1">
      <c r="B33" s="205" t="s">
        <v>313</v>
      </c>
      <c r="C33" s="231" t="s">
        <v>205</v>
      </c>
      <c r="D33" s="251">
        <v>0</v>
      </c>
      <c r="E33" s="243">
        <v>0</v>
      </c>
      <c r="F33" s="388">
        <v>0</v>
      </c>
      <c r="G33" s="251">
        <f>(Assumptions!D33+Assumptions!D35+Assumptions!D37)*'Site 3 - Financial'!D8</f>
        <v>1016450</v>
      </c>
      <c r="H33" s="243">
        <f>G33*(1+Assumptions!$F$14)</f>
        <v>1046943.5</v>
      </c>
      <c r="I33" s="243" t="s">
        <v>205</v>
      </c>
      <c r="J33" s="243" t="s">
        <v>205</v>
      </c>
      <c r="K33" s="243" t="s">
        <v>205</v>
      </c>
      <c r="L33" s="243" t="s">
        <v>205</v>
      </c>
      <c r="M33" s="243" t="s">
        <v>205</v>
      </c>
      <c r="N33" s="243" t="s">
        <v>205</v>
      </c>
      <c r="O33" s="244" t="s">
        <v>205</v>
      </c>
      <c r="AP33" s="47"/>
      <c r="AQ33" s="47"/>
      <c r="AR33" s="47"/>
      <c r="AS33" s="47"/>
    </row>
    <row r="34" spans="2:45" s="133" customFormat="1">
      <c r="B34" s="239" t="s">
        <v>94</v>
      </c>
      <c r="C34" s="240" t="s">
        <v>205</v>
      </c>
      <c r="D34" s="115">
        <f>SUM(D31:D33)</f>
        <v>0</v>
      </c>
      <c r="E34" s="107">
        <f t="shared" ref="E34:G34" si="11">SUM(E31:E33)</f>
        <v>0</v>
      </c>
      <c r="F34" s="389">
        <f t="shared" si="11"/>
        <v>0</v>
      </c>
      <c r="G34" s="115">
        <f t="shared" si="11"/>
        <v>7527050</v>
      </c>
      <c r="H34" s="108">
        <f>SUM(H31:H33)</f>
        <v>7752861.5</v>
      </c>
      <c r="I34" s="107" t="s">
        <v>205</v>
      </c>
      <c r="J34" s="107" t="s">
        <v>205</v>
      </c>
      <c r="K34" s="107" t="s">
        <v>205</v>
      </c>
      <c r="L34" s="107" t="s">
        <v>205</v>
      </c>
      <c r="M34" s="107" t="s">
        <v>205</v>
      </c>
      <c r="N34" s="107" t="s">
        <v>205</v>
      </c>
      <c r="O34" s="116" t="s">
        <v>205</v>
      </c>
      <c r="AP34" s="47"/>
      <c r="AQ34" s="47"/>
      <c r="AR34" s="47"/>
      <c r="AS34" s="47"/>
    </row>
    <row r="35" spans="2:45" s="133" customFormat="1">
      <c r="B35" s="205" t="s">
        <v>543</v>
      </c>
      <c r="C35" s="231" t="s">
        <v>205</v>
      </c>
      <c r="D35" s="251">
        <v>0</v>
      </c>
      <c r="E35" s="243">
        <f>-(Assumptions!D34+Assumptions!D35)*'Site 3 - Financial'!D8</f>
        <v>-806150</v>
      </c>
      <c r="F35" s="388">
        <f>E35*(1+Assumptions!$F$14)</f>
        <v>-830334.5</v>
      </c>
      <c r="G35" s="251">
        <f>-(Assumptions!D38*'Site 3 - Financial'!D8)*((1+Assumptions!$F$14)^'Site 3 - Draw'!G2)</f>
        <v>-1532003.254</v>
      </c>
      <c r="H35" s="405">
        <f>-(Assumptions!D38*'Site 3 - Financial'!D8)*((1+Assumptions!$F$14)^'Site 3 - Draw'!H2)</f>
        <v>-1577963.3516199999</v>
      </c>
      <c r="I35" s="243" t="s">
        <v>205</v>
      </c>
      <c r="J35" s="243" t="s">
        <v>205</v>
      </c>
      <c r="K35" s="243" t="s">
        <v>205</v>
      </c>
      <c r="L35" s="243" t="s">
        <v>205</v>
      </c>
      <c r="M35" s="243" t="s">
        <v>205</v>
      </c>
      <c r="N35" s="243" t="s">
        <v>205</v>
      </c>
      <c r="O35" s="244" t="s">
        <v>205</v>
      </c>
      <c r="AP35" s="47"/>
      <c r="AQ35" s="47"/>
      <c r="AR35" s="47"/>
      <c r="AS35" s="47"/>
    </row>
    <row r="36" spans="2:45" s="133" customFormat="1">
      <c r="B36" s="205" t="s">
        <v>321</v>
      </c>
      <c r="C36" s="231" t="s">
        <v>205</v>
      </c>
      <c r="D36" s="251">
        <f t="shared" ref="D36:H36" si="12">-5%*D34</f>
        <v>0</v>
      </c>
      <c r="E36" s="243">
        <f t="shared" si="12"/>
        <v>0</v>
      </c>
      <c r="F36" s="388">
        <f t="shared" si="12"/>
        <v>0</v>
      </c>
      <c r="G36" s="251">
        <f t="shared" si="12"/>
        <v>-376352.5</v>
      </c>
      <c r="H36" s="405">
        <f t="shared" si="12"/>
        <v>-387643.07500000001</v>
      </c>
      <c r="I36" s="243" t="s">
        <v>205</v>
      </c>
      <c r="J36" s="243" t="s">
        <v>205</v>
      </c>
      <c r="K36" s="243" t="s">
        <v>205</v>
      </c>
      <c r="L36" s="243" t="s">
        <v>205</v>
      </c>
      <c r="M36" s="243" t="s">
        <v>205</v>
      </c>
      <c r="N36" s="243" t="s">
        <v>205</v>
      </c>
      <c r="O36" s="244" t="s">
        <v>205</v>
      </c>
      <c r="AP36" s="47"/>
      <c r="AQ36" s="47"/>
      <c r="AR36" s="47"/>
      <c r="AS36" s="47"/>
    </row>
    <row r="37" spans="2:45" s="133" customFormat="1">
      <c r="B37" s="239" t="s">
        <v>95</v>
      </c>
      <c r="C37" s="240" t="s">
        <v>205</v>
      </c>
      <c r="D37" s="115">
        <f t="shared" ref="D37:E37" si="13">SUM(D34:D36)</f>
        <v>0</v>
      </c>
      <c r="E37" s="107">
        <f t="shared" si="13"/>
        <v>-806150</v>
      </c>
      <c r="F37" s="389">
        <f t="shared" ref="F37:H37" si="14">SUM(F34:F36)</f>
        <v>-830334.5</v>
      </c>
      <c r="G37" s="115">
        <f t="shared" si="14"/>
        <v>5618694.2460000003</v>
      </c>
      <c r="H37" s="108">
        <f t="shared" si="14"/>
        <v>5787255.07338</v>
      </c>
      <c r="I37" s="107" t="s">
        <v>205</v>
      </c>
      <c r="J37" s="107" t="s">
        <v>205</v>
      </c>
      <c r="K37" s="107" t="s">
        <v>205</v>
      </c>
      <c r="L37" s="107" t="s">
        <v>205</v>
      </c>
      <c r="M37" s="107" t="s">
        <v>205</v>
      </c>
      <c r="N37" s="107" t="s">
        <v>205</v>
      </c>
      <c r="O37" s="116" t="s">
        <v>205</v>
      </c>
      <c r="AP37" s="47"/>
      <c r="AQ37" s="47"/>
      <c r="AR37" s="47"/>
      <c r="AS37" s="47"/>
    </row>
    <row r="38" spans="2:45" s="133" customFormat="1" ht="15" thickBot="1">
      <c r="B38" s="223" t="s">
        <v>328</v>
      </c>
      <c r="C38" s="232" t="s">
        <v>205</v>
      </c>
      <c r="D38" s="252">
        <v>0</v>
      </c>
      <c r="E38" s="245">
        <v>0</v>
      </c>
      <c r="F38" s="390">
        <v>0</v>
      </c>
      <c r="G38" s="252">
        <f>(H37/Assumptions!$I$7)*0.98</f>
        <v>126033554.93138666</v>
      </c>
      <c r="H38" s="406">
        <v>0</v>
      </c>
      <c r="I38" s="245" t="s">
        <v>205</v>
      </c>
      <c r="J38" s="245" t="s">
        <v>205</v>
      </c>
      <c r="K38" s="245" t="s">
        <v>205</v>
      </c>
      <c r="L38" s="245" t="s">
        <v>205</v>
      </c>
      <c r="M38" s="245" t="s">
        <v>205</v>
      </c>
      <c r="N38" s="245" t="s">
        <v>205</v>
      </c>
      <c r="O38" s="246" t="s">
        <v>205</v>
      </c>
      <c r="AP38" s="47"/>
      <c r="AQ38" s="47"/>
      <c r="AR38" s="47"/>
      <c r="AS38" s="47"/>
    </row>
    <row r="39" spans="2:45" s="133" customFormat="1">
      <c r="B39" s="193" t="s">
        <v>607</v>
      </c>
      <c r="C39" s="230"/>
      <c r="D39" s="250"/>
      <c r="E39" s="241"/>
      <c r="F39" s="387"/>
      <c r="G39" s="250"/>
      <c r="H39" s="241"/>
      <c r="I39" s="241"/>
      <c r="J39" s="241"/>
      <c r="K39" s="241"/>
      <c r="L39" s="241"/>
      <c r="M39" s="387"/>
      <c r="N39" s="250"/>
      <c r="O39" s="505"/>
      <c r="AO39" s="47"/>
      <c r="AP39" s="47"/>
      <c r="AQ39" s="47"/>
      <c r="AR39" s="47"/>
    </row>
    <row r="40" spans="2:45" s="133" customFormat="1">
      <c r="B40" s="194" t="s">
        <v>92</v>
      </c>
      <c r="C40" s="231" t="s">
        <v>205</v>
      </c>
      <c r="D40" s="251">
        <v>0</v>
      </c>
      <c r="E40" s="243">
        <v>0</v>
      </c>
      <c r="F40" s="388">
        <v>0</v>
      </c>
      <c r="G40" s="251">
        <f>'Site 3 - Financial'!F15</f>
        <v>1158144</v>
      </c>
      <c r="H40" s="243">
        <f>G40*(1+Assumptions!$F$14)</f>
        <v>1192888.3200000001</v>
      </c>
      <c r="I40" s="243" t="s">
        <v>205</v>
      </c>
      <c r="J40" s="243" t="s">
        <v>205</v>
      </c>
      <c r="K40" s="799" t="s">
        <v>205</v>
      </c>
      <c r="L40" s="243" t="s">
        <v>205</v>
      </c>
      <c r="M40" s="388" t="s">
        <v>205</v>
      </c>
      <c r="N40" s="251" t="s">
        <v>205</v>
      </c>
      <c r="O40" s="244" t="s">
        <v>205</v>
      </c>
      <c r="AO40" s="47"/>
      <c r="AP40" s="47"/>
      <c r="AQ40" s="47"/>
      <c r="AR40" s="47"/>
    </row>
    <row r="41" spans="2:45" s="133" customFormat="1">
      <c r="B41" s="194" t="s">
        <v>539</v>
      </c>
      <c r="C41" s="231" t="s">
        <v>205</v>
      </c>
      <c r="D41" s="251">
        <v>0</v>
      </c>
      <c r="E41" s="243">
        <v>0</v>
      </c>
      <c r="F41" s="388">
        <v>0</v>
      </c>
      <c r="G41" s="251">
        <v>0</v>
      </c>
      <c r="H41" s="243">
        <v>0</v>
      </c>
      <c r="I41" s="243" t="s">
        <v>205</v>
      </c>
      <c r="J41" s="243" t="s">
        <v>205</v>
      </c>
      <c r="K41" s="243" t="s">
        <v>205</v>
      </c>
      <c r="L41" s="243" t="s">
        <v>205</v>
      </c>
      <c r="M41" s="388" t="s">
        <v>205</v>
      </c>
      <c r="N41" s="251" t="s">
        <v>205</v>
      </c>
      <c r="O41" s="244" t="s">
        <v>205</v>
      </c>
      <c r="AO41" s="47"/>
      <c r="AP41" s="47"/>
      <c r="AQ41" s="47"/>
      <c r="AR41" s="47"/>
    </row>
    <row r="42" spans="2:45" s="133" customFormat="1">
      <c r="B42" s="205" t="s">
        <v>313</v>
      </c>
      <c r="C42" s="231" t="s">
        <v>205</v>
      </c>
      <c r="D42" s="251">
        <v>0</v>
      </c>
      <c r="E42" s="243">
        <v>0</v>
      </c>
      <c r="F42" s="388">
        <v>0</v>
      </c>
      <c r="G42" s="251">
        <f>(Assumptions!$D$35+Assumptions!$D$37)*'Site 3 - Financial'!D15*(1+Assumptions!$F$14)^$G$2</f>
        <v>252146.75524999999</v>
      </c>
      <c r="H42" s="243">
        <f>G42*(1+Assumptions!$F$14)</f>
        <v>259711.15790749999</v>
      </c>
      <c r="I42" s="243" t="s">
        <v>205</v>
      </c>
      <c r="J42" s="243" t="s">
        <v>205</v>
      </c>
      <c r="K42" s="243" t="s">
        <v>205</v>
      </c>
      <c r="L42" s="243" t="s">
        <v>205</v>
      </c>
      <c r="M42" s="388" t="s">
        <v>205</v>
      </c>
      <c r="N42" s="251" t="s">
        <v>205</v>
      </c>
      <c r="O42" s="244" t="s">
        <v>205</v>
      </c>
      <c r="AO42" s="47"/>
      <c r="AP42" s="47"/>
      <c r="AQ42" s="47"/>
      <c r="AR42" s="47"/>
    </row>
    <row r="43" spans="2:45" s="133" customFormat="1">
      <c r="B43" s="239" t="s">
        <v>94</v>
      </c>
      <c r="C43" s="240" t="s">
        <v>205</v>
      </c>
      <c r="D43" s="115">
        <f>SUM(D40:D42)</f>
        <v>0</v>
      </c>
      <c r="E43" s="107">
        <f t="shared" ref="E43:G43" si="15">SUM(E40:E42)</f>
        <v>0</v>
      </c>
      <c r="F43" s="389">
        <f t="shared" si="15"/>
        <v>0</v>
      </c>
      <c r="G43" s="115">
        <f t="shared" si="15"/>
        <v>1410290.7552499999</v>
      </c>
      <c r="H43" s="107">
        <f>SUM(H40:H42)</f>
        <v>1452599.4779075</v>
      </c>
      <c r="I43" s="107" t="s">
        <v>205</v>
      </c>
      <c r="J43" s="107" t="s">
        <v>205</v>
      </c>
      <c r="K43" s="107" t="s">
        <v>205</v>
      </c>
      <c r="L43" s="107" t="s">
        <v>205</v>
      </c>
      <c r="M43" s="389" t="s">
        <v>205</v>
      </c>
      <c r="N43" s="115" t="s">
        <v>205</v>
      </c>
      <c r="O43" s="506" t="s">
        <v>205</v>
      </c>
      <c r="AO43" s="47"/>
      <c r="AP43" s="47"/>
      <c r="AQ43" s="47"/>
      <c r="AR43" s="47"/>
    </row>
    <row r="44" spans="2:45" s="133" customFormat="1">
      <c r="B44" s="205" t="s">
        <v>543</v>
      </c>
      <c r="C44" s="231" t="s">
        <v>205</v>
      </c>
      <c r="D44" s="251">
        <v>0</v>
      </c>
      <c r="E44" s="243">
        <f>-(Assumptions!$D$26+Assumptions!$D$27)*'Site 3 - Financial'!$D$15</f>
        <v>-97625</v>
      </c>
      <c r="F44" s="388">
        <f>E44*(1+Assumptions!$F$14)</f>
        <v>-100553.75</v>
      </c>
      <c r="G44" s="251">
        <f>-(Assumptions!$D$38)*('Site 3 - Financial'!$D$15)*(1+Assumptions!$F$14)^$G$2</f>
        <v>-387918.08500000002</v>
      </c>
      <c r="H44" s="243">
        <f>G44*(1+Assumptions!$F$14)</f>
        <v>-399555.62755000003</v>
      </c>
      <c r="I44" s="243" t="s">
        <v>205</v>
      </c>
      <c r="J44" s="243" t="s">
        <v>205</v>
      </c>
      <c r="K44" s="243" t="s">
        <v>205</v>
      </c>
      <c r="L44" s="243" t="s">
        <v>205</v>
      </c>
      <c r="M44" s="388" t="s">
        <v>205</v>
      </c>
      <c r="N44" s="251" t="s">
        <v>205</v>
      </c>
      <c r="O44" s="332" t="s">
        <v>205</v>
      </c>
      <c r="AO44" s="47"/>
      <c r="AP44" s="47"/>
      <c r="AQ44" s="47"/>
      <c r="AR44" s="47"/>
    </row>
    <row r="45" spans="2:45" s="133" customFormat="1">
      <c r="B45" s="205" t="s">
        <v>321</v>
      </c>
      <c r="C45" s="231" t="s">
        <v>205</v>
      </c>
      <c r="D45" s="251">
        <f t="shared" ref="D45:H45" si="16">-5%*D43</f>
        <v>0</v>
      </c>
      <c r="E45" s="243">
        <f t="shared" si="16"/>
        <v>0</v>
      </c>
      <c r="F45" s="388">
        <f t="shared" si="16"/>
        <v>0</v>
      </c>
      <c r="G45" s="251">
        <f t="shared" si="16"/>
        <v>-70514.537762499996</v>
      </c>
      <c r="H45" s="243">
        <f t="shared" si="16"/>
        <v>-72629.973895375006</v>
      </c>
      <c r="I45" s="243" t="s">
        <v>205</v>
      </c>
      <c r="J45" s="243" t="s">
        <v>205</v>
      </c>
      <c r="K45" s="243" t="s">
        <v>205</v>
      </c>
      <c r="L45" s="243" t="s">
        <v>205</v>
      </c>
      <c r="M45" s="388" t="s">
        <v>205</v>
      </c>
      <c r="N45" s="251" t="s">
        <v>205</v>
      </c>
      <c r="O45" s="332" t="s">
        <v>205</v>
      </c>
      <c r="AO45" s="47"/>
      <c r="AP45" s="47"/>
      <c r="AQ45" s="47"/>
      <c r="AR45" s="47"/>
    </row>
    <row r="46" spans="2:45" s="133" customFormat="1">
      <c r="B46" s="239" t="s">
        <v>95</v>
      </c>
      <c r="C46" s="240" t="s">
        <v>205</v>
      </c>
      <c r="D46" s="115">
        <f t="shared" ref="D46:E46" si="17">SUM(D43:D45)</f>
        <v>0</v>
      </c>
      <c r="E46" s="107">
        <f t="shared" si="17"/>
        <v>-97625</v>
      </c>
      <c r="F46" s="389">
        <f t="shared" ref="F46:H46" si="18">SUM(F43:F45)</f>
        <v>-100553.75</v>
      </c>
      <c r="G46" s="115">
        <f t="shared" si="18"/>
        <v>951858.13248749997</v>
      </c>
      <c r="H46" s="107">
        <f t="shared" si="18"/>
        <v>980413.87646212487</v>
      </c>
      <c r="I46" s="107" t="s">
        <v>205</v>
      </c>
      <c r="J46" s="107" t="s">
        <v>205</v>
      </c>
      <c r="K46" s="107" t="s">
        <v>205</v>
      </c>
      <c r="L46" s="107" t="s">
        <v>205</v>
      </c>
      <c r="M46" s="389" t="s">
        <v>205</v>
      </c>
      <c r="N46" s="115" t="s">
        <v>205</v>
      </c>
      <c r="O46" s="506" t="s">
        <v>205</v>
      </c>
      <c r="AO46" s="47"/>
      <c r="AP46" s="47"/>
      <c r="AQ46" s="47"/>
      <c r="AR46" s="47"/>
    </row>
    <row r="47" spans="2:45" s="133" customFormat="1" ht="15" thickBot="1">
      <c r="B47" s="223" t="s">
        <v>328</v>
      </c>
      <c r="C47" s="232" t="s">
        <v>205</v>
      </c>
      <c r="D47" s="252">
        <v>0</v>
      </c>
      <c r="E47" s="245">
        <v>0</v>
      </c>
      <c r="F47" s="390">
        <v>0</v>
      </c>
      <c r="G47" s="252">
        <f>(H46/Assumptions!$I$6)*0.98</f>
        <v>20227486.293323837</v>
      </c>
      <c r="H47" s="245">
        <v>0</v>
      </c>
      <c r="I47" s="245" t="s">
        <v>205</v>
      </c>
      <c r="J47" s="245" t="s">
        <v>205</v>
      </c>
      <c r="K47" s="245" t="s">
        <v>205</v>
      </c>
      <c r="L47" s="245" t="s">
        <v>205</v>
      </c>
      <c r="M47" s="390" t="s">
        <v>205</v>
      </c>
      <c r="N47" s="252" t="s">
        <v>205</v>
      </c>
      <c r="O47" s="507" t="s">
        <v>205</v>
      </c>
      <c r="AO47" s="47"/>
      <c r="AP47" s="47"/>
      <c r="AQ47" s="47"/>
      <c r="AR47" s="47"/>
    </row>
    <row r="48" spans="2:45" s="133" customFormat="1">
      <c r="B48" s="193" t="s">
        <v>338</v>
      </c>
      <c r="C48" s="230"/>
      <c r="D48" s="250"/>
      <c r="E48" s="241"/>
      <c r="F48" s="387"/>
      <c r="G48" s="250"/>
      <c r="H48" s="404"/>
      <c r="I48" s="241"/>
      <c r="J48" s="241"/>
      <c r="K48" s="241"/>
      <c r="L48" s="241"/>
      <c r="M48" s="241"/>
      <c r="N48" s="241"/>
      <c r="O48" s="242"/>
      <c r="AP48" s="47"/>
      <c r="AQ48" s="47"/>
      <c r="AR48" s="47"/>
      <c r="AS48" s="47"/>
    </row>
    <row r="49" spans="2:45" s="133" customFormat="1">
      <c r="B49" s="194" t="s">
        <v>92</v>
      </c>
      <c r="C49" s="231" t="s">
        <v>205</v>
      </c>
      <c r="D49" s="251">
        <v>0</v>
      </c>
      <c r="E49" s="243">
        <v>0</v>
      </c>
      <c r="F49" s="388">
        <v>0</v>
      </c>
      <c r="G49" s="251">
        <f>'Site 3 - Financial'!D18*'Site 3 - Financial'!E18</f>
        <v>1339380</v>
      </c>
      <c r="H49" s="243">
        <f>G49*(1+Assumptions!$F$14)</f>
        <v>1379561.4000000001</v>
      </c>
      <c r="I49" s="243" t="s">
        <v>205</v>
      </c>
      <c r="J49" s="243" t="s">
        <v>205</v>
      </c>
      <c r="K49" s="243" t="s">
        <v>205</v>
      </c>
      <c r="L49" s="243" t="s">
        <v>205</v>
      </c>
      <c r="M49" s="243" t="s">
        <v>205</v>
      </c>
      <c r="N49" s="243" t="s">
        <v>205</v>
      </c>
      <c r="O49" s="244" t="s">
        <v>205</v>
      </c>
      <c r="AP49" s="47"/>
      <c r="AQ49" s="47"/>
      <c r="AR49" s="47"/>
      <c r="AS49" s="47"/>
    </row>
    <row r="50" spans="2:45" s="133" customFormat="1">
      <c r="B50" s="194" t="s">
        <v>539</v>
      </c>
      <c r="C50" s="231" t="s">
        <v>205</v>
      </c>
      <c r="D50" s="251">
        <v>0</v>
      </c>
      <c r="E50" s="243">
        <v>0</v>
      </c>
      <c r="F50" s="388">
        <v>0</v>
      </c>
      <c r="G50" s="251">
        <f>('Site 3 - Financial'!C28/2)*12*Assumptions!D21</f>
        <v>283500</v>
      </c>
      <c r="H50" s="243">
        <f>G50*(1+Assumptions!$F$14)</f>
        <v>292005</v>
      </c>
      <c r="I50" s="243" t="s">
        <v>205</v>
      </c>
      <c r="J50" s="243" t="s">
        <v>205</v>
      </c>
      <c r="K50" s="243" t="s">
        <v>205</v>
      </c>
      <c r="L50" s="243" t="s">
        <v>205</v>
      </c>
      <c r="M50" s="243" t="s">
        <v>205</v>
      </c>
      <c r="N50" s="243" t="s">
        <v>205</v>
      </c>
      <c r="O50" s="244" t="s">
        <v>205</v>
      </c>
      <c r="AP50" s="47"/>
      <c r="AQ50" s="47"/>
      <c r="AR50" s="47"/>
      <c r="AS50" s="47"/>
    </row>
    <row r="51" spans="2:45" s="133" customFormat="1">
      <c r="B51" s="205" t="s">
        <v>313</v>
      </c>
      <c r="C51" s="231" t="s">
        <v>205</v>
      </c>
      <c r="D51" s="251">
        <v>0</v>
      </c>
      <c r="E51" s="243">
        <v>0</v>
      </c>
      <c r="F51" s="388">
        <v>0</v>
      </c>
      <c r="G51" s="251">
        <f>(Assumptions!D30*'Site 3 - Financial'!D18)*(1+Assumptions!$F$14)^G2</f>
        <v>204900.7364964</v>
      </c>
      <c r="H51" s="243">
        <f>G51*(1+Assumptions!$F$14)</f>
        <v>211047.75859129202</v>
      </c>
      <c r="I51" s="243" t="s">
        <v>205</v>
      </c>
      <c r="J51" s="243" t="s">
        <v>205</v>
      </c>
      <c r="K51" s="243" t="s">
        <v>205</v>
      </c>
      <c r="L51" s="243" t="s">
        <v>205</v>
      </c>
      <c r="M51" s="243" t="s">
        <v>205</v>
      </c>
      <c r="N51" s="243" t="s">
        <v>205</v>
      </c>
      <c r="O51" s="244" t="s">
        <v>205</v>
      </c>
      <c r="AP51" s="47"/>
      <c r="AQ51" s="47"/>
      <c r="AR51" s="47"/>
      <c r="AS51" s="47"/>
    </row>
    <row r="52" spans="2:45" s="133" customFormat="1">
      <c r="B52" s="239" t="s">
        <v>94</v>
      </c>
      <c r="C52" s="240" t="s">
        <v>205</v>
      </c>
      <c r="D52" s="115">
        <f>SUM(D49:D51)</f>
        <v>0</v>
      </c>
      <c r="E52" s="107">
        <f>SUM(E49:E51)</f>
        <v>0</v>
      </c>
      <c r="F52" s="389">
        <f>SUM(F49:F51)</f>
        <v>0</v>
      </c>
      <c r="G52" s="115">
        <f>SUM(G49:G51)</f>
        <v>1827780.7364964001</v>
      </c>
      <c r="H52" s="108">
        <f>SUM(H49:H51)</f>
        <v>1882614.1585912921</v>
      </c>
      <c r="I52" s="107" t="s">
        <v>205</v>
      </c>
      <c r="J52" s="107" t="s">
        <v>205</v>
      </c>
      <c r="K52" s="107" t="s">
        <v>205</v>
      </c>
      <c r="L52" s="107" t="s">
        <v>205</v>
      </c>
      <c r="M52" s="107" t="s">
        <v>205</v>
      </c>
      <c r="N52" s="107" t="s">
        <v>205</v>
      </c>
      <c r="O52" s="116" t="s">
        <v>205</v>
      </c>
      <c r="AP52" s="47"/>
      <c r="AQ52" s="47"/>
      <c r="AR52" s="47"/>
      <c r="AS52" s="47"/>
    </row>
    <row r="53" spans="2:45" s="133" customFormat="1">
      <c r="B53" s="205" t="s">
        <v>543</v>
      </c>
      <c r="C53" s="231" t="s">
        <v>205</v>
      </c>
      <c r="D53" s="251">
        <v>0</v>
      </c>
      <c r="E53" s="243">
        <f>-(Assumptions!D26+Assumptions!D27)*'Site 3 - Financial'!D18</f>
        <v>-105237</v>
      </c>
      <c r="F53" s="388">
        <f>E53*(1+Assumptions!$F$14)</f>
        <v>-108394.11</v>
      </c>
      <c r="G53" s="251">
        <f>-(Assumptions!D30*'Site 3 - Financial'!D18)*(1+Assumptions!$F$14)^G2</f>
        <v>-204900.7364964</v>
      </c>
      <c r="H53" s="243">
        <f>G53*(1+Assumptions!$F$14)</f>
        <v>-211047.75859129202</v>
      </c>
      <c r="I53" s="243" t="s">
        <v>205</v>
      </c>
      <c r="J53" s="243" t="s">
        <v>205</v>
      </c>
      <c r="K53" s="243" t="s">
        <v>205</v>
      </c>
      <c r="L53" s="243" t="s">
        <v>205</v>
      </c>
      <c r="M53" s="243" t="s">
        <v>205</v>
      </c>
      <c r="N53" s="243" t="s">
        <v>205</v>
      </c>
      <c r="O53" s="244" t="s">
        <v>205</v>
      </c>
      <c r="AP53" s="47"/>
      <c r="AQ53" s="47"/>
      <c r="AR53" s="47"/>
      <c r="AS53" s="47"/>
    </row>
    <row r="54" spans="2:45" s="133" customFormat="1">
      <c r="B54" s="205" t="s">
        <v>321</v>
      </c>
      <c r="C54" s="231" t="s">
        <v>205</v>
      </c>
      <c r="D54" s="251">
        <f t="shared" ref="D54:H54" si="19">-5%*D52</f>
        <v>0</v>
      </c>
      <c r="E54" s="243">
        <f t="shared" si="19"/>
        <v>0</v>
      </c>
      <c r="F54" s="388">
        <f t="shared" si="19"/>
        <v>0</v>
      </c>
      <c r="G54" s="251">
        <f t="shared" si="19"/>
        <v>-91389.03682482001</v>
      </c>
      <c r="H54" s="405">
        <f t="shared" si="19"/>
        <v>-94130.707929564611</v>
      </c>
      <c r="I54" s="243" t="s">
        <v>205</v>
      </c>
      <c r="J54" s="243" t="s">
        <v>205</v>
      </c>
      <c r="K54" s="243" t="s">
        <v>205</v>
      </c>
      <c r="L54" s="243" t="s">
        <v>205</v>
      </c>
      <c r="M54" s="243" t="s">
        <v>205</v>
      </c>
      <c r="N54" s="243" t="s">
        <v>205</v>
      </c>
      <c r="O54" s="244" t="s">
        <v>205</v>
      </c>
      <c r="AP54" s="47"/>
      <c r="AQ54" s="47"/>
      <c r="AR54" s="47"/>
      <c r="AS54" s="47"/>
    </row>
    <row r="55" spans="2:45" s="133" customFormat="1">
      <c r="B55" s="239" t="s">
        <v>95</v>
      </c>
      <c r="C55" s="240" t="s">
        <v>205</v>
      </c>
      <c r="D55" s="115">
        <f t="shared" ref="D55:H55" si="20">SUM(D52:D54)</f>
        <v>0</v>
      </c>
      <c r="E55" s="107">
        <f t="shared" si="20"/>
        <v>-105237</v>
      </c>
      <c r="F55" s="389">
        <f>SUM(F52:F54)</f>
        <v>-108394.11</v>
      </c>
      <c r="G55" s="115">
        <f t="shared" si="20"/>
        <v>1531490.9631751799</v>
      </c>
      <c r="H55" s="108">
        <f t="shared" si="20"/>
        <v>1577435.6920704355</v>
      </c>
      <c r="I55" s="107" t="s">
        <v>205</v>
      </c>
      <c r="J55" s="107" t="s">
        <v>205</v>
      </c>
      <c r="K55" s="107" t="s">
        <v>205</v>
      </c>
      <c r="L55" s="107" t="s">
        <v>205</v>
      </c>
      <c r="M55" s="107" t="s">
        <v>205</v>
      </c>
      <c r="N55" s="107" t="s">
        <v>205</v>
      </c>
      <c r="O55" s="116" t="s">
        <v>205</v>
      </c>
      <c r="AP55" s="47"/>
      <c r="AQ55" s="47"/>
      <c r="AR55" s="47"/>
      <c r="AS55" s="47"/>
    </row>
    <row r="56" spans="2:45" s="133" customFormat="1" ht="15" thickBot="1">
      <c r="B56" s="223" t="s">
        <v>328</v>
      </c>
      <c r="C56" s="232" t="s">
        <v>205</v>
      </c>
      <c r="D56" s="252">
        <v>0</v>
      </c>
      <c r="E56" s="245">
        <v>0</v>
      </c>
      <c r="F56" s="390">
        <v>0</v>
      </c>
      <c r="G56" s="252">
        <f>(H55/Assumptions!I9)*0.98</f>
        <v>36373811.252447687</v>
      </c>
      <c r="H56" s="406">
        <v>0</v>
      </c>
      <c r="I56" s="245" t="s">
        <v>205</v>
      </c>
      <c r="J56" s="245" t="s">
        <v>205</v>
      </c>
      <c r="K56" s="245" t="s">
        <v>205</v>
      </c>
      <c r="L56" s="245" t="s">
        <v>205</v>
      </c>
      <c r="M56" s="245" t="s">
        <v>205</v>
      </c>
      <c r="N56" s="245" t="s">
        <v>205</v>
      </c>
      <c r="O56" s="246" t="s">
        <v>205</v>
      </c>
      <c r="AP56" s="47"/>
      <c r="AQ56" s="47"/>
      <c r="AR56" s="47"/>
      <c r="AS56" s="47"/>
    </row>
    <row r="57" spans="2:45" s="133" customFormat="1">
      <c r="B57" s="193" t="s">
        <v>406</v>
      </c>
      <c r="C57" s="230"/>
      <c r="D57" s="250"/>
      <c r="E57" s="241"/>
      <c r="F57" s="387"/>
      <c r="G57" s="250"/>
      <c r="H57" s="404"/>
      <c r="I57" s="241"/>
      <c r="J57" s="241"/>
      <c r="K57" s="241"/>
      <c r="L57" s="241"/>
      <c r="M57" s="241"/>
      <c r="N57" s="241"/>
      <c r="O57" s="242"/>
      <c r="AP57" s="47"/>
      <c r="AQ57" s="47"/>
      <c r="AR57" s="47"/>
      <c r="AS57" s="47"/>
    </row>
    <row r="58" spans="2:45" s="133" customFormat="1">
      <c r="B58" s="194" t="s">
        <v>92</v>
      </c>
      <c r="C58" s="231" t="s">
        <v>205</v>
      </c>
      <c r="D58" s="251">
        <v>0</v>
      </c>
      <c r="E58" s="243">
        <v>0</v>
      </c>
      <c r="F58" s="388">
        <v>0</v>
      </c>
      <c r="G58" s="251">
        <f>'Site 3 - Financial'!D19*'Site 3 - Financial'!E19</f>
        <v>2648835</v>
      </c>
      <c r="H58" s="243">
        <f>G58*(1+Assumptions!$F$14)</f>
        <v>2728300.0500000003</v>
      </c>
      <c r="I58" s="243" t="s">
        <v>205</v>
      </c>
      <c r="J58" s="243" t="s">
        <v>205</v>
      </c>
      <c r="K58" s="243" t="s">
        <v>205</v>
      </c>
      <c r="L58" s="243" t="s">
        <v>205</v>
      </c>
      <c r="M58" s="243" t="s">
        <v>205</v>
      </c>
      <c r="N58" s="243" t="s">
        <v>205</v>
      </c>
      <c r="O58" s="244" t="s">
        <v>205</v>
      </c>
      <c r="AP58" s="47"/>
      <c r="AQ58" s="47"/>
      <c r="AR58" s="47"/>
      <c r="AS58" s="47"/>
    </row>
    <row r="59" spans="2:45" s="133" customFormat="1">
      <c r="B59" s="194" t="s">
        <v>539</v>
      </c>
      <c r="C59" s="231" t="s">
        <v>205</v>
      </c>
      <c r="D59" s="251">
        <v>0</v>
      </c>
      <c r="E59" s="243">
        <v>0</v>
      </c>
      <c r="F59" s="388">
        <v>0</v>
      </c>
      <c r="G59" s="251">
        <f>('Site 3 - Financial'!C28/2)*12*Assumptions!D21</f>
        <v>283500</v>
      </c>
      <c r="H59" s="243">
        <f>G59*(1+Assumptions!$F$14)</f>
        <v>292005</v>
      </c>
      <c r="I59" s="243" t="s">
        <v>205</v>
      </c>
      <c r="J59" s="243" t="s">
        <v>205</v>
      </c>
      <c r="K59" s="243" t="s">
        <v>205</v>
      </c>
      <c r="L59" s="243" t="s">
        <v>205</v>
      </c>
      <c r="M59" s="243" t="s">
        <v>205</v>
      </c>
      <c r="N59" s="243" t="s">
        <v>205</v>
      </c>
      <c r="O59" s="244" t="s">
        <v>205</v>
      </c>
      <c r="AP59" s="47"/>
      <c r="AQ59" s="47"/>
      <c r="AR59" s="47"/>
      <c r="AS59" s="47"/>
    </row>
    <row r="60" spans="2:45" s="133" customFormat="1">
      <c r="B60" s="194" t="s">
        <v>313</v>
      </c>
      <c r="C60" s="231" t="s">
        <v>205</v>
      </c>
      <c r="D60" s="251">
        <v>0</v>
      </c>
      <c r="E60" s="243">
        <v>0</v>
      </c>
      <c r="F60" s="388">
        <v>0</v>
      </c>
      <c r="G60" s="251">
        <f>(Assumptions!D30*'Site 3 - Financial'!D19)*(1+Assumptions!F14)^G2</f>
        <v>315173.82806490001</v>
      </c>
      <c r="H60" s="243">
        <f>G60*(1+Assumptions!$F$14)</f>
        <v>324629.04290684703</v>
      </c>
      <c r="I60" s="243" t="s">
        <v>205</v>
      </c>
      <c r="J60" s="243" t="s">
        <v>205</v>
      </c>
      <c r="K60" s="243" t="s">
        <v>205</v>
      </c>
      <c r="L60" s="243" t="s">
        <v>205</v>
      </c>
      <c r="M60" s="243" t="s">
        <v>205</v>
      </c>
      <c r="N60" s="243" t="s">
        <v>205</v>
      </c>
      <c r="O60" s="244" t="s">
        <v>205</v>
      </c>
      <c r="AP60" s="47"/>
      <c r="AQ60" s="47"/>
      <c r="AR60" s="47"/>
      <c r="AS60" s="47"/>
    </row>
    <row r="61" spans="2:45" s="133" customFormat="1">
      <c r="B61" s="239" t="s">
        <v>94</v>
      </c>
      <c r="C61" s="240" t="s">
        <v>205</v>
      </c>
      <c r="D61" s="115">
        <f t="shared" ref="D61:H61" si="21">SUM(D58:D60)</f>
        <v>0</v>
      </c>
      <c r="E61" s="107">
        <f t="shared" si="21"/>
        <v>0</v>
      </c>
      <c r="F61" s="389">
        <f>SUM(F58:F60)</f>
        <v>0</v>
      </c>
      <c r="G61" s="115">
        <f t="shared" si="21"/>
        <v>3247508.8280648999</v>
      </c>
      <c r="H61" s="108">
        <f t="shared" si="21"/>
        <v>3344934.0929068471</v>
      </c>
      <c r="I61" s="107" t="s">
        <v>205</v>
      </c>
      <c r="J61" s="107" t="s">
        <v>205</v>
      </c>
      <c r="K61" s="107" t="s">
        <v>205</v>
      </c>
      <c r="L61" s="107" t="s">
        <v>205</v>
      </c>
      <c r="M61" s="107" t="s">
        <v>205</v>
      </c>
      <c r="N61" s="107" t="s">
        <v>205</v>
      </c>
      <c r="O61" s="116" t="s">
        <v>205</v>
      </c>
      <c r="AP61" s="47"/>
      <c r="AQ61" s="47"/>
      <c r="AR61" s="47"/>
      <c r="AS61" s="47"/>
    </row>
    <row r="62" spans="2:45" s="133" customFormat="1">
      <c r="B62" s="205" t="s">
        <v>543</v>
      </c>
      <c r="C62" s="231" t="s">
        <v>205</v>
      </c>
      <c r="D62" s="251">
        <v>0</v>
      </c>
      <c r="E62" s="243">
        <f>-(Assumptions!D26+Assumptions!D27)*'Site 3 - Financial'!D19</f>
        <v>-161873.25</v>
      </c>
      <c r="F62" s="388">
        <f>E62*(1+Assumptions!$F$14)</f>
        <v>-166729.44750000001</v>
      </c>
      <c r="G62" s="251">
        <f>-(Assumptions!D30*'Site 3 - Financial'!D19)*(1+Assumptions!$F$14)^G2</f>
        <v>-315173.82806490001</v>
      </c>
      <c r="H62" s="243">
        <f>G62*(1+Assumptions!$F$14)</f>
        <v>-324629.04290684703</v>
      </c>
      <c r="I62" s="243" t="s">
        <v>205</v>
      </c>
      <c r="J62" s="243" t="s">
        <v>205</v>
      </c>
      <c r="K62" s="243" t="s">
        <v>205</v>
      </c>
      <c r="L62" s="243" t="s">
        <v>205</v>
      </c>
      <c r="M62" s="243" t="s">
        <v>205</v>
      </c>
      <c r="N62" s="243" t="s">
        <v>205</v>
      </c>
      <c r="O62" s="244" t="s">
        <v>205</v>
      </c>
      <c r="AP62" s="47"/>
      <c r="AQ62" s="47"/>
      <c r="AR62" s="47"/>
      <c r="AS62" s="47"/>
    </row>
    <row r="63" spans="2:45" s="133" customFormat="1">
      <c r="B63" s="194" t="s">
        <v>321</v>
      </c>
      <c r="C63" s="231" t="s">
        <v>205</v>
      </c>
      <c r="D63" s="251">
        <f t="shared" ref="D63:H63" si="22">-5%*D61</f>
        <v>0</v>
      </c>
      <c r="E63" s="243">
        <f t="shared" si="22"/>
        <v>0</v>
      </c>
      <c r="F63" s="388">
        <f t="shared" si="22"/>
        <v>0</v>
      </c>
      <c r="G63" s="251">
        <f t="shared" si="22"/>
        <v>-162375.441403245</v>
      </c>
      <c r="H63" s="405">
        <f t="shared" si="22"/>
        <v>-167246.70464534237</v>
      </c>
      <c r="I63" s="243" t="s">
        <v>205</v>
      </c>
      <c r="J63" s="243" t="s">
        <v>205</v>
      </c>
      <c r="K63" s="243" t="s">
        <v>205</v>
      </c>
      <c r="L63" s="243" t="s">
        <v>205</v>
      </c>
      <c r="M63" s="243" t="s">
        <v>205</v>
      </c>
      <c r="N63" s="243" t="s">
        <v>205</v>
      </c>
      <c r="O63" s="244" t="s">
        <v>205</v>
      </c>
      <c r="AP63" s="47"/>
      <c r="AQ63" s="47"/>
      <c r="AR63" s="47"/>
      <c r="AS63" s="47"/>
    </row>
    <row r="64" spans="2:45" s="133" customFormat="1">
      <c r="B64" s="239" t="s">
        <v>95</v>
      </c>
      <c r="C64" s="240" t="s">
        <v>205</v>
      </c>
      <c r="D64" s="115">
        <f t="shared" ref="D64:H64" si="23">SUM(D61:D63)</f>
        <v>0</v>
      </c>
      <c r="E64" s="107">
        <f t="shared" si="23"/>
        <v>-161873.25</v>
      </c>
      <c r="F64" s="389">
        <f>SUM(F61:F63)</f>
        <v>-166729.44750000001</v>
      </c>
      <c r="G64" s="115">
        <f t="shared" si="23"/>
        <v>2769959.5585967549</v>
      </c>
      <c r="H64" s="108">
        <f t="shared" si="23"/>
        <v>2853058.3453546581</v>
      </c>
      <c r="I64" s="107" t="s">
        <v>205</v>
      </c>
      <c r="J64" s="107" t="s">
        <v>205</v>
      </c>
      <c r="K64" s="107" t="s">
        <v>205</v>
      </c>
      <c r="L64" s="107" t="s">
        <v>205</v>
      </c>
      <c r="M64" s="107" t="s">
        <v>205</v>
      </c>
      <c r="N64" s="107" t="s">
        <v>205</v>
      </c>
      <c r="O64" s="116" t="s">
        <v>205</v>
      </c>
      <c r="AP64" s="47"/>
      <c r="AQ64" s="47"/>
      <c r="AR64" s="47"/>
      <c r="AS64" s="47"/>
    </row>
    <row r="65" spans="1:45" s="133" customFormat="1" ht="15" thickBot="1">
      <c r="B65" s="197" t="s">
        <v>328</v>
      </c>
      <c r="C65" s="232" t="s">
        <v>205</v>
      </c>
      <c r="D65" s="252">
        <v>0</v>
      </c>
      <c r="E65" s="245">
        <v>0</v>
      </c>
      <c r="F65" s="390">
        <v>0</v>
      </c>
      <c r="G65" s="252">
        <f>H64/Assumptions!I8</f>
        <v>60064386.217992797</v>
      </c>
      <c r="H65" s="406">
        <v>0</v>
      </c>
      <c r="I65" s="245" t="s">
        <v>205</v>
      </c>
      <c r="J65" s="245" t="s">
        <v>205</v>
      </c>
      <c r="K65" s="245" t="s">
        <v>205</v>
      </c>
      <c r="L65" s="245" t="s">
        <v>205</v>
      </c>
      <c r="M65" s="245" t="s">
        <v>205</v>
      </c>
      <c r="N65" s="245" t="s">
        <v>205</v>
      </c>
      <c r="O65" s="246" t="s">
        <v>205</v>
      </c>
      <c r="AP65" s="47"/>
      <c r="AQ65" s="47"/>
      <c r="AR65" s="47"/>
      <c r="AS65" s="47"/>
    </row>
    <row r="66" spans="1:45" s="133" customFormat="1" ht="15" thickBot="1">
      <c r="B66" s="254" t="s">
        <v>341</v>
      </c>
      <c r="C66" s="360">
        <f>IRR(D66:N66)</f>
        <v>0.30976289996776463</v>
      </c>
      <c r="D66" s="255">
        <f>-D29</f>
        <v>-44630937.02500236</v>
      </c>
      <c r="E66" s="256">
        <f>-E29</f>
        <v>-50568964.590085007</v>
      </c>
      <c r="F66" s="386">
        <f>-F29</f>
        <v>-50804091.147585005</v>
      </c>
      <c r="G66" s="403">
        <f>SUM(G37:G38,G64:G65,G55:G56,G29,G46:G47)</f>
        <v>253571241.59541044</v>
      </c>
      <c r="H66" s="256">
        <v>0</v>
      </c>
      <c r="I66" s="256">
        <v>0</v>
      </c>
      <c r="J66" s="256">
        <v>0</v>
      </c>
      <c r="K66" s="256">
        <v>0</v>
      </c>
      <c r="L66" s="256">
        <v>0</v>
      </c>
      <c r="M66" s="256">
        <v>0</v>
      </c>
      <c r="N66" s="256">
        <v>0</v>
      </c>
      <c r="O66" s="257">
        <v>0</v>
      </c>
      <c r="AP66" s="47"/>
      <c r="AQ66" s="47"/>
      <c r="AR66" s="47"/>
      <c r="AS66" s="47"/>
    </row>
    <row r="67" spans="1:45" s="133" customFormat="1">
      <c r="B67" s="194" t="s">
        <v>344</v>
      </c>
      <c r="C67" s="258">
        <f>Assumptions!I13</f>
        <v>4.4999999999999998E-2</v>
      </c>
      <c r="D67" s="253">
        <f>-PMT(C67,30,-'Site 3 - Financial'!E24)</f>
        <v>-5378046.2319093142</v>
      </c>
      <c r="E67" s="248">
        <f t="shared" ref="E67" si="24">D67</f>
        <v>-5378046.2319093142</v>
      </c>
      <c r="F67" s="391">
        <f>D67</f>
        <v>-5378046.2319093142</v>
      </c>
      <c r="G67" s="253">
        <f>E67</f>
        <v>-5378046.2319093142</v>
      </c>
      <c r="H67" s="408" t="s">
        <v>205</v>
      </c>
      <c r="I67" s="248" t="s">
        <v>205</v>
      </c>
      <c r="J67" s="248" t="s">
        <v>205</v>
      </c>
      <c r="K67" s="248" t="s">
        <v>205</v>
      </c>
      <c r="L67" s="248" t="s">
        <v>205</v>
      </c>
      <c r="M67" s="248" t="s">
        <v>205</v>
      </c>
      <c r="N67" s="248" t="s">
        <v>205</v>
      </c>
      <c r="O67" s="249" t="s">
        <v>205</v>
      </c>
      <c r="AP67" s="47"/>
      <c r="AQ67" s="47"/>
      <c r="AR67" s="47"/>
      <c r="AS67" s="47"/>
    </row>
    <row r="68" spans="1:45" s="199" customFormat="1" outlineLevel="1">
      <c r="B68" s="361" t="s">
        <v>399</v>
      </c>
      <c r="C68" s="362"/>
      <c r="D68" s="363">
        <f>$C$67*'Site 3 - Financial'!$E$24</f>
        <v>3942107.8045921535</v>
      </c>
      <c r="E68" s="364">
        <f>D70*$C$67</f>
        <v>3877490.5753628812</v>
      </c>
      <c r="F68" s="392">
        <f>E70*$C$67</f>
        <v>3809965.570818292</v>
      </c>
      <c r="G68" s="363">
        <f>F70*$C$67</f>
        <v>3739401.9410691955</v>
      </c>
      <c r="H68" s="409" t="s">
        <v>205</v>
      </c>
      <c r="I68" s="364" t="s">
        <v>205</v>
      </c>
      <c r="J68" s="364" t="s">
        <v>205</v>
      </c>
      <c r="K68" s="364" t="s">
        <v>205</v>
      </c>
      <c r="L68" s="364" t="s">
        <v>205</v>
      </c>
      <c r="M68" s="364" t="s">
        <v>205</v>
      </c>
      <c r="N68" s="364" t="s">
        <v>205</v>
      </c>
      <c r="O68" s="410" t="s">
        <v>205</v>
      </c>
      <c r="AP68" s="368"/>
      <c r="AQ68" s="368"/>
      <c r="AR68" s="368"/>
      <c r="AS68" s="368"/>
    </row>
    <row r="69" spans="1:45" s="199" customFormat="1" outlineLevel="1">
      <c r="B69" s="361" t="s">
        <v>400</v>
      </c>
      <c r="C69" s="362"/>
      <c r="D69" s="363">
        <f t="shared" ref="D69:G69" si="25">-(D68+D67)</f>
        <v>1435938.4273171606</v>
      </c>
      <c r="E69" s="364">
        <f t="shared" si="25"/>
        <v>1500555.656546433</v>
      </c>
      <c r="F69" s="392">
        <f t="shared" si="25"/>
        <v>1568080.6610910222</v>
      </c>
      <c r="G69" s="363">
        <f t="shared" si="25"/>
        <v>1638644.2908401187</v>
      </c>
      <c r="H69" s="409" t="s">
        <v>205</v>
      </c>
      <c r="I69" s="364" t="s">
        <v>205</v>
      </c>
      <c r="J69" s="364" t="s">
        <v>205</v>
      </c>
      <c r="K69" s="364" t="s">
        <v>205</v>
      </c>
      <c r="L69" s="364" t="s">
        <v>205</v>
      </c>
      <c r="M69" s="364" t="s">
        <v>205</v>
      </c>
      <c r="N69" s="364" t="s">
        <v>205</v>
      </c>
      <c r="O69" s="410" t="s">
        <v>205</v>
      </c>
      <c r="AP69" s="368"/>
      <c r="AQ69" s="368"/>
      <c r="AR69" s="368"/>
      <c r="AS69" s="368"/>
    </row>
    <row r="70" spans="1:45" s="199" customFormat="1" outlineLevel="1">
      <c r="B70" s="361" t="s">
        <v>408</v>
      </c>
      <c r="C70" s="362"/>
      <c r="D70" s="363">
        <f>'Site 3 - Financial'!E24-D69</f>
        <v>86166457.230286255</v>
      </c>
      <c r="E70" s="364">
        <f t="shared" ref="E70:G70" si="26">D70-E69</f>
        <v>84665901.573739827</v>
      </c>
      <c r="F70" s="392">
        <f t="shared" si="26"/>
        <v>83097820.912648797</v>
      </c>
      <c r="G70" s="363">
        <f t="shared" si="26"/>
        <v>81459176.621808678</v>
      </c>
      <c r="H70" s="409" t="s">
        <v>205</v>
      </c>
      <c r="I70" s="364" t="s">
        <v>205</v>
      </c>
      <c r="J70" s="364" t="s">
        <v>205</v>
      </c>
      <c r="K70" s="364" t="s">
        <v>205</v>
      </c>
      <c r="L70" s="364" t="s">
        <v>205</v>
      </c>
      <c r="M70" s="364" t="s">
        <v>205</v>
      </c>
      <c r="N70" s="364" t="s">
        <v>205</v>
      </c>
      <c r="O70" s="410" t="s">
        <v>205</v>
      </c>
      <c r="AP70" s="368"/>
      <c r="AQ70" s="368"/>
      <c r="AR70" s="368"/>
      <c r="AS70" s="368"/>
    </row>
    <row r="71" spans="1:45" s="133" customFormat="1" ht="15" thickBot="1">
      <c r="B71" s="194" t="s">
        <v>345</v>
      </c>
      <c r="C71" s="233"/>
      <c r="D71" s="253">
        <f>D66*0.4</f>
        <v>-17852374.810000945</v>
      </c>
      <c r="E71" s="248">
        <f>E66*0.4</f>
        <v>-20227585.836034004</v>
      </c>
      <c r="F71" s="391">
        <f>F66*0.4</f>
        <v>-20321636.459034003</v>
      </c>
      <c r="G71" s="253">
        <v>0</v>
      </c>
      <c r="H71" s="408" t="s">
        <v>205</v>
      </c>
      <c r="I71" s="248" t="s">
        <v>205</v>
      </c>
      <c r="J71" s="248" t="s">
        <v>205</v>
      </c>
      <c r="K71" s="248" t="s">
        <v>205</v>
      </c>
      <c r="L71" s="248" t="s">
        <v>205</v>
      </c>
      <c r="M71" s="248" t="s">
        <v>205</v>
      </c>
      <c r="N71" s="248" t="s">
        <v>205</v>
      </c>
      <c r="O71" s="249" t="s">
        <v>205</v>
      </c>
      <c r="AP71" s="47"/>
      <c r="AQ71" s="47"/>
      <c r="AR71" s="47"/>
      <c r="AS71" s="47"/>
    </row>
    <row r="72" spans="1:45" s="145" customFormat="1" ht="15" thickBot="1">
      <c r="B72" s="254" t="s">
        <v>342</v>
      </c>
      <c r="C72" s="360">
        <f>IRR(D72:N72)</f>
        <v>0.46933320843686932</v>
      </c>
      <c r="D72" s="255">
        <f>D71+D67</f>
        <v>-23230421.041910261</v>
      </c>
      <c r="E72" s="256">
        <f>E71+E67</f>
        <v>-25605632.06794332</v>
      </c>
      <c r="F72" s="386">
        <f>F71+F67</f>
        <v>-25699682.690943316</v>
      </c>
      <c r="G72" s="255">
        <f>G66+G67-G70</f>
        <v>166734018.74169245</v>
      </c>
      <c r="H72" s="403">
        <v>0</v>
      </c>
      <c r="I72" s="256">
        <v>0</v>
      </c>
      <c r="J72" s="256">
        <v>0</v>
      </c>
      <c r="K72" s="256">
        <v>0</v>
      </c>
      <c r="L72" s="256">
        <v>0</v>
      </c>
      <c r="M72" s="256">
        <v>0</v>
      </c>
      <c r="N72" s="256">
        <v>0</v>
      </c>
      <c r="O72" s="257">
        <v>0</v>
      </c>
      <c r="AP72" s="263"/>
      <c r="AQ72" s="263"/>
      <c r="AR72" s="263"/>
      <c r="AS72" s="263"/>
    </row>
    <row r="73" spans="1:45" s="95" customFormat="1">
      <c r="A73" s="133"/>
      <c r="B73" s="48"/>
      <c r="C73" s="48"/>
      <c r="D73" s="48"/>
      <c r="E73" s="48"/>
      <c r="F73" s="48"/>
      <c r="G73" s="48"/>
      <c r="H73" s="48"/>
      <c r="I73" s="48"/>
      <c r="J73" s="48"/>
      <c r="K73" s="48"/>
      <c r="L73" s="48"/>
      <c r="M73" s="48"/>
      <c r="N73" s="48"/>
      <c r="O73" s="48"/>
      <c r="P73" s="48"/>
      <c r="Q73" s="48"/>
      <c r="R73" s="48"/>
      <c r="S73" s="48"/>
      <c r="T73" s="48"/>
      <c r="U73" s="48"/>
      <c r="V73" s="48"/>
      <c r="W73" s="48"/>
      <c r="X73" s="48"/>
      <c r="Y73" s="48"/>
      <c r="Z73" s="48"/>
      <c r="AA73" s="48"/>
      <c r="AB73" s="48"/>
      <c r="AC73" s="48"/>
      <c r="AD73" s="48"/>
      <c r="AE73" s="48"/>
      <c r="AF73" s="48"/>
      <c r="AG73" s="48"/>
      <c r="AH73" s="48"/>
      <c r="AI73" s="48"/>
      <c r="AJ73" s="48"/>
      <c r="AK73" s="48"/>
      <c r="AL73" s="48"/>
      <c r="AM73" s="48"/>
      <c r="AP73" s="48"/>
      <c r="AQ73" s="48"/>
      <c r="AR73" s="48"/>
      <c r="AS73" s="48"/>
    </row>
    <row r="74" spans="1:45" s="95" customFormat="1">
      <c r="A74" s="133"/>
      <c r="B74" s="48"/>
      <c r="C74" s="179"/>
      <c r="D74" s="48"/>
      <c r="E74" s="48"/>
      <c r="F74" s="48"/>
      <c r="G74" s="48"/>
      <c r="H74" s="48"/>
      <c r="I74" s="48"/>
      <c r="J74" s="48"/>
      <c r="K74" s="48"/>
      <c r="L74" s="48"/>
      <c r="M74" s="48"/>
      <c r="N74" s="48"/>
      <c r="O74" s="48"/>
      <c r="P74" s="48"/>
      <c r="Q74" s="48"/>
      <c r="R74" s="48"/>
      <c r="S74" s="48"/>
      <c r="T74" s="48"/>
      <c r="U74" s="48"/>
      <c r="V74" s="48"/>
      <c r="W74" s="48"/>
      <c r="X74" s="48"/>
      <c r="Y74" s="48"/>
      <c r="Z74" s="48"/>
      <c r="AA74" s="48"/>
      <c r="AB74" s="48"/>
      <c r="AC74" s="48"/>
      <c r="AD74" s="48"/>
      <c r="AE74" s="48"/>
      <c r="AF74" s="48"/>
      <c r="AG74" s="48"/>
      <c r="AH74" s="48"/>
      <c r="AI74" s="48"/>
      <c r="AJ74" s="48"/>
      <c r="AK74" s="48"/>
      <c r="AL74" s="48"/>
      <c r="AM74" s="48"/>
      <c r="AP74" s="48"/>
      <c r="AQ74" s="48"/>
      <c r="AR74" s="48"/>
      <c r="AS74" s="48"/>
    </row>
    <row r="75" spans="1:45" s="95" customFormat="1">
      <c r="A75" s="133"/>
      <c r="B75" s="48"/>
      <c r="C75" s="179"/>
      <c r="D75" s="48"/>
      <c r="E75" s="48"/>
      <c r="F75" s="48"/>
      <c r="G75" s="48"/>
      <c r="H75" s="48"/>
      <c r="I75" s="48"/>
      <c r="J75" s="48"/>
      <c r="K75" s="48"/>
      <c r="L75" s="48"/>
      <c r="M75" s="48"/>
      <c r="N75" s="48"/>
      <c r="O75" s="48"/>
      <c r="P75" s="48"/>
      <c r="Q75" s="48"/>
      <c r="R75" s="48"/>
      <c r="S75" s="48"/>
      <c r="T75" s="48"/>
      <c r="U75" s="48"/>
      <c r="V75" s="48"/>
      <c r="W75" s="48"/>
      <c r="X75" s="48"/>
      <c r="Y75" s="48"/>
      <c r="Z75" s="48"/>
      <c r="AA75" s="48"/>
      <c r="AB75" s="48"/>
      <c r="AC75" s="48"/>
      <c r="AD75" s="48"/>
      <c r="AE75" s="48"/>
      <c r="AF75" s="48"/>
      <c r="AG75" s="48"/>
      <c r="AH75" s="48"/>
      <c r="AI75" s="48"/>
      <c r="AJ75" s="48"/>
      <c r="AK75" s="48"/>
      <c r="AL75" s="48"/>
      <c r="AM75" s="48"/>
      <c r="AP75" s="48"/>
      <c r="AQ75" s="48"/>
      <c r="AR75" s="48"/>
      <c r="AS75" s="48"/>
    </row>
    <row r="76" spans="1:45" s="95" customFormat="1">
      <c r="A76" s="133"/>
      <c r="B76" s="144"/>
      <c r="C76" s="184"/>
      <c r="D76" s="48"/>
      <c r="E76" s="48"/>
      <c r="F76" s="48"/>
      <c r="G76" s="48"/>
      <c r="H76" s="48"/>
      <c r="I76" s="48"/>
      <c r="J76" s="48"/>
      <c r="K76" s="48"/>
      <c r="L76" s="48"/>
      <c r="M76" s="48"/>
      <c r="N76" s="48"/>
      <c r="O76" s="48"/>
      <c r="P76" s="48"/>
      <c r="Q76" s="48"/>
      <c r="R76" s="48"/>
      <c r="S76" s="48"/>
      <c r="T76" s="48"/>
      <c r="U76" s="48"/>
      <c r="V76" s="48"/>
      <c r="W76" s="48"/>
      <c r="X76" s="48"/>
      <c r="Y76" s="48"/>
      <c r="Z76" s="48"/>
      <c r="AA76" s="48"/>
      <c r="AB76" s="48"/>
      <c r="AC76" s="48"/>
      <c r="AD76" s="48"/>
      <c r="AE76" s="48"/>
      <c r="AF76" s="48"/>
      <c r="AG76" s="48"/>
      <c r="AH76" s="48"/>
      <c r="AI76" s="48"/>
      <c r="AJ76" s="48"/>
      <c r="AK76" s="48"/>
      <c r="AL76" s="48"/>
      <c r="AM76" s="48"/>
      <c r="AP76" s="48"/>
      <c r="AQ76" s="48"/>
      <c r="AR76" s="48"/>
      <c r="AS76" s="48"/>
    </row>
    <row r="77" spans="1:45" s="95" customFormat="1">
      <c r="A77" s="133"/>
      <c r="B77" s="48"/>
      <c r="C77" s="48"/>
      <c r="D77" s="48"/>
      <c r="E77" s="48"/>
      <c r="F77" s="48"/>
      <c r="G77" s="48"/>
      <c r="H77" s="48"/>
      <c r="I77" s="48"/>
      <c r="J77" s="48"/>
      <c r="K77" s="48"/>
      <c r="L77" s="48"/>
      <c r="M77" s="48"/>
      <c r="N77" s="48"/>
      <c r="O77" s="48"/>
      <c r="P77" s="48"/>
      <c r="Q77" s="48"/>
      <c r="R77" s="48"/>
      <c r="S77" s="48"/>
      <c r="T77" s="48"/>
      <c r="U77" s="48"/>
      <c r="V77" s="48"/>
      <c r="W77" s="48"/>
      <c r="X77" s="48"/>
      <c r="Y77" s="48"/>
      <c r="Z77" s="48"/>
      <c r="AA77" s="48"/>
      <c r="AB77" s="48"/>
      <c r="AC77" s="48"/>
      <c r="AD77" s="48"/>
      <c r="AE77" s="48"/>
      <c r="AF77" s="48"/>
      <c r="AG77" s="48"/>
      <c r="AH77" s="48"/>
      <c r="AI77" s="48"/>
      <c r="AJ77" s="48"/>
      <c r="AK77" s="48"/>
      <c r="AL77" s="48"/>
      <c r="AM77" s="48"/>
      <c r="AP77" s="48"/>
      <c r="AQ77" s="48"/>
      <c r="AR77" s="48"/>
      <c r="AS77" s="48"/>
    </row>
  </sheetData>
  <mergeCells count="1">
    <mergeCell ref="B2:B4"/>
  </mergeCells>
  <conditionalFormatting sqref="D4:O4">
    <cfRule type="cellIs" dxfId="27" priority="1" operator="equal">
      <formula>#REF!</formula>
    </cfRule>
    <cfRule type="cellIs" dxfId="26" priority="2" operator="equal">
      <formula>#REF!</formula>
    </cfRule>
    <cfRule type="cellIs" dxfId="25" priority="3" operator="equal">
      <formula>#REF!</formula>
    </cfRule>
    <cfRule type="cellIs" dxfId="24" priority="4" operator="equal">
      <formula>#REF!</formula>
    </cfRule>
  </conditionalFormatting>
  <pageMargins left="0.7" right="0.7" top="0.75" bottom="0.75" header="0.3" footer="0.3"/>
  <pageSetup paperSize="3" orientation="landscape" horizontalDpi="1200" verticalDpi="1200" r:id="rId1"/>
  <headerFooter>
    <oddHeader>&amp;C&amp;"Calibri,Regular"&amp;K000000OVERALL DRAW</oddHeader>
    <oddFooter>&amp;C&amp;"Calibri,Regular"&amp;K000000PAGE &amp;P OF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547B8A-DA8B-2F4E-8D4E-92DF730014B4}">
  <sheetPr>
    <tabColor rgb="FF00B050"/>
    <pageSetUpPr fitToPage="1"/>
  </sheetPr>
  <dimension ref="B1:K83"/>
  <sheetViews>
    <sheetView showGridLines="0" zoomScale="89" zoomScaleNormal="110" zoomScaleSheetLayoutView="90" workbookViewId="0">
      <selection activeCell="I22" sqref="I22"/>
    </sheetView>
  </sheetViews>
  <sheetFormatPr defaultColWidth="8.77734375" defaultRowHeight="23.25" customHeight="1"/>
  <cols>
    <col min="1" max="1" width="2" style="48" customWidth="1"/>
    <col min="2" max="2" width="36.44140625" style="48" bestFit="1" customWidth="1"/>
    <col min="3" max="3" width="32.109375" style="48" bestFit="1" customWidth="1"/>
    <col min="4" max="4" width="22.44140625" style="48" bestFit="1" customWidth="1"/>
    <col min="5" max="5" width="18.44140625" style="48" customWidth="1"/>
    <col min="6" max="6" width="18.109375" style="48" bestFit="1" customWidth="1"/>
    <col min="7" max="7" width="44.77734375" style="48" customWidth="1"/>
    <col min="8" max="11" width="26.109375" style="48" customWidth="1"/>
    <col min="12" max="12" width="13.109375" style="48" bestFit="1" customWidth="1"/>
    <col min="13" max="13" width="24.44140625" style="48" customWidth="1"/>
    <col min="14" max="14" width="32.44140625" style="48" customWidth="1"/>
    <col min="15" max="15" width="20.109375" style="48" customWidth="1"/>
    <col min="16" max="16384" width="8.77734375" style="48"/>
  </cols>
  <sheetData>
    <row r="1" spans="2:10" ht="12" customHeight="1" thickBot="1">
      <c r="B1" s="121"/>
      <c r="C1" s="121"/>
      <c r="D1" s="119"/>
      <c r="E1" s="122"/>
    </row>
    <row r="2" spans="2:10" ht="21" customHeight="1">
      <c r="B2" s="1197" t="str">
        <f>'Development Program'!B8</f>
        <v>County Center</v>
      </c>
      <c r="C2" s="1198"/>
      <c r="D2" s="1198"/>
      <c r="E2" s="1198"/>
      <c r="F2" s="1199"/>
      <c r="G2" s="1216" t="s">
        <v>101</v>
      </c>
      <c r="H2" s="1164" t="s">
        <v>18</v>
      </c>
      <c r="I2" s="1164" t="s">
        <v>97</v>
      </c>
      <c r="J2" s="1166" t="s">
        <v>91</v>
      </c>
    </row>
    <row r="3" spans="2:10" ht="21" customHeight="1" thickBot="1">
      <c r="B3" s="93" t="s">
        <v>411</v>
      </c>
      <c r="C3" s="327" t="s">
        <v>84</v>
      </c>
      <c r="D3" s="328" t="s">
        <v>402</v>
      </c>
      <c r="E3" s="327" t="s">
        <v>403</v>
      </c>
      <c r="F3" s="120" t="s">
        <v>404</v>
      </c>
      <c r="G3" s="1217"/>
      <c r="H3" s="1165"/>
      <c r="I3" s="1165"/>
      <c r="J3" s="1167"/>
    </row>
    <row r="4" spans="2:10" ht="21" customHeight="1">
      <c r="B4" s="154" t="s">
        <v>86</v>
      </c>
      <c r="C4" s="155">
        <v>0</v>
      </c>
      <c r="D4" s="156">
        <f>Assumptions!C7*C4</f>
        <v>0</v>
      </c>
      <c r="E4" s="157">
        <f>Assumptions!D7</f>
        <v>2000</v>
      </c>
      <c r="F4" s="158">
        <f>E4*C4*12</f>
        <v>0</v>
      </c>
      <c r="G4" s="126" t="str">
        <f>Assumptions!F19</f>
        <v>Residential Condominium Hard Costs for Construction</v>
      </c>
      <c r="H4" s="284">
        <f>'Market Research'!H116</f>
        <v>260</v>
      </c>
      <c r="I4" s="285">
        <f>H4*D8</f>
        <v>0</v>
      </c>
      <c r="J4" s="306">
        <f t="shared" ref="J4:J28" si="0">I4/($C$13+$C$8)</f>
        <v>0</v>
      </c>
    </row>
    <row r="5" spans="2:10" ht="21" customHeight="1">
      <c r="B5" s="159" t="s">
        <v>190</v>
      </c>
      <c r="C5" s="160">
        <v>0</v>
      </c>
      <c r="D5" s="161">
        <f>Assumptions!C9*C5</f>
        <v>0</v>
      </c>
      <c r="E5" s="162">
        <f>Assumptions!D9</f>
        <v>2400</v>
      </c>
      <c r="F5" s="163">
        <f>E5*C5*12</f>
        <v>0</v>
      </c>
      <c r="G5" s="520" t="s">
        <v>428</v>
      </c>
      <c r="H5" s="286">
        <f>'Market Research'!H122</f>
        <v>255</v>
      </c>
      <c r="I5" s="285">
        <f>H5*D12*0</f>
        <v>0</v>
      </c>
      <c r="J5" s="307">
        <f t="shared" si="0"/>
        <v>0</v>
      </c>
    </row>
    <row r="6" spans="2:10" ht="21" customHeight="1">
      <c r="B6" s="159" t="s">
        <v>191</v>
      </c>
      <c r="C6" s="160">
        <v>0</v>
      </c>
      <c r="D6" s="161">
        <f>Assumptions!C11*C6</f>
        <v>0</v>
      </c>
      <c r="E6" s="162">
        <f>Assumptions!D11</f>
        <v>3400</v>
      </c>
      <c r="F6" s="163">
        <f>E6*C6*12</f>
        <v>0</v>
      </c>
      <c r="G6" s="520" t="s">
        <v>544</v>
      </c>
      <c r="H6" s="286">
        <f>'Market Research'!H122</f>
        <v>255</v>
      </c>
      <c r="I6" s="285">
        <f>H6*D11*0</f>
        <v>0</v>
      </c>
      <c r="J6" s="307">
        <f t="shared" si="0"/>
        <v>0</v>
      </c>
    </row>
    <row r="7" spans="2:10" ht="21" customHeight="1" thickBot="1">
      <c r="B7" s="164" t="s">
        <v>192</v>
      </c>
      <c r="C7" s="165">
        <v>0</v>
      </c>
      <c r="D7" s="166">
        <f>Assumptions!C13*C7</f>
        <v>0</v>
      </c>
      <c r="E7" s="167">
        <f>Assumptions!D13</f>
        <v>4600</v>
      </c>
      <c r="F7" s="168">
        <f>E7*C7*12</f>
        <v>0</v>
      </c>
      <c r="G7" s="126" t="s">
        <v>540</v>
      </c>
      <c r="H7" s="287" t="s">
        <v>157</v>
      </c>
      <c r="I7" s="285">
        <v>0</v>
      </c>
      <c r="J7" s="307">
        <f t="shared" si="0"/>
        <v>0</v>
      </c>
    </row>
    <row r="8" spans="2:10" ht="21" customHeight="1">
      <c r="B8" s="1200" t="s">
        <v>87</v>
      </c>
      <c r="C8" s="1202">
        <f>SUM(C4:C7)</f>
        <v>0</v>
      </c>
      <c r="D8" s="1220">
        <f>SUM(D4:D7)</f>
        <v>0</v>
      </c>
      <c r="E8" s="1206" t="s">
        <v>157</v>
      </c>
      <c r="F8" s="1168">
        <f>SUM(F4:F7)</f>
        <v>0</v>
      </c>
      <c r="G8" s="126" t="s">
        <v>20</v>
      </c>
      <c r="H8" s="288">
        <v>0.1</v>
      </c>
      <c r="I8" s="285">
        <f>H8*SUM(I4:I7)</f>
        <v>0</v>
      </c>
      <c r="J8" s="307">
        <f t="shared" si="0"/>
        <v>0</v>
      </c>
    </row>
    <row r="9" spans="2:10" ht="21" customHeight="1">
      <c r="B9" s="1201"/>
      <c r="C9" s="1203"/>
      <c r="D9" s="1221"/>
      <c r="E9" s="1207"/>
      <c r="F9" s="1169"/>
      <c r="G9" s="126" t="s">
        <v>547</v>
      </c>
      <c r="H9" s="289" t="s">
        <v>24</v>
      </c>
      <c r="I9" s="285">
        <v>500000</v>
      </c>
      <c r="J9" s="307">
        <f t="shared" si="0"/>
        <v>31250</v>
      </c>
    </row>
    <row r="10" spans="2:10" ht="21" customHeight="1" thickBot="1">
      <c r="B10" s="185" t="s">
        <v>412</v>
      </c>
      <c r="C10" s="327" t="s">
        <v>84</v>
      </c>
      <c r="D10" s="327" t="s">
        <v>402</v>
      </c>
      <c r="E10" s="327" t="s">
        <v>89</v>
      </c>
      <c r="F10" s="120" t="s">
        <v>85</v>
      </c>
      <c r="G10" s="126" t="s">
        <v>312</v>
      </c>
      <c r="H10" s="290">
        <f>'Market Research'!C53</f>
        <v>45000000</v>
      </c>
      <c r="I10" s="285">
        <f>H10*C17</f>
        <v>61239669.4214876</v>
      </c>
      <c r="J10" s="307">
        <f t="shared" si="0"/>
        <v>3827479.338842975</v>
      </c>
    </row>
    <row r="11" spans="2:10" ht="21" customHeight="1">
      <c r="B11" s="169" t="s">
        <v>1</v>
      </c>
      <c r="C11" s="170">
        <v>10</v>
      </c>
      <c r="D11" s="171">
        <v>86819</v>
      </c>
      <c r="E11" s="172">
        <f>Assumptions!F7</f>
        <v>35</v>
      </c>
      <c r="F11" s="173">
        <f>D11*E11</f>
        <v>3038665</v>
      </c>
      <c r="G11" s="520" t="s">
        <v>21</v>
      </c>
      <c r="H11" s="625" t="s">
        <v>562</v>
      </c>
      <c r="I11" s="285">
        <v>200000</v>
      </c>
      <c r="J11" s="306">
        <f t="shared" si="0"/>
        <v>12500</v>
      </c>
    </row>
    <row r="12" spans="2:10" ht="21" customHeight="1" thickBot="1">
      <c r="B12" s="174" t="s">
        <v>0</v>
      </c>
      <c r="C12" s="175">
        <v>6</v>
      </c>
      <c r="D12" s="176">
        <v>65827</v>
      </c>
      <c r="E12" s="177">
        <f>Assumptions!G7</f>
        <v>45</v>
      </c>
      <c r="F12" s="178">
        <f>D12*E12</f>
        <v>2962215</v>
      </c>
      <c r="G12" s="520" t="s">
        <v>43</v>
      </c>
      <c r="H12" s="280" t="s">
        <v>381</v>
      </c>
      <c r="I12" s="285">
        <f>'Development Program'!M22</f>
        <v>1337473.2880755607</v>
      </c>
      <c r="J12" s="307">
        <f t="shared" si="0"/>
        <v>83592.080504722544</v>
      </c>
    </row>
    <row r="13" spans="2:10" ht="21" customHeight="1">
      <c r="B13" s="1200" t="s">
        <v>87</v>
      </c>
      <c r="C13" s="1202">
        <f>SUM(C11:C12)</f>
        <v>16</v>
      </c>
      <c r="D13" s="1209">
        <f>SUM(D11:D12)</f>
        <v>152646</v>
      </c>
      <c r="E13" s="1211">
        <f>IF(D13=0,0,F13/D13)</f>
        <v>39.3123960012054</v>
      </c>
      <c r="F13" s="1168">
        <f>SUM(F11:F12)</f>
        <v>6000880</v>
      </c>
      <c r="G13" s="124" t="s">
        <v>23</v>
      </c>
      <c r="H13" s="276" t="s">
        <v>24</v>
      </c>
      <c r="I13" s="277">
        <v>400000</v>
      </c>
      <c r="J13" s="307">
        <f t="shared" si="0"/>
        <v>25000</v>
      </c>
    </row>
    <row r="14" spans="2:10" ht="21" customHeight="1" thickBot="1">
      <c r="B14" s="1208"/>
      <c r="C14" s="1203"/>
      <c r="D14" s="1210"/>
      <c r="E14" s="1212"/>
      <c r="F14" s="1188"/>
      <c r="G14" s="124" t="s">
        <v>374</v>
      </c>
      <c r="H14" s="302">
        <v>0.02</v>
      </c>
      <c r="I14" s="277">
        <f>H14*I10</f>
        <v>1224793.3884297521</v>
      </c>
      <c r="J14" s="307">
        <f t="shared" si="0"/>
        <v>76549.586776859505</v>
      </c>
    </row>
    <row r="15" spans="2:10" ht="21" customHeight="1">
      <c r="B15" s="1120" t="s">
        <v>384</v>
      </c>
      <c r="C15" s="1122"/>
      <c r="D15" s="1194" t="s">
        <v>206</v>
      </c>
      <c r="E15" s="1195"/>
      <c r="F15" s="1196"/>
      <c r="G15" s="124" t="s">
        <v>26</v>
      </c>
      <c r="H15" s="278">
        <v>0.04</v>
      </c>
      <c r="I15" s="277">
        <f>H15*SUM(I4:I7)</f>
        <v>0</v>
      </c>
      <c r="J15" s="307">
        <f t="shared" si="0"/>
        <v>0</v>
      </c>
    </row>
    <row r="16" spans="2:10" ht="21" customHeight="1" thickBot="1">
      <c r="B16" s="142" t="s">
        <v>331</v>
      </c>
      <c r="C16" s="198" t="s">
        <v>388</v>
      </c>
      <c r="D16" s="142" t="s">
        <v>331</v>
      </c>
      <c r="E16" s="143" t="s">
        <v>104</v>
      </c>
      <c r="F16" s="198" t="s">
        <v>91</v>
      </c>
      <c r="G16" s="124" t="s">
        <v>27</v>
      </c>
      <c r="H16" s="279">
        <v>0.03</v>
      </c>
      <c r="I16" s="277">
        <f>H16*SUM(I4:I15)</f>
        <v>1947058.0829397873</v>
      </c>
      <c r="J16" s="307">
        <f t="shared" si="0"/>
        <v>121691.13018373671</v>
      </c>
    </row>
    <row r="17" spans="2:11" ht="21" customHeight="1">
      <c r="B17" s="310" t="s">
        <v>385</v>
      </c>
      <c r="C17" s="311">
        <f>59280/43560</f>
        <v>1.3608815426997245</v>
      </c>
      <c r="D17" s="320">
        <f>Assumptions!I11</f>
        <v>0.6</v>
      </c>
      <c r="E17" s="321">
        <f>D17*I$27</f>
        <v>58410115.282873668</v>
      </c>
      <c r="F17" s="322">
        <f>E17/($C$8+$C$13)</f>
        <v>3650632.2051796042</v>
      </c>
      <c r="G17" s="124" t="s">
        <v>28</v>
      </c>
      <c r="H17" s="278">
        <v>0.02</v>
      </c>
      <c r="I17" s="277">
        <f>H17*SUM(I4:I7)</f>
        <v>0</v>
      </c>
      <c r="J17" s="307">
        <f t="shared" si="0"/>
        <v>0</v>
      </c>
    </row>
    <row r="18" spans="2:11" ht="21" customHeight="1">
      <c r="B18" s="312" t="s">
        <v>386</v>
      </c>
      <c r="C18" s="417">
        <f>173278+0</f>
        <v>173278</v>
      </c>
      <c r="D18" s="323">
        <f>1-D17</f>
        <v>0.4</v>
      </c>
      <c r="E18" s="318">
        <f>D18*I$27</f>
        <v>38940076.855249114</v>
      </c>
      <c r="F18" s="319">
        <f>E18/($C$8+$C$13)</f>
        <v>2433754.8034530696</v>
      </c>
      <c r="G18" s="531" t="s">
        <v>99</v>
      </c>
      <c r="H18" s="805">
        <v>8.8293999999999994E-3</v>
      </c>
      <c r="I18" s="277">
        <f>H18*I10</f>
        <v>540709.5371900826</v>
      </c>
      <c r="J18" s="307">
        <f t="shared" si="0"/>
        <v>33794.346074380162</v>
      </c>
    </row>
    <row r="19" spans="2:11" ht="21" customHeight="1">
      <c r="B19" s="312" t="s">
        <v>387</v>
      </c>
      <c r="C19" s="313">
        <f>D8+D13</f>
        <v>152646</v>
      </c>
      <c r="D19" s="312" t="s">
        <v>395</v>
      </c>
      <c r="E19" s="329">
        <v>0</v>
      </c>
      <c r="F19" s="330">
        <f>E19/($C$8+$C$13)</f>
        <v>0</v>
      </c>
      <c r="G19" s="124" t="s">
        <v>29</v>
      </c>
      <c r="H19" s="280">
        <v>6000</v>
      </c>
      <c r="I19" s="277">
        <f>H19*(C8+C13)</f>
        <v>96000</v>
      </c>
      <c r="J19" s="307">
        <f t="shared" si="0"/>
        <v>6000</v>
      </c>
    </row>
    <row r="20" spans="2:11" ht="21" customHeight="1">
      <c r="B20" s="312" t="s">
        <v>389</v>
      </c>
      <c r="C20" s="314">
        <v>0</v>
      </c>
      <c r="D20" s="312" t="s">
        <v>396</v>
      </c>
      <c r="E20" s="324">
        <f>SUM(E17:E19)</f>
        <v>97350192.138122782</v>
      </c>
      <c r="F20" s="325">
        <f>SUM(F17:F19)</f>
        <v>6084387.0086326739</v>
      </c>
      <c r="G20" s="124" t="s">
        <v>30</v>
      </c>
      <c r="H20" s="276" t="s">
        <v>24</v>
      </c>
      <c r="I20" s="277">
        <v>400000</v>
      </c>
      <c r="J20" s="307">
        <f t="shared" si="0"/>
        <v>25000</v>
      </c>
    </row>
    <row r="21" spans="2:11" ht="21" customHeight="1" thickBot="1">
      <c r="B21" s="312" t="s">
        <v>390</v>
      </c>
      <c r="C21" s="314">
        <v>0</v>
      </c>
      <c r="D21" s="316"/>
      <c r="E21" s="326"/>
      <c r="F21" s="317"/>
      <c r="G21" s="124" t="s">
        <v>31</v>
      </c>
      <c r="H21" s="281" t="s">
        <v>376</v>
      </c>
      <c r="I21" s="277">
        <f>-SUM('Site 4 - Draw'!D46:E46,'Site 4 - Draw'!D55:E55)</f>
        <v>419776.5</v>
      </c>
      <c r="J21" s="307">
        <f t="shared" si="0"/>
        <v>26236.03125</v>
      </c>
    </row>
    <row r="22" spans="2:11" ht="21" customHeight="1">
      <c r="B22" s="315" t="s">
        <v>438</v>
      </c>
      <c r="C22" s="314">
        <v>0</v>
      </c>
      <c r="D22" s="1172" t="s">
        <v>105</v>
      </c>
      <c r="E22" s="1174">
        <f>E17+E18</f>
        <v>97350192.138122782</v>
      </c>
      <c r="F22" s="1191">
        <f>ROUND((F18+F17),-3)</f>
        <v>6084000</v>
      </c>
      <c r="G22" s="124" t="s">
        <v>377</v>
      </c>
      <c r="H22" s="282">
        <f>'Market Research'!H125</f>
        <v>140</v>
      </c>
      <c r="I22" s="277">
        <f>H22*D13</f>
        <v>21370440</v>
      </c>
      <c r="J22" s="307">
        <f t="shared" si="0"/>
        <v>1335652.5</v>
      </c>
    </row>
    <row r="23" spans="2:11" ht="21" customHeight="1" thickBot="1">
      <c r="B23" s="448" t="s">
        <v>437</v>
      </c>
      <c r="C23" s="447">
        <f>C18/(C17*43560)</f>
        <v>2.92304318488529</v>
      </c>
      <c r="D23" s="1173"/>
      <c r="E23" s="1175"/>
      <c r="F23" s="1192"/>
      <c r="G23" s="124" t="s">
        <v>378</v>
      </c>
      <c r="H23" s="283">
        <v>0.06</v>
      </c>
      <c r="I23" s="277">
        <f>('Site 4 - Draw'!G40+'Site 4 - Draw'!G49)*5*0.06</f>
        <v>1854271.92</v>
      </c>
      <c r="J23" s="307">
        <f t="shared" si="0"/>
        <v>115891.995</v>
      </c>
    </row>
    <row r="24" spans="2:11" ht="21" customHeight="1" thickBot="1">
      <c r="B24" s="416">
        <v>9</v>
      </c>
      <c r="C24" s="417">
        <f>C18/B24</f>
        <v>19253.111111111109</v>
      </c>
      <c r="D24" s="1189" t="s">
        <v>414</v>
      </c>
      <c r="E24" s="1190"/>
      <c r="F24" s="260" t="s">
        <v>383</v>
      </c>
      <c r="G24" s="531" t="s">
        <v>33</v>
      </c>
      <c r="H24" s="532">
        <v>0.01</v>
      </c>
      <c r="I24" s="277">
        <v>540000</v>
      </c>
      <c r="J24" s="307">
        <f t="shared" si="0"/>
        <v>33750</v>
      </c>
      <c r="K24" s="266"/>
    </row>
    <row r="25" spans="2:11" ht="21" customHeight="1" thickBot="1">
      <c r="B25" s="316" t="s">
        <v>393</v>
      </c>
      <c r="C25" s="317" t="s">
        <v>394</v>
      </c>
      <c r="D25" s="1182" t="s">
        <v>333</v>
      </c>
      <c r="E25" s="1183"/>
      <c r="F25" s="331">
        <v>0</v>
      </c>
      <c r="G25" s="533" t="s">
        <v>34</v>
      </c>
      <c r="H25" s="534">
        <v>7.0000000000000007E-2</v>
      </c>
      <c r="I25" s="277">
        <f>I24*7</f>
        <v>3780000</v>
      </c>
      <c r="J25" s="307">
        <f t="shared" si="0"/>
        <v>236250</v>
      </c>
      <c r="K25" s="266"/>
    </row>
    <row r="26" spans="2:11" ht="21" customHeight="1" thickBot="1">
      <c r="B26" s="1189" t="s">
        <v>413</v>
      </c>
      <c r="C26" s="1193"/>
      <c r="D26" s="1184" t="s">
        <v>391</v>
      </c>
      <c r="E26" s="1185"/>
      <c r="F26" s="380" t="s">
        <v>157</v>
      </c>
      <c r="G26" s="127" t="s">
        <v>100</v>
      </c>
      <c r="H26" s="274" t="s">
        <v>24</v>
      </c>
      <c r="I26" s="275">
        <v>1500000</v>
      </c>
      <c r="J26" s="308">
        <f t="shared" si="0"/>
        <v>93750</v>
      </c>
    </row>
    <row r="27" spans="2:11" ht="21" customHeight="1">
      <c r="B27" s="303" t="s">
        <v>311</v>
      </c>
      <c r="C27" s="338">
        <f>(F32+E18)/E18</f>
        <v>1.7786394544596156</v>
      </c>
      <c r="D27" s="1184" t="s">
        <v>392</v>
      </c>
      <c r="E27" s="1185"/>
      <c r="F27" s="332" t="s">
        <v>157</v>
      </c>
      <c r="G27" s="128" t="s">
        <v>101</v>
      </c>
      <c r="H27" s="340" t="s">
        <v>205</v>
      </c>
      <c r="I27" s="341">
        <f>SUM(I4:I26)</f>
        <v>97350192.138122782</v>
      </c>
      <c r="J27" s="342">
        <f t="shared" si="0"/>
        <v>6084387.0086326739</v>
      </c>
      <c r="K27" s="266"/>
    </row>
    <row r="28" spans="2:11" ht="21" customHeight="1">
      <c r="B28" s="304" t="s">
        <v>136</v>
      </c>
      <c r="C28" s="431">
        <f>'Site 4 - Draw'!C57</f>
        <v>0.18680126839979883</v>
      </c>
      <c r="D28" s="1170" t="s">
        <v>334</v>
      </c>
      <c r="E28" s="1171"/>
      <c r="F28" s="333">
        <f>'Site 4 - Draw'!F56+'Site 4 - Draw'!F47</f>
        <v>127670472.33730945</v>
      </c>
      <c r="G28" s="129" t="s">
        <v>336</v>
      </c>
      <c r="H28" s="343" t="s">
        <v>205</v>
      </c>
      <c r="I28" s="344">
        <f>'Site 4 - Draw'!F56+'Site 4 - Draw'!F47</f>
        <v>127670472.33730945</v>
      </c>
      <c r="J28" s="345">
        <f t="shared" si="0"/>
        <v>7979404.5210818406</v>
      </c>
    </row>
    <row r="29" spans="2:11" ht="21" customHeight="1">
      <c r="B29" s="304" t="s">
        <v>41</v>
      </c>
      <c r="C29" s="431">
        <f>'Site 4 - Draw'!C63</f>
        <v>0.30459740130696145</v>
      </c>
      <c r="D29" s="1186" t="s">
        <v>335</v>
      </c>
      <c r="E29" s="1187"/>
      <c r="F29" s="334">
        <f>F25+F28</f>
        <v>127670472.33730945</v>
      </c>
      <c r="G29" s="129" t="s">
        <v>102</v>
      </c>
      <c r="H29" s="343" t="s">
        <v>205</v>
      </c>
      <c r="I29" s="379">
        <f>('Site 4 - Draw'!G46+'Site 4 - Draw'!G55)/I27</f>
        <v>6.0000293868277967E-2</v>
      </c>
      <c r="J29" s="346" t="s">
        <v>205</v>
      </c>
    </row>
    <row r="30" spans="2:11" ht="21" customHeight="1">
      <c r="B30" s="304" t="s">
        <v>111</v>
      </c>
      <c r="C30" s="336">
        <f>'Site 4 - Draw'!G57/'Site 4 - Financial'!E17</f>
        <v>0</v>
      </c>
      <c r="D30" s="1178" t="s">
        <v>107</v>
      </c>
      <c r="E30" s="1179"/>
      <c r="F30" s="333">
        <f>E17</f>
        <v>58410115.282873668</v>
      </c>
      <c r="G30" s="129" t="s">
        <v>103</v>
      </c>
      <c r="H30" s="343" t="s">
        <v>205</v>
      </c>
      <c r="I30" s="552">
        <f>(I28/I27)-1</f>
        <v>0.31145578178384614</v>
      </c>
      <c r="J30" s="347" t="s">
        <v>205</v>
      </c>
    </row>
    <row r="31" spans="2:11" ht="21" customHeight="1">
      <c r="B31" s="304" t="s">
        <v>397</v>
      </c>
      <c r="C31" s="336">
        <f>Assumptions!I9</f>
        <v>4.2500000000000003E-2</v>
      </c>
      <c r="D31" s="1178" t="s">
        <v>108</v>
      </c>
      <c r="E31" s="1179"/>
      <c r="F31" s="333">
        <f>E18</f>
        <v>38940076.855249114</v>
      </c>
      <c r="G31" s="130">
        <v>0.5</v>
      </c>
      <c r="H31" s="348" t="s">
        <v>205</v>
      </c>
      <c r="I31" s="349">
        <f>I28/(1+G31)</f>
        <v>85113648.224872962</v>
      </c>
      <c r="J31" s="345">
        <f>I31/($C$13+$C$8)</f>
        <v>5319603.0140545601</v>
      </c>
    </row>
    <row r="32" spans="2:11" ht="21" customHeight="1" thickBot="1">
      <c r="B32" s="305" t="s">
        <v>398</v>
      </c>
      <c r="C32" s="339">
        <f>Assumptions!I8</f>
        <v>4.7500000000000001E-2</v>
      </c>
      <c r="D32" s="1180" t="s">
        <v>109</v>
      </c>
      <c r="E32" s="1181"/>
      <c r="F32" s="335">
        <f>F29-F30-F31</f>
        <v>30320280.199186675</v>
      </c>
      <c r="G32" s="131">
        <v>0.3</v>
      </c>
      <c r="H32" s="350" t="s">
        <v>205</v>
      </c>
      <c r="I32" s="351">
        <f>ROUND((I28/(1+G32))-I27,-3)</f>
        <v>858000</v>
      </c>
      <c r="J32" s="369">
        <f>I32/($C$13+$C$8)</f>
        <v>53625</v>
      </c>
    </row>
    <row r="33" spans="2:10" ht="16.05" customHeight="1">
      <c r="G33" s="262"/>
      <c r="H33" s="186"/>
      <c r="I33" s="186"/>
      <c r="J33" s="186"/>
    </row>
    <row r="34" spans="2:10" ht="15" customHeight="1">
      <c r="D34" s="144"/>
      <c r="E34" s="144"/>
      <c r="F34" s="144"/>
      <c r="G34" s="187"/>
      <c r="H34" s="188"/>
      <c r="I34" s="189"/>
      <c r="J34" s="188"/>
    </row>
    <row r="35" spans="2:10" ht="15" customHeight="1">
      <c r="D35" s="132"/>
      <c r="G35" s="190"/>
      <c r="H35" s="1176"/>
      <c r="I35" s="1176"/>
      <c r="J35" s="188"/>
    </row>
    <row r="36" spans="2:10" ht="15" customHeight="1">
      <c r="D36" s="132"/>
      <c r="G36" s="191"/>
      <c r="H36" s="1177"/>
      <c r="I36" s="1177"/>
      <c r="J36" s="192"/>
    </row>
    <row r="37" spans="2:10" ht="13.2">
      <c r="D37" s="132"/>
    </row>
    <row r="38" spans="2:10" ht="13.2">
      <c r="D38" s="179"/>
    </row>
    <row r="39" spans="2:10" s="144" customFormat="1" ht="13.2">
      <c r="B39" s="48"/>
      <c r="C39" s="48"/>
      <c r="D39" s="179"/>
      <c r="E39" s="48"/>
      <c r="F39" s="48"/>
    </row>
    <row r="40" spans="2:10" ht="13.2">
      <c r="B40" s="144"/>
      <c r="C40" s="144"/>
    </row>
    <row r="41" spans="2:10" ht="13.05" customHeight="1">
      <c r="B41" s="132"/>
      <c r="C41" s="132"/>
    </row>
    <row r="42" spans="2:10" ht="13.2">
      <c r="B42" s="132"/>
      <c r="C42" s="132"/>
    </row>
    <row r="43" spans="2:10" s="144" customFormat="1" ht="13.2">
      <c r="B43" s="125"/>
      <c r="C43" s="125"/>
      <c r="D43" s="48"/>
      <c r="E43" s="48"/>
      <c r="F43" s="48"/>
    </row>
    <row r="44" spans="2:10" s="132" customFormat="1" ht="13.2">
      <c r="D44" s="48"/>
      <c r="E44" s="48"/>
      <c r="F44" s="48"/>
    </row>
    <row r="45" spans="2:10" s="132" customFormat="1" ht="13.2">
      <c r="D45" s="48"/>
      <c r="E45" s="48"/>
      <c r="F45" s="48"/>
    </row>
    <row r="46" spans="2:10" s="125" customFormat="1" ht="13.2">
      <c r="D46" s="48"/>
      <c r="E46" s="48"/>
      <c r="F46" s="48"/>
    </row>
    <row r="47" spans="2:10" s="132" customFormat="1" ht="13.2">
      <c r="D47" s="48"/>
      <c r="E47" s="48"/>
      <c r="F47" s="48"/>
    </row>
    <row r="48" spans="2:10" s="132" customFormat="1" ht="13.2">
      <c r="D48" s="48"/>
      <c r="E48" s="48"/>
      <c r="F48" s="48"/>
    </row>
    <row r="49" spans="2:10" s="125" customFormat="1" ht="13.2">
      <c r="B49" s="132"/>
      <c r="C49" s="132"/>
      <c r="D49" s="48"/>
      <c r="E49" s="48"/>
      <c r="F49" s="48"/>
    </row>
    <row r="50" spans="2:10" s="132" customFormat="1" ht="13.2">
      <c r="B50" s="48"/>
      <c r="C50" s="179"/>
      <c r="D50" s="48"/>
      <c r="E50" s="48"/>
      <c r="F50" s="48"/>
    </row>
    <row r="51" spans="2:10" s="132" customFormat="1" ht="13.2">
      <c r="B51" s="48"/>
      <c r="C51" s="179"/>
      <c r="D51" s="48"/>
      <c r="E51" s="48"/>
      <c r="F51" s="48"/>
    </row>
    <row r="52" spans="2:10" s="132" customFormat="1" ht="13.2">
      <c r="B52" s="48"/>
      <c r="C52" s="48"/>
      <c r="D52" s="48"/>
      <c r="E52" s="48"/>
      <c r="F52" s="48"/>
    </row>
    <row r="53" spans="2:10" ht="13.2">
      <c r="G53" s="179"/>
      <c r="H53" s="179"/>
      <c r="I53" s="179"/>
      <c r="J53" s="179"/>
    </row>
    <row r="54" spans="2:10" ht="13.2">
      <c r="G54" s="179"/>
      <c r="H54" s="179"/>
      <c r="I54" s="179"/>
      <c r="J54" s="179"/>
    </row>
    <row r="55" spans="2:10" ht="13.2"/>
    <row r="56" spans="2:10" ht="15" customHeight="1"/>
    <row r="57" spans="2:10" ht="13.2"/>
    <row r="58" spans="2:10" ht="13.2">
      <c r="G58" s="179"/>
    </row>
    <row r="59" spans="2:10" ht="13.2">
      <c r="G59" s="179"/>
    </row>
    <row r="60" spans="2:10" ht="13.2"/>
    <row r="61" spans="2:10" ht="13.2"/>
    <row r="62" spans="2:10" ht="13.2">
      <c r="G62" s="179"/>
    </row>
    <row r="63" spans="2:10" ht="15" customHeight="1"/>
    <row r="64" spans="2:10" ht="15" customHeight="1"/>
    <row r="65" ht="13.2"/>
    <row r="66" ht="13.2"/>
    <row r="67" ht="13.2"/>
    <row r="68" ht="13.2"/>
    <row r="69" ht="13.2"/>
    <row r="70" ht="13.2"/>
    <row r="71" ht="13.2"/>
    <row r="72" ht="13.2"/>
    <row r="73" ht="13.2"/>
    <row r="74" ht="13.2"/>
    <row r="75" ht="13.2"/>
    <row r="76" ht="13.2"/>
    <row r="77" ht="13.2"/>
    <row r="78" ht="13.2"/>
    <row r="79" ht="13.2"/>
    <row r="80" ht="13.2"/>
    <row r="81" ht="13.2"/>
    <row r="82" ht="13.2"/>
    <row r="83" ht="13.2"/>
  </sheetData>
  <mergeCells count="32">
    <mergeCell ref="F22:F23"/>
    <mergeCell ref="D24:E24"/>
    <mergeCell ref="D25:E25"/>
    <mergeCell ref="H35:I35"/>
    <mergeCell ref="H36:I36"/>
    <mergeCell ref="D27:E27"/>
    <mergeCell ref="D28:E28"/>
    <mergeCell ref="D29:E29"/>
    <mergeCell ref="D30:E30"/>
    <mergeCell ref="D31:E31"/>
    <mergeCell ref="D32:E32"/>
    <mergeCell ref="B26:C26"/>
    <mergeCell ref="D26:E26"/>
    <mergeCell ref="B13:B14"/>
    <mergeCell ref="C13:C14"/>
    <mergeCell ref="D13:D14"/>
    <mergeCell ref="E13:E14"/>
    <mergeCell ref="D22:D23"/>
    <mergeCell ref="E22:E23"/>
    <mergeCell ref="F13:F14"/>
    <mergeCell ref="B15:C15"/>
    <mergeCell ref="D15:F15"/>
    <mergeCell ref="B2:F2"/>
    <mergeCell ref="G2:G3"/>
    <mergeCell ref="H2:H3"/>
    <mergeCell ref="I2:I3"/>
    <mergeCell ref="J2:J3"/>
    <mergeCell ref="B8:B9"/>
    <mergeCell ref="C8:C9"/>
    <mergeCell ref="D8:D9"/>
    <mergeCell ref="E8:E9"/>
    <mergeCell ref="F8:F9"/>
  </mergeCells>
  <printOptions horizontalCentered="1" verticalCentered="1"/>
  <pageMargins left="0.7" right="0.7" top="0.75" bottom="0.75" header="0.3" footer="0.3"/>
  <pageSetup scale="91" fitToHeight="0" orientation="landscape" horizontalDpi="4294967292" verticalDpi="4294967292" r:id="rId1"/>
  <headerFooter>
    <oddHeader>&amp;C&amp;"Times New Roman Bold,Bold"&amp;14&amp;K000000INVESTOR SHEET</oddHeader>
    <oddFooter>&amp;CPage &amp;P of &amp;N</oddFooter>
  </headerFooter>
  <ignoredErrors>
    <ignoredError sqref="E13" formula="1"/>
  </ignoredError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369F57-70D0-3248-A70B-2DBA8EDFECD2}">
  <sheetPr>
    <tabColor rgb="FF00B050"/>
  </sheetPr>
  <dimension ref="A1:AS68"/>
  <sheetViews>
    <sheetView topLeftCell="A25" zoomScaleNormal="110" zoomScalePageLayoutView="125" workbookViewId="0">
      <selection activeCell="E46" sqref="E46"/>
    </sheetView>
  </sheetViews>
  <sheetFormatPr defaultColWidth="8.77734375" defaultRowHeight="14.4" outlineLevelRow="1"/>
  <cols>
    <col min="1" max="1" width="4" style="47" customWidth="1"/>
    <col min="2" max="2" width="46.77734375" style="48" customWidth="1"/>
    <col min="3" max="3" width="20.77734375" style="48" customWidth="1"/>
    <col min="4" max="15" width="15.109375" style="48" customWidth="1"/>
    <col min="16" max="38" width="17" style="48" customWidth="1"/>
    <col min="39" max="39" width="16.44140625" style="48" customWidth="1"/>
    <col min="40" max="40" width="15" style="95" customWidth="1"/>
    <col min="41" max="41" width="17.77734375" style="95" bestFit="1" customWidth="1"/>
    <col min="42" max="42" width="9.44140625" style="48" bestFit="1" customWidth="1"/>
    <col min="43" max="43" width="11.77734375" style="48" bestFit="1" customWidth="1"/>
    <col min="44" max="45" width="9.44140625" style="48" bestFit="1" customWidth="1"/>
    <col min="46" max="16384" width="8.77734375" style="48"/>
  </cols>
  <sheetData>
    <row r="1" spans="2:45" s="47" customFormat="1" ht="15" thickBot="1">
      <c r="AN1" s="133"/>
      <c r="AO1" s="133"/>
    </row>
    <row r="2" spans="2:45" s="133" customFormat="1" ht="15" thickBot="1">
      <c r="B2" s="1213" t="str">
        <f>'Development Program'!B8</f>
        <v>County Center</v>
      </c>
      <c r="C2" s="235" t="s">
        <v>343</v>
      </c>
      <c r="D2" s="123">
        <v>0</v>
      </c>
      <c r="E2" s="382">
        <f t="shared" ref="E2:H2" si="0">D2+1</f>
        <v>1</v>
      </c>
      <c r="F2" s="136">
        <f>E2+1</f>
        <v>2</v>
      </c>
      <c r="G2" s="398">
        <f>F2+1</f>
        <v>3</v>
      </c>
      <c r="H2" s="137">
        <f t="shared" si="0"/>
        <v>4</v>
      </c>
      <c r="I2" s="137">
        <f t="shared" ref="I2:J2" si="1">G2+1</f>
        <v>4</v>
      </c>
      <c r="J2" s="137">
        <f t="shared" si="1"/>
        <v>5</v>
      </c>
      <c r="K2" s="137">
        <f t="shared" ref="K2" si="2">J2+1</f>
        <v>6</v>
      </c>
      <c r="L2" s="137">
        <f t="shared" ref="L2" si="3">K2+1</f>
        <v>7</v>
      </c>
      <c r="M2" s="137">
        <f t="shared" ref="M2" si="4">L2+1</f>
        <v>8</v>
      </c>
      <c r="N2" s="137">
        <f t="shared" ref="N2" si="5">M2+1</f>
        <v>9</v>
      </c>
      <c r="O2" s="261">
        <f t="shared" ref="O2" si="6">N2+1</f>
        <v>10</v>
      </c>
      <c r="P2" s="47"/>
      <c r="Q2" s="47"/>
      <c r="R2" s="47"/>
      <c r="S2" s="47"/>
      <c r="T2" s="47"/>
      <c r="U2" s="47"/>
      <c r="V2" s="47"/>
      <c r="W2" s="47"/>
      <c r="X2" s="47"/>
      <c r="Y2" s="47"/>
      <c r="Z2" s="47"/>
      <c r="AA2" s="47"/>
      <c r="AB2" s="47"/>
      <c r="AC2" s="47"/>
      <c r="AD2" s="47"/>
      <c r="AE2" s="47"/>
      <c r="AF2" s="47"/>
      <c r="AG2" s="47"/>
      <c r="AH2" s="47"/>
      <c r="AI2" s="47"/>
      <c r="AJ2" s="47"/>
      <c r="AK2" s="47"/>
      <c r="AL2" s="47"/>
      <c r="AM2" s="47"/>
      <c r="AP2" s="47"/>
      <c r="AQ2" s="47"/>
      <c r="AR2" s="47"/>
      <c r="AS2" s="47"/>
    </row>
    <row r="3" spans="2:45" s="133" customFormat="1" ht="41.55" customHeight="1" thickBot="1">
      <c r="B3" s="1158"/>
      <c r="C3" s="236" t="s">
        <v>104</v>
      </c>
      <c r="D3" s="291">
        <v>45413</v>
      </c>
      <c r="E3" s="383">
        <f>EDATE(D3,12)</f>
        <v>45778</v>
      </c>
      <c r="F3" s="224">
        <f>EDATE(E3,12)</f>
        <v>46143</v>
      </c>
      <c r="G3" s="399">
        <f>EDATE(F3,12)</f>
        <v>46508</v>
      </c>
      <c r="H3" s="225">
        <f t="shared" ref="H3" si="7">EDATE(G3,12)</f>
        <v>46874</v>
      </c>
      <c r="I3" s="225">
        <f t="shared" ref="I3:J3" si="8">EDATE(G3,12)</f>
        <v>46874</v>
      </c>
      <c r="J3" s="225">
        <f t="shared" si="8"/>
        <v>47239</v>
      </c>
      <c r="K3" s="225">
        <f t="shared" ref="K3" si="9">EDATE(J3,12)</f>
        <v>47604</v>
      </c>
      <c r="L3" s="225">
        <f t="shared" ref="L3" si="10">EDATE(K3,12)</f>
        <v>47969</v>
      </c>
      <c r="M3" s="225">
        <f t="shared" ref="M3" si="11">EDATE(L3,12)</f>
        <v>48335</v>
      </c>
      <c r="N3" s="225">
        <f t="shared" ref="N3" si="12">EDATE(M3,12)</f>
        <v>48700</v>
      </c>
      <c r="O3" s="226">
        <f t="shared" ref="O3" si="13">EDATE(N3,12)</f>
        <v>49065</v>
      </c>
      <c r="P3" s="47"/>
      <c r="Q3" s="47"/>
      <c r="R3" s="47"/>
      <c r="S3" s="47"/>
      <c r="T3" s="47"/>
      <c r="U3" s="47"/>
      <c r="V3" s="47"/>
      <c r="W3" s="47"/>
      <c r="X3" s="47"/>
      <c r="Y3" s="47"/>
      <c r="Z3" s="47"/>
      <c r="AA3" s="47"/>
      <c r="AB3" s="47"/>
      <c r="AC3" s="47"/>
      <c r="AD3" s="47"/>
      <c r="AE3" s="47"/>
      <c r="AF3" s="47"/>
      <c r="AG3" s="47"/>
      <c r="AH3" s="47"/>
      <c r="AI3" s="47"/>
      <c r="AJ3" s="47"/>
      <c r="AK3" s="47"/>
      <c r="AL3" s="47"/>
      <c r="AM3" s="47"/>
      <c r="AP3" s="47"/>
      <c r="AQ3" s="47"/>
      <c r="AR3" s="47"/>
      <c r="AS3" s="47"/>
    </row>
    <row r="4" spans="2:45" s="133" customFormat="1" ht="64.05" hidden="1" customHeight="1" thickBot="1">
      <c r="B4" s="1214"/>
      <c r="C4" s="237" t="s">
        <v>46</v>
      </c>
      <c r="D4" s="214" t="e">
        <f>EOMONTH(#REF!,3)</f>
        <v>#REF!</v>
      </c>
      <c r="E4" s="384" t="e">
        <f t="shared" ref="E4:H4" si="14">EOMONTH(D4,3)</f>
        <v>#REF!</v>
      </c>
      <c r="F4" s="114" t="e">
        <f>EOMONTH(#REF!,3)</f>
        <v>#REF!</v>
      </c>
      <c r="G4" s="96" t="e">
        <f t="shared" si="14"/>
        <v>#REF!</v>
      </c>
      <c r="H4" s="97" t="e">
        <f t="shared" si="14"/>
        <v>#REF!</v>
      </c>
      <c r="I4" s="97" t="e">
        <f>EOMONTH(#REF!,3)</f>
        <v>#REF!</v>
      </c>
      <c r="J4" s="97" t="e">
        <f>EOMONTH(#REF!,3)</f>
        <v>#REF!</v>
      </c>
      <c r="K4" s="97" t="e">
        <f t="shared" ref="K4" si="15">EOMONTH(J4,3)</f>
        <v>#REF!</v>
      </c>
      <c r="L4" s="97" t="e">
        <f>EOMONTH(J4,3)</f>
        <v>#REF!</v>
      </c>
      <c r="M4" s="97" t="e">
        <f>EOMONTH(K4,3)</f>
        <v>#REF!</v>
      </c>
      <c r="N4" s="97" t="e">
        <f t="shared" ref="N4" si="16">EOMONTH(M4,3)</f>
        <v>#REF!</v>
      </c>
      <c r="O4" s="104" t="e">
        <f>EOMONTH(#REF!,3)</f>
        <v>#REF!</v>
      </c>
      <c r="AP4" s="47"/>
      <c r="AQ4" s="47"/>
      <c r="AR4" s="47"/>
      <c r="AS4" s="47"/>
    </row>
    <row r="5" spans="2:45" s="133" customFormat="1" ht="15" thickBot="1">
      <c r="B5" s="98" t="s">
        <v>112</v>
      </c>
      <c r="C5" s="238">
        <v>1</v>
      </c>
      <c r="D5" s="530">
        <f>D29/$C$29</f>
        <v>0.82503626813662334</v>
      </c>
      <c r="E5" s="919">
        <f t="shared" ref="E5" si="17">E29/$C$29</f>
        <v>0.17496373186337669</v>
      </c>
      <c r="F5" s="921" t="s">
        <v>205</v>
      </c>
      <c r="G5" s="400" t="s">
        <v>205</v>
      </c>
      <c r="H5" s="101" t="s">
        <v>205</v>
      </c>
      <c r="I5" s="101" t="s">
        <v>205</v>
      </c>
      <c r="J5" s="101" t="s">
        <v>205</v>
      </c>
      <c r="K5" s="101" t="s">
        <v>205</v>
      </c>
      <c r="L5" s="101" t="s">
        <v>205</v>
      </c>
      <c r="M5" s="101" t="s">
        <v>205</v>
      </c>
      <c r="N5" s="101" t="s">
        <v>205</v>
      </c>
      <c r="O5" s="118" t="s">
        <v>205</v>
      </c>
      <c r="AP5" s="47"/>
      <c r="AQ5" s="47"/>
      <c r="AR5" s="47"/>
      <c r="AS5" s="47"/>
    </row>
    <row r="6" spans="2:45" s="133" customFormat="1">
      <c r="B6" s="273" t="str">
        <f>'Site 4 - Financial'!G4</f>
        <v>Residential Condominium Hard Costs for Construction</v>
      </c>
      <c r="C6" s="234">
        <f>'Site 4 - Financial'!I4</f>
        <v>0</v>
      </c>
      <c r="D6" s="528">
        <v>0</v>
      </c>
      <c r="E6" s="567">
        <f>1/2*$C6</f>
        <v>0</v>
      </c>
      <c r="F6" s="267" t="s">
        <v>205</v>
      </c>
      <c r="G6" s="401" t="s">
        <v>205</v>
      </c>
      <c r="H6" s="268" t="s">
        <v>205</v>
      </c>
      <c r="I6" s="268" t="s">
        <v>205</v>
      </c>
      <c r="J6" s="268" t="s">
        <v>205</v>
      </c>
      <c r="K6" s="268" t="s">
        <v>205</v>
      </c>
      <c r="L6" s="268" t="s">
        <v>205</v>
      </c>
      <c r="M6" s="268" t="s">
        <v>205</v>
      </c>
      <c r="N6" s="268" t="s">
        <v>205</v>
      </c>
      <c r="O6" s="269" t="s">
        <v>205</v>
      </c>
      <c r="P6" s="134"/>
      <c r="AP6" s="47"/>
      <c r="AQ6" s="47"/>
      <c r="AR6" s="47"/>
      <c r="AS6" s="47"/>
    </row>
    <row r="7" spans="2:45" s="133" customFormat="1">
      <c r="B7" s="273" t="str">
        <f>'Site 4 - Financial'!G5</f>
        <v>Office Shell &amp; Core Hard Costs for Construction (0%)</v>
      </c>
      <c r="C7" s="234">
        <f>'Site 4 - Financial'!I5</f>
        <v>0</v>
      </c>
      <c r="D7" s="217">
        <v>0</v>
      </c>
      <c r="E7" s="385">
        <f t="shared" ref="E7:E10" si="18">1/2*$C7</f>
        <v>0</v>
      </c>
      <c r="F7" s="267" t="s">
        <v>205</v>
      </c>
      <c r="G7" s="401" t="s">
        <v>205</v>
      </c>
      <c r="H7" s="268" t="s">
        <v>205</v>
      </c>
      <c r="I7" s="268" t="s">
        <v>205</v>
      </c>
      <c r="J7" s="268" t="s">
        <v>205</v>
      </c>
      <c r="K7" s="268" t="s">
        <v>205</v>
      </c>
      <c r="L7" s="268" t="s">
        <v>205</v>
      </c>
      <c r="M7" s="268" t="s">
        <v>205</v>
      </c>
      <c r="N7" s="268" t="s">
        <v>205</v>
      </c>
      <c r="O7" s="269" t="s">
        <v>205</v>
      </c>
      <c r="P7" s="134"/>
      <c r="AP7" s="47"/>
      <c r="AQ7" s="47"/>
      <c r="AR7" s="47"/>
      <c r="AS7" s="47"/>
    </row>
    <row r="8" spans="2:45" s="133" customFormat="1">
      <c r="B8" s="273" t="str">
        <f>'Site 4 - Financial'!G6</f>
        <v>Retail Hard Costs for Construction (0%)</v>
      </c>
      <c r="C8" s="234">
        <f>'Site 4 - Financial'!I6</f>
        <v>0</v>
      </c>
      <c r="D8" s="217">
        <v>0</v>
      </c>
      <c r="E8" s="385">
        <f t="shared" si="18"/>
        <v>0</v>
      </c>
      <c r="F8" s="267" t="s">
        <v>205</v>
      </c>
      <c r="G8" s="401" t="s">
        <v>205</v>
      </c>
      <c r="H8" s="268" t="s">
        <v>205</v>
      </c>
      <c r="I8" s="268" t="s">
        <v>205</v>
      </c>
      <c r="J8" s="268" t="s">
        <v>205</v>
      </c>
      <c r="K8" s="268" t="s">
        <v>205</v>
      </c>
      <c r="L8" s="268" t="s">
        <v>205</v>
      </c>
      <c r="M8" s="268" t="s">
        <v>205</v>
      </c>
      <c r="N8" s="268" t="s">
        <v>205</v>
      </c>
      <c r="O8" s="269" t="s">
        <v>205</v>
      </c>
      <c r="P8" s="134"/>
      <c r="AP8" s="47"/>
      <c r="AQ8" s="47"/>
      <c r="AR8" s="47"/>
      <c r="AS8" s="47"/>
    </row>
    <row r="9" spans="2:45" s="133" customFormat="1">
      <c r="B9" s="273" t="str">
        <f>'Site 4 - Financial'!G7</f>
        <v>Parking Stalls</v>
      </c>
      <c r="C9" s="234">
        <f>'Site 4 - Financial'!I7</f>
        <v>0</v>
      </c>
      <c r="D9" s="217">
        <v>0</v>
      </c>
      <c r="E9" s="385">
        <f t="shared" si="18"/>
        <v>0</v>
      </c>
      <c r="F9" s="267" t="s">
        <v>205</v>
      </c>
      <c r="G9" s="401" t="s">
        <v>205</v>
      </c>
      <c r="H9" s="268" t="s">
        <v>205</v>
      </c>
      <c r="I9" s="268" t="s">
        <v>205</v>
      </c>
      <c r="J9" s="268" t="s">
        <v>205</v>
      </c>
      <c r="K9" s="268" t="s">
        <v>205</v>
      </c>
      <c r="L9" s="268" t="s">
        <v>205</v>
      </c>
      <c r="M9" s="268" t="s">
        <v>205</v>
      </c>
      <c r="N9" s="268" t="s">
        <v>205</v>
      </c>
      <c r="O9" s="269" t="s">
        <v>205</v>
      </c>
      <c r="P9" s="134"/>
      <c r="AP9" s="47"/>
      <c r="AQ9" s="47"/>
      <c r="AR9" s="47"/>
      <c r="AS9" s="47"/>
    </row>
    <row r="10" spans="2:45" s="133" customFormat="1">
      <c r="B10" s="273" t="str">
        <f>'Site 4 - Financial'!G8</f>
        <v>Hard Cost Contingency</v>
      </c>
      <c r="C10" s="234">
        <f>'Site 4 - Financial'!I8</f>
        <v>0</v>
      </c>
      <c r="D10" s="217">
        <v>0</v>
      </c>
      <c r="E10" s="385">
        <f t="shared" si="18"/>
        <v>0</v>
      </c>
      <c r="F10" s="270" t="s">
        <v>205</v>
      </c>
      <c r="G10" s="402" t="s">
        <v>205</v>
      </c>
      <c r="H10" s="271" t="s">
        <v>205</v>
      </c>
      <c r="I10" s="271" t="s">
        <v>205</v>
      </c>
      <c r="J10" s="271" t="s">
        <v>205</v>
      </c>
      <c r="K10" s="271" t="s">
        <v>205</v>
      </c>
      <c r="L10" s="271" t="s">
        <v>205</v>
      </c>
      <c r="M10" s="271" t="s">
        <v>205</v>
      </c>
      <c r="N10" s="271" t="s">
        <v>205</v>
      </c>
      <c r="O10" s="272" t="s">
        <v>205</v>
      </c>
      <c r="P10" s="134"/>
      <c r="AP10" s="47"/>
      <c r="AQ10" s="47"/>
      <c r="AR10" s="47"/>
      <c r="AS10" s="47"/>
    </row>
    <row r="11" spans="2:45" s="133" customFormat="1">
      <c r="B11" s="273" t="str">
        <f>'Site 4 - Financial'!G9</f>
        <v>Demolition (Included for Building Transformation)</v>
      </c>
      <c r="C11" s="234">
        <f>'Site 4 - Financial'!I9</f>
        <v>500000</v>
      </c>
      <c r="D11" s="217">
        <f>C11</f>
        <v>500000</v>
      </c>
      <c r="E11" s="385">
        <v>0</v>
      </c>
      <c r="F11" s="270" t="s">
        <v>205</v>
      </c>
      <c r="G11" s="402" t="s">
        <v>205</v>
      </c>
      <c r="H11" s="271" t="s">
        <v>205</v>
      </c>
      <c r="I11" s="271" t="s">
        <v>205</v>
      </c>
      <c r="J11" s="271" t="s">
        <v>205</v>
      </c>
      <c r="K11" s="271" t="s">
        <v>205</v>
      </c>
      <c r="L11" s="271" t="s">
        <v>205</v>
      </c>
      <c r="M11" s="271" t="s">
        <v>205</v>
      </c>
      <c r="N11" s="271" t="s">
        <v>205</v>
      </c>
      <c r="O11" s="272" t="s">
        <v>205</v>
      </c>
      <c r="P11" s="134"/>
      <c r="AP11" s="47"/>
      <c r="AQ11" s="47"/>
      <c r="AR11" s="47"/>
      <c r="AS11" s="47"/>
    </row>
    <row r="12" spans="2:45" s="133" customFormat="1" ht="19.05" customHeight="1">
      <c r="B12" s="273" t="str">
        <f>'Site 4 - Financial'!G10</f>
        <v>Land</v>
      </c>
      <c r="C12" s="234">
        <f>'Site 4 - Financial'!I10</f>
        <v>61239669.4214876</v>
      </c>
      <c r="D12" s="217">
        <f>C12</f>
        <v>61239669.4214876</v>
      </c>
      <c r="E12" s="385">
        <v>0</v>
      </c>
      <c r="F12" s="270" t="s">
        <v>205</v>
      </c>
      <c r="G12" s="402" t="s">
        <v>205</v>
      </c>
      <c r="H12" s="271" t="s">
        <v>205</v>
      </c>
      <c r="I12" s="271" t="s">
        <v>205</v>
      </c>
      <c r="J12" s="271" t="s">
        <v>205</v>
      </c>
      <c r="K12" s="271" t="s">
        <v>205</v>
      </c>
      <c r="L12" s="271" t="s">
        <v>205</v>
      </c>
      <c r="M12" s="271" t="s">
        <v>205</v>
      </c>
      <c r="N12" s="268" t="s">
        <v>205</v>
      </c>
      <c r="O12" s="272" t="s">
        <v>205</v>
      </c>
      <c r="P12" s="134"/>
      <c r="AP12" s="47"/>
      <c r="AQ12" s="47"/>
      <c r="AR12" s="47"/>
      <c r="AS12" s="47"/>
    </row>
    <row r="13" spans="2:45" s="133" customFormat="1">
      <c r="B13" s="273" t="str">
        <f>'Site 4 - Financial'!G11</f>
        <v>Municipal Fees and Allowances</v>
      </c>
      <c r="C13" s="234">
        <f>'Site 4 - Financial'!I11</f>
        <v>200000</v>
      </c>
      <c r="D13" s="217">
        <f>C13</f>
        <v>200000</v>
      </c>
      <c r="E13" s="385">
        <v>0</v>
      </c>
      <c r="F13" s="270" t="s">
        <v>205</v>
      </c>
      <c r="G13" s="402" t="s">
        <v>205</v>
      </c>
      <c r="H13" s="271" t="s">
        <v>205</v>
      </c>
      <c r="I13" s="271" t="s">
        <v>205</v>
      </c>
      <c r="J13" s="271" t="s">
        <v>205</v>
      </c>
      <c r="K13" s="271" t="s">
        <v>205</v>
      </c>
      <c r="L13" s="271" t="s">
        <v>205</v>
      </c>
      <c r="M13" s="271" t="s">
        <v>205</v>
      </c>
      <c r="N13" s="271" t="s">
        <v>205</v>
      </c>
      <c r="O13" s="272" t="s">
        <v>205</v>
      </c>
      <c r="P13" s="134"/>
      <c r="AP13" s="47"/>
      <c r="AQ13" s="47"/>
      <c r="AR13" s="47"/>
      <c r="AS13" s="47"/>
    </row>
    <row r="14" spans="2:45" s="133" customFormat="1">
      <c r="B14" s="273" t="str">
        <f>'Site 4 - Financial'!G12</f>
        <v>Infrastructure Allocation</v>
      </c>
      <c r="C14" s="234">
        <f>'Site 4 - Financial'!I12</f>
        <v>1337473.2880755607</v>
      </c>
      <c r="D14" s="217">
        <f>$C14/2</f>
        <v>668736.64403778035</v>
      </c>
      <c r="E14" s="385">
        <f>$C$14/2</f>
        <v>668736.64403778035</v>
      </c>
      <c r="F14" s="267" t="s">
        <v>205</v>
      </c>
      <c r="G14" s="401" t="s">
        <v>205</v>
      </c>
      <c r="H14" s="268" t="s">
        <v>205</v>
      </c>
      <c r="I14" s="268" t="s">
        <v>205</v>
      </c>
      <c r="J14" s="268" t="s">
        <v>205</v>
      </c>
      <c r="K14" s="268" t="s">
        <v>205</v>
      </c>
      <c r="L14" s="268" t="s">
        <v>205</v>
      </c>
      <c r="M14" s="268" t="s">
        <v>205</v>
      </c>
      <c r="N14" s="268" t="s">
        <v>205</v>
      </c>
      <c r="O14" s="269" t="s">
        <v>205</v>
      </c>
      <c r="P14" s="134"/>
      <c r="AP14" s="47"/>
      <c r="AQ14" s="47"/>
      <c r="AR14" s="47"/>
      <c r="AS14" s="47"/>
    </row>
    <row r="15" spans="2:45" s="133" customFormat="1">
      <c r="B15" s="273" t="str">
        <f>'Site 4 - Financial'!G13</f>
        <v>Legal</v>
      </c>
      <c r="C15" s="234">
        <f>'Site 4 - Financial'!I13</f>
        <v>400000</v>
      </c>
      <c r="D15" s="217">
        <f>1/2*C15</f>
        <v>200000</v>
      </c>
      <c r="E15" s="385">
        <f>D15</f>
        <v>200000</v>
      </c>
      <c r="F15" s="267" t="s">
        <v>205</v>
      </c>
      <c r="G15" s="401" t="s">
        <v>205</v>
      </c>
      <c r="H15" s="268" t="s">
        <v>205</v>
      </c>
      <c r="I15" s="268" t="s">
        <v>205</v>
      </c>
      <c r="J15" s="268" t="s">
        <v>205</v>
      </c>
      <c r="K15" s="268" t="s">
        <v>205</v>
      </c>
      <c r="L15" s="268" t="s">
        <v>205</v>
      </c>
      <c r="M15" s="268" t="s">
        <v>205</v>
      </c>
      <c r="N15" s="268" t="s">
        <v>205</v>
      </c>
      <c r="O15" s="269" t="s">
        <v>205</v>
      </c>
      <c r="P15" s="134"/>
      <c r="AP15" s="47"/>
      <c r="AQ15" s="47"/>
      <c r="AR15" s="47"/>
      <c r="AS15" s="47"/>
    </row>
    <row r="16" spans="2:45" s="133" customFormat="1">
      <c r="B16" s="273" t="str">
        <f>'Site 4 - Financial'!G14</f>
        <v>Land Closing Costs/Commissions</v>
      </c>
      <c r="C16" s="234">
        <f>'Site 4 - Financial'!I14</f>
        <v>1224793.3884297521</v>
      </c>
      <c r="D16" s="217">
        <f>C16</f>
        <v>1224793.3884297521</v>
      </c>
      <c r="E16" s="385">
        <v>0</v>
      </c>
      <c r="F16" s="270" t="s">
        <v>205</v>
      </c>
      <c r="G16" s="402" t="s">
        <v>205</v>
      </c>
      <c r="H16" s="271" t="s">
        <v>205</v>
      </c>
      <c r="I16" s="271" t="s">
        <v>205</v>
      </c>
      <c r="J16" s="271" t="s">
        <v>205</v>
      </c>
      <c r="K16" s="271" t="s">
        <v>205</v>
      </c>
      <c r="L16" s="271" t="s">
        <v>205</v>
      </c>
      <c r="M16" s="271" t="s">
        <v>205</v>
      </c>
      <c r="N16" s="271" t="s">
        <v>205</v>
      </c>
      <c r="O16" s="272" t="s">
        <v>205</v>
      </c>
      <c r="P16" s="134"/>
      <c r="AP16" s="47"/>
      <c r="AQ16" s="47"/>
      <c r="AR16" s="47"/>
      <c r="AS16" s="47"/>
    </row>
    <row r="17" spans="2:45" s="133" customFormat="1">
      <c r="B17" s="273" t="str">
        <f>'Site 4 - Financial'!G15</f>
        <v xml:space="preserve">Design </v>
      </c>
      <c r="C17" s="234">
        <f>'Site 4 - Financial'!I15</f>
        <v>0</v>
      </c>
      <c r="D17" s="217">
        <f>0.75*C17</f>
        <v>0</v>
      </c>
      <c r="E17" s="385">
        <f>0.125*C17</f>
        <v>0</v>
      </c>
      <c r="F17" s="270" t="s">
        <v>205</v>
      </c>
      <c r="G17" s="402" t="s">
        <v>205</v>
      </c>
      <c r="H17" s="271" t="s">
        <v>205</v>
      </c>
      <c r="I17" s="271" t="s">
        <v>205</v>
      </c>
      <c r="J17" s="271" t="s">
        <v>205</v>
      </c>
      <c r="K17" s="271" t="s">
        <v>205</v>
      </c>
      <c r="L17" s="271" t="s">
        <v>205</v>
      </c>
      <c r="M17" s="271" t="s">
        <v>205</v>
      </c>
      <c r="N17" s="271" t="s">
        <v>205</v>
      </c>
      <c r="O17" s="272" t="s">
        <v>205</v>
      </c>
      <c r="P17" s="134"/>
      <c r="AP17" s="47"/>
      <c r="AQ17" s="47"/>
      <c r="AR17" s="47"/>
      <c r="AS17" s="47"/>
    </row>
    <row r="18" spans="2:45" s="133" customFormat="1" ht="19.05" customHeight="1">
      <c r="B18" s="273" t="str">
        <f>'Site 4 - Financial'!G16</f>
        <v>Developer Fee</v>
      </c>
      <c r="C18" s="234">
        <f>'Site 4 - Financial'!I16</f>
        <v>1947058.0829397873</v>
      </c>
      <c r="D18" s="217">
        <f>$C18/2</f>
        <v>973529.04146989365</v>
      </c>
      <c r="E18" s="385">
        <f>$C18/2</f>
        <v>973529.04146989365</v>
      </c>
      <c r="F18" s="270" t="s">
        <v>205</v>
      </c>
      <c r="G18" s="402" t="s">
        <v>205</v>
      </c>
      <c r="H18" s="271" t="s">
        <v>205</v>
      </c>
      <c r="I18" s="271" t="s">
        <v>205</v>
      </c>
      <c r="J18" s="271" t="s">
        <v>205</v>
      </c>
      <c r="K18" s="271" t="s">
        <v>205</v>
      </c>
      <c r="L18" s="271" t="s">
        <v>205</v>
      </c>
      <c r="M18" s="271" t="s">
        <v>205</v>
      </c>
      <c r="N18" s="268" t="s">
        <v>205</v>
      </c>
      <c r="O18" s="272" t="s">
        <v>205</v>
      </c>
      <c r="P18" s="134"/>
      <c r="AP18" s="47"/>
      <c r="AQ18" s="47"/>
      <c r="AR18" s="47"/>
      <c r="AS18" s="47"/>
    </row>
    <row r="19" spans="2:45" s="133" customFormat="1">
      <c r="B19" s="273" t="str">
        <f>'Site 4 - Financial'!G17</f>
        <v>Construction Management Fee</v>
      </c>
      <c r="C19" s="234">
        <f>'Site 4 - Financial'!I17</f>
        <v>0</v>
      </c>
      <c r="D19" s="217">
        <f t="shared" ref="D19:E19" si="19">$C19/3</f>
        <v>0</v>
      </c>
      <c r="E19" s="385">
        <f t="shared" si="19"/>
        <v>0</v>
      </c>
      <c r="F19" s="270" t="s">
        <v>205</v>
      </c>
      <c r="G19" s="402" t="s">
        <v>205</v>
      </c>
      <c r="H19" s="271" t="s">
        <v>205</v>
      </c>
      <c r="I19" s="271" t="s">
        <v>205</v>
      </c>
      <c r="J19" s="271" t="s">
        <v>205</v>
      </c>
      <c r="K19" s="271" t="s">
        <v>205</v>
      </c>
      <c r="L19" s="271" t="s">
        <v>205</v>
      </c>
      <c r="M19" s="271" t="s">
        <v>205</v>
      </c>
      <c r="N19" s="271" t="s">
        <v>205</v>
      </c>
      <c r="O19" s="272" t="s">
        <v>205</v>
      </c>
      <c r="P19" s="134"/>
      <c r="AP19" s="47"/>
      <c r="AQ19" s="47"/>
      <c r="AR19" s="47"/>
      <c r="AS19" s="47"/>
    </row>
    <row r="20" spans="2:45" s="133" customFormat="1">
      <c r="B20" s="273" t="str">
        <f>'Site 4 - Financial'!G18</f>
        <v>Taxes</v>
      </c>
      <c r="C20" s="234">
        <f>'Site 4 - Financial'!I18</f>
        <v>540709.5371900826</v>
      </c>
      <c r="D20" s="217">
        <f>C20/2</f>
        <v>270354.7685950413</v>
      </c>
      <c r="E20" s="385">
        <f>D20</f>
        <v>270354.7685950413</v>
      </c>
      <c r="F20" s="267" t="s">
        <v>205</v>
      </c>
      <c r="G20" s="401" t="s">
        <v>205</v>
      </c>
      <c r="H20" s="268" t="s">
        <v>205</v>
      </c>
      <c r="I20" s="268" t="s">
        <v>205</v>
      </c>
      <c r="J20" s="268" t="s">
        <v>205</v>
      </c>
      <c r="K20" s="268" t="s">
        <v>205</v>
      </c>
      <c r="L20" s="268" t="s">
        <v>205</v>
      </c>
      <c r="M20" s="268" t="s">
        <v>205</v>
      </c>
      <c r="N20" s="268" t="s">
        <v>205</v>
      </c>
      <c r="O20" s="269" t="s">
        <v>205</v>
      </c>
      <c r="P20" s="134"/>
      <c r="AP20" s="47"/>
      <c r="AQ20" s="47"/>
      <c r="AR20" s="47"/>
      <c r="AS20" s="47"/>
    </row>
    <row r="21" spans="2:45" s="133" customFormat="1">
      <c r="B21" s="273" t="str">
        <f>'Site 4 - Financial'!G19</f>
        <v>Insurance</v>
      </c>
      <c r="C21" s="234">
        <f>'Site 4 - Financial'!I19</f>
        <v>96000</v>
      </c>
      <c r="D21" s="217">
        <f>C21/2</f>
        <v>48000</v>
      </c>
      <c r="E21" s="385">
        <f>D21</f>
        <v>48000</v>
      </c>
      <c r="F21" s="267" t="s">
        <v>205</v>
      </c>
      <c r="G21" s="401" t="s">
        <v>205</v>
      </c>
      <c r="H21" s="268" t="s">
        <v>205</v>
      </c>
      <c r="I21" s="268" t="s">
        <v>205</v>
      </c>
      <c r="J21" s="268" t="s">
        <v>205</v>
      </c>
      <c r="K21" s="268" t="s">
        <v>205</v>
      </c>
      <c r="L21" s="268" t="s">
        <v>205</v>
      </c>
      <c r="M21" s="268" t="s">
        <v>205</v>
      </c>
      <c r="N21" s="268" t="s">
        <v>205</v>
      </c>
      <c r="O21" s="269" t="s">
        <v>205</v>
      </c>
      <c r="P21" s="134"/>
      <c r="AP21" s="47"/>
      <c r="AQ21" s="47"/>
      <c r="AR21" s="47"/>
      <c r="AS21" s="47"/>
    </row>
    <row r="22" spans="2:45" s="133" customFormat="1">
      <c r="B22" s="273" t="str">
        <f>'Site 4 - Financial'!G20</f>
        <v>Marketing, FFE and Preleasing</v>
      </c>
      <c r="C22" s="234">
        <f>'Site 4 - Financial'!I20</f>
        <v>400000</v>
      </c>
      <c r="D22" s="217">
        <f>$C22/2</f>
        <v>200000</v>
      </c>
      <c r="E22" s="385">
        <f>$C22/2</f>
        <v>200000</v>
      </c>
      <c r="F22" s="267" t="s">
        <v>205</v>
      </c>
      <c r="G22" s="401" t="s">
        <v>205</v>
      </c>
      <c r="H22" s="268" t="s">
        <v>205</v>
      </c>
      <c r="I22" s="268" t="s">
        <v>205</v>
      </c>
      <c r="J22" s="268" t="s">
        <v>205</v>
      </c>
      <c r="K22" s="268" t="s">
        <v>205</v>
      </c>
      <c r="L22" s="268" t="s">
        <v>205</v>
      </c>
      <c r="M22" s="268" t="s">
        <v>205</v>
      </c>
      <c r="N22" s="268" t="s">
        <v>205</v>
      </c>
      <c r="O22" s="269" t="s">
        <v>205</v>
      </c>
      <c r="P22" s="134"/>
      <c r="AP22" s="47"/>
      <c r="AQ22" s="47"/>
      <c r="AR22" s="47"/>
      <c r="AS22" s="47"/>
    </row>
    <row r="23" spans="2:45" s="133" customFormat="1">
      <c r="B23" s="273" t="str">
        <f>'Site 4 - Financial'!G21</f>
        <v>Operating Deficit</v>
      </c>
      <c r="C23" s="234">
        <f>-SUM(D46:E46,D55:E55,D37:E37)</f>
        <v>419776.5</v>
      </c>
      <c r="D23" s="217">
        <f>-(D46+D37+D55)</f>
        <v>0</v>
      </c>
      <c r="E23" s="385">
        <f>-(E46+E37+E55)</f>
        <v>419776.5</v>
      </c>
      <c r="F23" s="267" t="s">
        <v>205</v>
      </c>
      <c r="G23" s="401" t="s">
        <v>205</v>
      </c>
      <c r="H23" s="268" t="s">
        <v>205</v>
      </c>
      <c r="I23" s="268" t="s">
        <v>205</v>
      </c>
      <c r="J23" s="268" t="s">
        <v>205</v>
      </c>
      <c r="K23" s="268" t="s">
        <v>205</v>
      </c>
      <c r="L23" s="268" t="s">
        <v>205</v>
      </c>
      <c r="M23" s="268" t="s">
        <v>205</v>
      </c>
      <c r="N23" s="268" t="s">
        <v>205</v>
      </c>
      <c r="O23" s="269" t="s">
        <v>205</v>
      </c>
      <c r="P23" s="134"/>
      <c r="AP23" s="47"/>
      <c r="AQ23" s="47"/>
      <c r="AR23" s="47"/>
      <c r="AS23" s="47"/>
    </row>
    <row r="24" spans="2:45" s="133" customFormat="1">
      <c r="B24" s="273" t="str">
        <f>'Site 4 - Financial'!G22</f>
        <v>Commercial Interior Fitout Cost</v>
      </c>
      <c r="C24" s="234">
        <f>'Site 4 - Financial'!I22</f>
        <v>21370440</v>
      </c>
      <c r="D24" s="217">
        <f>C24*0.5</f>
        <v>10685220</v>
      </c>
      <c r="E24" s="385">
        <f>C24*0.5</f>
        <v>10685220</v>
      </c>
      <c r="F24" s="267" t="s">
        <v>205</v>
      </c>
      <c r="G24" s="401" t="s">
        <v>205</v>
      </c>
      <c r="H24" s="268" t="s">
        <v>205</v>
      </c>
      <c r="I24" s="268" t="s">
        <v>205</v>
      </c>
      <c r="J24" s="268" t="s">
        <v>205</v>
      </c>
      <c r="K24" s="268" t="s">
        <v>205</v>
      </c>
      <c r="L24" s="268" t="s">
        <v>205</v>
      </c>
      <c r="M24" s="268" t="s">
        <v>205</v>
      </c>
      <c r="N24" s="268" t="s">
        <v>205</v>
      </c>
      <c r="O24" s="269" t="s">
        <v>205</v>
      </c>
      <c r="P24" s="134"/>
      <c r="AP24" s="47"/>
      <c r="AQ24" s="47"/>
      <c r="AR24" s="47"/>
      <c r="AS24" s="47"/>
    </row>
    <row r="25" spans="2:45" s="133" customFormat="1">
      <c r="B25" s="273" t="str">
        <f>'Site 4 - Financial'!G23</f>
        <v>Commercial Brokerage Commission</v>
      </c>
      <c r="C25" s="234">
        <f>'Site 4 - Financial'!I23</f>
        <v>1854271.92</v>
      </c>
      <c r="D25" s="217">
        <f>C25*0.5</f>
        <v>927135.96</v>
      </c>
      <c r="E25" s="385">
        <f>C25*0.5</f>
        <v>927135.96</v>
      </c>
      <c r="F25" s="267" t="s">
        <v>205</v>
      </c>
      <c r="G25" s="401" t="s">
        <v>205</v>
      </c>
      <c r="H25" s="268" t="s">
        <v>205</v>
      </c>
      <c r="I25" s="268" t="s">
        <v>205</v>
      </c>
      <c r="J25" s="268" t="s">
        <v>205</v>
      </c>
      <c r="K25" s="268" t="s">
        <v>205</v>
      </c>
      <c r="L25" s="268" t="s">
        <v>205</v>
      </c>
      <c r="M25" s="268" t="s">
        <v>205</v>
      </c>
      <c r="N25" s="268" t="s">
        <v>205</v>
      </c>
      <c r="O25" s="269" t="s">
        <v>205</v>
      </c>
      <c r="P25" s="134"/>
      <c r="AP25" s="47"/>
      <c r="AQ25" s="47"/>
      <c r="AR25" s="47"/>
      <c r="AS25" s="47"/>
    </row>
    <row r="26" spans="2:45" s="133" customFormat="1">
      <c r="B26" s="273" t="str">
        <f>'Site 4 - Financial'!G24</f>
        <v>Construction Loan Origination</v>
      </c>
      <c r="C26" s="234">
        <f>'Site 4 - Financial'!I24</f>
        <v>540000</v>
      </c>
      <c r="D26" s="217">
        <f>C26</f>
        <v>540000</v>
      </c>
      <c r="E26" s="385">
        <v>0</v>
      </c>
      <c r="F26" s="267" t="s">
        <v>205</v>
      </c>
      <c r="G26" s="401" t="s">
        <v>205</v>
      </c>
      <c r="H26" s="268" t="s">
        <v>205</v>
      </c>
      <c r="I26" s="268" t="s">
        <v>205</v>
      </c>
      <c r="J26" s="268" t="s">
        <v>205</v>
      </c>
      <c r="K26" s="268" t="s">
        <v>205</v>
      </c>
      <c r="L26" s="268" t="s">
        <v>205</v>
      </c>
      <c r="M26" s="268" t="s">
        <v>205</v>
      </c>
      <c r="N26" s="268" t="s">
        <v>205</v>
      </c>
      <c r="O26" s="269" t="s">
        <v>205</v>
      </c>
      <c r="P26" s="134"/>
      <c r="AP26" s="47"/>
      <c r="AQ26" s="47"/>
      <c r="AR26" s="47"/>
      <c r="AS26" s="47"/>
    </row>
    <row r="27" spans="2:45" s="133" customFormat="1">
      <c r="B27" s="273" t="str">
        <f>'Site 4 - Financial'!G25</f>
        <v>Construction Interest</v>
      </c>
      <c r="C27" s="234">
        <f>'Site 4 - Financial'!I25</f>
        <v>3780000</v>
      </c>
      <c r="D27" s="217">
        <f>C27/2</f>
        <v>1890000</v>
      </c>
      <c r="E27" s="385">
        <f>D27</f>
        <v>1890000</v>
      </c>
      <c r="F27" s="267" t="s">
        <v>205</v>
      </c>
      <c r="G27" s="401" t="s">
        <v>205</v>
      </c>
      <c r="H27" s="268" t="s">
        <v>205</v>
      </c>
      <c r="I27" s="268" t="s">
        <v>205</v>
      </c>
      <c r="J27" s="268" t="s">
        <v>205</v>
      </c>
      <c r="K27" s="268" t="s">
        <v>205</v>
      </c>
      <c r="L27" s="268" t="s">
        <v>205</v>
      </c>
      <c r="M27" s="268" t="s">
        <v>205</v>
      </c>
      <c r="N27" s="268" t="s">
        <v>205</v>
      </c>
      <c r="O27" s="269" t="s">
        <v>205</v>
      </c>
      <c r="P27" s="134"/>
      <c r="AP27" s="47"/>
      <c r="AQ27" s="47"/>
      <c r="AR27" s="47"/>
      <c r="AS27" s="47"/>
    </row>
    <row r="28" spans="2:45" s="133" customFormat="1" ht="15" thickBot="1">
      <c r="B28" s="273" t="str">
        <f>'Site 4 - Financial'!G26</f>
        <v>Additional Contingency</v>
      </c>
      <c r="C28" s="234">
        <f>'Site 4 - Financial'!I26</f>
        <v>1500000</v>
      </c>
      <c r="D28" s="217">
        <f>C28/2</f>
        <v>750000</v>
      </c>
      <c r="E28" s="385">
        <f>D28</f>
        <v>750000</v>
      </c>
      <c r="F28" s="267" t="s">
        <v>205</v>
      </c>
      <c r="G28" s="401" t="s">
        <v>205</v>
      </c>
      <c r="H28" s="268" t="s">
        <v>205</v>
      </c>
      <c r="I28" s="268" t="s">
        <v>205</v>
      </c>
      <c r="J28" s="268" t="s">
        <v>205</v>
      </c>
      <c r="K28" s="268" t="s">
        <v>205</v>
      </c>
      <c r="L28" s="268" t="s">
        <v>205</v>
      </c>
      <c r="M28" s="268" t="s">
        <v>205</v>
      </c>
      <c r="N28" s="268" t="s">
        <v>205</v>
      </c>
      <c r="O28" s="269" t="s">
        <v>205</v>
      </c>
      <c r="P28" s="134"/>
      <c r="AP28" s="47"/>
      <c r="AQ28" s="47"/>
      <c r="AR28" s="47"/>
      <c r="AS28" s="47"/>
    </row>
    <row r="29" spans="2:45" s="133" customFormat="1" ht="15" thickBot="1">
      <c r="B29" s="98" t="s">
        <v>39</v>
      </c>
      <c r="C29" s="254">
        <f t="shared" ref="C29:O29" si="20">SUM(C6:C28)</f>
        <v>97350192.138122782</v>
      </c>
      <c r="D29" s="255">
        <f t="shared" si="20"/>
        <v>80317439.224020064</v>
      </c>
      <c r="E29" s="386">
        <f t="shared" si="20"/>
        <v>17032752.914102715</v>
      </c>
      <c r="F29" s="255">
        <f t="shared" si="20"/>
        <v>0</v>
      </c>
      <c r="G29" s="403">
        <f t="shared" si="20"/>
        <v>0</v>
      </c>
      <c r="H29" s="256">
        <f t="shared" si="20"/>
        <v>0</v>
      </c>
      <c r="I29" s="256">
        <f t="shared" ref="I29" si="21">SUM(I6:I28)</f>
        <v>0</v>
      </c>
      <c r="J29" s="256">
        <f t="shared" si="20"/>
        <v>0</v>
      </c>
      <c r="K29" s="256">
        <f t="shared" si="20"/>
        <v>0</v>
      </c>
      <c r="L29" s="256">
        <f t="shared" si="20"/>
        <v>0</v>
      </c>
      <c r="M29" s="256">
        <f t="shared" si="20"/>
        <v>0</v>
      </c>
      <c r="N29" s="256">
        <f t="shared" si="20"/>
        <v>0</v>
      </c>
      <c r="O29" s="257">
        <f t="shared" si="20"/>
        <v>0</v>
      </c>
      <c r="AP29" s="47"/>
      <c r="AQ29" s="47"/>
      <c r="AR29" s="47"/>
      <c r="AS29" s="47"/>
    </row>
    <row r="30" spans="2:45" s="133" customFormat="1">
      <c r="B30" s="193" t="s">
        <v>405</v>
      </c>
      <c r="C30" s="230"/>
      <c r="D30" s="250"/>
      <c r="E30" s="387"/>
      <c r="F30" s="250"/>
      <c r="G30" s="404"/>
      <c r="H30" s="241"/>
      <c r="I30" s="241"/>
      <c r="J30" s="241"/>
      <c r="K30" s="241"/>
      <c r="L30" s="241"/>
      <c r="M30" s="241"/>
      <c r="N30" s="241"/>
      <c r="O30" s="242"/>
      <c r="AP30" s="47"/>
      <c r="AQ30" s="47"/>
      <c r="AR30" s="47"/>
      <c r="AS30" s="47"/>
    </row>
    <row r="31" spans="2:45" s="133" customFormat="1">
      <c r="B31" s="194" t="s">
        <v>92</v>
      </c>
      <c r="C31" s="231" t="s">
        <v>205</v>
      </c>
      <c r="D31" s="251">
        <v>0</v>
      </c>
      <c r="E31" s="388">
        <v>0</v>
      </c>
      <c r="F31" s="251">
        <v>0</v>
      </c>
      <c r="G31" s="405">
        <f>'Site 4 - Financial'!F8</f>
        <v>0</v>
      </c>
      <c r="H31" s="243" t="s">
        <v>205</v>
      </c>
      <c r="I31" s="243" t="s">
        <v>205</v>
      </c>
      <c r="J31" s="243" t="s">
        <v>205</v>
      </c>
      <c r="K31" s="243" t="s">
        <v>205</v>
      </c>
      <c r="L31" s="243" t="s">
        <v>205</v>
      </c>
      <c r="M31" s="243" t="s">
        <v>205</v>
      </c>
      <c r="N31" s="243" t="s">
        <v>205</v>
      </c>
      <c r="O31" s="244" t="s">
        <v>205</v>
      </c>
      <c r="AP31" s="47"/>
      <c r="AQ31" s="47"/>
      <c r="AR31" s="47"/>
      <c r="AS31" s="47"/>
    </row>
    <row r="32" spans="2:45" s="133" customFormat="1">
      <c r="B32" s="194" t="s">
        <v>539</v>
      </c>
      <c r="C32" s="231" t="s">
        <v>205</v>
      </c>
      <c r="D32" s="251">
        <v>0</v>
      </c>
      <c r="E32" s="388">
        <v>0</v>
      </c>
      <c r="F32" s="251">
        <v>0</v>
      </c>
      <c r="G32" s="405">
        <v>0</v>
      </c>
      <c r="H32" s="243" t="s">
        <v>205</v>
      </c>
      <c r="I32" s="243" t="s">
        <v>205</v>
      </c>
      <c r="J32" s="243" t="s">
        <v>205</v>
      </c>
      <c r="K32" s="243" t="s">
        <v>205</v>
      </c>
      <c r="L32" s="243" t="s">
        <v>205</v>
      </c>
      <c r="M32" s="243" t="s">
        <v>205</v>
      </c>
      <c r="N32" s="243" t="s">
        <v>205</v>
      </c>
      <c r="O32" s="244" t="s">
        <v>205</v>
      </c>
      <c r="AP32" s="47"/>
      <c r="AQ32" s="47"/>
      <c r="AR32" s="47"/>
      <c r="AS32" s="47"/>
    </row>
    <row r="33" spans="2:45" s="133" customFormat="1">
      <c r="B33" s="205" t="s">
        <v>313</v>
      </c>
      <c r="C33" s="231" t="s">
        <v>205</v>
      </c>
      <c r="D33" s="251">
        <v>0</v>
      </c>
      <c r="E33" s="388">
        <v>0</v>
      </c>
      <c r="F33" s="251">
        <v>0</v>
      </c>
      <c r="G33" s="405">
        <v>0</v>
      </c>
      <c r="H33" s="243" t="s">
        <v>205</v>
      </c>
      <c r="I33" s="243" t="s">
        <v>205</v>
      </c>
      <c r="J33" s="243" t="s">
        <v>205</v>
      </c>
      <c r="K33" s="243" t="s">
        <v>205</v>
      </c>
      <c r="L33" s="243" t="s">
        <v>205</v>
      </c>
      <c r="M33" s="243" t="s">
        <v>205</v>
      </c>
      <c r="N33" s="243" t="s">
        <v>205</v>
      </c>
      <c r="O33" s="244" t="s">
        <v>205</v>
      </c>
      <c r="AP33" s="47"/>
      <c r="AQ33" s="47"/>
      <c r="AR33" s="47"/>
      <c r="AS33" s="47"/>
    </row>
    <row r="34" spans="2:45" s="133" customFormat="1">
      <c r="B34" s="239" t="s">
        <v>94</v>
      </c>
      <c r="C34" s="240" t="s">
        <v>205</v>
      </c>
      <c r="D34" s="115">
        <f>SUM(D31:D33)</f>
        <v>0</v>
      </c>
      <c r="E34" s="389">
        <f t="shared" ref="E34:F34" si="22">SUM(E31:E33)</f>
        <v>0</v>
      </c>
      <c r="F34" s="115">
        <f t="shared" si="22"/>
        <v>0</v>
      </c>
      <c r="G34" s="108">
        <f>SUM(G31:G33)</f>
        <v>0</v>
      </c>
      <c r="H34" s="107" t="s">
        <v>205</v>
      </c>
      <c r="I34" s="107" t="s">
        <v>205</v>
      </c>
      <c r="J34" s="107" t="s">
        <v>205</v>
      </c>
      <c r="K34" s="107" t="s">
        <v>205</v>
      </c>
      <c r="L34" s="107" t="s">
        <v>205</v>
      </c>
      <c r="M34" s="107" t="s">
        <v>205</v>
      </c>
      <c r="N34" s="107" t="s">
        <v>205</v>
      </c>
      <c r="O34" s="116" t="s">
        <v>205</v>
      </c>
      <c r="AP34" s="47"/>
      <c r="AQ34" s="47"/>
      <c r="AR34" s="47"/>
      <c r="AS34" s="47"/>
    </row>
    <row r="35" spans="2:45" s="133" customFormat="1">
      <c r="B35" s="205" t="s">
        <v>543</v>
      </c>
      <c r="C35" s="231" t="s">
        <v>205</v>
      </c>
      <c r="D35" s="251">
        <v>0</v>
      </c>
      <c r="E35" s="388">
        <v>0</v>
      </c>
      <c r="F35" s="251">
        <v>0</v>
      </c>
      <c r="G35" s="405">
        <v>0</v>
      </c>
      <c r="H35" s="243" t="s">
        <v>205</v>
      </c>
      <c r="I35" s="243" t="s">
        <v>205</v>
      </c>
      <c r="J35" s="243" t="s">
        <v>205</v>
      </c>
      <c r="K35" s="243" t="s">
        <v>205</v>
      </c>
      <c r="L35" s="243" t="s">
        <v>205</v>
      </c>
      <c r="M35" s="243" t="s">
        <v>205</v>
      </c>
      <c r="N35" s="243" t="s">
        <v>205</v>
      </c>
      <c r="O35" s="244" t="s">
        <v>205</v>
      </c>
      <c r="AP35" s="47"/>
      <c r="AQ35" s="47"/>
      <c r="AR35" s="47"/>
      <c r="AS35" s="47"/>
    </row>
    <row r="36" spans="2:45" s="133" customFormat="1">
      <c r="B36" s="205" t="s">
        <v>321</v>
      </c>
      <c r="C36" s="231" t="s">
        <v>205</v>
      </c>
      <c r="D36" s="251">
        <f t="shared" ref="D36:F36" si="23">-5%*D34</f>
        <v>0</v>
      </c>
      <c r="E36" s="388">
        <f t="shared" si="23"/>
        <v>0</v>
      </c>
      <c r="F36" s="251">
        <f t="shared" si="23"/>
        <v>0</v>
      </c>
      <c r="G36" s="405">
        <f t="shared" ref="G36" si="24">-5%*G34</f>
        <v>0</v>
      </c>
      <c r="H36" s="243" t="s">
        <v>205</v>
      </c>
      <c r="I36" s="243" t="s">
        <v>205</v>
      </c>
      <c r="J36" s="243" t="s">
        <v>205</v>
      </c>
      <c r="K36" s="243" t="s">
        <v>205</v>
      </c>
      <c r="L36" s="243" t="s">
        <v>205</v>
      </c>
      <c r="M36" s="243" t="s">
        <v>205</v>
      </c>
      <c r="N36" s="243" t="s">
        <v>205</v>
      </c>
      <c r="O36" s="244" t="s">
        <v>205</v>
      </c>
      <c r="AP36" s="47"/>
      <c r="AQ36" s="47"/>
      <c r="AR36" s="47"/>
      <c r="AS36" s="47"/>
    </row>
    <row r="37" spans="2:45" s="133" customFormat="1">
      <c r="B37" s="239" t="s">
        <v>95</v>
      </c>
      <c r="C37" s="240" t="s">
        <v>205</v>
      </c>
      <c r="D37" s="115">
        <f t="shared" ref="D37:E37" si="25">SUM(D34:D36)</f>
        <v>0</v>
      </c>
      <c r="E37" s="389">
        <f t="shared" si="25"/>
        <v>0</v>
      </c>
      <c r="F37" s="115">
        <f t="shared" ref="F37:G37" si="26">SUM(F34:F36)</f>
        <v>0</v>
      </c>
      <c r="G37" s="108">
        <f t="shared" si="26"/>
        <v>0</v>
      </c>
      <c r="H37" s="107" t="s">
        <v>205</v>
      </c>
      <c r="I37" s="107" t="s">
        <v>205</v>
      </c>
      <c r="J37" s="107" t="s">
        <v>205</v>
      </c>
      <c r="K37" s="107" t="s">
        <v>205</v>
      </c>
      <c r="L37" s="107" t="s">
        <v>205</v>
      </c>
      <c r="M37" s="107" t="s">
        <v>205</v>
      </c>
      <c r="N37" s="107" t="s">
        <v>205</v>
      </c>
      <c r="O37" s="116" t="s">
        <v>205</v>
      </c>
      <c r="AP37" s="47"/>
      <c r="AQ37" s="47"/>
      <c r="AR37" s="47"/>
      <c r="AS37" s="47"/>
    </row>
    <row r="38" spans="2:45" s="133" customFormat="1" ht="15" thickBot="1">
      <c r="B38" s="223" t="s">
        <v>328</v>
      </c>
      <c r="C38" s="232" t="s">
        <v>205</v>
      </c>
      <c r="D38" s="252">
        <v>0</v>
      </c>
      <c r="E38" s="920">
        <v>0</v>
      </c>
      <c r="F38" s="922">
        <v>0</v>
      </c>
      <c r="G38" s="406">
        <v>0</v>
      </c>
      <c r="H38" s="245" t="s">
        <v>205</v>
      </c>
      <c r="I38" s="245" t="s">
        <v>205</v>
      </c>
      <c r="J38" s="245" t="s">
        <v>205</v>
      </c>
      <c r="K38" s="245" t="s">
        <v>205</v>
      </c>
      <c r="L38" s="245" t="s">
        <v>205</v>
      </c>
      <c r="M38" s="245" t="s">
        <v>205</v>
      </c>
      <c r="N38" s="245" t="s">
        <v>205</v>
      </c>
      <c r="O38" s="246" t="s">
        <v>205</v>
      </c>
      <c r="AP38" s="47"/>
      <c r="AQ38" s="47"/>
      <c r="AR38" s="47"/>
      <c r="AS38" s="47"/>
    </row>
    <row r="39" spans="2:45" s="133" customFormat="1">
      <c r="B39" s="193" t="s">
        <v>338</v>
      </c>
      <c r="C39" s="230"/>
      <c r="D39" s="250"/>
      <c r="E39" s="387"/>
      <c r="F39" s="250"/>
      <c r="G39" s="404"/>
      <c r="H39" s="241"/>
      <c r="I39" s="241"/>
      <c r="J39" s="241"/>
      <c r="K39" s="241"/>
      <c r="L39" s="241"/>
      <c r="M39" s="241"/>
      <c r="N39" s="241"/>
      <c r="O39" s="242"/>
      <c r="AP39" s="47"/>
      <c r="AQ39" s="47"/>
      <c r="AR39" s="47"/>
      <c r="AS39" s="47"/>
    </row>
    <row r="40" spans="2:45" s="133" customFormat="1">
      <c r="B40" s="194" t="s">
        <v>92</v>
      </c>
      <c r="C40" s="231" t="s">
        <v>205</v>
      </c>
      <c r="D40" s="251">
        <v>0</v>
      </c>
      <c r="E40" s="388">
        <v>0</v>
      </c>
      <c r="F40" s="251">
        <f>'Site 4 - Financial'!D11*'Site 4 - Financial'!E11</f>
        <v>3038665</v>
      </c>
      <c r="G40" s="243">
        <f>F40*(1+Assumptions!$F$14)</f>
        <v>3129824.95</v>
      </c>
      <c r="H40" s="243" t="s">
        <v>205</v>
      </c>
      <c r="I40" s="243" t="s">
        <v>205</v>
      </c>
      <c r="J40" s="243" t="s">
        <v>205</v>
      </c>
      <c r="K40" s="243" t="s">
        <v>205</v>
      </c>
      <c r="L40" s="243" t="s">
        <v>205</v>
      </c>
      <c r="M40" s="243" t="s">
        <v>205</v>
      </c>
      <c r="N40" s="243" t="s">
        <v>205</v>
      </c>
      <c r="O40" s="244" t="s">
        <v>205</v>
      </c>
      <c r="AP40" s="47"/>
      <c r="AQ40" s="47"/>
      <c r="AR40" s="47"/>
      <c r="AS40" s="47"/>
    </row>
    <row r="41" spans="2:45" s="133" customFormat="1">
      <c r="B41" s="194" t="s">
        <v>539</v>
      </c>
      <c r="C41" s="231" t="s">
        <v>205</v>
      </c>
      <c r="D41" s="251">
        <v>0</v>
      </c>
      <c r="E41" s="388">
        <v>0</v>
      </c>
      <c r="F41" s="251">
        <v>0</v>
      </c>
      <c r="G41" s="405">
        <v>0</v>
      </c>
      <c r="H41" s="243" t="s">
        <v>205</v>
      </c>
      <c r="I41" s="243" t="s">
        <v>205</v>
      </c>
      <c r="J41" s="243" t="s">
        <v>205</v>
      </c>
      <c r="K41" s="243" t="s">
        <v>205</v>
      </c>
      <c r="L41" s="243" t="s">
        <v>205</v>
      </c>
      <c r="M41" s="243" t="s">
        <v>205</v>
      </c>
      <c r="N41" s="243" t="s">
        <v>205</v>
      </c>
      <c r="O41" s="244" t="s">
        <v>205</v>
      </c>
      <c r="AP41" s="47"/>
      <c r="AQ41" s="47"/>
      <c r="AR41" s="47"/>
      <c r="AS41" s="47"/>
    </row>
    <row r="42" spans="2:45" s="133" customFormat="1">
      <c r="B42" s="205" t="s">
        <v>313</v>
      </c>
      <c r="C42" s="231" t="s">
        <v>205</v>
      </c>
      <c r="D42" s="251">
        <v>0</v>
      </c>
      <c r="E42" s="388">
        <v>0</v>
      </c>
      <c r="F42" s="251">
        <f>(Assumptions!D30*'Site 4 - Financial'!D11)*(1+Assumptions!$F$14)^F2</f>
        <v>451320.75779</v>
      </c>
      <c r="G42" s="243">
        <f>F42*(1+Assumptions!$F$14)</f>
        <v>464860.38052370003</v>
      </c>
      <c r="H42" s="243" t="s">
        <v>205</v>
      </c>
      <c r="I42" s="243" t="s">
        <v>205</v>
      </c>
      <c r="J42" s="243" t="s">
        <v>205</v>
      </c>
      <c r="K42" s="243" t="s">
        <v>205</v>
      </c>
      <c r="L42" s="243" t="s">
        <v>205</v>
      </c>
      <c r="M42" s="243" t="s">
        <v>205</v>
      </c>
      <c r="N42" s="243" t="s">
        <v>205</v>
      </c>
      <c r="O42" s="244" t="s">
        <v>205</v>
      </c>
      <c r="AP42" s="47"/>
      <c r="AQ42" s="47"/>
      <c r="AR42" s="47"/>
      <c r="AS42" s="47"/>
    </row>
    <row r="43" spans="2:45" s="133" customFormat="1">
      <c r="B43" s="239" t="s">
        <v>94</v>
      </c>
      <c r="C43" s="240" t="s">
        <v>205</v>
      </c>
      <c r="D43" s="115">
        <f t="shared" ref="D43:G43" si="27">SUM(D40:D42)</f>
        <v>0</v>
      </c>
      <c r="E43" s="389">
        <f t="shared" si="27"/>
        <v>0</v>
      </c>
      <c r="F43" s="115">
        <f t="shared" si="27"/>
        <v>3489985.7577900002</v>
      </c>
      <c r="G43" s="108">
        <f t="shared" si="27"/>
        <v>3594685.3305237005</v>
      </c>
      <c r="H43" s="107" t="s">
        <v>205</v>
      </c>
      <c r="I43" s="107" t="s">
        <v>205</v>
      </c>
      <c r="J43" s="107" t="s">
        <v>205</v>
      </c>
      <c r="K43" s="107" t="s">
        <v>205</v>
      </c>
      <c r="L43" s="107" t="s">
        <v>205</v>
      </c>
      <c r="M43" s="107" t="s">
        <v>205</v>
      </c>
      <c r="N43" s="107" t="s">
        <v>205</v>
      </c>
      <c r="O43" s="116" t="s">
        <v>205</v>
      </c>
      <c r="AP43" s="47"/>
      <c r="AQ43" s="47"/>
      <c r="AR43" s="47"/>
      <c r="AS43" s="47"/>
    </row>
    <row r="44" spans="2:45" s="133" customFormat="1">
      <c r="B44" s="205" t="s">
        <v>543</v>
      </c>
      <c r="C44" s="231" t="s">
        <v>205</v>
      </c>
      <c r="D44" s="251">
        <v>0</v>
      </c>
      <c r="E44" s="388">
        <f>-(Assumptions!D26+Assumptions!D27)*'Site 4 - Financial'!D11</f>
        <v>-238752.25</v>
      </c>
      <c r="F44" s="251">
        <f>-(Assumptions!D30*'Site 4 - Financial'!D11)*(1+Assumptions!$F$14)^F2</f>
        <v>-451320.75779</v>
      </c>
      <c r="G44" s="243">
        <f>F44*(1+Assumptions!$F$14)</f>
        <v>-464860.38052370003</v>
      </c>
      <c r="H44" s="243" t="s">
        <v>205</v>
      </c>
      <c r="I44" s="243" t="s">
        <v>205</v>
      </c>
      <c r="J44" s="243" t="s">
        <v>205</v>
      </c>
      <c r="K44" s="243" t="s">
        <v>205</v>
      </c>
      <c r="L44" s="243" t="s">
        <v>205</v>
      </c>
      <c r="M44" s="243" t="s">
        <v>205</v>
      </c>
      <c r="N44" s="243" t="s">
        <v>205</v>
      </c>
      <c r="O44" s="244" t="s">
        <v>205</v>
      </c>
      <c r="AP44" s="47"/>
      <c r="AQ44" s="47"/>
      <c r="AR44" s="47"/>
      <c r="AS44" s="47"/>
    </row>
    <row r="45" spans="2:45" s="133" customFormat="1">
      <c r="B45" s="205" t="s">
        <v>321</v>
      </c>
      <c r="C45" s="231" t="s">
        <v>205</v>
      </c>
      <c r="D45" s="251">
        <f t="shared" ref="D45:G45" si="28">-5%*D43</f>
        <v>0</v>
      </c>
      <c r="E45" s="388">
        <f t="shared" si="28"/>
        <v>0</v>
      </c>
      <c r="F45" s="251">
        <f t="shared" si="28"/>
        <v>-174499.28788950003</v>
      </c>
      <c r="G45" s="405">
        <f t="shared" si="28"/>
        <v>-179734.26652618503</v>
      </c>
      <c r="H45" s="243" t="s">
        <v>205</v>
      </c>
      <c r="I45" s="243" t="s">
        <v>205</v>
      </c>
      <c r="J45" s="243" t="s">
        <v>205</v>
      </c>
      <c r="K45" s="243" t="s">
        <v>205</v>
      </c>
      <c r="L45" s="243" t="s">
        <v>205</v>
      </c>
      <c r="M45" s="243" t="s">
        <v>205</v>
      </c>
      <c r="N45" s="243" t="s">
        <v>205</v>
      </c>
      <c r="O45" s="244" t="s">
        <v>205</v>
      </c>
      <c r="AP45" s="47"/>
      <c r="AQ45" s="47"/>
      <c r="AR45" s="47"/>
      <c r="AS45" s="47"/>
    </row>
    <row r="46" spans="2:45" s="133" customFormat="1">
      <c r="B46" s="239" t="s">
        <v>95</v>
      </c>
      <c r="C46" s="240" t="s">
        <v>205</v>
      </c>
      <c r="D46" s="115">
        <f t="shared" ref="D46:F46" si="29">SUM(D43:D45)</f>
        <v>0</v>
      </c>
      <c r="E46" s="389">
        <f t="shared" si="29"/>
        <v>-238752.25</v>
      </c>
      <c r="F46" s="115">
        <f t="shared" si="29"/>
        <v>2864165.7121104999</v>
      </c>
      <c r="G46" s="108">
        <f>SUM(G43:G45)</f>
        <v>2950090.6834738152</v>
      </c>
      <c r="H46" s="107" t="s">
        <v>205</v>
      </c>
      <c r="I46" s="107" t="s">
        <v>205</v>
      </c>
      <c r="J46" s="107" t="s">
        <v>205</v>
      </c>
      <c r="K46" s="107" t="s">
        <v>205</v>
      </c>
      <c r="L46" s="107" t="s">
        <v>205</v>
      </c>
      <c r="M46" s="107" t="s">
        <v>205</v>
      </c>
      <c r="N46" s="107" t="s">
        <v>205</v>
      </c>
      <c r="O46" s="116" t="s">
        <v>205</v>
      </c>
      <c r="AP46" s="47"/>
      <c r="AQ46" s="47"/>
      <c r="AR46" s="47"/>
      <c r="AS46" s="47"/>
    </row>
    <row r="47" spans="2:45" s="133" customFormat="1" ht="15" thickBot="1">
      <c r="B47" s="223" t="s">
        <v>328</v>
      </c>
      <c r="C47" s="232" t="s">
        <v>205</v>
      </c>
      <c r="D47" s="252">
        <v>0</v>
      </c>
      <c r="E47" s="920">
        <v>0</v>
      </c>
      <c r="F47" s="922">
        <f>(G46/Assumptions!I9)*0.98</f>
        <v>68025620.465984449</v>
      </c>
      <c r="G47" s="923" t="s">
        <v>205</v>
      </c>
      <c r="H47" s="245" t="s">
        <v>205</v>
      </c>
      <c r="I47" s="245" t="s">
        <v>205</v>
      </c>
      <c r="J47" s="245" t="s">
        <v>205</v>
      </c>
      <c r="K47" s="245" t="s">
        <v>205</v>
      </c>
      <c r="L47" s="245" t="s">
        <v>205</v>
      </c>
      <c r="M47" s="245" t="s">
        <v>205</v>
      </c>
      <c r="N47" s="245" t="s">
        <v>205</v>
      </c>
      <c r="O47" s="246" t="s">
        <v>205</v>
      </c>
      <c r="AP47" s="47"/>
      <c r="AQ47" s="47"/>
      <c r="AR47" s="47"/>
      <c r="AS47" s="47"/>
    </row>
    <row r="48" spans="2:45" s="133" customFormat="1">
      <c r="B48" s="193" t="s">
        <v>406</v>
      </c>
      <c r="C48" s="230"/>
      <c r="D48" s="250"/>
      <c r="E48" s="387"/>
      <c r="F48" s="250"/>
      <c r="G48" s="404"/>
      <c r="H48" s="241"/>
      <c r="I48" s="241"/>
      <c r="J48" s="241"/>
      <c r="K48" s="241"/>
      <c r="L48" s="241"/>
      <c r="M48" s="241"/>
      <c r="N48" s="241"/>
      <c r="O48" s="242"/>
      <c r="AP48" s="47"/>
      <c r="AQ48" s="47"/>
      <c r="AR48" s="47"/>
      <c r="AS48" s="47"/>
    </row>
    <row r="49" spans="1:45" s="133" customFormat="1">
      <c r="B49" s="194" t="s">
        <v>92</v>
      </c>
      <c r="C49" s="231" t="s">
        <v>205</v>
      </c>
      <c r="D49" s="251">
        <v>0</v>
      </c>
      <c r="E49" s="388">
        <v>0</v>
      </c>
      <c r="F49" s="251">
        <f>'Site 4 - Financial'!D12*'Site 4 - Financial'!E12</f>
        <v>2962215</v>
      </c>
      <c r="G49" s="243">
        <f>F49*(1+Assumptions!$F$14)</f>
        <v>3051081.45</v>
      </c>
      <c r="H49" s="243" t="s">
        <v>205</v>
      </c>
      <c r="I49" s="243" t="s">
        <v>205</v>
      </c>
      <c r="J49" s="243" t="s">
        <v>205</v>
      </c>
      <c r="K49" s="243" t="s">
        <v>205</v>
      </c>
      <c r="L49" s="243" t="s">
        <v>205</v>
      </c>
      <c r="M49" s="243" t="s">
        <v>205</v>
      </c>
      <c r="N49" s="243" t="s">
        <v>205</v>
      </c>
      <c r="O49" s="244" t="s">
        <v>205</v>
      </c>
      <c r="AP49" s="47"/>
      <c r="AQ49" s="47"/>
      <c r="AR49" s="47"/>
      <c r="AS49" s="47"/>
    </row>
    <row r="50" spans="1:45" s="133" customFormat="1">
      <c r="B50" s="194" t="s">
        <v>539</v>
      </c>
      <c r="C50" s="231" t="s">
        <v>205</v>
      </c>
      <c r="D50" s="251">
        <v>0</v>
      </c>
      <c r="E50" s="388">
        <v>0</v>
      </c>
      <c r="F50" s="251">
        <v>0</v>
      </c>
      <c r="G50" s="405">
        <v>0</v>
      </c>
      <c r="H50" s="243" t="s">
        <v>205</v>
      </c>
      <c r="I50" s="243" t="s">
        <v>205</v>
      </c>
      <c r="J50" s="243" t="s">
        <v>205</v>
      </c>
      <c r="K50" s="243" t="s">
        <v>205</v>
      </c>
      <c r="L50" s="243" t="s">
        <v>205</v>
      </c>
      <c r="M50" s="243" t="s">
        <v>205</v>
      </c>
      <c r="N50" s="243" t="s">
        <v>205</v>
      </c>
      <c r="O50" s="244" t="s">
        <v>205</v>
      </c>
      <c r="AP50" s="47"/>
      <c r="AQ50" s="47"/>
      <c r="AR50" s="47"/>
      <c r="AS50" s="47"/>
    </row>
    <row r="51" spans="1:45" s="133" customFormat="1">
      <c r="B51" s="194" t="s">
        <v>313</v>
      </c>
      <c r="C51" s="231" t="s">
        <v>205</v>
      </c>
      <c r="D51" s="251">
        <v>0</v>
      </c>
      <c r="E51" s="388">
        <v>0</v>
      </c>
      <c r="F51" s="251">
        <f>(Assumptions!D30*'Site 4 - Financial'!D12)*(1+Assumptions!F14)^G2</f>
        <v>352461.60712210007</v>
      </c>
      <c r="G51" s="243">
        <f>F51*(1+Assumptions!$F$14)</f>
        <v>363035.45533576311</v>
      </c>
      <c r="H51" s="243" t="s">
        <v>205</v>
      </c>
      <c r="I51" s="243" t="s">
        <v>205</v>
      </c>
      <c r="J51" s="243" t="s">
        <v>205</v>
      </c>
      <c r="K51" s="243" t="s">
        <v>205</v>
      </c>
      <c r="L51" s="243" t="s">
        <v>205</v>
      </c>
      <c r="M51" s="243" t="s">
        <v>205</v>
      </c>
      <c r="N51" s="243" t="s">
        <v>205</v>
      </c>
      <c r="O51" s="244" t="s">
        <v>205</v>
      </c>
      <c r="AP51" s="47"/>
      <c r="AQ51" s="47"/>
      <c r="AR51" s="47"/>
      <c r="AS51" s="47"/>
    </row>
    <row r="52" spans="1:45" s="133" customFormat="1">
      <c r="B52" s="239" t="s">
        <v>94</v>
      </c>
      <c r="C52" s="240" t="s">
        <v>205</v>
      </c>
      <c r="D52" s="115">
        <f t="shared" ref="D52:G52" si="30">SUM(D49:D51)</f>
        <v>0</v>
      </c>
      <c r="E52" s="389">
        <f t="shared" si="30"/>
        <v>0</v>
      </c>
      <c r="F52" s="115">
        <f t="shared" si="30"/>
        <v>3314676.6071221</v>
      </c>
      <c r="G52" s="108">
        <f t="shared" si="30"/>
        <v>3414116.9053357635</v>
      </c>
      <c r="H52" s="107" t="s">
        <v>205</v>
      </c>
      <c r="I52" s="107" t="s">
        <v>205</v>
      </c>
      <c r="J52" s="107" t="s">
        <v>205</v>
      </c>
      <c r="K52" s="107" t="s">
        <v>205</v>
      </c>
      <c r="L52" s="107" t="s">
        <v>205</v>
      </c>
      <c r="M52" s="107" t="s">
        <v>205</v>
      </c>
      <c r="N52" s="107" t="s">
        <v>205</v>
      </c>
      <c r="O52" s="116" t="s">
        <v>205</v>
      </c>
      <c r="AP52" s="47"/>
      <c r="AQ52" s="47"/>
      <c r="AR52" s="47"/>
      <c r="AS52" s="47"/>
    </row>
    <row r="53" spans="1:45" s="133" customFormat="1">
      <c r="B53" s="205" t="s">
        <v>543</v>
      </c>
      <c r="C53" s="231" t="s">
        <v>205</v>
      </c>
      <c r="D53" s="251">
        <v>0</v>
      </c>
      <c r="E53" s="388">
        <f>-(Assumptions!D26+Assumptions!D27)*'Site 4 - Financial'!D12</f>
        <v>-181024.25</v>
      </c>
      <c r="F53" s="251">
        <f>-(Assumptions!D30*'Site 4 - Financial'!D12)*(1+Assumptions!$F$14)^F2</f>
        <v>-342195.73507000005</v>
      </c>
      <c r="G53" s="243">
        <f>F53*(1+Assumptions!$F$14)</f>
        <v>-352461.60712210007</v>
      </c>
      <c r="H53" s="243" t="s">
        <v>205</v>
      </c>
      <c r="I53" s="243" t="s">
        <v>205</v>
      </c>
      <c r="J53" s="243" t="s">
        <v>205</v>
      </c>
      <c r="K53" s="243" t="s">
        <v>205</v>
      </c>
      <c r="L53" s="243" t="s">
        <v>205</v>
      </c>
      <c r="M53" s="243" t="s">
        <v>205</v>
      </c>
      <c r="N53" s="243" t="s">
        <v>205</v>
      </c>
      <c r="O53" s="244" t="s">
        <v>205</v>
      </c>
      <c r="AP53" s="47"/>
      <c r="AQ53" s="47"/>
      <c r="AR53" s="47"/>
      <c r="AS53" s="47"/>
    </row>
    <row r="54" spans="1:45" s="133" customFormat="1">
      <c r="B54" s="194" t="s">
        <v>321</v>
      </c>
      <c r="C54" s="231" t="s">
        <v>205</v>
      </c>
      <c r="D54" s="251">
        <f t="shared" ref="D54:G54" si="31">-5%*D52</f>
        <v>0</v>
      </c>
      <c r="E54" s="388">
        <f t="shared" si="31"/>
        <v>0</v>
      </c>
      <c r="F54" s="251">
        <f t="shared" si="31"/>
        <v>-165733.830356105</v>
      </c>
      <c r="G54" s="405">
        <f t="shared" si="31"/>
        <v>-170705.84526678818</v>
      </c>
      <c r="H54" s="243" t="s">
        <v>205</v>
      </c>
      <c r="I54" s="243" t="s">
        <v>205</v>
      </c>
      <c r="J54" s="243" t="s">
        <v>205</v>
      </c>
      <c r="K54" s="243" t="s">
        <v>205</v>
      </c>
      <c r="L54" s="243" t="s">
        <v>205</v>
      </c>
      <c r="M54" s="243" t="s">
        <v>205</v>
      </c>
      <c r="N54" s="243" t="s">
        <v>205</v>
      </c>
      <c r="O54" s="244" t="s">
        <v>205</v>
      </c>
      <c r="AP54" s="47"/>
      <c r="AQ54" s="47"/>
      <c r="AR54" s="47"/>
      <c r="AS54" s="47"/>
    </row>
    <row r="55" spans="1:45" s="133" customFormat="1">
      <c r="B55" s="239" t="s">
        <v>95</v>
      </c>
      <c r="C55" s="240" t="s">
        <v>205</v>
      </c>
      <c r="D55" s="115">
        <f t="shared" ref="D55:G55" si="32">SUM(D52:D54)</f>
        <v>0</v>
      </c>
      <c r="E55" s="389">
        <f t="shared" si="32"/>
        <v>-181024.25</v>
      </c>
      <c r="F55" s="115">
        <f t="shared" si="32"/>
        <v>2806747.0416959953</v>
      </c>
      <c r="G55" s="108">
        <f t="shared" si="32"/>
        <v>2890949.4529468752</v>
      </c>
      <c r="H55" s="107" t="s">
        <v>205</v>
      </c>
      <c r="I55" s="107" t="s">
        <v>205</v>
      </c>
      <c r="J55" s="107" t="s">
        <v>205</v>
      </c>
      <c r="K55" s="107" t="s">
        <v>205</v>
      </c>
      <c r="L55" s="107" t="s">
        <v>205</v>
      </c>
      <c r="M55" s="107" t="s">
        <v>205</v>
      </c>
      <c r="N55" s="107" t="s">
        <v>205</v>
      </c>
      <c r="O55" s="116" t="s">
        <v>205</v>
      </c>
      <c r="AP55" s="47"/>
      <c r="AQ55" s="47"/>
      <c r="AR55" s="47"/>
      <c r="AS55" s="47"/>
    </row>
    <row r="56" spans="1:45" s="133" customFormat="1" ht="15" thickBot="1">
      <c r="B56" s="197" t="s">
        <v>328</v>
      </c>
      <c r="C56" s="232" t="s">
        <v>205</v>
      </c>
      <c r="D56" s="252">
        <v>0</v>
      </c>
      <c r="E56" s="920">
        <v>0</v>
      </c>
      <c r="F56" s="922">
        <f>(G55/Assumptions!I8)*0.98</f>
        <v>59644851.871325001</v>
      </c>
      <c r="G56" s="923" t="s">
        <v>205</v>
      </c>
      <c r="H56" s="245" t="s">
        <v>205</v>
      </c>
      <c r="I56" s="245" t="s">
        <v>205</v>
      </c>
      <c r="J56" s="245" t="s">
        <v>205</v>
      </c>
      <c r="K56" s="245" t="s">
        <v>205</v>
      </c>
      <c r="L56" s="245" t="s">
        <v>205</v>
      </c>
      <c r="M56" s="245" t="s">
        <v>205</v>
      </c>
      <c r="N56" s="245" t="s">
        <v>205</v>
      </c>
      <c r="O56" s="246" t="s">
        <v>205</v>
      </c>
      <c r="AP56" s="47"/>
      <c r="AQ56" s="47"/>
      <c r="AR56" s="47"/>
      <c r="AS56" s="47"/>
    </row>
    <row r="57" spans="1:45" s="133" customFormat="1" ht="15" thickBot="1">
      <c r="B57" s="254" t="s">
        <v>341</v>
      </c>
      <c r="C57" s="360">
        <f>IRR(D57:N57)</f>
        <v>0.18680126839979883</v>
      </c>
      <c r="D57" s="255">
        <f>-D29</f>
        <v>-80317439.224020064</v>
      </c>
      <c r="E57" s="386">
        <f>-E29</f>
        <v>-17032752.914102715</v>
      </c>
      <c r="F57" s="255">
        <f>F46+F47+F55+F56</f>
        <v>133341385.09111595</v>
      </c>
      <c r="G57" s="403">
        <v>0</v>
      </c>
      <c r="H57" s="256">
        <v>0</v>
      </c>
      <c r="I57" s="256">
        <f t="shared" ref="I57:N57" si="33">SUM(I37:I38,I55:I56,I46:I47,I29)</f>
        <v>0</v>
      </c>
      <c r="J57" s="256">
        <f t="shared" si="33"/>
        <v>0</v>
      </c>
      <c r="K57" s="256">
        <f t="shared" si="33"/>
        <v>0</v>
      </c>
      <c r="L57" s="256">
        <f t="shared" si="33"/>
        <v>0</v>
      </c>
      <c r="M57" s="256">
        <f t="shared" si="33"/>
        <v>0</v>
      </c>
      <c r="N57" s="256">
        <f t="shared" si="33"/>
        <v>0</v>
      </c>
      <c r="O57" s="257" t="s">
        <v>205</v>
      </c>
      <c r="AP57" s="47"/>
      <c r="AQ57" s="47"/>
      <c r="AR57" s="47"/>
      <c r="AS57" s="47"/>
    </row>
    <row r="58" spans="1:45" s="133" customFormat="1">
      <c r="B58" s="194" t="s">
        <v>344</v>
      </c>
      <c r="C58" s="258">
        <f>Assumptions!I13</f>
        <v>4.4999999999999998E-2</v>
      </c>
      <c r="D58" s="253">
        <f>-PMT(C58,30,-'Site 4 - Financial'!E17)</f>
        <v>-3585887.098684411</v>
      </c>
      <c r="E58" s="391">
        <f t="shared" ref="E58" si="34">D58</f>
        <v>-3585887.098684411</v>
      </c>
      <c r="F58" s="253">
        <f>E58</f>
        <v>-3585887.098684411</v>
      </c>
      <c r="G58" s="408" t="s">
        <v>205</v>
      </c>
      <c r="H58" s="248" t="s">
        <v>205</v>
      </c>
      <c r="I58" s="248" t="s">
        <v>205</v>
      </c>
      <c r="J58" s="248" t="s">
        <v>205</v>
      </c>
      <c r="K58" s="248" t="s">
        <v>205</v>
      </c>
      <c r="L58" s="248" t="s">
        <v>205</v>
      </c>
      <c r="M58" s="248" t="s">
        <v>205</v>
      </c>
      <c r="N58" s="248" t="s">
        <v>205</v>
      </c>
      <c r="O58" s="221" t="s">
        <v>205</v>
      </c>
      <c r="AP58" s="47"/>
      <c r="AQ58" s="47"/>
      <c r="AR58" s="47"/>
      <c r="AS58" s="47"/>
    </row>
    <row r="59" spans="1:45" s="199" customFormat="1" outlineLevel="1">
      <c r="B59" s="361" t="s">
        <v>399</v>
      </c>
      <c r="C59" s="362"/>
      <c r="D59" s="363">
        <f>$C$58*'Site 4 - Financial'!$E$17</f>
        <v>2628455.1877293149</v>
      </c>
      <c r="E59" s="392">
        <f>D61*$C$58</f>
        <v>2585370.7517363359</v>
      </c>
      <c r="F59" s="363">
        <f t="shared" ref="F59" si="35">E61*$C$58</f>
        <v>2540347.5161236725</v>
      </c>
      <c r="G59" s="409" t="s">
        <v>205</v>
      </c>
      <c r="H59" s="364" t="s">
        <v>205</v>
      </c>
      <c r="I59" s="364" t="s">
        <v>205</v>
      </c>
      <c r="J59" s="364" t="s">
        <v>205</v>
      </c>
      <c r="K59" s="364" t="s">
        <v>205</v>
      </c>
      <c r="L59" s="364" t="s">
        <v>205</v>
      </c>
      <c r="M59" s="364" t="s">
        <v>205</v>
      </c>
      <c r="N59" s="364" t="s">
        <v>205</v>
      </c>
      <c r="O59" s="365" t="s">
        <v>205</v>
      </c>
      <c r="AP59" s="368"/>
      <c r="AQ59" s="368"/>
      <c r="AR59" s="368"/>
      <c r="AS59" s="368"/>
    </row>
    <row r="60" spans="1:45" s="199" customFormat="1" outlineLevel="1">
      <c r="B60" s="361" t="s">
        <v>400</v>
      </c>
      <c r="C60" s="362"/>
      <c r="D60" s="363">
        <f t="shared" ref="D60:E60" si="36">-(D59+D58)</f>
        <v>957431.91095509613</v>
      </c>
      <c r="E60" s="392">
        <f t="shared" si="36"/>
        <v>1000516.3469480751</v>
      </c>
      <c r="F60" s="363">
        <f t="shared" ref="F60" si="37">-(F59+F58)</f>
        <v>1045539.5825607385</v>
      </c>
      <c r="G60" s="409" t="s">
        <v>205</v>
      </c>
      <c r="H60" s="364" t="s">
        <v>205</v>
      </c>
      <c r="I60" s="364" t="s">
        <v>205</v>
      </c>
      <c r="J60" s="364" t="s">
        <v>205</v>
      </c>
      <c r="K60" s="364" t="s">
        <v>205</v>
      </c>
      <c r="L60" s="364" t="s">
        <v>205</v>
      </c>
      <c r="M60" s="364" t="s">
        <v>205</v>
      </c>
      <c r="N60" s="364" t="s">
        <v>205</v>
      </c>
      <c r="O60" s="365" t="s">
        <v>205</v>
      </c>
      <c r="AP60" s="368"/>
      <c r="AQ60" s="368"/>
      <c r="AR60" s="368"/>
      <c r="AS60" s="368"/>
    </row>
    <row r="61" spans="1:45" s="199" customFormat="1" outlineLevel="1">
      <c r="B61" s="361" t="s">
        <v>408</v>
      </c>
      <c r="C61" s="362"/>
      <c r="D61" s="363">
        <f>'Site 4 - Financial'!E17-D60</f>
        <v>57452683.371918574</v>
      </c>
      <c r="E61" s="392">
        <f>D61-E60</f>
        <v>56452167.024970502</v>
      </c>
      <c r="F61" s="363">
        <f t="shared" ref="F61" si="38">E61-F60</f>
        <v>55406627.442409761</v>
      </c>
      <c r="G61" s="409" t="s">
        <v>205</v>
      </c>
      <c r="H61" s="364" t="s">
        <v>205</v>
      </c>
      <c r="I61" s="364" t="s">
        <v>205</v>
      </c>
      <c r="J61" s="364" t="s">
        <v>205</v>
      </c>
      <c r="K61" s="364" t="s">
        <v>205</v>
      </c>
      <c r="L61" s="364" t="s">
        <v>205</v>
      </c>
      <c r="M61" s="364" t="s">
        <v>205</v>
      </c>
      <c r="N61" s="364" t="s">
        <v>205</v>
      </c>
      <c r="O61" s="365" t="s">
        <v>205</v>
      </c>
      <c r="AP61" s="368"/>
      <c r="AQ61" s="368"/>
      <c r="AR61" s="368"/>
      <c r="AS61" s="368"/>
    </row>
    <row r="62" spans="1:45" s="133" customFormat="1" ht="15" thickBot="1">
      <c r="B62" s="194" t="s">
        <v>345</v>
      </c>
      <c r="C62" s="233"/>
      <c r="D62" s="253">
        <f>D57*0.4</f>
        <v>-32126975.689608026</v>
      </c>
      <c r="E62" s="391">
        <f>E57*0.4</f>
        <v>-6813101.1656410862</v>
      </c>
      <c r="F62" s="253">
        <v>0</v>
      </c>
      <c r="G62" s="408" t="s">
        <v>205</v>
      </c>
      <c r="H62" s="248" t="s">
        <v>205</v>
      </c>
      <c r="I62" s="248" t="s">
        <v>205</v>
      </c>
      <c r="J62" s="248" t="s">
        <v>205</v>
      </c>
      <c r="K62" s="248" t="s">
        <v>205</v>
      </c>
      <c r="L62" s="248" t="s">
        <v>205</v>
      </c>
      <c r="M62" s="248" t="s">
        <v>205</v>
      </c>
      <c r="N62" s="248" t="s">
        <v>205</v>
      </c>
      <c r="O62" s="221" t="s">
        <v>205</v>
      </c>
      <c r="AP62" s="47"/>
      <c r="AQ62" s="47"/>
      <c r="AR62" s="47"/>
      <c r="AS62" s="47"/>
    </row>
    <row r="63" spans="1:45" s="145" customFormat="1" ht="15" thickBot="1">
      <c r="B63" s="254" t="s">
        <v>342</v>
      </c>
      <c r="C63" s="360">
        <f>IRR(D63:N63)</f>
        <v>0.30459740130696145</v>
      </c>
      <c r="D63" s="255">
        <f>D58+D62</f>
        <v>-35712862.788292438</v>
      </c>
      <c r="E63" s="386">
        <f>E62+E58</f>
        <v>-10398988.264325498</v>
      </c>
      <c r="F63" s="255">
        <f>F57+F58-F61</f>
        <v>74348870.550021768</v>
      </c>
      <c r="G63" s="403">
        <v>0</v>
      </c>
      <c r="H63" s="256">
        <v>0</v>
      </c>
      <c r="I63" s="256">
        <v>0</v>
      </c>
      <c r="J63" s="256">
        <v>0</v>
      </c>
      <c r="K63" s="256">
        <v>0</v>
      </c>
      <c r="L63" s="256">
        <v>0</v>
      </c>
      <c r="M63" s="256">
        <v>0</v>
      </c>
      <c r="N63" s="256">
        <v>0</v>
      </c>
      <c r="O63" s="257" t="s">
        <v>205</v>
      </c>
      <c r="AP63" s="263"/>
      <c r="AQ63" s="263"/>
      <c r="AR63" s="263"/>
      <c r="AS63" s="263"/>
    </row>
    <row r="64" spans="1:45" s="95" customFormat="1">
      <c r="A64" s="133"/>
      <c r="B64" s="48"/>
      <c r="C64" s="48"/>
      <c r="D64" s="48"/>
      <c r="E64" s="48"/>
      <c r="F64" s="48"/>
      <c r="G64" s="48"/>
      <c r="H64" s="48"/>
      <c r="I64" s="48"/>
      <c r="J64" s="48"/>
      <c r="K64" s="48"/>
      <c r="L64" s="48"/>
      <c r="M64" s="48"/>
      <c r="N64" s="48"/>
      <c r="O64" s="48"/>
      <c r="P64" s="48"/>
      <c r="Q64" s="48"/>
      <c r="R64" s="48"/>
      <c r="S64" s="48"/>
      <c r="T64" s="48"/>
      <c r="U64" s="48"/>
      <c r="V64" s="48"/>
      <c r="W64" s="48"/>
      <c r="X64" s="48"/>
      <c r="Y64" s="48"/>
      <c r="Z64" s="48"/>
      <c r="AA64" s="48"/>
      <c r="AB64" s="48"/>
      <c r="AC64" s="48"/>
      <c r="AD64" s="48"/>
      <c r="AE64" s="48"/>
      <c r="AF64" s="48"/>
      <c r="AG64" s="48"/>
      <c r="AH64" s="48"/>
      <c r="AI64" s="48"/>
      <c r="AJ64" s="48"/>
      <c r="AK64" s="48"/>
      <c r="AL64" s="48"/>
      <c r="AM64" s="48"/>
      <c r="AP64" s="48"/>
      <c r="AQ64" s="48"/>
      <c r="AR64" s="48"/>
      <c r="AS64" s="48"/>
    </row>
    <row r="65" spans="1:45" s="95" customFormat="1">
      <c r="A65" s="133"/>
      <c r="B65" s="48"/>
      <c r="C65" s="179"/>
      <c r="D65" s="48"/>
      <c r="E65" s="48"/>
      <c r="F65" s="48"/>
      <c r="G65" s="48"/>
      <c r="H65" s="48"/>
      <c r="I65" s="309"/>
      <c r="J65" s="309"/>
      <c r="K65" s="48"/>
      <c r="L65" s="48"/>
      <c r="M65" s="48"/>
      <c r="N65" s="48"/>
      <c r="O65" s="48"/>
      <c r="P65" s="48"/>
      <c r="Q65" s="48"/>
      <c r="R65" s="48"/>
      <c r="S65" s="48"/>
      <c r="T65" s="48"/>
      <c r="U65" s="48"/>
      <c r="V65" s="48"/>
      <c r="W65" s="48"/>
      <c r="X65" s="48"/>
      <c r="Y65" s="48"/>
      <c r="Z65" s="48"/>
      <c r="AA65" s="48"/>
      <c r="AB65" s="48"/>
      <c r="AC65" s="48"/>
      <c r="AD65" s="48"/>
      <c r="AE65" s="48"/>
      <c r="AF65" s="48"/>
      <c r="AG65" s="48"/>
      <c r="AH65" s="48"/>
      <c r="AI65" s="48"/>
      <c r="AJ65" s="48"/>
      <c r="AK65" s="48"/>
      <c r="AL65" s="48"/>
      <c r="AM65" s="48"/>
      <c r="AP65" s="48"/>
      <c r="AQ65" s="48"/>
      <c r="AR65" s="48"/>
      <c r="AS65" s="48"/>
    </row>
    <row r="66" spans="1:45" s="95" customFormat="1">
      <c r="A66" s="133"/>
      <c r="B66" s="48"/>
      <c r="C66" s="179"/>
      <c r="D66" s="48"/>
      <c r="E66" s="48"/>
      <c r="F66" s="48"/>
      <c r="G66" s="48"/>
      <c r="H66" s="48"/>
      <c r="I66" s="48"/>
      <c r="J66" s="48"/>
      <c r="K66" s="48"/>
      <c r="L66" s="48"/>
      <c r="M66" s="48"/>
      <c r="N66" s="48"/>
      <c r="O66" s="48"/>
      <c r="P66" s="48"/>
      <c r="Q66" s="48"/>
      <c r="R66" s="48"/>
      <c r="S66" s="48"/>
      <c r="T66" s="48"/>
      <c r="U66" s="48"/>
      <c r="V66" s="48"/>
      <c r="W66" s="48"/>
      <c r="X66" s="48"/>
      <c r="Y66" s="48"/>
      <c r="Z66" s="48"/>
      <c r="AA66" s="48"/>
      <c r="AB66" s="48"/>
      <c r="AC66" s="48"/>
      <c r="AD66" s="48"/>
      <c r="AE66" s="48"/>
      <c r="AF66" s="48"/>
      <c r="AG66" s="48"/>
      <c r="AH66" s="48"/>
      <c r="AI66" s="48"/>
      <c r="AJ66" s="48"/>
      <c r="AK66" s="48"/>
      <c r="AL66" s="48"/>
      <c r="AM66" s="48"/>
      <c r="AP66" s="48"/>
      <c r="AQ66" s="48"/>
      <c r="AR66" s="48"/>
      <c r="AS66" s="48"/>
    </row>
    <row r="67" spans="1:45" s="95" customFormat="1">
      <c r="A67" s="133"/>
      <c r="B67" s="144"/>
      <c r="C67" s="184"/>
      <c r="D67" s="48"/>
      <c r="E67" s="48"/>
      <c r="F67" s="48"/>
      <c r="G67" s="48"/>
      <c r="H67" s="48"/>
      <c r="I67" s="48"/>
      <c r="J67" s="48"/>
      <c r="K67" s="48"/>
      <c r="L67" s="48"/>
      <c r="M67" s="48"/>
      <c r="N67" s="48"/>
      <c r="O67" s="48"/>
      <c r="P67" s="48"/>
      <c r="Q67" s="48"/>
      <c r="R67" s="48"/>
      <c r="S67" s="48"/>
      <c r="T67" s="48"/>
      <c r="U67" s="48"/>
      <c r="V67" s="48"/>
      <c r="W67" s="48"/>
      <c r="X67" s="48"/>
      <c r="Y67" s="48"/>
      <c r="Z67" s="48"/>
      <c r="AA67" s="48"/>
      <c r="AB67" s="48"/>
      <c r="AC67" s="48"/>
      <c r="AD67" s="48"/>
      <c r="AE67" s="48"/>
      <c r="AF67" s="48"/>
      <c r="AG67" s="48"/>
      <c r="AH67" s="48"/>
      <c r="AI67" s="48"/>
      <c r="AJ67" s="48"/>
      <c r="AK67" s="48"/>
      <c r="AL67" s="48"/>
      <c r="AM67" s="48"/>
      <c r="AP67" s="48"/>
      <c r="AQ67" s="48"/>
      <c r="AR67" s="48"/>
      <c r="AS67" s="48"/>
    </row>
    <row r="68" spans="1:45" s="95" customFormat="1">
      <c r="A68" s="133"/>
      <c r="B68" s="48"/>
      <c r="C68" s="48"/>
      <c r="D68" s="48"/>
      <c r="E68" s="48"/>
      <c r="F68" s="48"/>
      <c r="G68" s="48"/>
      <c r="H68" s="48"/>
      <c r="I68" s="48"/>
      <c r="J68" s="48"/>
      <c r="K68" s="48"/>
      <c r="L68" s="48"/>
      <c r="M68" s="48"/>
      <c r="N68" s="48"/>
      <c r="O68" s="48"/>
      <c r="P68" s="48"/>
      <c r="Q68" s="48"/>
      <c r="R68" s="48"/>
      <c r="S68" s="48"/>
      <c r="T68" s="48"/>
      <c r="U68" s="48"/>
      <c r="V68" s="48"/>
      <c r="W68" s="48"/>
      <c r="X68" s="48"/>
      <c r="Y68" s="48"/>
      <c r="Z68" s="48"/>
      <c r="AA68" s="48"/>
      <c r="AB68" s="48"/>
      <c r="AC68" s="48"/>
      <c r="AD68" s="48"/>
      <c r="AE68" s="48"/>
      <c r="AF68" s="48"/>
      <c r="AG68" s="48"/>
      <c r="AH68" s="48"/>
      <c r="AI68" s="48"/>
      <c r="AJ68" s="48"/>
      <c r="AK68" s="48"/>
      <c r="AL68" s="48"/>
      <c r="AM68" s="48"/>
      <c r="AP68" s="48"/>
      <c r="AQ68" s="48"/>
      <c r="AR68" s="48"/>
      <c r="AS68" s="48"/>
    </row>
  </sheetData>
  <mergeCells count="1">
    <mergeCell ref="B2:B4"/>
  </mergeCells>
  <conditionalFormatting sqref="D4:O4">
    <cfRule type="cellIs" dxfId="23" priority="1" operator="equal">
      <formula>#REF!</formula>
    </cfRule>
    <cfRule type="cellIs" dxfId="22" priority="2" operator="equal">
      <formula>#REF!</formula>
    </cfRule>
    <cfRule type="cellIs" dxfId="21" priority="3" operator="equal">
      <formula>#REF!</formula>
    </cfRule>
    <cfRule type="cellIs" dxfId="20" priority="4" operator="equal">
      <formula>#REF!</formula>
    </cfRule>
  </conditionalFormatting>
  <pageMargins left="0.7" right="0.7" top="0.75" bottom="0.75" header="0.3" footer="0.3"/>
  <pageSetup paperSize="3" orientation="landscape" horizontalDpi="1200" verticalDpi="1200" r:id="rId1"/>
  <headerFooter>
    <oddHeader>&amp;C&amp;"Calibri,Regular"&amp;K000000OVERALL DRAW</oddHeader>
    <oddFooter>&amp;C&amp;"Calibri,Regular"&amp;K000000PAGE &amp;P OF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AB7796-49FA-654F-B330-876346CFE5AB}">
  <sheetPr>
    <tabColor rgb="FF00B050"/>
    <pageSetUpPr fitToPage="1"/>
  </sheetPr>
  <dimension ref="B1:K83"/>
  <sheetViews>
    <sheetView showGridLines="0" zoomScaleNormal="110" zoomScaleSheetLayoutView="90" workbookViewId="0">
      <selection activeCell="I28" sqref="I28"/>
    </sheetView>
  </sheetViews>
  <sheetFormatPr defaultColWidth="8.77734375" defaultRowHeight="23.25" customHeight="1"/>
  <cols>
    <col min="1" max="1" width="2" style="48" customWidth="1"/>
    <col min="2" max="2" width="36.44140625" style="48" bestFit="1" customWidth="1"/>
    <col min="3" max="3" width="32.109375" style="48" bestFit="1" customWidth="1"/>
    <col min="4" max="4" width="22.44140625" style="48" bestFit="1" customWidth="1"/>
    <col min="5" max="5" width="18.44140625" style="48" customWidth="1"/>
    <col min="6" max="6" width="18.109375" style="48" bestFit="1" customWidth="1"/>
    <col min="7" max="7" width="44.77734375" style="48" customWidth="1"/>
    <col min="8" max="11" width="26.109375" style="48" customWidth="1"/>
    <col min="12" max="12" width="13.109375" style="48" bestFit="1" customWidth="1"/>
    <col min="13" max="13" width="24.44140625" style="48" customWidth="1"/>
    <col min="14" max="14" width="32.44140625" style="48" customWidth="1"/>
    <col min="15" max="15" width="20.109375" style="48" customWidth="1"/>
    <col min="16" max="16384" width="8.77734375" style="48"/>
  </cols>
  <sheetData>
    <row r="1" spans="2:10" ht="12" customHeight="1" thickBot="1">
      <c r="B1" s="121"/>
      <c r="C1" s="121"/>
      <c r="D1" s="119"/>
      <c r="E1" s="122"/>
    </row>
    <row r="2" spans="2:10" ht="21" customHeight="1">
      <c r="B2" s="1197" t="str">
        <f>'Development Program'!B9</f>
        <v>Goat Hill</v>
      </c>
      <c r="C2" s="1198"/>
      <c r="D2" s="1198"/>
      <c r="E2" s="1198"/>
      <c r="F2" s="1199"/>
      <c r="G2" s="1216" t="s">
        <v>101</v>
      </c>
      <c r="H2" s="1164" t="s">
        <v>18</v>
      </c>
      <c r="I2" s="1164" t="s">
        <v>97</v>
      </c>
      <c r="J2" s="1166" t="s">
        <v>91</v>
      </c>
    </row>
    <row r="3" spans="2:10" ht="21" customHeight="1" thickBot="1">
      <c r="B3" s="93" t="s">
        <v>605</v>
      </c>
      <c r="C3" s="327" t="s">
        <v>84</v>
      </c>
      <c r="D3" s="328" t="s">
        <v>402</v>
      </c>
      <c r="E3" s="327" t="s">
        <v>606</v>
      </c>
      <c r="F3" s="120" t="s">
        <v>404</v>
      </c>
      <c r="G3" s="1217"/>
      <c r="H3" s="1165"/>
      <c r="I3" s="1165"/>
      <c r="J3" s="1167"/>
    </row>
    <row r="4" spans="2:10" ht="21" customHeight="1">
      <c r="B4" s="154" t="s">
        <v>86</v>
      </c>
      <c r="C4" s="155">
        <v>80</v>
      </c>
      <c r="D4" s="156">
        <f>Assumptions!C7*C4</f>
        <v>36000</v>
      </c>
      <c r="E4" s="157">
        <f>'Site 1 - Financial'!E11</f>
        <v>1768</v>
      </c>
      <c r="F4" s="158">
        <f>E4*C4*12</f>
        <v>1697280</v>
      </c>
      <c r="G4" s="126" t="str">
        <f>Assumptions!F19</f>
        <v>Residential Condominium Hard Costs for Construction</v>
      </c>
      <c r="H4" s="284">
        <f>'Market Research'!H117</f>
        <v>275</v>
      </c>
      <c r="I4" s="285">
        <f>H4*D8</f>
        <v>56100000</v>
      </c>
      <c r="J4" s="306">
        <f t="shared" ref="J4:J27" si="0">I4/($C$13+$C$8)</f>
        <v>187000</v>
      </c>
    </row>
    <row r="5" spans="2:10" ht="21" customHeight="1">
      <c r="B5" s="159" t="s">
        <v>190</v>
      </c>
      <c r="C5" s="160">
        <v>120</v>
      </c>
      <c r="D5" s="161">
        <f>Assumptions!C9*C5</f>
        <v>78000</v>
      </c>
      <c r="E5" s="162">
        <f>'Site 1 - Financial'!E12</f>
        <v>1895</v>
      </c>
      <c r="F5" s="163">
        <f>E5*C5*12</f>
        <v>2728800</v>
      </c>
      <c r="G5" s="126" t="s">
        <v>309</v>
      </c>
      <c r="H5" s="286">
        <f>'Market Research'!H122</f>
        <v>255</v>
      </c>
      <c r="I5" s="285">
        <f>H5*D12</f>
        <v>0</v>
      </c>
      <c r="J5" s="307">
        <f t="shared" si="0"/>
        <v>0</v>
      </c>
    </row>
    <row r="6" spans="2:10" ht="21" customHeight="1">
      <c r="B6" s="159" t="s">
        <v>191</v>
      </c>
      <c r="C6" s="160">
        <v>90</v>
      </c>
      <c r="D6" s="161">
        <f>Assumptions!C11*C6</f>
        <v>90000</v>
      </c>
      <c r="E6" s="162">
        <f>'Site 1 - Financial'!E13</f>
        <v>2274</v>
      </c>
      <c r="F6" s="163">
        <f>E6*C6*12</f>
        <v>2455920</v>
      </c>
      <c r="G6" s="126" t="s">
        <v>310</v>
      </c>
      <c r="H6" s="286">
        <f>'Market Research'!H122</f>
        <v>255</v>
      </c>
      <c r="I6" s="285">
        <f>H5*D11</f>
        <v>24329550</v>
      </c>
      <c r="J6" s="307">
        <f t="shared" si="0"/>
        <v>81098.5</v>
      </c>
    </row>
    <row r="7" spans="2:10" ht="21" customHeight="1" thickBot="1">
      <c r="B7" s="164" t="s">
        <v>192</v>
      </c>
      <c r="C7" s="165">
        <v>0</v>
      </c>
      <c r="D7" s="166">
        <f>Assumptions!C13*C7</f>
        <v>0</v>
      </c>
      <c r="E7" s="167">
        <f>'Site 1 - Financial'!E14</f>
        <v>2628</v>
      </c>
      <c r="F7" s="168">
        <f>E7*C7*12</f>
        <v>0</v>
      </c>
      <c r="G7" s="520" t="s">
        <v>617</v>
      </c>
      <c r="H7" s="287">
        <f>'Market Research'!H135</f>
        <v>130</v>
      </c>
      <c r="I7" s="285">
        <v>0</v>
      </c>
      <c r="J7" s="307">
        <f t="shared" si="0"/>
        <v>0</v>
      </c>
    </row>
    <row r="8" spans="2:10" ht="21" customHeight="1">
      <c r="B8" s="1200" t="s">
        <v>87</v>
      </c>
      <c r="C8" s="1202">
        <f>SUM(C4:C7)</f>
        <v>290</v>
      </c>
      <c r="D8" s="1204">
        <f>SUM(D4:D7)</f>
        <v>204000</v>
      </c>
      <c r="E8" s="1206">
        <f>F8/C8/12</f>
        <v>1977.5862068965516</v>
      </c>
      <c r="F8" s="1168">
        <f>SUM(F4:F7)</f>
        <v>6882000</v>
      </c>
      <c r="G8" s="126" t="s">
        <v>20</v>
      </c>
      <c r="H8" s="288">
        <v>0.1</v>
      </c>
      <c r="I8" s="285">
        <f>H8*SUM(I4:I7)</f>
        <v>8042955</v>
      </c>
      <c r="J8" s="307">
        <f t="shared" si="0"/>
        <v>26809.85</v>
      </c>
    </row>
    <row r="9" spans="2:10" ht="21" customHeight="1">
      <c r="B9" s="1201"/>
      <c r="C9" s="1203"/>
      <c r="D9" s="1205"/>
      <c r="E9" s="1207"/>
      <c r="F9" s="1169"/>
      <c r="G9" s="126" t="s">
        <v>6</v>
      </c>
      <c r="H9" s="289" t="s">
        <v>24</v>
      </c>
      <c r="I9" s="285">
        <v>0</v>
      </c>
      <c r="J9" s="307">
        <f t="shared" si="0"/>
        <v>0</v>
      </c>
    </row>
    <row r="10" spans="2:10" ht="21" customHeight="1" thickBot="1">
      <c r="B10" s="185" t="s">
        <v>88</v>
      </c>
      <c r="C10" s="327" t="s">
        <v>84</v>
      </c>
      <c r="D10" s="327" t="s">
        <v>402</v>
      </c>
      <c r="E10" s="327" t="s">
        <v>89</v>
      </c>
      <c r="F10" s="120" t="s">
        <v>85</v>
      </c>
      <c r="G10" s="520" t="s">
        <v>312</v>
      </c>
      <c r="H10" s="290">
        <f>'Market Research'!C53</f>
        <v>45000000</v>
      </c>
      <c r="I10" s="285">
        <f>H10*C17</f>
        <v>84009297.52066116</v>
      </c>
      <c r="J10" s="307">
        <f t="shared" si="0"/>
        <v>280030.99173553719</v>
      </c>
    </row>
    <row r="11" spans="2:10" ht="21" customHeight="1">
      <c r="B11" s="169" t="s">
        <v>1</v>
      </c>
      <c r="C11" s="170">
        <v>10</v>
      </c>
      <c r="D11" s="171">
        <v>95410</v>
      </c>
      <c r="E11" s="172">
        <f>Assumptions!F7</f>
        <v>35</v>
      </c>
      <c r="F11" s="173">
        <f>D11*E11</f>
        <v>3339350</v>
      </c>
      <c r="G11" s="520" t="s">
        <v>21</v>
      </c>
      <c r="H11" s="625" t="s">
        <v>380</v>
      </c>
      <c r="I11" s="285">
        <v>365000</v>
      </c>
      <c r="J11" s="306">
        <f t="shared" si="0"/>
        <v>1216.6666666666667</v>
      </c>
    </row>
    <row r="12" spans="2:10" ht="21" customHeight="1" thickBot="1">
      <c r="B12" s="174" t="s">
        <v>0</v>
      </c>
      <c r="C12" s="175">
        <v>0</v>
      </c>
      <c r="D12" s="176">
        <v>0</v>
      </c>
      <c r="E12" s="177">
        <f>Assumptions!G7</f>
        <v>45</v>
      </c>
      <c r="F12" s="178">
        <f>D12*E12</f>
        <v>0</v>
      </c>
      <c r="G12" s="520" t="s">
        <v>43</v>
      </c>
      <c r="H12" s="280" t="s">
        <v>381</v>
      </c>
      <c r="I12" s="285">
        <f>'Development Program'!O22</f>
        <v>1337473.2880755607</v>
      </c>
      <c r="J12" s="307">
        <f t="shared" si="0"/>
        <v>4458.2442935852023</v>
      </c>
    </row>
    <row r="13" spans="2:10" ht="21" customHeight="1">
      <c r="B13" s="1200" t="s">
        <v>87</v>
      </c>
      <c r="C13" s="1202">
        <f>SUM(C11:C12)</f>
        <v>10</v>
      </c>
      <c r="D13" s="1209">
        <f>SUM(D11:D12)</f>
        <v>95410</v>
      </c>
      <c r="E13" s="1211">
        <f>IF(D13=0,0,F13/D13)</f>
        <v>35</v>
      </c>
      <c r="F13" s="1168">
        <f>SUM(F11:F12)</f>
        <v>3339350</v>
      </c>
      <c r="G13" s="124" t="s">
        <v>23</v>
      </c>
      <c r="H13" s="276" t="s">
        <v>24</v>
      </c>
      <c r="I13" s="277">
        <v>400000</v>
      </c>
      <c r="J13" s="307">
        <f t="shared" si="0"/>
        <v>1333.3333333333333</v>
      </c>
    </row>
    <row r="14" spans="2:10" ht="21" customHeight="1" thickBot="1">
      <c r="B14" s="1208"/>
      <c r="C14" s="1203"/>
      <c r="D14" s="1210"/>
      <c r="E14" s="1212"/>
      <c r="F14" s="1188"/>
      <c r="G14" s="124" t="s">
        <v>374</v>
      </c>
      <c r="H14" s="302">
        <v>0.02</v>
      </c>
      <c r="I14" s="277">
        <f>H14*I10</f>
        <v>1680185.9504132234</v>
      </c>
      <c r="J14" s="307">
        <f t="shared" si="0"/>
        <v>5600.6198347107447</v>
      </c>
    </row>
    <row r="15" spans="2:10" ht="21" customHeight="1">
      <c r="B15" s="1120" t="s">
        <v>384</v>
      </c>
      <c r="C15" s="1122"/>
      <c r="D15" s="1194" t="s">
        <v>206</v>
      </c>
      <c r="E15" s="1195"/>
      <c r="F15" s="1196"/>
      <c r="G15" s="124" t="s">
        <v>26</v>
      </c>
      <c r="H15" s="278">
        <v>0.04</v>
      </c>
      <c r="I15" s="277">
        <f>H15*SUM(I4:I7)</f>
        <v>3217182</v>
      </c>
      <c r="J15" s="307">
        <f t="shared" si="0"/>
        <v>10723.94</v>
      </c>
    </row>
    <row r="16" spans="2:10" ht="21" customHeight="1" thickBot="1">
      <c r="B16" s="142" t="s">
        <v>331</v>
      </c>
      <c r="C16" s="198" t="s">
        <v>388</v>
      </c>
      <c r="D16" s="142" t="s">
        <v>331</v>
      </c>
      <c r="E16" s="143" t="s">
        <v>104</v>
      </c>
      <c r="F16" s="198" t="s">
        <v>91</v>
      </c>
      <c r="G16" s="124" t="s">
        <v>27</v>
      </c>
      <c r="H16" s="279">
        <v>0.03</v>
      </c>
      <c r="I16" s="277">
        <f>H16*SUM(I4:I15)</f>
        <v>5384449.3127744989</v>
      </c>
      <c r="J16" s="307">
        <f t="shared" si="0"/>
        <v>17948.164375914996</v>
      </c>
    </row>
    <row r="17" spans="2:11" ht="21" customHeight="1">
      <c r="B17" s="310" t="s">
        <v>385</v>
      </c>
      <c r="C17" s="311">
        <f>81321/43560</f>
        <v>1.8668732782369146</v>
      </c>
      <c r="D17" s="320">
        <f>Assumptions!I11</f>
        <v>0.6</v>
      </c>
      <c r="E17" s="321">
        <f>D17*(I$27-I28)</f>
        <v>112198474.25307202</v>
      </c>
      <c r="F17" s="322">
        <f>E17/($C$8+$C$13)</f>
        <v>373994.91417690675</v>
      </c>
      <c r="G17" s="124" t="s">
        <v>28</v>
      </c>
      <c r="H17" s="278">
        <v>0.02</v>
      </c>
      <c r="I17" s="277">
        <f>H17*SUM(I4:I7)</f>
        <v>1608591</v>
      </c>
      <c r="J17" s="307">
        <f t="shared" si="0"/>
        <v>5361.97</v>
      </c>
    </row>
    <row r="18" spans="2:11" ht="21" customHeight="1">
      <c r="B18" s="312" t="s">
        <v>386</v>
      </c>
      <c r="C18" s="417">
        <f>111609+204000</f>
        <v>315609</v>
      </c>
      <c r="D18" s="323">
        <f>1-D17</f>
        <v>0.4</v>
      </c>
      <c r="E18" s="318">
        <f>D18*(I$27-I28)</f>
        <v>74798982.835381359</v>
      </c>
      <c r="F18" s="319">
        <f>E18/($C$8+$C$13)</f>
        <v>249329.94278460453</v>
      </c>
      <c r="G18" s="531" t="s">
        <v>99</v>
      </c>
      <c r="H18" s="805">
        <v>8.8293999999999994E-3</v>
      </c>
      <c r="I18" s="277">
        <f>H18*I10</f>
        <v>741751.69152892556</v>
      </c>
      <c r="J18" s="307">
        <f>I18/($C$13+$C$8)</f>
        <v>2472.5056384297518</v>
      </c>
    </row>
    <row r="19" spans="2:11" ht="21" customHeight="1">
      <c r="B19" s="312" t="s">
        <v>387</v>
      </c>
      <c r="C19" s="313">
        <f>D8+D13</f>
        <v>299410</v>
      </c>
      <c r="D19" s="312" t="s">
        <v>395</v>
      </c>
      <c r="E19" s="329">
        <f>I28</f>
        <v>33092000</v>
      </c>
      <c r="F19" s="330">
        <f>E19/($C$8+$C$13)</f>
        <v>110306.66666666667</v>
      </c>
      <c r="G19" s="124" t="s">
        <v>29</v>
      </c>
      <c r="H19" s="280">
        <v>6000</v>
      </c>
      <c r="I19" s="277">
        <f>H19*(C8+C13)</f>
        <v>1800000</v>
      </c>
      <c r="J19" s="307">
        <f t="shared" si="0"/>
        <v>6000</v>
      </c>
    </row>
    <row r="20" spans="2:11" ht="21" customHeight="1">
      <c r="B20" s="312" t="s">
        <v>389</v>
      </c>
      <c r="C20" s="314">
        <f>720/2</f>
        <v>360</v>
      </c>
      <c r="D20" s="312" t="s">
        <v>396</v>
      </c>
      <c r="E20" s="324">
        <f>SUM(E17:E19)</f>
        <v>220089457.08845338</v>
      </c>
      <c r="F20" s="325">
        <f>SUM(F17:F19)</f>
        <v>733631.52362817794</v>
      </c>
      <c r="G20" s="124" t="s">
        <v>30</v>
      </c>
      <c r="H20" s="276" t="s">
        <v>24</v>
      </c>
      <c r="I20" s="277">
        <v>400000</v>
      </c>
      <c r="J20" s="307">
        <f t="shared" si="0"/>
        <v>1333.3333333333333</v>
      </c>
    </row>
    <row r="21" spans="2:11" ht="21" customHeight="1" thickBot="1">
      <c r="B21" s="312" t="s">
        <v>390</v>
      </c>
      <c r="C21" s="314">
        <f>C20</f>
        <v>360</v>
      </c>
      <c r="D21" s="316"/>
      <c r="E21" s="326"/>
      <c r="F21" s="317"/>
      <c r="G21" s="124" t="s">
        <v>31</v>
      </c>
      <c r="H21" s="281" t="s">
        <v>376</v>
      </c>
      <c r="I21" s="277">
        <f>-SUM('Site 5 - Draw'!E38:G38,'Site 5 - Draw'!E47:G47,'Site 5 - Draw'!E56:G56)</f>
        <v>2913816.3250000002</v>
      </c>
      <c r="J21" s="307">
        <f t="shared" si="0"/>
        <v>9712.7210833333338</v>
      </c>
    </row>
    <row r="22" spans="2:11" ht="21" customHeight="1">
      <c r="B22" s="315" t="s">
        <v>438</v>
      </c>
      <c r="C22" s="417">
        <v>237306</v>
      </c>
      <c r="D22" s="1172" t="s">
        <v>105</v>
      </c>
      <c r="E22" s="1174">
        <f>E17+E18+E19</f>
        <v>220089457.08845338</v>
      </c>
      <c r="F22" s="1191">
        <f>F20</f>
        <v>733631.52362817794</v>
      </c>
      <c r="G22" s="124" t="s">
        <v>377</v>
      </c>
      <c r="H22" s="282">
        <f>'Market Research'!H125</f>
        <v>140</v>
      </c>
      <c r="I22" s="277">
        <f>H22*D13</f>
        <v>13357400</v>
      </c>
      <c r="J22" s="307">
        <f t="shared" si="0"/>
        <v>44524.666666666664</v>
      </c>
    </row>
    <row r="23" spans="2:11" ht="21" customHeight="1" thickBot="1">
      <c r="B23" s="448" t="s">
        <v>437</v>
      </c>
      <c r="C23" s="447">
        <f>C18/(C17*43560)</f>
        <v>3.8810270409857233</v>
      </c>
      <c r="D23" s="1173"/>
      <c r="E23" s="1175"/>
      <c r="F23" s="1192"/>
      <c r="G23" s="124" t="s">
        <v>378</v>
      </c>
      <c r="H23" s="283">
        <v>0.06</v>
      </c>
      <c r="I23" s="277">
        <f>('Site 5 - Draw'!H41)*5*H23</f>
        <v>1001805</v>
      </c>
      <c r="J23" s="307">
        <f t="shared" si="0"/>
        <v>3339.35</v>
      </c>
    </row>
    <row r="24" spans="2:11" ht="21" customHeight="1" thickBot="1">
      <c r="B24" s="416">
        <v>22</v>
      </c>
      <c r="C24" s="417">
        <f>C18/B24</f>
        <v>14345.863636363636</v>
      </c>
      <c r="D24" s="1189" t="s">
        <v>106</v>
      </c>
      <c r="E24" s="1190"/>
      <c r="F24" s="260" t="s">
        <v>383</v>
      </c>
      <c r="G24" s="531" t="s">
        <v>33</v>
      </c>
      <c r="H24" s="532">
        <v>0.01</v>
      </c>
      <c r="I24" s="277">
        <v>1300000</v>
      </c>
      <c r="J24" s="307">
        <f t="shared" si="0"/>
        <v>4333.333333333333</v>
      </c>
      <c r="K24" s="266"/>
    </row>
    <row r="25" spans="2:11" ht="21" customHeight="1" thickBot="1">
      <c r="B25" s="316" t="s">
        <v>393</v>
      </c>
      <c r="C25" s="317" t="s">
        <v>394</v>
      </c>
      <c r="D25" s="1182" t="s">
        <v>333</v>
      </c>
      <c r="E25" s="1183"/>
      <c r="F25" s="331">
        <f>'Site 5 - Draw'!H39</f>
        <v>133896275.07464968</v>
      </c>
      <c r="G25" s="533" t="s">
        <v>34</v>
      </c>
      <c r="H25" s="534">
        <v>7.0000000000000007E-2</v>
      </c>
      <c r="I25" s="277">
        <f>I24*7</f>
        <v>9100000</v>
      </c>
      <c r="J25" s="307">
        <f t="shared" si="0"/>
        <v>30333.333333333332</v>
      </c>
      <c r="K25" s="266"/>
    </row>
    <row r="26" spans="2:11" ht="21" customHeight="1" thickBot="1">
      <c r="B26" s="1189" t="s">
        <v>110</v>
      </c>
      <c r="C26" s="1193"/>
      <c r="D26" s="1184" t="s">
        <v>391</v>
      </c>
      <c r="E26" s="1185"/>
      <c r="F26" s="380" t="s">
        <v>157</v>
      </c>
      <c r="G26" s="127" t="s">
        <v>100</v>
      </c>
      <c r="H26" s="274" t="s">
        <v>24</v>
      </c>
      <c r="I26" s="275">
        <v>3000000</v>
      </c>
      <c r="J26" s="308">
        <f t="shared" si="0"/>
        <v>10000</v>
      </c>
    </row>
    <row r="27" spans="2:11" ht="21" customHeight="1">
      <c r="B27" s="303" t="s">
        <v>311</v>
      </c>
      <c r="C27" s="338">
        <f>(F32+E18)/E18</f>
        <v>1.7500001615584548</v>
      </c>
      <c r="D27" s="1184" t="s">
        <v>392</v>
      </c>
      <c r="E27" s="1185"/>
      <c r="F27" s="332" t="s">
        <v>157</v>
      </c>
      <c r="G27" s="128" t="s">
        <v>101</v>
      </c>
      <c r="H27" s="340" t="s">
        <v>205</v>
      </c>
      <c r="I27" s="341">
        <f>SUM(I4:I26)</f>
        <v>220089457.08845338</v>
      </c>
      <c r="J27" s="342">
        <f t="shared" si="0"/>
        <v>733631.52362817794</v>
      </c>
      <c r="K27" s="266"/>
    </row>
    <row r="28" spans="2:11" ht="21" customHeight="1">
      <c r="B28" s="304" t="s">
        <v>136</v>
      </c>
      <c r="C28" s="431">
        <f>'Site 5 - Draw'!C58</f>
        <v>0.1597091972776834</v>
      </c>
      <c r="D28" s="1170" t="s">
        <v>334</v>
      </c>
      <c r="E28" s="1171"/>
      <c r="F28" s="333">
        <f>'Site 5 - Draw'!H48</f>
        <v>109200431.22474782</v>
      </c>
      <c r="G28" s="129" t="s">
        <v>618</v>
      </c>
      <c r="H28" s="343" t="s">
        <v>205</v>
      </c>
      <c r="I28" s="344">
        <v>33092000</v>
      </c>
      <c r="J28" s="345">
        <f>I28/($C$13+$C$8)</f>
        <v>110306.66666666667</v>
      </c>
    </row>
    <row r="29" spans="2:11" ht="21" customHeight="1">
      <c r="B29" s="304" t="s">
        <v>41</v>
      </c>
      <c r="C29" s="431">
        <f>'Site 5 - Draw'!C64</f>
        <v>0.2137434821958899</v>
      </c>
      <c r="D29" s="1186" t="s">
        <v>335</v>
      </c>
      <c r="E29" s="1187"/>
      <c r="F29" s="334">
        <f>F25+F28</f>
        <v>243096706.2993975</v>
      </c>
      <c r="G29" s="129" t="s">
        <v>336</v>
      </c>
      <c r="H29" s="343" t="s">
        <v>205</v>
      </c>
      <c r="I29" s="344">
        <f>'Site 5 - Draw'!H48+'Site 5 - Draw'!H39</f>
        <v>243096706.2993975</v>
      </c>
      <c r="J29" s="345">
        <f>I29/($C$13+$C$8)</f>
        <v>810322.35433132504</v>
      </c>
    </row>
    <row r="30" spans="2:11" ht="21" customHeight="1">
      <c r="B30" s="304" t="s">
        <v>111</v>
      </c>
      <c r="C30" s="336">
        <f>'Site 5 - Draw'!G58/'Site 5 - Financial'!E17</f>
        <v>-0.54683331255234469</v>
      </c>
      <c r="D30" s="1178" t="s">
        <v>107</v>
      </c>
      <c r="E30" s="1179"/>
      <c r="F30" s="333">
        <f>E17</f>
        <v>112198474.25307202</v>
      </c>
      <c r="G30" s="129" t="s">
        <v>102</v>
      </c>
      <c r="H30" s="343" t="s">
        <v>205</v>
      </c>
      <c r="I30" s="379">
        <f>('Site 5 - Draw'!H47+'Site 5 - Draw'!H38)/I27</f>
        <v>4.9519155903130968E-2</v>
      </c>
      <c r="J30" s="346" t="s">
        <v>205</v>
      </c>
    </row>
    <row r="31" spans="2:11" ht="21" customHeight="1">
      <c r="B31" s="304" t="s">
        <v>397</v>
      </c>
      <c r="C31" s="336">
        <f>Assumptions!I9</f>
        <v>4.2500000000000003E-2</v>
      </c>
      <c r="D31" s="1178" t="s">
        <v>108</v>
      </c>
      <c r="E31" s="1179"/>
      <c r="F31" s="333">
        <f>E18</f>
        <v>74798982.835381359</v>
      </c>
      <c r="G31" s="129" t="s">
        <v>103</v>
      </c>
      <c r="H31" s="343" t="s">
        <v>205</v>
      </c>
      <c r="I31" s="552">
        <f>I29/(I27-I28)-1</f>
        <v>0.30000006462338202</v>
      </c>
      <c r="J31" s="347" t="s">
        <v>205</v>
      </c>
    </row>
    <row r="32" spans="2:11" ht="21" customHeight="1" thickBot="1">
      <c r="B32" s="305" t="s">
        <v>398</v>
      </c>
      <c r="C32" s="339">
        <f>Assumptions!I8</f>
        <v>4.7500000000000001E-2</v>
      </c>
      <c r="D32" s="1180" t="s">
        <v>109</v>
      </c>
      <c r="E32" s="1181"/>
      <c r="F32" s="335">
        <f>F29-F30-F31</f>
        <v>56099249.210944116</v>
      </c>
      <c r="G32" s="816">
        <v>0.5</v>
      </c>
      <c r="H32" s="817" t="s">
        <v>205</v>
      </c>
      <c r="I32" s="818">
        <f>I29/(1+G32)</f>
        <v>162064470.866265</v>
      </c>
      <c r="J32" s="819">
        <f>I32/($C$13+$C$8)</f>
        <v>540214.90288754995</v>
      </c>
    </row>
    <row r="33" spans="2:10" ht="16.05" customHeight="1">
      <c r="G33" s="820"/>
      <c r="H33" s="821"/>
      <c r="I33" s="822"/>
      <c r="J33" s="822"/>
    </row>
    <row r="34" spans="2:10" ht="15" customHeight="1">
      <c r="D34" s="144"/>
      <c r="E34" s="144"/>
      <c r="F34" s="144"/>
      <c r="G34" s="187"/>
      <c r="H34" s="188"/>
      <c r="I34" s="189"/>
      <c r="J34" s="188"/>
    </row>
    <row r="35" spans="2:10" ht="15" customHeight="1">
      <c r="D35" s="132"/>
      <c r="G35" s="190"/>
      <c r="H35" s="1176"/>
      <c r="I35" s="1176"/>
      <c r="J35" s="188"/>
    </row>
    <row r="36" spans="2:10" ht="15" customHeight="1">
      <c r="D36" s="132"/>
      <c r="G36" s="191"/>
      <c r="H36" s="1177"/>
      <c r="I36" s="1177"/>
      <c r="J36" s="192"/>
    </row>
    <row r="37" spans="2:10" ht="13.2">
      <c r="D37" s="132"/>
    </row>
    <row r="38" spans="2:10" ht="13.2">
      <c r="D38" s="179"/>
    </row>
    <row r="39" spans="2:10" s="144" customFormat="1" ht="13.2">
      <c r="B39" s="48"/>
      <c r="C39" s="48"/>
      <c r="D39" s="179"/>
      <c r="E39" s="48"/>
      <c r="F39" s="48"/>
    </row>
    <row r="40" spans="2:10" ht="13.2">
      <c r="B40" s="144"/>
      <c r="C40" s="144"/>
    </row>
    <row r="41" spans="2:10" ht="13.05" customHeight="1">
      <c r="B41" s="132"/>
      <c r="C41" s="132"/>
    </row>
    <row r="42" spans="2:10" ht="13.2">
      <c r="B42" s="132"/>
      <c r="C42" s="132"/>
    </row>
    <row r="43" spans="2:10" s="144" customFormat="1" ht="13.2">
      <c r="B43" s="125"/>
      <c r="C43" s="125"/>
      <c r="D43" s="48"/>
      <c r="E43" s="48"/>
      <c r="F43" s="48"/>
    </row>
    <row r="44" spans="2:10" s="132" customFormat="1" ht="13.2">
      <c r="D44" s="48"/>
      <c r="E44" s="48"/>
      <c r="F44" s="48"/>
    </row>
    <row r="45" spans="2:10" s="132" customFormat="1" ht="13.2">
      <c r="D45" s="48"/>
      <c r="E45" s="48"/>
      <c r="F45" s="48"/>
    </row>
    <row r="46" spans="2:10" s="125" customFormat="1" ht="13.2">
      <c r="D46" s="48"/>
      <c r="E46" s="48"/>
      <c r="F46" s="48"/>
    </row>
    <row r="47" spans="2:10" s="132" customFormat="1" ht="13.2">
      <c r="D47" s="48"/>
      <c r="E47" s="48"/>
      <c r="F47" s="48"/>
    </row>
    <row r="48" spans="2:10" s="132" customFormat="1" ht="13.2">
      <c r="D48" s="48"/>
      <c r="E48" s="48"/>
      <c r="F48" s="48"/>
    </row>
    <row r="49" spans="2:10" s="125" customFormat="1" ht="13.2">
      <c r="B49" s="132"/>
      <c r="C49" s="132"/>
      <c r="D49" s="48"/>
      <c r="E49" s="48"/>
      <c r="F49" s="48"/>
    </row>
    <row r="50" spans="2:10" s="132" customFormat="1" ht="13.2">
      <c r="B50" s="48"/>
      <c r="C50" s="179"/>
      <c r="D50" s="48"/>
      <c r="E50" s="48"/>
      <c r="F50" s="48"/>
    </row>
    <row r="51" spans="2:10" s="132" customFormat="1" ht="13.2">
      <c r="B51" s="48"/>
      <c r="C51" s="179"/>
      <c r="D51" s="48"/>
      <c r="E51" s="48"/>
      <c r="F51" s="48"/>
    </row>
    <row r="52" spans="2:10" s="132" customFormat="1" ht="13.2">
      <c r="B52" s="48"/>
      <c r="C52" s="48"/>
      <c r="D52" s="48"/>
      <c r="E52" s="48"/>
      <c r="F52" s="48"/>
    </row>
    <row r="53" spans="2:10" ht="13.2">
      <c r="G53" s="179"/>
      <c r="H53" s="179"/>
      <c r="I53" s="179"/>
      <c r="J53" s="179"/>
    </row>
    <row r="54" spans="2:10" ht="13.2">
      <c r="G54" s="179"/>
      <c r="H54" s="179"/>
      <c r="I54" s="179"/>
      <c r="J54" s="179"/>
    </row>
    <row r="55" spans="2:10" ht="13.2"/>
    <row r="56" spans="2:10" ht="15" customHeight="1"/>
    <row r="57" spans="2:10" ht="13.2"/>
    <row r="58" spans="2:10" ht="13.2">
      <c r="G58" s="179"/>
    </row>
    <row r="59" spans="2:10" ht="13.2">
      <c r="G59" s="179"/>
    </row>
    <row r="60" spans="2:10" ht="13.2"/>
    <row r="61" spans="2:10" ht="13.2"/>
    <row r="62" spans="2:10" ht="13.2">
      <c r="G62" s="179"/>
    </row>
    <row r="63" spans="2:10" ht="15" customHeight="1"/>
    <row r="64" spans="2:10" ht="15" customHeight="1"/>
    <row r="65" ht="13.2"/>
    <row r="66" ht="13.2"/>
    <row r="67" ht="13.2"/>
    <row r="68" ht="13.2"/>
    <row r="69" ht="13.2"/>
    <row r="70" ht="13.2"/>
    <row r="71" ht="13.2"/>
    <row r="72" ht="13.2"/>
    <row r="73" ht="13.2"/>
    <row r="74" ht="13.2"/>
    <row r="75" ht="13.2"/>
    <row r="76" ht="13.2"/>
    <row r="77" ht="13.2"/>
    <row r="78" ht="13.2"/>
    <row r="79" ht="13.2"/>
    <row r="80" ht="13.2"/>
    <row r="81" ht="13.2"/>
    <row r="82" ht="13.2"/>
    <row r="83" ht="13.2"/>
  </sheetData>
  <mergeCells count="32">
    <mergeCell ref="F22:F23"/>
    <mergeCell ref="D24:E24"/>
    <mergeCell ref="D25:E25"/>
    <mergeCell ref="H35:I35"/>
    <mergeCell ref="H36:I36"/>
    <mergeCell ref="D27:E27"/>
    <mergeCell ref="D28:E28"/>
    <mergeCell ref="D29:E29"/>
    <mergeCell ref="D30:E30"/>
    <mergeCell ref="D31:E31"/>
    <mergeCell ref="D32:E32"/>
    <mergeCell ref="B26:C26"/>
    <mergeCell ref="D26:E26"/>
    <mergeCell ref="B13:B14"/>
    <mergeCell ref="C13:C14"/>
    <mergeCell ref="D13:D14"/>
    <mergeCell ref="E13:E14"/>
    <mergeCell ref="D22:D23"/>
    <mergeCell ref="E22:E23"/>
    <mergeCell ref="F13:F14"/>
    <mergeCell ref="B15:C15"/>
    <mergeCell ref="D15:F15"/>
    <mergeCell ref="B2:F2"/>
    <mergeCell ref="G2:G3"/>
    <mergeCell ref="H2:H3"/>
    <mergeCell ref="I2:I3"/>
    <mergeCell ref="J2:J3"/>
    <mergeCell ref="B8:B9"/>
    <mergeCell ref="C8:C9"/>
    <mergeCell ref="D8:D9"/>
    <mergeCell ref="E8:E9"/>
    <mergeCell ref="F8:F9"/>
  </mergeCells>
  <printOptions horizontalCentered="1" verticalCentered="1"/>
  <pageMargins left="0.7" right="0.7" top="0.75" bottom="0.75" header="0.3" footer="0.3"/>
  <pageSetup scale="89" fitToHeight="0" orientation="landscape" horizontalDpi="4294967292" verticalDpi="4294967292" r:id="rId1"/>
  <headerFooter>
    <oddHeader>&amp;C&amp;"Times New Roman Bold,Bold"&amp;14&amp;K000000INVESTOR SHEET</oddHeader>
    <oddFooter>&amp;CPage &amp;P of &amp;N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3D9136-12BE-7545-A69B-5ECDC0A0F03D}">
  <sheetPr>
    <tabColor rgb="FF00B050"/>
  </sheetPr>
  <dimension ref="A1:AS69"/>
  <sheetViews>
    <sheetView topLeftCell="G1" zoomScale="106" zoomScaleNormal="110" zoomScalePageLayoutView="125" workbookViewId="0">
      <selection activeCell="C28" sqref="C6:C28"/>
    </sheetView>
  </sheetViews>
  <sheetFormatPr defaultColWidth="8.77734375" defaultRowHeight="14.4" outlineLevelRow="1"/>
  <cols>
    <col min="1" max="1" width="4" style="47" customWidth="1"/>
    <col min="2" max="2" width="48.44140625" style="48" bestFit="1" customWidth="1"/>
    <col min="3" max="3" width="20.77734375" style="48" customWidth="1"/>
    <col min="4" max="15" width="15.109375" style="48" customWidth="1"/>
    <col min="16" max="38" width="17" style="48" customWidth="1"/>
    <col min="39" max="39" width="16.44140625" style="48" customWidth="1"/>
    <col min="40" max="40" width="15" style="95" customWidth="1"/>
    <col min="41" max="41" width="17.77734375" style="95" bestFit="1" customWidth="1"/>
    <col min="42" max="42" width="9.44140625" style="48" bestFit="1" customWidth="1"/>
    <col min="43" max="43" width="11.77734375" style="48" bestFit="1" customWidth="1"/>
    <col min="44" max="45" width="9.44140625" style="48" bestFit="1" customWidth="1"/>
    <col min="46" max="16384" width="8.77734375" style="48"/>
  </cols>
  <sheetData>
    <row r="1" spans="2:45" s="47" customFormat="1" ht="15" thickBot="1">
      <c r="AN1" s="133"/>
      <c r="AO1" s="133"/>
    </row>
    <row r="2" spans="2:45" s="133" customFormat="1" ht="15" thickBot="1">
      <c r="B2" s="1213" t="str">
        <f>'Development Program'!B9</f>
        <v>Goat Hill</v>
      </c>
      <c r="C2" s="540" t="s">
        <v>343</v>
      </c>
      <c r="D2" s="479">
        <v>0</v>
      </c>
      <c r="E2" s="123">
        <f t="shared" ref="E2:O2" si="0">D2+1</f>
        <v>1</v>
      </c>
      <c r="F2" s="228">
        <f>E2+1</f>
        <v>2</v>
      </c>
      <c r="G2" s="229">
        <f t="shared" si="0"/>
        <v>3</v>
      </c>
      <c r="H2" s="398">
        <f t="shared" si="0"/>
        <v>4</v>
      </c>
      <c r="I2" s="137">
        <f t="shared" si="0"/>
        <v>5</v>
      </c>
      <c r="J2" s="137">
        <f>I2+1</f>
        <v>6</v>
      </c>
      <c r="K2" s="137">
        <f>J2+1</f>
        <v>7</v>
      </c>
      <c r="L2" s="137">
        <f t="shared" si="0"/>
        <v>8</v>
      </c>
      <c r="M2" s="137">
        <f t="shared" si="0"/>
        <v>9</v>
      </c>
      <c r="N2" s="137">
        <f t="shared" si="0"/>
        <v>10</v>
      </c>
      <c r="O2" s="261">
        <f t="shared" si="0"/>
        <v>11</v>
      </c>
      <c r="P2" s="47"/>
      <c r="Q2" s="47"/>
      <c r="R2" s="47"/>
      <c r="S2" s="47"/>
      <c r="T2" s="47"/>
      <c r="U2" s="47"/>
      <c r="V2" s="47"/>
      <c r="W2" s="47"/>
      <c r="X2" s="47"/>
      <c r="Y2" s="47"/>
      <c r="Z2" s="47"/>
      <c r="AA2" s="47"/>
      <c r="AB2" s="47"/>
      <c r="AC2" s="47"/>
      <c r="AD2" s="47"/>
      <c r="AE2" s="47"/>
      <c r="AF2" s="47"/>
      <c r="AG2" s="47"/>
      <c r="AH2" s="47"/>
      <c r="AI2" s="47"/>
      <c r="AJ2" s="47"/>
      <c r="AK2" s="47"/>
      <c r="AL2" s="47"/>
      <c r="AM2" s="47"/>
      <c r="AP2" s="47"/>
      <c r="AQ2" s="47"/>
      <c r="AR2" s="47"/>
      <c r="AS2" s="47"/>
    </row>
    <row r="3" spans="2:45" s="133" customFormat="1" ht="41.55" customHeight="1" thickBot="1">
      <c r="B3" s="1158"/>
      <c r="C3" s="541" t="s">
        <v>104</v>
      </c>
      <c r="D3" s="546">
        <v>45413</v>
      </c>
      <c r="E3" s="291">
        <f>EDATE(D3,12)</f>
        <v>45778</v>
      </c>
      <c r="F3" s="292">
        <f>EDATE(E3,12)</f>
        <v>46143</v>
      </c>
      <c r="G3" s="293">
        <f>EDATE(F3,12)</f>
        <v>46508</v>
      </c>
      <c r="H3" s="399">
        <f t="shared" ref="H3:O3" si="1">EDATE(G3,12)</f>
        <v>46874</v>
      </c>
      <c r="I3" s="225">
        <f t="shared" si="1"/>
        <v>47239</v>
      </c>
      <c r="J3" s="225">
        <f>EDATE(H3,12)</f>
        <v>47239</v>
      </c>
      <c r="K3" s="225">
        <f>EDATE(I3,12)</f>
        <v>47604</v>
      </c>
      <c r="L3" s="225">
        <f t="shared" si="1"/>
        <v>47969</v>
      </c>
      <c r="M3" s="225">
        <f t="shared" si="1"/>
        <v>48335</v>
      </c>
      <c r="N3" s="225">
        <f t="shared" si="1"/>
        <v>48700</v>
      </c>
      <c r="O3" s="226">
        <f t="shared" si="1"/>
        <v>49065</v>
      </c>
      <c r="P3" s="47"/>
      <c r="Q3" s="47"/>
      <c r="R3" s="47"/>
      <c r="S3" s="47"/>
      <c r="T3" s="47"/>
      <c r="U3" s="47"/>
      <c r="V3" s="47"/>
      <c r="W3" s="47"/>
      <c r="X3" s="47"/>
      <c r="Y3" s="47"/>
      <c r="Z3" s="47"/>
      <c r="AA3" s="47"/>
      <c r="AB3" s="47"/>
      <c r="AC3" s="47"/>
      <c r="AD3" s="47"/>
      <c r="AE3" s="47"/>
      <c r="AF3" s="47"/>
      <c r="AG3" s="47"/>
      <c r="AH3" s="47"/>
      <c r="AI3" s="47"/>
      <c r="AJ3" s="47"/>
      <c r="AK3" s="47"/>
      <c r="AL3" s="47"/>
      <c r="AM3" s="47"/>
      <c r="AP3" s="47"/>
      <c r="AQ3" s="47"/>
      <c r="AR3" s="47"/>
      <c r="AS3" s="47"/>
    </row>
    <row r="4" spans="2:45" s="133" customFormat="1" ht="64.05" hidden="1" customHeight="1" thickBot="1">
      <c r="B4" s="1214"/>
      <c r="C4" s="542" t="s">
        <v>46</v>
      </c>
      <c r="D4" s="547" t="e">
        <f>EOMONTH(#REF!,3)</f>
        <v>#REF!</v>
      </c>
      <c r="E4" s="214" t="e">
        <f t="shared" ref="E4:H4" si="2">EOMONTH(D4,3)</f>
        <v>#REF!</v>
      </c>
      <c r="F4" s="215" t="e">
        <f>EOMONTH(#REF!,3)</f>
        <v>#REF!</v>
      </c>
      <c r="G4" s="216" t="e">
        <f t="shared" si="2"/>
        <v>#REF!</v>
      </c>
      <c r="H4" s="538" t="e">
        <f t="shared" si="2"/>
        <v>#REF!</v>
      </c>
      <c r="I4" s="97" t="e">
        <f>EOMONTH(#REF!,3)</f>
        <v>#REF!</v>
      </c>
      <c r="J4" s="97" t="e">
        <f t="shared" ref="J4:K4" si="3">EOMONTH(H4,3)</f>
        <v>#REF!</v>
      </c>
      <c r="K4" s="97" t="e">
        <f t="shared" si="3"/>
        <v>#REF!</v>
      </c>
      <c r="L4" s="97" t="e">
        <f>EOMONTH(I4,3)</f>
        <v>#REF!</v>
      </c>
      <c r="M4" s="97" t="e">
        <f>EOMONTH(K4,3)</f>
        <v>#REF!</v>
      </c>
      <c r="N4" s="97" t="e">
        <f t="shared" ref="N4" si="4">EOMONTH(M4,3)</f>
        <v>#REF!</v>
      </c>
      <c r="O4" s="104" t="e">
        <f>EOMONTH(#REF!,3)</f>
        <v>#REF!</v>
      </c>
      <c r="AP4" s="47"/>
      <c r="AQ4" s="47"/>
      <c r="AR4" s="47"/>
      <c r="AS4" s="47"/>
    </row>
    <row r="5" spans="2:45" s="133" customFormat="1" ht="15" thickBot="1">
      <c r="B5" s="98" t="s">
        <v>112</v>
      </c>
      <c r="C5" s="543">
        <v>1</v>
      </c>
      <c r="D5" s="548" t="s">
        <v>205</v>
      </c>
      <c r="E5" s="530">
        <f>E30/C30</f>
        <v>0.34509983579442727</v>
      </c>
      <c r="F5" s="537">
        <f>F30/C30</f>
        <v>0.32680017667416594</v>
      </c>
      <c r="G5" s="565">
        <f>G30/C30</f>
        <v>0.32809998753140679</v>
      </c>
      <c r="H5" s="400" t="s">
        <v>205</v>
      </c>
      <c r="I5" s="101" t="s">
        <v>205</v>
      </c>
      <c r="J5" s="101" t="s">
        <v>205</v>
      </c>
      <c r="K5" s="101" t="s">
        <v>205</v>
      </c>
      <c r="L5" s="101" t="s">
        <v>205</v>
      </c>
      <c r="M5" s="101" t="s">
        <v>205</v>
      </c>
      <c r="N5" s="101" t="s">
        <v>205</v>
      </c>
      <c r="O5" s="118" t="s">
        <v>205</v>
      </c>
      <c r="AP5" s="47"/>
      <c r="AQ5" s="47"/>
      <c r="AR5" s="47"/>
      <c r="AS5" s="47"/>
    </row>
    <row r="6" spans="2:45" s="133" customFormat="1">
      <c r="B6" s="273" t="str">
        <f>'Site 5 - Financial'!G4</f>
        <v>Residential Condominium Hard Costs for Construction</v>
      </c>
      <c r="C6" s="544">
        <f>'Site 5 - Financial'!I4</f>
        <v>56100000</v>
      </c>
      <c r="D6" s="549" t="s">
        <v>205</v>
      </c>
      <c r="E6" s="528">
        <v>0</v>
      </c>
      <c r="F6" s="529">
        <f>$C6/2</f>
        <v>28050000</v>
      </c>
      <c r="G6" s="564">
        <f>$C6/2</f>
        <v>28050000</v>
      </c>
      <c r="H6" s="401" t="s">
        <v>205</v>
      </c>
      <c r="I6" s="268" t="s">
        <v>205</v>
      </c>
      <c r="J6" s="268" t="s">
        <v>205</v>
      </c>
      <c r="K6" s="268" t="s">
        <v>205</v>
      </c>
      <c r="L6" s="268" t="s">
        <v>205</v>
      </c>
      <c r="M6" s="268" t="s">
        <v>205</v>
      </c>
      <c r="N6" s="268" t="s">
        <v>205</v>
      </c>
      <c r="O6" s="269" t="s">
        <v>205</v>
      </c>
      <c r="P6" s="134"/>
      <c r="AP6" s="47"/>
      <c r="AQ6" s="47"/>
      <c r="AR6" s="47"/>
      <c r="AS6" s="47"/>
    </row>
    <row r="7" spans="2:45" s="133" customFormat="1">
      <c r="B7" s="273" t="str">
        <f>'Site 5 - Financial'!G5</f>
        <v>Office Shell &amp; Core Hard Costs for Construction</v>
      </c>
      <c r="C7" s="544">
        <f>'Site 5 - Financial'!I5</f>
        <v>0</v>
      </c>
      <c r="D7" s="549" t="s">
        <v>205</v>
      </c>
      <c r="E7" s="217">
        <v>0</v>
      </c>
      <c r="F7" s="218">
        <f t="shared" ref="F7:G10" si="5">$C7/2</f>
        <v>0</v>
      </c>
      <c r="G7" s="219">
        <f t="shared" si="5"/>
        <v>0</v>
      </c>
      <c r="H7" s="401" t="s">
        <v>205</v>
      </c>
      <c r="I7" s="268" t="s">
        <v>205</v>
      </c>
      <c r="J7" s="268" t="s">
        <v>205</v>
      </c>
      <c r="K7" s="268" t="s">
        <v>205</v>
      </c>
      <c r="L7" s="268" t="s">
        <v>205</v>
      </c>
      <c r="M7" s="268" t="s">
        <v>205</v>
      </c>
      <c r="N7" s="268" t="s">
        <v>205</v>
      </c>
      <c r="O7" s="269" t="s">
        <v>205</v>
      </c>
      <c r="P7" s="134"/>
      <c r="AP7" s="47"/>
      <c r="AQ7" s="47"/>
      <c r="AR7" s="47"/>
      <c r="AS7" s="47"/>
    </row>
    <row r="8" spans="2:45" s="133" customFormat="1">
      <c r="B8" s="273" t="str">
        <f>'Site 5 - Financial'!G6</f>
        <v>Retail Hard Costs for Construction</v>
      </c>
      <c r="C8" s="544">
        <f>'Site 5 - Financial'!I6</f>
        <v>24329550</v>
      </c>
      <c r="D8" s="549" t="s">
        <v>205</v>
      </c>
      <c r="E8" s="217">
        <v>0</v>
      </c>
      <c r="F8" s="218">
        <f t="shared" si="5"/>
        <v>12164775</v>
      </c>
      <c r="G8" s="219">
        <f t="shared" si="5"/>
        <v>12164775</v>
      </c>
      <c r="H8" s="401" t="s">
        <v>205</v>
      </c>
      <c r="I8" s="268" t="s">
        <v>205</v>
      </c>
      <c r="J8" s="268" t="s">
        <v>205</v>
      </c>
      <c r="K8" s="268" t="s">
        <v>205</v>
      </c>
      <c r="L8" s="268" t="s">
        <v>205</v>
      </c>
      <c r="M8" s="268" t="s">
        <v>205</v>
      </c>
      <c r="N8" s="268" t="s">
        <v>205</v>
      </c>
      <c r="O8" s="269" t="s">
        <v>205</v>
      </c>
      <c r="P8" s="134"/>
      <c r="AP8" s="47"/>
      <c r="AQ8" s="47"/>
      <c r="AR8" s="47"/>
      <c r="AS8" s="47"/>
    </row>
    <row r="9" spans="2:45" s="133" customFormat="1">
      <c r="B9" s="273" t="str">
        <f>'Site 5 - Financial'!G7</f>
        <v>Parking Stalls (0%)</v>
      </c>
      <c r="C9" s="544">
        <f>'Site 5 - Financial'!I7</f>
        <v>0</v>
      </c>
      <c r="D9" s="549" t="s">
        <v>205</v>
      </c>
      <c r="E9" s="217">
        <v>0</v>
      </c>
      <c r="F9" s="218">
        <f t="shared" si="5"/>
        <v>0</v>
      </c>
      <c r="G9" s="219">
        <f t="shared" si="5"/>
        <v>0</v>
      </c>
      <c r="H9" s="401" t="s">
        <v>205</v>
      </c>
      <c r="I9" s="268" t="s">
        <v>205</v>
      </c>
      <c r="J9" s="268" t="s">
        <v>205</v>
      </c>
      <c r="K9" s="268" t="s">
        <v>205</v>
      </c>
      <c r="L9" s="268" t="s">
        <v>205</v>
      </c>
      <c r="M9" s="268" t="s">
        <v>205</v>
      </c>
      <c r="N9" s="268" t="s">
        <v>205</v>
      </c>
      <c r="O9" s="269" t="s">
        <v>205</v>
      </c>
      <c r="P9" s="134"/>
      <c r="AP9" s="47"/>
      <c r="AQ9" s="47"/>
      <c r="AR9" s="47"/>
      <c r="AS9" s="47"/>
    </row>
    <row r="10" spans="2:45" s="133" customFormat="1">
      <c r="B10" s="273" t="str">
        <f>'Site 5 - Financial'!G8</f>
        <v>Hard Cost Contingency</v>
      </c>
      <c r="C10" s="544">
        <f>'Site 5 - Financial'!I8</f>
        <v>8042955</v>
      </c>
      <c r="D10" s="240" t="s">
        <v>205</v>
      </c>
      <c r="E10" s="217">
        <v>0</v>
      </c>
      <c r="F10" s="218">
        <f t="shared" si="5"/>
        <v>4021477.5</v>
      </c>
      <c r="G10" s="219">
        <f t="shared" si="5"/>
        <v>4021477.5</v>
      </c>
      <c r="H10" s="402" t="s">
        <v>205</v>
      </c>
      <c r="I10" s="271" t="s">
        <v>205</v>
      </c>
      <c r="J10" s="271" t="s">
        <v>205</v>
      </c>
      <c r="K10" s="271" t="s">
        <v>205</v>
      </c>
      <c r="L10" s="271" t="s">
        <v>205</v>
      </c>
      <c r="M10" s="271" t="s">
        <v>205</v>
      </c>
      <c r="N10" s="271" t="s">
        <v>205</v>
      </c>
      <c r="O10" s="272" t="s">
        <v>205</v>
      </c>
      <c r="P10" s="134"/>
      <c r="AP10" s="47"/>
      <c r="AQ10" s="47"/>
      <c r="AR10" s="47"/>
      <c r="AS10" s="47"/>
    </row>
    <row r="11" spans="2:45" s="133" customFormat="1">
      <c r="B11" s="273" t="str">
        <f>'Site 5 - Financial'!G9</f>
        <v>Demolition</v>
      </c>
      <c r="C11" s="544">
        <f>'Site 5 - Financial'!I9</f>
        <v>0</v>
      </c>
      <c r="D11" s="240" t="s">
        <v>205</v>
      </c>
      <c r="E11" s="217">
        <v>0</v>
      </c>
      <c r="F11" s="218">
        <v>0</v>
      </c>
      <c r="G11" s="219">
        <v>0</v>
      </c>
      <c r="H11" s="402" t="s">
        <v>205</v>
      </c>
      <c r="I11" s="271" t="s">
        <v>205</v>
      </c>
      <c r="J11" s="271" t="s">
        <v>205</v>
      </c>
      <c r="K11" s="271" t="s">
        <v>205</v>
      </c>
      <c r="L11" s="271" t="s">
        <v>205</v>
      </c>
      <c r="M11" s="271" t="s">
        <v>205</v>
      </c>
      <c r="N11" s="271" t="s">
        <v>205</v>
      </c>
      <c r="O11" s="272" t="s">
        <v>205</v>
      </c>
      <c r="P11" s="134"/>
      <c r="AP11" s="47"/>
      <c r="AQ11" s="47"/>
      <c r="AR11" s="47"/>
      <c r="AS11" s="47"/>
    </row>
    <row r="12" spans="2:45" s="133" customFormat="1" ht="19.05" customHeight="1">
      <c r="B12" s="273" t="str">
        <f>'Site 5 - Financial'!G10</f>
        <v>Land</v>
      </c>
      <c r="C12" s="544">
        <f>'Site 5 - Financial'!I10</f>
        <v>84009297.52066116</v>
      </c>
      <c r="D12" s="240" t="s">
        <v>205</v>
      </c>
      <c r="E12" s="217">
        <f>C12</f>
        <v>84009297.52066116</v>
      </c>
      <c r="F12" s="218">
        <v>0</v>
      </c>
      <c r="G12" s="219">
        <v>0</v>
      </c>
      <c r="H12" s="402" t="s">
        <v>205</v>
      </c>
      <c r="I12" s="271" t="s">
        <v>205</v>
      </c>
      <c r="J12" s="271" t="s">
        <v>205</v>
      </c>
      <c r="K12" s="271" t="s">
        <v>205</v>
      </c>
      <c r="L12" s="271" t="s">
        <v>205</v>
      </c>
      <c r="M12" s="271" t="s">
        <v>205</v>
      </c>
      <c r="N12" s="268" t="s">
        <v>205</v>
      </c>
      <c r="O12" s="272" t="s">
        <v>205</v>
      </c>
      <c r="P12" s="134"/>
      <c r="AP12" s="47"/>
      <c r="AQ12" s="47"/>
      <c r="AR12" s="47"/>
      <c r="AS12" s="47"/>
    </row>
    <row r="13" spans="2:45" s="133" customFormat="1">
      <c r="B13" s="273" t="str">
        <f>'Site 5 - Financial'!G11</f>
        <v>Municipal Fees and Allowances</v>
      </c>
      <c r="C13" s="544">
        <f>'Site 5 - Financial'!I11</f>
        <v>365000</v>
      </c>
      <c r="D13" s="240" t="s">
        <v>205</v>
      </c>
      <c r="E13" s="217">
        <f>C13</f>
        <v>365000</v>
      </c>
      <c r="F13" s="218">
        <v>0</v>
      </c>
      <c r="G13" s="219">
        <v>0</v>
      </c>
      <c r="H13" s="402" t="s">
        <v>205</v>
      </c>
      <c r="I13" s="271" t="s">
        <v>205</v>
      </c>
      <c r="J13" s="271" t="s">
        <v>205</v>
      </c>
      <c r="K13" s="271" t="s">
        <v>205</v>
      </c>
      <c r="L13" s="271" t="s">
        <v>205</v>
      </c>
      <c r="M13" s="271" t="s">
        <v>205</v>
      </c>
      <c r="N13" s="271" t="s">
        <v>205</v>
      </c>
      <c r="O13" s="272" t="s">
        <v>205</v>
      </c>
      <c r="P13" s="134"/>
      <c r="AP13" s="47"/>
      <c r="AQ13" s="47"/>
      <c r="AR13" s="47"/>
      <c r="AS13" s="47"/>
    </row>
    <row r="14" spans="2:45" s="133" customFormat="1">
      <c r="B14" s="273" t="str">
        <f>'Site 5 - Financial'!G12</f>
        <v>Infrastructure Allocation</v>
      </c>
      <c r="C14" s="544">
        <f>'Site 5 - Financial'!I12</f>
        <v>1337473.2880755607</v>
      </c>
      <c r="D14" s="549" t="s">
        <v>205</v>
      </c>
      <c r="E14" s="217">
        <f>$C14/3</f>
        <v>445824.42935852025</v>
      </c>
      <c r="F14" s="218">
        <f t="shared" ref="F14:G14" si="6">$C14/3</f>
        <v>445824.42935852025</v>
      </c>
      <c r="G14" s="219">
        <f t="shared" si="6"/>
        <v>445824.42935852025</v>
      </c>
      <c r="H14" s="401" t="s">
        <v>205</v>
      </c>
      <c r="I14" s="268" t="s">
        <v>205</v>
      </c>
      <c r="J14" s="268" t="s">
        <v>205</v>
      </c>
      <c r="K14" s="268" t="s">
        <v>205</v>
      </c>
      <c r="L14" s="268" t="s">
        <v>205</v>
      </c>
      <c r="M14" s="268" t="s">
        <v>205</v>
      </c>
      <c r="N14" s="268" t="s">
        <v>205</v>
      </c>
      <c r="O14" s="269" t="s">
        <v>205</v>
      </c>
      <c r="P14" s="134"/>
      <c r="AP14" s="47"/>
      <c r="AQ14" s="47"/>
      <c r="AR14" s="47"/>
      <c r="AS14" s="47"/>
    </row>
    <row r="15" spans="2:45" s="133" customFormat="1">
      <c r="B15" s="273" t="str">
        <f>'Site 5 - Financial'!G13</f>
        <v>Legal</v>
      </c>
      <c r="C15" s="544">
        <f>'Site 5 - Financial'!I13</f>
        <v>400000</v>
      </c>
      <c r="D15" s="549" t="s">
        <v>205</v>
      </c>
      <c r="E15" s="217">
        <f>C15/2</f>
        <v>200000</v>
      </c>
      <c r="F15" s="218">
        <v>0</v>
      </c>
      <c r="G15" s="219">
        <f>C15/2</f>
        <v>200000</v>
      </c>
      <c r="H15" s="401" t="s">
        <v>205</v>
      </c>
      <c r="I15" s="268" t="s">
        <v>205</v>
      </c>
      <c r="J15" s="268" t="s">
        <v>205</v>
      </c>
      <c r="K15" s="268" t="s">
        <v>205</v>
      </c>
      <c r="L15" s="268" t="s">
        <v>205</v>
      </c>
      <c r="M15" s="268" t="s">
        <v>205</v>
      </c>
      <c r="N15" s="268" t="s">
        <v>205</v>
      </c>
      <c r="O15" s="269" t="s">
        <v>205</v>
      </c>
      <c r="P15" s="134"/>
      <c r="AP15" s="47"/>
      <c r="AQ15" s="47"/>
      <c r="AR15" s="47"/>
      <c r="AS15" s="47"/>
    </row>
    <row r="16" spans="2:45" s="133" customFormat="1">
      <c r="B16" s="273" t="str">
        <f>'Site 5 - Financial'!G14</f>
        <v>Land Closing Costs/Commissions</v>
      </c>
      <c r="C16" s="544">
        <f>'Site 5 - Financial'!I14</f>
        <v>1680185.9504132234</v>
      </c>
      <c r="D16" s="240" t="s">
        <v>205</v>
      </c>
      <c r="E16" s="217">
        <f>C16</f>
        <v>1680185.9504132234</v>
      </c>
      <c r="F16" s="218">
        <v>0</v>
      </c>
      <c r="G16" s="219">
        <v>0</v>
      </c>
      <c r="H16" s="402" t="s">
        <v>205</v>
      </c>
      <c r="I16" s="271" t="s">
        <v>205</v>
      </c>
      <c r="J16" s="271" t="s">
        <v>205</v>
      </c>
      <c r="K16" s="271" t="s">
        <v>205</v>
      </c>
      <c r="L16" s="271" t="s">
        <v>205</v>
      </c>
      <c r="M16" s="271" t="s">
        <v>205</v>
      </c>
      <c r="N16" s="271" t="s">
        <v>205</v>
      </c>
      <c r="O16" s="272" t="s">
        <v>205</v>
      </c>
      <c r="P16" s="134"/>
      <c r="AP16" s="47"/>
      <c r="AQ16" s="47"/>
      <c r="AR16" s="47"/>
      <c r="AS16" s="47"/>
    </row>
    <row r="17" spans="2:45" s="133" customFormat="1">
      <c r="B17" s="273" t="str">
        <f>'Site 5 - Financial'!G15</f>
        <v xml:space="preserve">Design </v>
      </c>
      <c r="C17" s="544">
        <f>'Site 5 - Financial'!I15</f>
        <v>3217182</v>
      </c>
      <c r="D17" s="240" t="s">
        <v>205</v>
      </c>
      <c r="E17" s="217">
        <f>C17*0.75</f>
        <v>2412886.5</v>
      </c>
      <c r="F17" s="218">
        <f>C17*0.125</f>
        <v>402147.75</v>
      </c>
      <c r="G17" s="219">
        <f>F17</f>
        <v>402147.75</v>
      </c>
      <c r="H17" s="402" t="s">
        <v>205</v>
      </c>
      <c r="I17" s="271" t="s">
        <v>205</v>
      </c>
      <c r="J17" s="271" t="s">
        <v>205</v>
      </c>
      <c r="K17" s="271" t="s">
        <v>205</v>
      </c>
      <c r="L17" s="271" t="s">
        <v>205</v>
      </c>
      <c r="M17" s="271" t="s">
        <v>205</v>
      </c>
      <c r="N17" s="271" t="s">
        <v>205</v>
      </c>
      <c r="O17" s="272" t="s">
        <v>205</v>
      </c>
      <c r="P17" s="134"/>
      <c r="AP17" s="47"/>
      <c r="AQ17" s="47"/>
      <c r="AR17" s="47"/>
      <c r="AS17" s="47"/>
    </row>
    <row r="18" spans="2:45" s="133" customFormat="1" ht="19.05" customHeight="1">
      <c r="B18" s="273" t="str">
        <f>'Site 5 - Financial'!G16</f>
        <v>Developer Fee</v>
      </c>
      <c r="C18" s="544">
        <f>'Site 5 - Financial'!I16</f>
        <v>5384449.3127744989</v>
      </c>
      <c r="D18" s="551" t="s">
        <v>205</v>
      </c>
      <c r="E18" s="217">
        <f>$C18/3</f>
        <v>1794816.4375914996</v>
      </c>
      <c r="F18" s="218">
        <f t="shared" ref="F18:G21" si="7">$C18/3</f>
        <v>1794816.4375914996</v>
      </c>
      <c r="G18" s="219">
        <f t="shared" si="7"/>
        <v>1794816.4375914996</v>
      </c>
      <c r="H18" s="402" t="s">
        <v>205</v>
      </c>
      <c r="I18" s="271" t="s">
        <v>205</v>
      </c>
      <c r="J18" s="271" t="s">
        <v>205</v>
      </c>
      <c r="K18" s="271" t="s">
        <v>205</v>
      </c>
      <c r="L18" s="271" t="s">
        <v>205</v>
      </c>
      <c r="M18" s="271" t="s">
        <v>205</v>
      </c>
      <c r="N18" s="268" t="s">
        <v>205</v>
      </c>
      <c r="O18" s="272" t="s">
        <v>205</v>
      </c>
      <c r="P18" s="134"/>
      <c r="AP18" s="47"/>
      <c r="AQ18" s="47"/>
      <c r="AR18" s="47"/>
      <c r="AS18" s="47"/>
    </row>
    <row r="19" spans="2:45" s="133" customFormat="1">
      <c r="B19" s="273" t="str">
        <f>'Site 5 - Financial'!G17</f>
        <v>Construction Management Fee</v>
      </c>
      <c r="C19" s="544">
        <f>'Site 5 - Financial'!I17</f>
        <v>1608591</v>
      </c>
      <c r="D19" s="240" t="s">
        <v>205</v>
      </c>
      <c r="E19" s="217">
        <f>$C19/3</f>
        <v>536197</v>
      </c>
      <c r="F19" s="218">
        <f t="shared" si="7"/>
        <v>536197</v>
      </c>
      <c r="G19" s="219">
        <f t="shared" si="7"/>
        <v>536197</v>
      </c>
      <c r="H19" s="402" t="s">
        <v>205</v>
      </c>
      <c r="I19" s="271" t="s">
        <v>205</v>
      </c>
      <c r="J19" s="271" t="s">
        <v>205</v>
      </c>
      <c r="K19" s="271" t="s">
        <v>205</v>
      </c>
      <c r="L19" s="271" t="s">
        <v>205</v>
      </c>
      <c r="M19" s="271" t="s">
        <v>205</v>
      </c>
      <c r="N19" s="271" t="s">
        <v>205</v>
      </c>
      <c r="O19" s="272" t="s">
        <v>205</v>
      </c>
      <c r="P19" s="134"/>
      <c r="AP19" s="47"/>
      <c r="AQ19" s="47"/>
      <c r="AR19" s="47"/>
      <c r="AS19" s="47"/>
    </row>
    <row r="20" spans="2:45" s="133" customFormat="1">
      <c r="B20" s="273" t="str">
        <f>'Site 5 - Financial'!G18</f>
        <v>Taxes</v>
      </c>
      <c r="C20" s="544">
        <f>'Site 5 - Financial'!I18</f>
        <v>741751.69152892556</v>
      </c>
      <c r="D20" s="549" t="s">
        <v>205</v>
      </c>
      <c r="E20" s="217">
        <f>C20/3</f>
        <v>247250.56384297519</v>
      </c>
      <c r="F20" s="218">
        <f>E20</f>
        <v>247250.56384297519</v>
      </c>
      <c r="G20" s="219">
        <f>F20</f>
        <v>247250.56384297519</v>
      </c>
      <c r="H20" s="401" t="s">
        <v>205</v>
      </c>
      <c r="I20" s="268" t="s">
        <v>205</v>
      </c>
      <c r="J20" s="268" t="s">
        <v>205</v>
      </c>
      <c r="K20" s="268" t="s">
        <v>205</v>
      </c>
      <c r="L20" s="268" t="s">
        <v>205</v>
      </c>
      <c r="M20" s="268" t="s">
        <v>205</v>
      </c>
      <c r="N20" s="268" t="s">
        <v>205</v>
      </c>
      <c r="O20" s="269" t="s">
        <v>205</v>
      </c>
      <c r="P20" s="134"/>
      <c r="AP20" s="47"/>
      <c r="AQ20" s="47"/>
      <c r="AR20" s="47"/>
      <c r="AS20" s="47"/>
    </row>
    <row r="21" spans="2:45" s="133" customFormat="1">
      <c r="B21" s="273" t="str">
        <f>'Site 5 - Financial'!G19</f>
        <v>Insurance</v>
      </c>
      <c r="C21" s="544">
        <f>'Site 5 - Financial'!I19</f>
        <v>1800000</v>
      </c>
      <c r="D21" s="549" t="s">
        <v>205</v>
      </c>
      <c r="E21" s="217">
        <f>$C21/3</f>
        <v>600000</v>
      </c>
      <c r="F21" s="218">
        <f t="shared" si="7"/>
        <v>600000</v>
      </c>
      <c r="G21" s="219">
        <f t="shared" si="7"/>
        <v>600000</v>
      </c>
      <c r="H21" s="401" t="s">
        <v>205</v>
      </c>
      <c r="I21" s="268" t="s">
        <v>205</v>
      </c>
      <c r="J21" s="268" t="s">
        <v>205</v>
      </c>
      <c r="K21" s="268" t="s">
        <v>205</v>
      </c>
      <c r="L21" s="268" t="s">
        <v>205</v>
      </c>
      <c r="M21" s="268" t="s">
        <v>205</v>
      </c>
      <c r="N21" s="268" t="s">
        <v>205</v>
      </c>
      <c r="O21" s="269" t="s">
        <v>205</v>
      </c>
      <c r="P21" s="134"/>
      <c r="AP21" s="47"/>
      <c r="AQ21" s="47"/>
      <c r="AR21" s="47"/>
      <c r="AS21" s="47"/>
    </row>
    <row r="22" spans="2:45" s="133" customFormat="1">
      <c r="B22" s="273" t="str">
        <f>'Site 5 - Financial'!G20</f>
        <v>Marketing, FFE and Preleasing</v>
      </c>
      <c r="C22" s="544">
        <f>'Site 5 - Financial'!I20</f>
        <v>400000</v>
      </c>
      <c r="D22" s="549" t="s">
        <v>205</v>
      </c>
      <c r="E22" s="217">
        <v>0</v>
      </c>
      <c r="F22" s="218">
        <f>C22/2</f>
        <v>200000</v>
      </c>
      <c r="G22" s="219">
        <f>F22</f>
        <v>200000</v>
      </c>
      <c r="H22" s="401" t="s">
        <v>205</v>
      </c>
      <c r="I22" s="268" t="s">
        <v>205</v>
      </c>
      <c r="J22" s="268" t="s">
        <v>205</v>
      </c>
      <c r="K22" s="268" t="s">
        <v>205</v>
      </c>
      <c r="L22" s="268" t="s">
        <v>205</v>
      </c>
      <c r="M22" s="268" t="s">
        <v>205</v>
      </c>
      <c r="N22" s="268" t="s">
        <v>205</v>
      </c>
      <c r="O22" s="269" t="s">
        <v>205</v>
      </c>
      <c r="P22" s="134"/>
      <c r="AP22" s="47"/>
      <c r="AQ22" s="47"/>
      <c r="AR22" s="47"/>
      <c r="AS22" s="47"/>
    </row>
    <row r="23" spans="2:45" s="133" customFormat="1">
      <c r="B23" s="273" t="str">
        <f>'Site 5 - Financial'!G21</f>
        <v>Operating Deficit</v>
      </c>
      <c r="C23" s="544">
        <f>'Site 5 - Financial'!I21</f>
        <v>2913816.3250000002</v>
      </c>
      <c r="D23" s="549" t="s">
        <v>205</v>
      </c>
      <c r="E23" s="217">
        <f>-(E38+E47+E56)</f>
        <v>0</v>
      </c>
      <c r="F23" s="218">
        <f t="shared" ref="F23:G23" si="8">-(F38+F47+F56)</f>
        <v>1435377.5</v>
      </c>
      <c r="G23" s="219">
        <f t="shared" si="8"/>
        <v>1478438.825</v>
      </c>
      <c r="H23" s="401" t="s">
        <v>205</v>
      </c>
      <c r="I23" s="268" t="s">
        <v>205</v>
      </c>
      <c r="J23" s="268" t="s">
        <v>205</v>
      </c>
      <c r="K23" s="268" t="s">
        <v>205</v>
      </c>
      <c r="L23" s="268" t="s">
        <v>205</v>
      </c>
      <c r="M23" s="268" t="s">
        <v>205</v>
      </c>
      <c r="N23" s="268" t="s">
        <v>205</v>
      </c>
      <c r="O23" s="269" t="s">
        <v>205</v>
      </c>
      <c r="P23" s="134"/>
      <c r="AP23" s="47"/>
      <c r="AQ23" s="47"/>
      <c r="AR23" s="47"/>
      <c r="AS23" s="47"/>
    </row>
    <row r="24" spans="2:45" s="133" customFormat="1">
      <c r="B24" s="273" t="str">
        <f>'Site 5 - Financial'!G22</f>
        <v>Commercial Interior Fitout Cost</v>
      </c>
      <c r="C24" s="544">
        <f>'Site 5 - Financial'!I22</f>
        <v>13357400</v>
      </c>
      <c r="D24" s="549" t="s">
        <v>205</v>
      </c>
      <c r="E24" s="217">
        <v>0</v>
      </c>
      <c r="F24" s="218">
        <f>C24/2</f>
        <v>6678700</v>
      </c>
      <c r="G24" s="219">
        <f>F24</f>
        <v>6678700</v>
      </c>
      <c r="H24" s="401" t="s">
        <v>205</v>
      </c>
      <c r="I24" s="268" t="s">
        <v>205</v>
      </c>
      <c r="J24" s="268" t="s">
        <v>205</v>
      </c>
      <c r="K24" s="268" t="s">
        <v>205</v>
      </c>
      <c r="L24" s="268" t="s">
        <v>205</v>
      </c>
      <c r="M24" s="268" t="s">
        <v>205</v>
      </c>
      <c r="N24" s="268" t="s">
        <v>205</v>
      </c>
      <c r="O24" s="269" t="s">
        <v>205</v>
      </c>
      <c r="P24" s="134"/>
      <c r="AP24" s="47"/>
      <c r="AQ24" s="47"/>
      <c r="AR24" s="47"/>
      <c r="AS24" s="47"/>
    </row>
    <row r="25" spans="2:45" s="133" customFormat="1">
      <c r="B25" s="273" t="str">
        <f>'Site 5 - Financial'!G23</f>
        <v>Commercial Brokerage Commission</v>
      </c>
      <c r="C25" s="544">
        <f>'Site 5 - Financial'!I23</f>
        <v>1001805</v>
      </c>
      <c r="D25" s="549" t="s">
        <v>205</v>
      </c>
      <c r="E25" s="217">
        <v>0</v>
      </c>
      <c r="F25" s="218">
        <f>C25/2</f>
        <v>500902.5</v>
      </c>
      <c r="G25" s="219">
        <f>F25</f>
        <v>500902.5</v>
      </c>
      <c r="H25" s="401" t="s">
        <v>205</v>
      </c>
      <c r="I25" s="268" t="s">
        <v>205</v>
      </c>
      <c r="J25" s="268" t="s">
        <v>205</v>
      </c>
      <c r="K25" s="268" t="s">
        <v>205</v>
      </c>
      <c r="L25" s="268" t="s">
        <v>205</v>
      </c>
      <c r="M25" s="268" t="s">
        <v>205</v>
      </c>
      <c r="N25" s="268" t="s">
        <v>205</v>
      </c>
      <c r="O25" s="269" t="s">
        <v>205</v>
      </c>
      <c r="P25" s="134"/>
      <c r="AP25" s="47"/>
      <c r="AQ25" s="47"/>
      <c r="AR25" s="47"/>
      <c r="AS25" s="47"/>
    </row>
    <row r="26" spans="2:45" s="133" customFormat="1">
      <c r="B26" s="273" t="str">
        <f>'Site 5 - Financial'!G24</f>
        <v>Construction Loan Origination</v>
      </c>
      <c r="C26" s="544">
        <f>'Site 5 - Financial'!I24</f>
        <v>1300000</v>
      </c>
      <c r="D26" s="549" t="s">
        <v>205</v>
      </c>
      <c r="E26" s="217">
        <f>C26</f>
        <v>1300000</v>
      </c>
      <c r="F26" s="218">
        <v>0</v>
      </c>
      <c r="G26" s="219">
        <v>0</v>
      </c>
      <c r="H26" s="401" t="s">
        <v>205</v>
      </c>
      <c r="I26" s="268" t="s">
        <v>205</v>
      </c>
      <c r="J26" s="268" t="s">
        <v>205</v>
      </c>
      <c r="K26" s="268" t="s">
        <v>205</v>
      </c>
      <c r="L26" s="268" t="s">
        <v>205</v>
      </c>
      <c r="M26" s="268" t="s">
        <v>205</v>
      </c>
      <c r="N26" s="268" t="s">
        <v>205</v>
      </c>
      <c r="O26" s="269" t="s">
        <v>205</v>
      </c>
      <c r="P26" s="134"/>
      <c r="AP26" s="47"/>
      <c r="AQ26" s="47"/>
      <c r="AR26" s="47"/>
      <c r="AS26" s="47"/>
    </row>
    <row r="27" spans="2:45" s="133" customFormat="1">
      <c r="B27" s="273" t="str">
        <f>'Site 5 - Financial'!G25</f>
        <v>Construction Interest</v>
      </c>
      <c r="C27" s="544">
        <f>'Site 5 - Financial'!I25</f>
        <v>9100000</v>
      </c>
      <c r="D27" s="549" t="s">
        <v>205</v>
      </c>
      <c r="E27" s="217">
        <f>C27/3</f>
        <v>3033333.3333333335</v>
      </c>
      <c r="F27" s="218">
        <f>E27</f>
        <v>3033333.3333333335</v>
      </c>
      <c r="G27" s="219">
        <f>F27</f>
        <v>3033333.3333333335</v>
      </c>
      <c r="H27" s="401" t="s">
        <v>205</v>
      </c>
      <c r="I27" s="268" t="s">
        <v>205</v>
      </c>
      <c r="J27" s="268" t="s">
        <v>205</v>
      </c>
      <c r="K27" s="268" t="s">
        <v>205</v>
      </c>
      <c r="L27" s="268" t="s">
        <v>205</v>
      </c>
      <c r="M27" s="268" t="s">
        <v>205</v>
      </c>
      <c r="N27" s="268" t="s">
        <v>205</v>
      </c>
      <c r="O27" s="269" t="s">
        <v>205</v>
      </c>
      <c r="P27" s="134"/>
      <c r="AP27" s="47"/>
      <c r="AQ27" s="47"/>
      <c r="AR27" s="47"/>
      <c r="AS27" s="47"/>
    </row>
    <row r="28" spans="2:45" s="133" customFormat="1">
      <c r="B28" s="829" t="str">
        <f>'Site 5 - Financial'!G26</f>
        <v>Additional Contingency</v>
      </c>
      <c r="C28" s="544">
        <f>'Site 5 - Financial'!I26</f>
        <v>3000000</v>
      </c>
      <c r="D28" s="549" t="s">
        <v>205</v>
      </c>
      <c r="E28" s="217">
        <f>C28/3</f>
        <v>1000000</v>
      </c>
      <c r="F28" s="218">
        <f>E28</f>
        <v>1000000</v>
      </c>
      <c r="G28" s="219">
        <f>F28</f>
        <v>1000000</v>
      </c>
      <c r="H28" s="401" t="s">
        <v>205</v>
      </c>
      <c r="I28" s="268" t="s">
        <v>205</v>
      </c>
      <c r="J28" s="268" t="s">
        <v>205</v>
      </c>
      <c r="K28" s="268" t="s">
        <v>205</v>
      </c>
      <c r="L28" s="268" t="s">
        <v>205</v>
      </c>
      <c r="M28" s="268" t="s">
        <v>205</v>
      </c>
      <c r="N28" s="268" t="s">
        <v>205</v>
      </c>
      <c r="O28" s="269" t="s">
        <v>205</v>
      </c>
      <c r="P28" s="134"/>
      <c r="AP28" s="47"/>
      <c r="AQ28" s="47"/>
      <c r="AR28" s="47"/>
      <c r="AS28" s="47"/>
    </row>
    <row r="29" spans="2:45" s="133" customFormat="1" ht="15" thickBot="1">
      <c r="B29" s="209" t="s">
        <v>619</v>
      </c>
      <c r="C29" s="823">
        <f>-'Site 5 - Financial'!I28</f>
        <v>-33092000</v>
      </c>
      <c r="D29" s="824" t="s">
        <v>205</v>
      </c>
      <c r="E29" s="825">
        <f>C29</f>
        <v>-33092000</v>
      </c>
      <c r="F29" s="826">
        <v>0</v>
      </c>
      <c r="G29" s="827">
        <v>0</v>
      </c>
      <c r="H29" s="828" t="s">
        <v>205</v>
      </c>
      <c r="I29" s="248" t="s">
        <v>205</v>
      </c>
      <c r="J29" s="248" t="s">
        <v>205</v>
      </c>
      <c r="K29" s="248" t="s">
        <v>205</v>
      </c>
      <c r="L29" s="248" t="s">
        <v>205</v>
      </c>
      <c r="M29" s="248" t="s">
        <v>205</v>
      </c>
      <c r="N29" s="248" t="s">
        <v>205</v>
      </c>
      <c r="O29" s="249" t="s">
        <v>205</v>
      </c>
      <c r="P29" s="134"/>
      <c r="AP29" s="47"/>
      <c r="AQ29" s="47"/>
      <c r="AR29" s="47"/>
      <c r="AS29" s="47"/>
    </row>
    <row r="30" spans="2:45" s="133" customFormat="1" ht="15" thickBot="1">
      <c r="B30" s="98" t="s">
        <v>39</v>
      </c>
      <c r="C30" s="545">
        <f t="shared" ref="C30:H30" si="9">SUM(C6:C29)</f>
        <v>186997457.08845338</v>
      </c>
      <c r="D30" s="539">
        <f t="shared" si="9"/>
        <v>0</v>
      </c>
      <c r="E30" s="255">
        <f t="shared" si="9"/>
        <v>64532791.735200718</v>
      </c>
      <c r="F30" s="256">
        <f t="shared" si="9"/>
        <v>61110802.014126331</v>
      </c>
      <c r="G30" s="257">
        <f t="shared" si="9"/>
        <v>61353863.339126334</v>
      </c>
      <c r="H30" s="255">
        <f t="shared" si="9"/>
        <v>0</v>
      </c>
      <c r="I30" s="256">
        <f t="shared" ref="I30:O30" si="10">SUM(I6:I29)</f>
        <v>0</v>
      </c>
      <c r="J30" s="256">
        <f t="shared" si="10"/>
        <v>0</v>
      </c>
      <c r="K30" s="256">
        <f t="shared" si="10"/>
        <v>0</v>
      </c>
      <c r="L30" s="256">
        <f t="shared" si="10"/>
        <v>0</v>
      </c>
      <c r="M30" s="256">
        <f t="shared" si="10"/>
        <v>0</v>
      </c>
      <c r="N30" s="256">
        <f t="shared" si="10"/>
        <v>0</v>
      </c>
      <c r="O30" s="257">
        <f t="shared" si="10"/>
        <v>0</v>
      </c>
      <c r="AP30" s="47"/>
      <c r="AQ30" s="47"/>
      <c r="AR30" s="47"/>
      <c r="AS30" s="47"/>
    </row>
    <row r="31" spans="2:45" s="133" customFormat="1">
      <c r="B31" s="193" t="s">
        <v>607</v>
      </c>
      <c r="C31" s="230"/>
      <c r="D31" s="404"/>
      <c r="E31" s="241"/>
      <c r="F31" s="241"/>
      <c r="G31" s="242"/>
      <c r="H31" s="250"/>
      <c r="I31" s="241"/>
      <c r="J31" s="241"/>
      <c r="K31" s="241"/>
      <c r="L31" s="241"/>
      <c r="M31" s="241"/>
      <c r="N31" s="241"/>
      <c r="O31" s="242"/>
      <c r="AP31" s="47"/>
      <c r="AQ31" s="47"/>
      <c r="AR31" s="47"/>
      <c r="AS31" s="47"/>
    </row>
    <row r="32" spans="2:45" s="133" customFormat="1">
      <c r="B32" s="194" t="s">
        <v>92</v>
      </c>
      <c r="C32" s="231" t="s">
        <v>205</v>
      </c>
      <c r="D32" s="405">
        <v>0</v>
      </c>
      <c r="E32" s="243">
        <v>0</v>
      </c>
      <c r="F32" s="243">
        <v>0</v>
      </c>
      <c r="G32" s="244">
        <v>0</v>
      </c>
      <c r="H32" s="251">
        <f>'Site 5 - Financial'!F8</f>
        <v>6882000</v>
      </c>
      <c r="I32" s="243">
        <f>H32*(1+Assumptions!$F$14)</f>
        <v>7088460</v>
      </c>
      <c r="J32" s="243" t="s">
        <v>205</v>
      </c>
      <c r="K32" s="243" t="s">
        <v>205</v>
      </c>
      <c r="L32" s="243" t="s">
        <v>205</v>
      </c>
      <c r="M32" s="243" t="s">
        <v>205</v>
      </c>
      <c r="N32" s="243" t="s">
        <v>205</v>
      </c>
      <c r="O32" s="244" t="s">
        <v>205</v>
      </c>
      <c r="AP32" s="47"/>
      <c r="AQ32" s="47"/>
      <c r="AR32" s="47"/>
      <c r="AS32" s="47"/>
    </row>
    <row r="33" spans="2:45" s="133" customFormat="1">
      <c r="B33" s="194" t="s">
        <v>539</v>
      </c>
      <c r="C33" s="231" t="s">
        <v>205</v>
      </c>
      <c r="D33" s="405">
        <v>0</v>
      </c>
      <c r="E33" s="243">
        <v>0</v>
      </c>
      <c r="F33" s="243">
        <v>0</v>
      </c>
      <c r="G33" s="244">
        <v>0</v>
      </c>
      <c r="H33" s="251">
        <f>'Site 5 - Financial'!C20*12*Assumptions!D22</f>
        <v>648000</v>
      </c>
      <c r="I33" s="243">
        <f>H33*(1+Assumptions!$F$14)</f>
        <v>667440</v>
      </c>
      <c r="J33" s="243" t="s">
        <v>205</v>
      </c>
      <c r="K33" s="243" t="s">
        <v>205</v>
      </c>
      <c r="L33" s="243" t="s">
        <v>205</v>
      </c>
      <c r="M33" s="243" t="s">
        <v>205</v>
      </c>
      <c r="N33" s="243" t="s">
        <v>205</v>
      </c>
      <c r="O33" s="244" t="s">
        <v>205</v>
      </c>
      <c r="AP33" s="47"/>
      <c r="AQ33" s="47"/>
      <c r="AR33" s="47"/>
      <c r="AS33" s="47"/>
    </row>
    <row r="34" spans="2:45" s="133" customFormat="1">
      <c r="B34" s="205" t="s">
        <v>313</v>
      </c>
      <c r="C34" s="231" t="s">
        <v>205</v>
      </c>
      <c r="D34" s="405">
        <v>0</v>
      </c>
      <c r="E34" s="243">
        <v>0</v>
      </c>
      <c r="F34" s="243">
        <v>0</v>
      </c>
      <c r="G34" s="244">
        <v>0</v>
      </c>
      <c r="H34" s="251">
        <f>(SUM(Assumptions!D35,Assumptions!D37)*'Site 5 - Financial'!D8)*((1+Assumptions!$F$14)^'Site 5 - Draw'!G2)</f>
        <v>1448956.0020000001</v>
      </c>
      <c r="I34" s="243">
        <f>H34*(1+Assumptions!$F$14)</f>
        <v>1492424.68206</v>
      </c>
      <c r="J34" s="243" t="s">
        <v>205</v>
      </c>
      <c r="K34" s="243" t="s">
        <v>205</v>
      </c>
      <c r="L34" s="243" t="s">
        <v>205</v>
      </c>
      <c r="M34" s="243" t="s">
        <v>205</v>
      </c>
      <c r="N34" s="243" t="s">
        <v>205</v>
      </c>
      <c r="O34" s="244" t="s">
        <v>205</v>
      </c>
      <c r="AP34" s="47"/>
      <c r="AQ34" s="47"/>
      <c r="AR34" s="47"/>
      <c r="AS34" s="47"/>
    </row>
    <row r="35" spans="2:45" s="133" customFormat="1">
      <c r="B35" s="239" t="s">
        <v>94</v>
      </c>
      <c r="C35" s="240" t="s">
        <v>205</v>
      </c>
      <c r="D35" s="108">
        <f>SUM(D32:D34)</f>
        <v>0</v>
      </c>
      <c r="E35" s="107">
        <f t="shared" ref="E35:F35" si="11">SUM(E32:E34)</f>
        <v>0</v>
      </c>
      <c r="F35" s="107">
        <f t="shared" si="11"/>
        <v>0</v>
      </c>
      <c r="G35" s="116">
        <f t="shared" ref="G35:I35" si="12">SUM(G32:G34)</f>
        <v>0</v>
      </c>
      <c r="H35" s="115">
        <f t="shared" si="12"/>
        <v>8978956.0020000003</v>
      </c>
      <c r="I35" s="107">
        <f t="shared" si="12"/>
        <v>9248324.6820599996</v>
      </c>
      <c r="J35" s="107" t="s">
        <v>205</v>
      </c>
      <c r="K35" s="107" t="s">
        <v>205</v>
      </c>
      <c r="L35" s="107" t="s">
        <v>205</v>
      </c>
      <c r="M35" s="107" t="s">
        <v>205</v>
      </c>
      <c r="N35" s="107" t="s">
        <v>205</v>
      </c>
      <c r="O35" s="116" t="s">
        <v>205</v>
      </c>
      <c r="AP35" s="47"/>
      <c r="AQ35" s="47"/>
      <c r="AR35" s="47"/>
      <c r="AS35" s="47"/>
    </row>
    <row r="36" spans="2:45" s="133" customFormat="1">
      <c r="B36" s="205" t="s">
        <v>543</v>
      </c>
      <c r="C36" s="231" t="s">
        <v>205</v>
      </c>
      <c r="D36" s="405">
        <v>0</v>
      </c>
      <c r="E36" s="243">
        <v>0</v>
      </c>
      <c r="F36" s="243">
        <f>-(Assumptions!D34+Assumptions!D35)*'Site 5 - Financial'!D8</f>
        <v>-1173000</v>
      </c>
      <c r="G36" s="244">
        <f>F36*(1+Assumptions!$F$14)</f>
        <v>-1208190</v>
      </c>
      <c r="H36" s="251">
        <f>-(Assumptions!D38*'Site 5 - Financial'!D8)*((1+Assumptions!$F$14)^'Site 5 - Draw'!G2)</f>
        <v>-2229163.08</v>
      </c>
      <c r="I36" s="243">
        <f>H36*(1+Assumptions!$F$14)</f>
        <v>-2296037.9724000003</v>
      </c>
      <c r="J36" s="243" t="s">
        <v>205</v>
      </c>
      <c r="K36" s="243" t="s">
        <v>205</v>
      </c>
      <c r="L36" s="243" t="s">
        <v>205</v>
      </c>
      <c r="M36" s="243" t="s">
        <v>205</v>
      </c>
      <c r="N36" s="243" t="s">
        <v>205</v>
      </c>
      <c r="O36" s="244" t="s">
        <v>205</v>
      </c>
      <c r="AP36" s="47"/>
      <c r="AQ36" s="47"/>
      <c r="AR36" s="47"/>
      <c r="AS36" s="47"/>
    </row>
    <row r="37" spans="2:45" s="133" customFormat="1">
      <c r="B37" s="205" t="s">
        <v>321</v>
      </c>
      <c r="C37" s="231" t="s">
        <v>205</v>
      </c>
      <c r="D37" s="405">
        <f t="shared" ref="D37:F37" si="13">-5%*D35</f>
        <v>0</v>
      </c>
      <c r="E37" s="243">
        <f t="shared" si="13"/>
        <v>0</v>
      </c>
      <c r="F37" s="243">
        <f t="shared" si="13"/>
        <v>0</v>
      </c>
      <c r="G37" s="244">
        <f>-5%*G35</f>
        <v>0</v>
      </c>
      <c r="H37" s="251">
        <f>-5%*H35</f>
        <v>-448947.80010000005</v>
      </c>
      <c r="I37" s="243">
        <f t="shared" ref="I37" si="14">-5%*I35</f>
        <v>-462416.23410300002</v>
      </c>
      <c r="J37" s="243" t="s">
        <v>205</v>
      </c>
      <c r="K37" s="243" t="s">
        <v>205</v>
      </c>
      <c r="L37" s="243" t="s">
        <v>205</v>
      </c>
      <c r="M37" s="243" t="s">
        <v>205</v>
      </c>
      <c r="N37" s="243" t="s">
        <v>205</v>
      </c>
      <c r="O37" s="244" t="s">
        <v>205</v>
      </c>
      <c r="AP37" s="47"/>
      <c r="AQ37" s="47"/>
      <c r="AR37" s="47"/>
      <c r="AS37" s="47"/>
    </row>
    <row r="38" spans="2:45" s="133" customFormat="1">
      <c r="B38" s="239" t="s">
        <v>95</v>
      </c>
      <c r="C38" s="240" t="s">
        <v>205</v>
      </c>
      <c r="D38" s="108">
        <f t="shared" ref="D38:E38" si="15">SUM(D35:D37)</f>
        <v>0</v>
      </c>
      <c r="E38" s="107">
        <f t="shared" si="15"/>
        <v>0</v>
      </c>
      <c r="F38" s="107">
        <f>SUM(F35:F37)</f>
        <v>-1173000</v>
      </c>
      <c r="G38" s="116">
        <f>SUM(G35:G37)</f>
        <v>-1208190</v>
      </c>
      <c r="H38" s="115">
        <f>SUM(H35:H37)</f>
        <v>6300845.1219000006</v>
      </c>
      <c r="I38" s="107">
        <f t="shared" ref="I38" si="16">SUM(I35:I37)</f>
        <v>6489870.4755569994</v>
      </c>
      <c r="J38" s="107" t="s">
        <v>205</v>
      </c>
      <c r="K38" s="107" t="s">
        <v>205</v>
      </c>
      <c r="L38" s="107" t="s">
        <v>205</v>
      </c>
      <c r="M38" s="107" t="s">
        <v>205</v>
      </c>
      <c r="N38" s="107" t="s">
        <v>205</v>
      </c>
      <c r="O38" s="116" t="s">
        <v>205</v>
      </c>
      <c r="AP38" s="47"/>
      <c r="AQ38" s="47"/>
      <c r="AR38" s="47"/>
      <c r="AS38" s="47"/>
    </row>
    <row r="39" spans="2:45" s="133" customFormat="1" ht="15" thickBot="1">
      <c r="B39" s="223" t="s">
        <v>328</v>
      </c>
      <c r="C39" s="232" t="s">
        <v>205</v>
      </c>
      <c r="D39" s="406">
        <v>0</v>
      </c>
      <c r="E39" s="245">
        <v>0</v>
      </c>
      <c r="F39" s="245">
        <v>0</v>
      </c>
      <c r="G39" s="246">
        <v>0</v>
      </c>
      <c r="H39" s="252">
        <f>(I38/Assumptions!$I$6)*0.98</f>
        <v>133896275.07464968</v>
      </c>
      <c r="I39" s="245">
        <v>0</v>
      </c>
      <c r="J39" s="245" t="s">
        <v>205</v>
      </c>
      <c r="K39" s="245" t="s">
        <v>205</v>
      </c>
      <c r="L39" s="245" t="s">
        <v>205</v>
      </c>
      <c r="M39" s="245" t="s">
        <v>205</v>
      </c>
      <c r="N39" s="245" t="s">
        <v>205</v>
      </c>
      <c r="O39" s="246" t="s">
        <v>205</v>
      </c>
      <c r="AP39" s="47"/>
      <c r="AQ39" s="47"/>
      <c r="AR39" s="47"/>
      <c r="AS39" s="47"/>
    </row>
    <row r="40" spans="2:45" s="133" customFormat="1">
      <c r="B40" s="193" t="s">
        <v>338</v>
      </c>
      <c r="C40" s="230"/>
      <c r="D40" s="404"/>
      <c r="E40" s="241"/>
      <c r="F40" s="241"/>
      <c r="G40" s="242"/>
      <c r="H40" s="250"/>
      <c r="I40" s="241"/>
      <c r="J40" s="241"/>
      <c r="K40" s="241"/>
      <c r="L40" s="241"/>
      <c r="M40" s="241"/>
      <c r="N40" s="241"/>
      <c r="O40" s="242"/>
      <c r="AP40" s="47"/>
      <c r="AQ40" s="47"/>
      <c r="AR40" s="47"/>
      <c r="AS40" s="47"/>
    </row>
    <row r="41" spans="2:45" s="133" customFormat="1">
      <c r="B41" s="194" t="s">
        <v>92</v>
      </c>
      <c r="C41" s="231" t="s">
        <v>205</v>
      </c>
      <c r="D41" s="405">
        <v>0</v>
      </c>
      <c r="E41" s="243">
        <v>0</v>
      </c>
      <c r="F41" s="243">
        <v>0</v>
      </c>
      <c r="G41" s="244">
        <v>0</v>
      </c>
      <c r="H41" s="251">
        <f>'Site 5 - Financial'!D11*'Site 5 - Financial'!E11</f>
        <v>3339350</v>
      </c>
      <c r="I41" s="243">
        <f>H41*(1+Assumptions!$F$14)</f>
        <v>3439530.5</v>
      </c>
      <c r="J41" s="243" t="s">
        <v>205</v>
      </c>
      <c r="K41" s="243" t="s">
        <v>205</v>
      </c>
      <c r="L41" s="243" t="s">
        <v>205</v>
      </c>
      <c r="M41" s="243" t="s">
        <v>205</v>
      </c>
      <c r="N41" s="243" t="s">
        <v>205</v>
      </c>
      <c r="O41" s="244" t="s">
        <v>205</v>
      </c>
      <c r="AP41" s="47"/>
      <c r="AQ41" s="47"/>
      <c r="AR41" s="47"/>
      <c r="AS41" s="47"/>
    </row>
    <row r="42" spans="2:45" s="133" customFormat="1">
      <c r="B42" s="194" t="s">
        <v>539</v>
      </c>
      <c r="C42" s="231" t="s">
        <v>205</v>
      </c>
      <c r="D42" s="405">
        <v>0</v>
      </c>
      <c r="E42" s="243">
        <v>0</v>
      </c>
      <c r="F42" s="243">
        <v>0</v>
      </c>
      <c r="G42" s="244">
        <v>0</v>
      </c>
      <c r="H42" s="251">
        <f>'Site 5 - Financial'!C21*12*Assumptions!D21</f>
        <v>1512000</v>
      </c>
      <c r="I42" s="243">
        <f>H42*(1+Assumptions!$F$14)</f>
        <v>1557360</v>
      </c>
      <c r="J42" s="243" t="s">
        <v>205</v>
      </c>
      <c r="K42" s="243" t="s">
        <v>205</v>
      </c>
      <c r="L42" s="243" t="s">
        <v>205</v>
      </c>
      <c r="M42" s="243" t="s">
        <v>205</v>
      </c>
      <c r="N42" s="243" t="s">
        <v>205</v>
      </c>
      <c r="O42" s="244" t="s">
        <v>205</v>
      </c>
      <c r="AP42" s="47"/>
      <c r="AQ42" s="47"/>
      <c r="AR42" s="47"/>
      <c r="AS42" s="47"/>
    </row>
    <row r="43" spans="2:45" s="133" customFormat="1">
      <c r="B43" s="205" t="s">
        <v>313</v>
      </c>
      <c r="C43" s="231" t="s">
        <v>205</v>
      </c>
      <c r="D43" s="405">
        <v>0</v>
      </c>
      <c r="E43" s="243">
        <v>0</v>
      </c>
      <c r="F43" s="243">
        <v>0</v>
      </c>
      <c r="G43" s="244">
        <v>0</v>
      </c>
      <c r="H43" s="251">
        <f>(Assumptions!D30*'Site 5 - Financial'!D11)*(1+Assumptions!$F$14)^H2</f>
        <v>526185.49825429008</v>
      </c>
      <c r="I43" s="243">
        <f>H43*(1+Assumptions!$F$14)</f>
        <v>541971.06320191885</v>
      </c>
      <c r="J43" s="243" t="s">
        <v>205</v>
      </c>
      <c r="K43" s="243" t="s">
        <v>205</v>
      </c>
      <c r="L43" s="243" t="s">
        <v>205</v>
      </c>
      <c r="M43" s="243" t="s">
        <v>205</v>
      </c>
      <c r="N43" s="243" t="s">
        <v>205</v>
      </c>
      <c r="O43" s="244" t="s">
        <v>205</v>
      </c>
      <c r="AP43" s="47"/>
      <c r="AQ43" s="47"/>
      <c r="AR43" s="47"/>
      <c r="AS43" s="47"/>
    </row>
    <row r="44" spans="2:45" s="133" customFormat="1">
      <c r="B44" s="239" t="s">
        <v>94</v>
      </c>
      <c r="C44" s="240" t="s">
        <v>205</v>
      </c>
      <c r="D44" s="108">
        <f t="shared" ref="D44:I44" si="17">SUM(D41:D43)</f>
        <v>0</v>
      </c>
      <c r="E44" s="107">
        <f t="shared" si="17"/>
        <v>0</v>
      </c>
      <c r="F44" s="107">
        <f t="shared" si="17"/>
        <v>0</v>
      </c>
      <c r="G44" s="116">
        <f t="shared" si="17"/>
        <v>0</v>
      </c>
      <c r="H44" s="115">
        <f t="shared" si="17"/>
        <v>5377535.4982542899</v>
      </c>
      <c r="I44" s="107">
        <f t="shared" si="17"/>
        <v>5538861.5632019192</v>
      </c>
      <c r="J44" s="107" t="s">
        <v>205</v>
      </c>
      <c r="K44" s="107" t="s">
        <v>205</v>
      </c>
      <c r="L44" s="107" t="s">
        <v>205</v>
      </c>
      <c r="M44" s="107" t="s">
        <v>205</v>
      </c>
      <c r="N44" s="107" t="s">
        <v>205</v>
      </c>
      <c r="O44" s="116" t="s">
        <v>205</v>
      </c>
      <c r="AP44" s="47"/>
      <c r="AQ44" s="47"/>
      <c r="AR44" s="47"/>
      <c r="AS44" s="47"/>
    </row>
    <row r="45" spans="2:45" s="133" customFormat="1">
      <c r="B45" s="205" t="s">
        <v>543</v>
      </c>
      <c r="C45" s="231" t="s">
        <v>205</v>
      </c>
      <c r="D45" s="405">
        <v>0</v>
      </c>
      <c r="E45" s="243">
        <v>0</v>
      </c>
      <c r="F45" s="243">
        <f>-(Assumptions!D26+Assumptions!D27)*'Site 5 - Financial'!D11</f>
        <v>-262377.5</v>
      </c>
      <c r="G45" s="244">
        <f>F45*(1+Assumptions!$F$14)</f>
        <v>-270248.82500000001</v>
      </c>
      <c r="H45" s="251">
        <f>-(Assumptions!D30*'Site 5 - Financial'!D11)*(1+Assumptions!$F$14)^G2</f>
        <v>-510859.70704300009</v>
      </c>
      <c r="I45" s="243">
        <f>H45*(1+Assumptions!$F$14)</f>
        <v>-526185.49825429008</v>
      </c>
      <c r="J45" s="243" t="s">
        <v>205</v>
      </c>
      <c r="K45" s="243" t="s">
        <v>205</v>
      </c>
      <c r="L45" s="243" t="s">
        <v>205</v>
      </c>
      <c r="M45" s="243" t="s">
        <v>205</v>
      </c>
      <c r="N45" s="243" t="s">
        <v>205</v>
      </c>
      <c r="O45" s="244" t="s">
        <v>205</v>
      </c>
      <c r="AP45" s="47"/>
      <c r="AQ45" s="47"/>
      <c r="AR45" s="47"/>
      <c r="AS45" s="47"/>
    </row>
    <row r="46" spans="2:45" s="133" customFormat="1">
      <c r="B46" s="205" t="s">
        <v>321</v>
      </c>
      <c r="C46" s="231" t="s">
        <v>205</v>
      </c>
      <c r="D46" s="405">
        <f t="shared" ref="D46:I46" si="18">-5%*D44</f>
        <v>0</v>
      </c>
      <c r="E46" s="243">
        <f t="shared" si="18"/>
        <v>0</v>
      </c>
      <c r="F46" s="243">
        <f t="shared" si="18"/>
        <v>0</v>
      </c>
      <c r="G46" s="550">
        <f t="shared" si="18"/>
        <v>0</v>
      </c>
      <c r="H46" s="251">
        <f t="shared" si="18"/>
        <v>-268876.77491271449</v>
      </c>
      <c r="I46" s="243">
        <f t="shared" si="18"/>
        <v>-276943.07816009596</v>
      </c>
      <c r="J46" s="243" t="s">
        <v>205</v>
      </c>
      <c r="K46" s="243" t="s">
        <v>205</v>
      </c>
      <c r="L46" s="243" t="s">
        <v>205</v>
      </c>
      <c r="M46" s="243" t="s">
        <v>205</v>
      </c>
      <c r="N46" s="243" t="s">
        <v>205</v>
      </c>
      <c r="O46" s="244" t="s">
        <v>205</v>
      </c>
      <c r="AP46" s="47"/>
      <c r="AQ46" s="47"/>
      <c r="AR46" s="47"/>
      <c r="AS46" s="47"/>
    </row>
    <row r="47" spans="2:45" s="133" customFormat="1">
      <c r="B47" s="239" t="s">
        <v>95</v>
      </c>
      <c r="C47" s="240" t="s">
        <v>205</v>
      </c>
      <c r="D47" s="108">
        <f t="shared" ref="D47:F47" si="19">SUM(D44:D46)</f>
        <v>0</v>
      </c>
      <c r="E47" s="107">
        <f t="shared" si="19"/>
        <v>0</v>
      </c>
      <c r="F47" s="107">
        <f t="shared" si="19"/>
        <v>-262377.5</v>
      </c>
      <c r="G47" s="389">
        <f>SUM(G44:G46)</f>
        <v>-270248.82500000001</v>
      </c>
      <c r="H47" s="115">
        <f>SUM(H44:H46)</f>
        <v>4597799.0162985753</v>
      </c>
      <c r="I47" s="107">
        <f>SUM(I44:I46)</f>
        <v>4735732.9867875334</v>
      </c>
      <c r="J47" s="107" t="s">
        <v>205</v>
      </c>
      <c r="K47" s="107" t="s">
        <v>205</v>
      </c>
      <c r="L47" s="107" t="s">
        <v>205</v>
      </c>
      <c r="M47" s="107" t="s">
        <v>205</v>
      </c>
      <c r="N47" s="107" t="s">
        <v>205</v>
      </c>
      <c r="O47" s="116" t="s">
        <v>205</v>
      </c>
      <c r="AP47" s="47"/>
      <c r="AQ47" s="47"/>
      <c r="AR47" s="47"/>
      <c r="AS47" s="47"/>
    </row>
    <row r="48" spans="2:45" s="133" customFormat="1" ht="15" thickBot="1">
      <c r="B48" s="223" t="s">
        <v>328</v>
      </c>
      <c r="C48" s="232" t="s">
        <v>205</v>
      </c>
      <c r="D48" s="406">
        <v>0</v>
      </c>
      <c r="E48" s="245">
        <v>0</v>
      </c>
      <c r="F48" s="245">
        <v>0</v>
      </c>
      <c r="G48" s="390">
        <v>0</v>
      </c>
      <c r="H48" s="252">
        <f>(I47/Assumptions!$I$9)*0.98</f>
        <v>109200431.22474782</v>
      </c>
      <c r="I48" s="245">
        <v>0</v>
      </c>
      <c r="J48" s="245" t="s">
        <v>205</v>
      </c>
      <c r="K48" s="245" t="s">
        <v>205</v>
      </c>
      <c r="L48" s="245" t="s">
        <v>205</v>
      </c>
      <c r="M48" s="245" t="s">
        <v>205</v>
      </c>
      <c r="N48" s="245" t="s">
        <v>205</v>
      </c>
      <c r="O48" s="246" t="s">
        <v>205</v>
      </c>
      <c r="AP48" s="47"/>
      <c r="AQ48" s="47"/>
      <c r="AR48" s="47"/>
      <c r="AS48" s="47"/>
    </row>
    <row r="49" spans="2:45" s="133" customFormat="1">
      <c r="B49" s="193" t="s">
        <v>406</v>
      </c>
      <c r="C49" s="230"/>
      <c r="D49" s="404"/>
      <c r="E49" s="241"/>
      <c r="F49" s="241"/>
      <c r="G49" s="387"/>
      <c r="H49" s="250"/>
      <c r="I49" s="241"/>
      <c r="J49" s="241"/>
      <c r="K49" s="241"/>
      <c r="L49" s="241"/>
      <c r="M49" s="241"/>
      <c r="N49" s="241"/>
      <c r="O49" s="242"/>
      <c r="AP49" s="47"/>
      <c r="AQ49" s="47"/>
      <c r="AR49" s="47"/>
      <c r="AS49" s="47"/>
    </row>
    <row r="50" spans="2:45" s="133" customFormat="1">
      <c r="B50" s="194" t="s">
        <v>92</v>
      </c>
      <c r="C50" s="231" t="s">
        <v>205</v>
      </c>
      <c r="D50" s="405">
        <v>0</v>
      </c>
      <c r="E50" s="243">
        <v>0</v>
      </c>
      <c r="F50" s="243">
        <v>0</v>
      </c>
      <c r="G50" s="388">
        <v>0</v>
      </c>
      <c r="H50" s="251">
        <v>0</v>
      </c>
      <c r="I50" s="243">
        <v>0</v>
      </c>
      <c r="J50" s="243" t="s">
        <v>205</v>
      </c>
      <c r="K50" s="243" t="s">
        <v>205</v>
      </c>
      <c r="L50" s="243" t="s">
        <v>205</v>
      </c>
      <c r="M50" s="243" t="s">
        <v>205</v>
      </c>
      <c r="N50" s="243" t="s">
        <v>205</v>
      </c>
      <c r="O50" s="244" t="s">
        <v>205</v>
      </c>
      <c r="AP50" s="47"/>
      <c r="AQ50" s="47"/>
      <c r="AR50" s="47"/>
      <c r="AS50" s="47"/>
    </row>
    <row r="51" spans="2:45" s="133" customFormat="1">
      <c r="B51" s="194" t="s">
        <v>539</v>
      </c>
      <c r="C51" s="231" t="s">
        <v>205</v>
      </c>
      <c r="D51" s="405">
        <v>0</v>
      </c>
      <c r="E51" s="243">
        <v>0</v>
      </c>
      <c r="F51" s="243">
        <v>0</v>
      </c>
      <c r="G51" s="388">
        <v>0</v>
      </c>
      <c r="H51" s="251">
        <v>0</v>
      </c>
      <c r="I51" s="243">
        <v>0</v>
      </c>
      <c r="J51" s="243" t="s">
        <v>205</v>
      </c>
      <c r="K51" s="243" t="s">
        <v>205</v>
      </c>
      <c r="L51" s="243" t="s">
        <v>205</v>
      </c>
      <c r="M51" s="243" t="s">
        <v>205</v>
      </c>
      <c r="N51" s="243" t="s">
        <v>205</v>
      </c>
      <c r="O51" s="244" t="s">
        <v>205</v>
      </c>
      <c r="AP51" s="47"/>
      <c r="AQ51" s="47"/>
      <c r="AR51" s="47"/>
      <c r="AS51" s="47"/>
    </row>
    <row r="52" spans="2:45" s="133" customFormat="1">
      <c r="B52" s="194" t="s">
        <v>313</v>
      </c>
      <c r="C52" s="231" t="s">
        <v>205</v>
      </c>
      <c r="D52" s="405">
        <v>0</v>
      </c>
      <c r="E52" s="243">
        <v>0</v>
      </c>
      <c r="F52" s="243">
        <v>0</v>
      </c>
      <c r="G52" s="388">
        <v>0</v>
      </c>
      <c r="H52" s="251">
        <v>0</v>
      </c>
      <c r="I52" s="243">
        <v>0</v>
      </c>
      <c r="J52" s="243" t="s">
        <v>205</v>
      </c>
      <c r="K52" s="243" t="s">
        <v>205</v>
      </c>
      <c r="L52" s="243" t="s">
        <v>205</v>
      </c>
      <c r="M52" s="243" t="s">
        <v>205</v>
      </c>
      <c r="N52" s="243" t="s">
        <v>205</v>
      </c>
      <c r="O52" s="244" t="s">
        <v>205</v>
      </c>
      <c r="AP52" s="47"/>
      <c r="AQ52" s="47"/>
      <c r="AR52" s="47"/>
      <c r="AS52" s="47"/>
    </row>
    <row r="53" spans="2:45" s="133" customFormat="1">
      <c r="B53" s="239" t="s">
        <v>94</v>
      </c>
      <c r="C53" s="240" t="s">
        <v>205</v>
      </c>
      <c r="D53" s="108">
        <f t="shared" ref="D53:G53" si="20">SUM(D50:D52)</f>
        <v>0</v>
      </c>
      <c r="E53" s="107">
        <f t="shared" si="20"/>
        <v>0</v>
      </c>
      <c r="F53" s="107">
        <f t="shared" si="20"/>
        <v>0</v>
      </c>
      <c r="G53" s="389">
        <f t="shared" si="20"/>
        <v>0</v>
      </c>
      <c r="H53" s="115">
        <f t="shared" ref="H53:I53" si="21">SUM(H50:H52)</f>
        <v>0</v>
      </c>
      <c r="I53" s="107">
        <f t="shared" si="21"/>
        <v>0</v>
      </c>
      <c r="J53" s="107" t="s">
        <v>205</v>
      </c>
      <c r="K53" s="107" t="s">
        <v>205</v>
      </c>
      <c r="L53" s="107" t="s">
        <v>205</v>
      </c>
      <c r="M53" s="107" t="s">
        <v>205</v>
      </c>
      <c r="N53" s="107" t="s">
        <v>205</v>
      </c>
      <c r="O53" s="116" t="s">
        <v>205</v>
      </c>
      <c r="AP53" s="47"/>
      <c r="AQ53" s="47"/>
      <c r="AR53" s="47"/>
      <c r="AS53" s="47"/>
    </row>
    <row r="54" spans="2:45" s="133" customFormat="1">
      <c r="B54" s="205" t="s">
        <v>543</v>
      </c>
      <c r="C54" s="231" t="s">
        <v>205</v>
      </c>
      <c r="D54" s="405">
        <v>0</v>
      </c>
      <c r="E54" s="243">
        <f>-(Assumptions!D26+Assumptions!D27)*'Site 5 - Financial'!D12</f>
        <v>0</v>
      </c>
      <c r="F54" s="243">
        <v>0</v>
      </c>
      <c r="G54" s="388">
        <v>0</v>
      </c>
      <c r="H54" s="251">
        <v>0</v>
      </c>
      <c r="I54" s="243">
        <v>0</v>
      </c>
      <c r="J54" s="243" t="s">
        <v>205</v>
      </c>
      <c r="K54" s="243" t="s">
        <v>205</v>
      </c>
      <c r="L54" s="243" t="s">
        <v>205</v>
      </c>
      <c r="M54" s="243" t="s">
        <v>205</v>
      </c>
      <c r="N54" s="243" t="s">
        <v>205</v>
      </c>
      <c r="O54" s="244" t="s">
        <v>205</v>
      </c>
      <c r="AP54" s="47"/>
      <c r="AQ54" s="47"/>
      <c r="AR54" s="47"/>
      <c r="AS54" s="47"/>
    </row>
    <row r="55" spans="2:45" s="133" customFormat="1">
      <c r="B55" s="194" t="s">
        <v>321</v>
      </c>
      <c r="C55" s="231" t="s">
        <v>205</v>
      </c>
      <c r="D55" s="405">
        <f t="shared" ref="D55:I55" si="22">-5%*D53</f>
        <v>0</v>
      </c>
      <c r="E55" s="243">
        <f t="shared" si="22"/>
        <v>0</v>
      </c>
      <c r="F55" s="243">
        <f t="shared" si="22"/>
        <v>0</v>
      </c>
      <c r="G55" s="388">
        <f t="shared" si="22"/>
        <v>0</v>
      </c>
      <c r="H55" s="251">
        <f t="shared" si="22"/>
        <v>0</v>
      </c>
      <c r="I55" s="243">
        <f t="shared" si="22"/>
        <v>0</v>
      </c>
      <c r="J55" s="243" t="s">
        <v>205</v>
      </c>
      <c r="K55" s="243" t="s">
        <v>205</v>
      </c>
      <c r="L55" s="243" t="s">
        <v>205</v>
      </c>
      <c r="M55" s="243" t="s">
        <v>205</v>
      </c>
      <c r="N55" s="243" t="s">
        <v>205</v>
      </c>
      <c r="O55" s="244" t="s">
        <v>205</v>
      </c>
      <c r="AP55" s="47"/>
      <c r="AQ55" s="47"/>
      <c r="AR55" s="47"/>
      <c r="AS55" s="47"/>
    </row>
    <row r="56" spans="2:45" s="133" customFormat="1">
      <c r="B56" s="239" t="s">
        <v>95</v>
      </c>
      <c r="C56" s="240" t="s">
        <v>205</v>
      </c>
      <c r="D56" s="108">
        <f t="shared" ref="D56:I56" si="23">SUM(D53:D55)</f>
        <v>0</v>
      </c>
      <c r="E56" s="107">
        <f t="shared" si="23"/>
        <v>0</v>
      </c>
      <c r="F56" s="107">
        <f t="shared" si="23"/>
        <v>0</v>
      </c>
      <c r="G56" s="389">
        <f t="shared" si="23"/>
        <v>0</v>
      </c>
      <c r="H56" s="115">
        <f t="shared" si="23"/>
        <v>0</v>
      </c>
      <c r="I56" s="107">
        <f t="shared" si="23"/>
        <v>0</v>
      </c>
      <c r="J56" s="107" t="s">
        <v>205</v>
      </c>
      <c r="K56" s="107" t="s">
        <v>205</v>
      </c>
      <c r="L56" s="107" t="s">
        <v>205</v>
      </c>
      <c r="M56" s="107" t="s">
        <v>205</v>
      </c>
      <c r="N56" s="107" t="s">
        <v>205</v>
      </c>
      <c r="O56" s="116" t="s">
        <v>205</v>
      </c>
      <c r="AP56" s="47"/>
      <c r="AQ56" s="47"/>
      <c r="AR56" s="47"/>
      <c r="AS56" s="47"/>
    </row>
    <row r="57" spans="2:45" s="133" customFormat="1" ht="15" thickBot="1">
      <c r="B57" s="197" t="s">
        <v>328</v>
      </c>
      <c r="C57" s="232" t="s">
        <v>205</v>
      </c>
      <c r="D57" s="406">
        <v>0</v>
      </c>
      <c r="E57" s="245">
        <v>0</v>
      </c>
      <c r="F57" s="245">
        <v>0</v>
      </c>
      <c r="G57" s="390">
        <v>0</v>
      </c>
      <c r="H57" s="252">
        <v>0</v>
      </c>
      <c r="I57" s="245">
        <v>0</v>
      </c>
      <c r="J57" s="245" t="s">
        <v>205</v>
      </c>
      <c r="K57" s="245" t="s">
        <v>205</v>
      </c>
      <c r="L57" s="245" t="s">
        <v>205</v>
      </c>
      <c r="M57" s="245" t="s">
        <v>205</v>
      </c>
      <c r="N57" s="245" t="s">
        <v>205</v>
      </c>
      <c r="O57" s="246" t="s">
        <v>205</v>
      </c>
      <c r="AP57" s="47"/>
      <c r="AQ57" s="47"/>
      <c r="AR57" s="47"/>
      <c r="AS57" s="47"/>
    </row>
    <row r="58" spans="2:45" s="133" customFormat="1" ht="15" thickBot="1">
      <c r="B58" s="254" t="s">
        <v>341</v>
      </c>
      <c r="C58" s="360">
        <f>IRR(D58:N58)</f>
        <v>0.1597091972776834</v>
      </c>
      <c r="D58" s="403">
        <f>D30</f>
        <v>0</v>
      </c>
      <c r="E58" s="256">
        <f>-E30</f>
        <v>-64532791.735200718</v>
      </c>
      <c r="F58" s="256">
        <f>-F30</f>
        <v>-61110802.014126331</v>
      </c>
      <c r="G58" s="386">
        <f>-G30</f>
        <v>-61353863.339126334</v>
      </c>
      <c r="H58" s="255">
        <f>SUM(H38:H39,H56:H57,H47:H48,H30)</f>
        <v>253995350.43759608</v>
      </c>
      <c r="I58" s="256">
        <v>0</v>
      </c>
      <c r="J58" s="256">
        <f>SUM(J38:J39,J56:J57,J47:J48,J30)</f>
        <v>0</v>
      </c>
      <c r="K58" s="256">
        <f>SUM(K38:K39,K56:K57,K47:K48,K30)</f>
        <v>0</v>
      </c>
      <c r="L58" s="256">
        <f>SUM(L38:L39,L56:L57,L47:L48,L30)</f>
        <v>0</v>
      </c>
      <c r="M58" s="256">
        <f>SUM(M38:M39,M56:M57,M47:M48,M30)</f>
        <v>0</v>
      </c>
      <c r="N58" s="256">
        <f>SUM(N38:N39,N56:N57,N47:N48,N30)</f>
        <v>0</v>
      </c>
      <c r="O58" s="257" t="s">
        <v>205</v>
      </c>
      <c r="AP58" s="47"/>
      <c r="AQ58" s="47"/>
      <c r="AR58" s="47"/>
      <c r="AS58" s="47"/>
    </row>
    <row r="59" spans="2:45" s="133" customFormat="1">
      <c r="B59" s="194" t="s">
        <v>344</v>
      </c>
      <c r="C59" s="258">
        <f>Assumptions!I13</f>
        <v>4.4999999999999998E-2</v>
      </c>
      <c r="D59" s="408" t="s">
        <v>205</v>
      </c>
      <c r="E59" s="248">
        <f>-PMT(C59,30,-'Site 5 - Financial'!E17)</f>
        <v>-6888037.4463861557</v>
      </c>
      <c r="F59" s="248">
        <f>E59</f>
        <v>-6888037.4463861557</v>
      </c>
      <c r="G59" s="391">
        <f t="shared" ref="G59:H59" si="24">F59</f>
        <v>-6888037.4463861557</v>
      </c>
      <c r="H59" s="253">
        <f t="shared" si="24"/>
        <v>-6888037.4463861557</v>
      </c>
      <c r="I59" s="248" t="s">
        <v>205</v>
      </c>
      <c r="J59" s="248" t="s">
        <v>205</v>
      </c>
      <c r="K59" s="248" t="s">
        <v>205</v>
      </c>
      <c r="L59" s="248" t="s">
        <v>205</v>
      </c>
      <c r="M59" s="248" t="s">
        <v>205</v>
      </c>
      <c r="N59" s="248" t="s">
        <v>205</v>
      </c>
      <c r="O59" s="221" t="s">
        <v>205</v>
      </c>
      <c r="AP59" s="47"/>
      <c r="AQ59" s="47"/>
      <c r="AR59" s="47"/>
      <c r="AS59" s="47"/>
    </row>
    <row r="60" spans="2:45" s="199" customFormat="1" outlineLevel="1">
      <c r="B60" s="361" t="s">
        <v>399</v>
      </c>
      <c r="C60" s="362"/>
      <c r="D60" s="409" t="s">
        <v>205</v>
      </c>
      <c r="E60" s="364">
        <f>$C$59*'Site 5 - Financial'!$E$17</f>
        <v>5048931.3413882405</v>
      </c>
      <c r="F60" s="364">
        <f>E62*$C$59</f>
        <v>4966171.5666633341</v>
      </c>
      <c r="G60" s="392">
        <f t="shared" ref="G60:H60" si="25">F62*$C$59</f>
        <v>4879687.6020758078</v>
      </c>
      <c r="H60" s="363">
        <f t="shared" si="25"/>
        <v>4789311.859081842</v>
      </c>
      <c r="I60" s="364" t="s">
        <v>205</v>
      </c>
      <c r="J60" s="364" t="s">
        <v>205</v>
      </c>
      <c r="K60" s="364" t="s">
        <v>205</v>
      </c>
      <c r="L60" s="364" t="s">
        <v>205</v>
      </c>
      <c r="M60" s="364" t="s">
        <v>205</v>
      </c>
      <c r="N60" s="364" t="s">
        <v>205</v>
      </c>
      <c r="O60" s="365" t="s">
        <v>205</v>
      </c>
      <c r="AP60" s="368"/>
      <c r="AQ60" s="368"/>
      <c r="AR60" s="368"/>
      <c r="AS60" s="368"/>
    </row>
    <row r="61" spans="2:45" s="199" customFormat="1" outlineLevel="1">
      <c r="B61" s="361" t="s">
        <v>400</v>
      </c>
      <c r="C61" s="362"/>
      <c r="D61" s="409" t="s">
        <v>205</v>
      </c>
      <c r="E61" s="364">
        <f t="shared" ref="E61:H61" si="26">-(E60+E59)</f>
        <v>1839106.1049979152</v>
      </c>
      <c r="F61" s="364">
        <f t="shared" si="26"/>
        <v>1921865.8797228215</v>
      </c>
      <c r="G61" s="392">
        <f t="shared" si="26"/>
        <v>2008349.8443103479</v>
      </c>
      <c r="H61" s="363">
        <f t="shared" si="26"/>
        <v>2098725.5873043137</v>
      </c>
      <c r="I61" s="364" t="s">
        <v>205</v>
      </c>
      <c r="J61" s="364" t="s">
        <v>205</v>
      </c>
      <c r="K61" s="364" t="s">
        <v>205</v>
      </c>
      <c r="L61" s="364" t="s">
        <v>205</v>
      </c>
      <c r="M61" s="364" t="s">
        <v>205</v>
      </c>
      <c r="N61" s="364" t="s">
        <v>205</v>
      </c>
      <c r="O61" s="365" t="s">
        <v>205</v>
      </c>
      <c r="AP61" s="368"/>
      <c r="AQ61" s="368"/>
      <c r="AR61" s="368"/>
      <c r="AS61" s="368"/>
    </row>
    <row r="62" spans="2:45" s="199" customFormat="1" outlineLevel="1">
      <c r="B62" s="361" t="s">
        <v>408</v>
      </c>
      <c r="C62" s="362"/>
      <c r="D62" s="409" t="s">
        <v>205</v>
      </c>
      <c r="E62" s="364">
        <f>'Site 5 - Financial'!E17-E61</f>
        <v>110359368.14807411</v>
      </c>
      <c r="F62" s="364">
        <f t="shared" ref="F62:H62" si="27">E62-F61</f>
        <v>108437502.26835129</v>
      </c>
      <c r="G62" s="392">
        <f t="shared" si="27"/>
        <v>106429152.42404094</v>
      </c>
      <c r="H62" s="363">
        <f t="shared" si="27"/>
        <v>104330426.83673663</v>
      </c>
      <c r="I62" s="364" t="s">
        <v>205</v>
      </c>
      <c r="J62" s="364" t="s">
        <v>205</v>
      </c>
      <c r="K62" s="364" t="s">
        <v>205</v>
      </c>
      <c r="L62" s="364" t="s">
        <v>205</v>
      </c>
      <c r="M62" s="364" t="s">
        <v>205</v>
      </c>
      <c r="N62" s="364" t="s">
        <v>205</v>
      </c>
      <c r="O62" s="365" t="s">
        <v>205</v>
      </c>
      <c r="AP62" s="368"/>
      <c r="AQ62" s="368"/>
      <c r="AR62" s="368"/>
      <c r="AS62" s="368"/>
    </row>
    <row r="63" spans="2:45" s="133" customFormat="1" ht="15" thickBot="1">
      <c r="B63" s="194" t="s">
        <v>345</v>
      </c>
      <c r="C63" s="233"/>
      <c r="D63" s="408" t="s">
        <v>205</v>
      </c>
      <c r="E63" s="248">
        <f>E58*0.4</f>
        <v>-25813116.694080289</v>
      </c>
      <c r="F63" s="248">
        <f>F58*0.4</f>
        <v>-24444320.805650532</v>
      </c>
      <c r="G63" s="391">
        <f>G58*0.4</f>
        <v>-24541545.335650533</v>
      </c>
      <c r="H63" s="253">
        <v>0</v>
      </c>
      <c r="I63" s="248" t="s">
        <v>205</v>
      </c>
      <c r="J63" s="248" t="s">
        <v>205</v>
      </c>
      <c r="K63" s="248" t="s">
        <v>205</v>
      </c>
      <c r="L63" s="248" t="s">
        <v>205</v>
      </c>
      <c r="M63" s="248" t="s">
        <v>205</v>
      </c>
      <c r="N63" s="248" t="s">
        <v>205</v>
      </c>
      <c r="O63" s="221" t="s">
        <v>205</v>
      </c>
      <c r="AP63" s="47"/>
      <c r="AQ63" s="47"/>
      <c r="AR63" s="47"/>
      <c r="AS63" s="47"/>
    </row>
    <row r="64" spans="2:45" s="145" customFormat="1" ht="15" thickBot="1">
      <c r="B64" s="254" t="s">
        <v>342</v>
      </c>
      <c r="C64" s="360">
        <f>IRR(D64:N64)</f>
        <v>0.2137434821958899</v>
      </c>
      <c r="D64" s="403">
        <v>0</v>
      </c>
      <c r="E64" s="256">
        <f>E63+E59</f>
        <v>-32701154.140466444</v>
      </c>
      <c r="F64" s="256">
        <f>F63+F59</f>
        <v>-31332358.252036687</v>
      </c>
      <c r="G64" s="386">
        <f>G63+G59</f>
        <v>-31429582.782036688</v>
      </c>
      <c r="H64" s="255">
        <f>H58+H59-H62</f>
        <v>142776886.1544733</v>
      </c>
      <c r="I64" s="256">
        <v>0</v>
      </c>
      <c r="J64" s="256">
        <v>0</v>
      </c>
      <c r="K64" s="256">
        <v>0</v>
      </c>
      <c r="L64" s="256">
        <v>0</v>
      </c>
      <c r="M64" s="256">
        <v>0</v>
      </c>
      <c r="N64" s="256">
        <v>0</v>
      </c>
      <c r="O64" s="257" t="s">
        <v>205</v>
      </c>
      <c r="AP64" s="263"/>
      <c r="AQ64" s="263"/>
      <c r="AR64" s="263"/>
      <c r="AS64" s="263"/>
    </row>
    <row r="65" spans="1:45" s="95" customFormat="1">
      <c r="A65" s="133"/>
      <c r="B65" s="48"/>
      <c r="C65" s="48"/>
      <c r="D65" s="48"/>
      <c r="E65" s="48"/>
      <c r="F65" s="48"/>
      <c r="G65" s="48"/>
      <c r="H65" s="48"/>
      <c r="I65" s="48"/>
      <c r="J65" s="48"/>
      <c r="K65" s="48"/>
      <c r="L65" s="48"/>
      <c r="M65" s="48"/>
      <c r="N65" s="48"/>
      <c r="O65" s="48"/>
      <c r="P65" s="48"/>
      <c r="Q65" s="48"/>
      <c r="R65" s="48"/>
      <c r="S65" s="48"/>
      <c r="T65" s="48"/>
      <c r="U65" s="48"/>
      <c r="V65" s="48"/>
      <c r="W65" s="48"/>
      <c r="X65" s="48"/>
      <c r="Y65" s="48"/>
      <c r="Z65" s="48"/>
      <c r="AA65" s="48"/>
      <c r="AB65" s="48"/>
      <c r="AC65" s="48"/>
      <c r="AD65" s="48"/>
      <c r="AE65" s="48"/>
      <c r="AF65" s="48"/>
      <c r="AG65" s="48"/>
      <c r="AH65" s="48"/>
      <c r="AI65" s="48"/>
      <c r="AJ65" s="48"/>
      <c r="AK65" s="48"/>
      <c r="AL65" s="48"/>
      <c r="AM65" s="48"/>
      <c r="AP65" s="48"/>
      <c r="AQ65" s="48"/>
      <c r="AR65" s="48"/>
      <c r="AS65" s="48"/>
    </row>
    <row r="66" spans="1:45" s="95" customFormat="1">
      <c r="A66" s="133"/>
      <c r="B66" s="48"/>
      <c r="C66" s="179"/>
      <c r="D66" s="48"/>
      <c r="E66" s="48"/>
      <c r="F66" s="48"/>
      <c r="G66" s="48"/>
      <c r="H66" s="48"/>
      <c r="I66" s="309"/>
      <c r="J66" s="48"/>
      <c r="K66" s="48"/>
      <c r="L66" s="48"/>
      <c r="M66" s="48"/>
      <c r="N66" s="48"/>
      <c r="O66" s="48"/>
      <c r="P66" s="48"/>
      <c r="Q66" s="48"/>
      <c r="R66" s="48"/>
      <c r="S66" s="48"/>
      <c r="T66" s="48"/>
      <c r="U66" s="48"/>
      <c r="V66" s="48"/>
      <c r="W66" s="48"/>
      <c r="X66" s="48"/>
      <c r="Y66" s="48"/>
      <c r="Z66" s="48"/>
      <c r="AA66" s="48"/>
      <c r="AB66" s="48"/>
      <c r="AC66" s="48"/>
      <c r="AD66" s="48"/>
      <c r="AE66" s="48"/>
      <c r="AF66" s="48"/>
      <c r="AG66" s="48"/>
      <c r="AH66" s="48"/>
      <c r="AI66" s="48"/>
      <c r="AJ66" s="48"/>
      <c r="AK66" s="48"/>
      <c r="AL66" s="48"/>
      <c r="AM66" s="48"/>
      <c r="AP66" s="48"/>
      <c r="AQ66" s="48"/>
      <c r="AR66" s="48"/>
      <c r="AS66" s="48"/>
    </row>
    <row r="67" spans="1:45" s="95" customFormat="1">
      <c r="A67" s="133"/>
      <c r="B67" s="48"/>
      <c r="C67" s="179"/>
      <c r="D67" s="48"/>
      <c r="E67" s="48"/>
      <c r="F67" s="48"/>
      <c r="G67" s="48"/>
      <c r="H67" s="48"/>
      <c r="I67" s="48"/>
      <c r="J67" s="48"/>
      <c r="K67" s="48"/>
      <c r="L67" s="48"/>
      <c r="M67" s="48"/>
      <c r="N67" s="48"/>
      <c r="O67" s="48"/>
      <c r="P67" s="48"/>
      <c r="Q67" s="48"/>
      <c r="R67" s="48"/>
      <c r="S67" s="48"/>
      <c r="T67" s="48"/>
      <c r="U67" s="48"/>
      <c r="V67" s="48"/>
      <c r="W67" s="48"/>
      <c r="X67" s="48"/>
      <c r="Y67" s="48"/>
      <c r="Z67" s="48"/>
      <c r="AA67" s="48"/>
      <c r="AB67" s="48"/>
      <c r="AC67" s="48"/>
      <c r="AD67" s="48"/>
      <c r="AE67" s="48"/>
      <c r="AF67" s="48"/>
      <c r="AG67" s="48"/>
      <c r="AH67" s="48"/>
      <c r="AI67" s="48"/>
      <c r="AJ67" s="48"/>
      <c r="AK67" s="48"/>
      <c r="AL67" s="48"/>
      <c r="AM67" s="48"/>
      <c r="AP67" s="48"/>
      <c r="AQ67" s="48"/>
      <c r="AR67" s="48"/>
      <c r="AS67" s="48"/>
    </row>
    <row r="68" spans="1:45" s="95" customFormat="1">
      <c r="A68" s="133"/>
      <c r="B68" s="144"/>
      <c r="C68" s="184"/>
      <c r="D68" s="48"/>
      <c r="E68" s="48"/>
      <c r="F68" s="48"/>
      <c r="G68" s="48"/>
      <c r="H68" s="48"/>
      <c r="I68" s="48"/>
      <c r="J68" s="48"/>
      <c r="K68" s="48"/>
      <c r="L68" s="48"/>
      <c r="M68" s="48"/>
      <c r="N68" s="48"/>
      <c r="O68" s="48"/>
      <c r="P68" s="48"/>
      <c r="Q68" s="48"/>
      <c r="R68" s="48"/>
      <c r="S68" s="48"/>
      <c r="T68" s="48"/>
      <c r="U68" s="48"/>
      <c r="V68" s="48"/>
      <c r="W68" s="48"/>
      <c r="X68" s="48"/>
      <c r="Y68" s="48"/>
      <c r="Z68" s="48"/>
      <c r="AA68" s="48"/>
      <c r="AB68" s="48"/>
      <c r="AC68" s="48"/>
      <c r="AD68" s="48"/>
      <c r="AE68" s="48"/>
      <c r="AF68" s="48"/>
      <c r="AG68" s="48"/>
      <c r="AH68" s="48"/>
      <c r="AI68" s="48"/>
      <c r="AJ68" s="48"/>
      <c r="AK68" s="48"/>
      <c r="AL68" s="48"/>
      <c r="AM68" s="48"/>
      <c r="AP68" s="48"/>
      <c r="AQ68" s="48"/>
      <c r="AR68" s="48"/>
      <c r="AS68" s="48"/>
    </row>
    <row r="69" spans="1:45" s="95" customFormat="1">
      <c r="A69" s="133"/>
      <c r="B69" s="48"/>
      <c r="C69" s="48"/>
      <c r="D69" s="48"/>
      <c r="E69" s="48"/>
      <c r="F69" s="48"/>
      <c r="G69" s="48"/>
      <c r="H69" s="48"/>
      <c r="I69" s="48"/>
      <c r="J69" s="48"/>
      <c r="K69" s="48"/>
      <c r="L69" s="48"/>
      <c r="M69" s="48"/>
      <c r="N69" s="48"/>
      <c r="O69" s="48"/>
      <c r="P69" s="48"/>
      <c r="Q69" s="48"/>
      <c r="R69" s="48"/>
      <c r="S69" s="48"/>
      <c r="T69" s="48"/>
      <c r="U69" s="48"/>
      <c r="V69" s="48"/>
      <c r="W69" s="48"/>
      <c r="X69" s="48"/>
      <c r="Y69" s="48"/>
      <c r="Z69" s="48"/>
      <c r="AA69" s="48"/>
      <c r="AB69" s="48"/>
      <c r="AC69" s="48"/>
      <c r="AD69" s="48"/>
      <c r="AE69" s="48"/>
      <c r="AF69" s="48"/>
      <c r="AG69" s="48"/>
      <c r="AH69" s="48"/>
      <c r="AI69" s="48"/>
      <c r="AJ69" s="48"/>
      <c r="AK69" s="48"/>
      <c r="AL69" s="48"/>
      <c r="AM69" s="48"/>
      <c r="AP69" s="48"/>
      <c r="AQ69" s="48"/>
      <c r="AR69" s="48"/>
      <c r="AS69" s="48"/>
    </row>
  </sheetData>
  <mergeCells count="1">
    <mergeCell ref="B2:B4"/>
  </mergeCells>
  <conditionalFormatting sqref="D4:O4">
    <cfRule type="cellIs" dxfId="19" priority="1" operator="equal">
      <formula>#REF!</formula>
    </cfRule>
    <cfRule type="cellIs" dxfId="18" priority="2" operator="equal">
      <formula>#REF!</formula>
    </cfRule>
    <cfRule type="cellIs" dxfId="17" priority="3" operator="equal">
      <formula>#REF!</formula>
    </cfRule>
    <cfRule type="cellIs" dxfId="16" priority="4" operator="equal">
      <formula>#REF!</formula>
    </cfRule>
  </conditionalFormatting>
  <pageMargins left="0.7" right="0.7" top="0.75" bottom="0.75" header="0.3" footer="0.3"/>
  <pageSetup paperSize="3" orientation="landscape" horizontalDpi="1200" verticalDpi="1200" r:id="rId1"/>
  <headerFooter>
    <oddHeader>&amp;C&amp;"Calibri,Regular"&amp;K000000OVERALL DRAW</oddHeader>
    <oddFooter>&amp;C&amp;"Calibri,Regular"&amp;K000000PAGE &amp;P OF &amp;N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0A96D9-72E7-EA47-9565-62FA7FAA85E3}">
  <sheetPr>
    <tabColor rgb="FF00B050"/>
    <pageSetUpPr fitToPage="1"/>
  </sheetPr>
  <dimension ref="B1:K83"/>
  <sheetViews>
    <sheetView showGridLines="0" zoomScale="125" zoomScaleNormal="110" zoomScaleSheetLayoutView="90" workbookViewId="0">
      <selection activeCell="I29" sqref="I29"/>
    </sheetView>
  </sheetViews>
  <sheetFormatPr defaultColWidth="8.77734375" defaultRowHeight="23.25" customHeight="1"/>
  <cols>
    <col min="1" max="1" width="2" style="48" customWidth="1"/>
    <col min="2" max="2" width="36.44140625" style="48" bestFit="1" customWidth="1"/>
    <col min="3" max="3" width="32.109375" style="48" bestFit="1" customWidth="1"/>
    <col min="4" max="4" width="22.44140625" style="48" bestFit="1" customWidth="1"/>
    <col min="5" max="5" width="18.44140625" style="48" customWidth="1"/>
    <col min="6" max="6" width="18.109375" style="48" bestFit="1" customWidth="1"/>
    <col min="7" max="7" width="44.77734375" style="48" customWidth="1"/>
    <col min="8" max="11" width="26.109375" style="48" customWidth="1"/>
    <col min="12" max="12" width="13.109375" style="48" bestFit="1" customWidth="1"/>
    <col min="13" max="13" width="24.44140625" style="48" customWidth="1"/>
    <col min="14" max="14" width="32.44140625" style="48" customWidth="1"/>
    <col min="15" max="15" width="20.109375" style="48" customWidth="1"/>
    <col min="16" max="16384" width="8.77734375" style="48"/>
  </cols>
  <sheetData>
    <row r="1" spans="2:10" ht="12" customHeight="1" thickBot="1">
      <c r="B1" s="121"/>
      <c r="C1" s="121"/>
      <c r="D1" s="119"/>
      <c r="E1" s="122"/>
    </row>
    <row r="2" spans="2:10" ht="21" customHeight="1">
      <c r="B2" s="1197" t="str">
        <f>'Development Program'!B10</f>
        <v>The Argyle</v>
      </c>
      <c r="C2" s="1198"/>
      <c r="D2" s="1198"/>
      <c r="E2" s="1198"/>
      <c r="F2" s="1199"/>
      <c r="G2" s="1216" t="s">
        <v>101</v>
      </c>
      <c r="H2" s="1164" t="s">
        <v>18</v>
      </c>
      <c r="I2" s="1164" t="s">
        <v>97</v>
      </c>
      <c r="J2" s="1166" t="s">
        <v>91</v>
      </c>
    </row>
    <row r="3" spans="2:10" ht="21" customHeight="1" thickBot="1">
      <c r="B3" s="93" t="s">
        <v>605</v>
      </c>
      <c r="C3" s="327" t="s">
        <v>84</v>
      </c>
      <c r="D3" s="328" t="s">
        <v>402</v>
      </c>
      <c r="E3" s="327" t="s">
        <v>606</v>
      </c>
      <c r="F3" s="120" t="s">
        <v>404</v>
      </c>
      <c r="G3" s="1217"/>
      <c r="H3" s="1165"/>
      <c r="I3" s="1165"/>
      <c r="J3" s="1167"/>
    </row>
    <row r="4" spans="2:10" ht="21" customHeight="1">
      <c r="B4" s="154" t="s">
        <v>86</v>
      </c>
      <c r="C4" s="155">
        <v>40</v>
      </c>
      <c r="D4" s="156">
        <f>Assumptions!C7*C4</f>
        <v>18000</v>
      </c>
      <c r="E4" s="157">
        <f>'Site 5 - Financial'!E4</f>
        <v>1768</v>
      </c>
      <c r="F4" s="158">
        <f>E4*C4*12</f>
        <v>848640</v>
      </c>
      <c r="G4" s="126" t="str">
        <f>Assumptions!F19</f>
        <v>Residential Condominium Hard Costs for Construction</v>
      </c>
      <c r="H4" s="284">
        <f>'Market Research'!H116</f>
        <v>260</v>
      </c>
      <c r="I4" s="285">
        <f>H4*D8</f>
        <v>20020000</v>
      </c>
      <c r="J4" s="306">
        <f t="shared" ref="J4:J27" si="0">I4/($C$13+$C$8)</f>
        <v>161451.61290322582</v>
      </c>
    </row>
    <row r="5" spans="2:10" ht="21" customHeight="1">
      <c r="B5" s="159" t="s">
        <v>190</v>
      </c>
      <c r="C5" s="160">
        <v>60</v>
      </c>
      <c r="D5" s="161">
        <f>Assumptions!C9*C5</f>
        <v>39000</v>
      </c>
      <c r="E5" s="162">
        <f>'Site 5 - Financial'!E5</f>
        <v>1895</v>
      </c>
      <c r="F5" s="163">
        <f>E5*C5*12</f>
        <v>1364400</v>
      </c>
      <c r="G5" s="126" t="s">
        <v>309</v>
      </c>
      <c r="H5" s="286">
        <f>'Market Research'!H122</f>
        <v>255</v>
      </c>
      <c r="I5" s="285">
        <f>H5*D12</f>
        <v>0</v>
      </c>
      <c r="J5" s="307">
        <f t="shared" si="0"/>
        <v>0</v>
      </c>
    </row>
    <row r="6" spans="2:10" ht="21" customHeight="1">
      <c r="B6" s="159" t="s">
        <v>191</v>
      </c>
      <c r="C6" s="160">
        <v>20</v>
      </c>
      <c r="D6" s="161">
        <f>Assumptions!C11*C6</f>
        <v>20000</v>
      </c>
      <c r="E6" s="162">
        <f>'Site 5 - Financial'!E6</f>
        <v>2274</v>
      </c>
      <c r="F6" s="163">
        <f>E6*C6*12</f>
        <v>545760</v>
      </c>
      <c r="G6" s="126" t="s">
        <v>310</v>
      </c>
      <c r="H6" s="286">
        <f>'Market Research'!H122</f>
        <v>255</v>
      </c>
      <c r="I6" s="285">
        <f>H6*D11</f>
        <v>3717135</v>
      </c>
      <c r="J6" s="307">
        <f t="shared" si="0"/>
        <v>29976.895161290322</v>
      </c>
    </row>
    <row r="7" spans="2:10" ht="21" customHeight="1" thickBot="1">
      <c r="B7" s="164" t="s">
        <v>192</v>
      </c>
      <c r="C7" s="165">
        <v>0</v>
      </c>
      <c r="D7" s="166">
        <f>Assumptions!C13*C7</f>
        <v>0</v>
      </c>
      <c r="E7" s="167">
        <f>'Site 5 - Financial'!E7</f>
        <v>2628</v>
      </c>
      <c r="F7" s="168">
        <f>E7*C7*12</f>
        <v>0</v>
      </c>
      <c r="G7" s="126" t="s">
        <v>545</v>
      </c>
      <c r="H7" s="287" t="s">
        <v>157</v>
      </c>
      <c r="I7" s="285">
        <v>0</v>
      </c>
      <c r="J7" s="307">
        <f t="shared" si="0"/>
        <v>0</v>
      </c>
    </row>
    <row r="8" spans="2:10" ht="21" customHeight="1">
      <c r="B8" s="1200" t="s">
        <v>87</v>
      </c>
      <c r="C8" s="1202">
        <f>SUM(C4:C7)</f>
        <v>120</v>
      </c>
      <c r="D8" s="1220">
        <f>SUM(D4:D7)</f>
        <v>77000</v>
      </c>
      <c r="E8" s="1206" t="s">
        <v>157</v>
      </c>
      <c r="F8" s="1168">
        <f>SUM(F4:F7)</f>
        <v>2758800</v>
      </c>
      <c r="G8" s="126" t="s">
        <v>20</v>
      </c>
      <c r="H8" s="288">
        <v>0.1</v>
      </c>
      <c r="I8" s="285">
        <f>H8*SUM(I4:I7)</f>
        <v>2373713.5</v>
      </c>
      <c r="J8" s="307">
        <f t="shared" si="0"/>
        <v>19142.850806451614</v>
      </c>
    </row>
    <row r="9" spans="2:10" ht="21" customHeight="1">
      <c r="B9" s="1201"/>
      <c r="C9" s="1203"/>
      <c r="D9" s="1221"/>
      <c r="E9" s="1207"/>
      <c r="F9" s="1169"/>
      <c r="G9" s="520" t="s">
        <v>6</v>
      </c>
      <c r="H9" s="289" t="s">
        <v>24</v>
      </c>
      <c r="I9" s="285">
        <v>500000</v>
      </c>
      <c r="J9" s="307">
        <f t="shared" si="0"/>
        <v>4032.2580645161293</v>
      </c>
    </row>
    <row r="10" spans="2:10" ht="21" customHeight="1" thickBot="1">
      <c r="B10" s="185" t="s">
        <v>88</v>
      </c>
      <c r="C10" s="327" t="s">
        <v>84</v>
      </c>
      <c r="D10" s="327" t="s">
        <v>402</v>
      </c>
      <c r="E10" s="327" t="s">
        <v>89</v>
      </c>
      <c r="F10" s="120" t="s">
        <v>85</v>
      </c>
      <c r="G10" s="520" t="s">
        <v>312</v>
      </c>
      <c r="H10" s="290">
        <f>'Market Research'!C53</f>
        <v>45000000</v>
      </c>
      <c r="I10" s="285">
        <f>H10*C17</f>
        <v>13685950.41322314</v>
      </c>
      <c r="J10" s="307">
        <f t="shared" si="0"/>
        <v>110370.56784857372</v>
      </c>
    </row>
    <row r="11" spans="2:10" ht="21" customHeight="1">
      <c r="B11" s="169" t="s">
        <v>1</v>
      </c>
      <c r="C11" s="170">
        <v>4</v>
      </c>
      <c r="D11" s="171">
        <v>14577</v>
      </c>
      <c r="E11" s="172">
        <f>Assumptions!F7</f>
        <v>35</v>
      </c>
      <c r="F11" s="173">
        <f>D11*E11</f>
        <v>510195</v>
      </c>
      <c r="G11" s="520" t="s">
        <v>21</v>
      </c>
      <c r="H11" s="625" t="s">
        <v>380</v>
      </c>
      <c r="I11" s="285">
        <v>115000</v>
      </c>
      <c r="J11" s="306">
        <f t="shared" si="0"/>
        <v>927.41935483870964</v>
      </c>
    </row>
    <row r="12" spans="2:10" ht="21" customHeight="1" thickBot="1">
      <c r="B12" s="174" t="s">
        <v>0</v>
      </c>
      <c r="C12" s="175">
        <v>0</v>
      </c>
      <c r="D12" s="176">
        <v>0</v>
      </c>
      <c r="E12" s="177">
        <f>Assumptions!G7</f>
        <v>45</v>
      </c>
      <c r="F12" s="178">
        <f>D12*E12</f>
        <v>0</v>
      </c>
      <c r="G12" s="520" t="s">
        <v>43</v>
      </c>
      <c r="H12" s="280" t="s">
        <v>381</v>
      </c>
      <c r="I12" s="285">
        <f>'Development Program'!P22</f>
        <v>1337473.2880755607</v>
      </c>
      <c r="J12" s="307">
        <f t="shared" si="0"/>
        <v>10786.074903835168</v>
      </c>
    </row>
    <row r="13" spans="2:10" ht="21" customHeight="1">
      <c r="B13" s="1200" t="s">
        <v>87</v>
      </c>
      <c r="C13" s="1202">
        <f>SUM(C11:C12)</f>
        <v>4</v>
      </c>
      <c r="D13" s="1220">
        <f>SUM(D11:D12)</f>
        <v>14577</v>
      </c>
      <c r="E13" s="1211">
        <f>IF(D13=0,0,F13/D13)</f>
        <v>35</v>
      </c>
      <c r="F13" s="1168">
        <f>SUM(F11:F12)</f>
        <v>510195</v>
      </c>
      <c r="G13" s="124" t="s">
        <v>23</v>
      </c>
      <c r="H13" s="276" t="s">
        <v>24</v>
      </c>
      <c r="I13" s="277">
        <v>400000</v>
      </c>
      <c r="J13" s="307">
        <f t="shared" si="0"/>
        <v>3225.8064516129034</v>
      </c>
    </row>
    <row r="14" spans="2:10" ht="21" customHeight="1" thickBot="1">
      <c r="B14" s="1208"/>
      <c r="C14" s="1203"/>
      <c r="D14" s="1221"/>
      <c r="E14" s="1212"/>
      <c r="F14" s="1188"/>
      <c r="G14" s="124" t="s">
        <v>374</v>
      </c>
      <c r="H14" s="302">
        <v>0.02</v>
      </c>
      <c r="I14" s="277">
        <f>H14*I10</f>
        <v>273719.00826446281</v>
      </c>
      <c r="J14" s="307">
        <f t="shared" si="0"/>
        <v>2207.4113569714741</v>
      </c>
    </row>
    <row r="15" spans="2:10" ht="21" customHeight="1">
      <c r="B15" s="1120" t="s">
        <v>384</v>
      </c>
      <c r="C15" s="1122"/>
      <c r="D15" s="1194" t="s">
        <v>206</v>
      </c>
      <c r="E15" s="1195"/>
      <c r="F15" s="1196"/>
      <c r="G15" s="124" t="s">
        <v>26</v>
      </c>
      <c r="H15" s="278">
        <v>0.04</v>
      </c>
      <c r="I15" s="277">
        <f>H15*SUM(I4:I7)</f>
        <v>949485.4</v>
      </c>
      <c r="J15" s="307">
        <f t="shared" si="0"/>
        <v>7657.1403225806453</v>
      </c>
    </row>
    <row r="16" spans="2:10" ht="21" customHeight="1" thickBot="1">
      <c r="B16" s="142" t="s">
        <v>331</v>
      </c>
      <c r="C16" s="198" t="s">
        <v>388</v>
      </c>
      <c r="D16" s="142" t="s">
        <v>331</v>
      </c>
      <c r="E16" s="143" t="s">
        <v>104</v>
      </c>
      <c r="F16" s="198" t="s">
        <v>91</v>
      </c>
      <c r="G16" s="124" t="s">
        <v>27</v>
      </c>
      <c r="H16" s="279">
        <v>0.03</v>
      </c>
      <c r="I16" s="277">
        <f>H16*SUM(I4:I15)</f>
        <v>1301174.2982868946</v>
      </c>
      <c r="J16" s="307">
        <f t="shared" si="0"/>
        <v>10493.341115216892</v>
      </c>
    </row>
    <row r="17" spans="2:11" ht="21" customHeight="1">
      <c r="B17" s="310" t="s">
        <v>385</v>
      </c>
      <c r="C17" s="311">
        <f>13248/43560</f>
        <v>0.30413223140495865</v>
      </c>
      <c r="D17" s="320">
        <f>Assumptions!I11</f>
        <v>0.6</v>
      </c>
      <c r="E17" s="321">
        <f>D17*(I27-E19)</f>
        <v>30095982.044402137</v>
      </c>
      <c r="F17" s="322">
        <f>E17/($C$8+$C$13)</f>
        <v>242709.53261614626</v>
      </c>
      <c r="G17" s="124" t="s">
        <v>28</v>
      </c>
      <c r="H17" s="278">
        <v>0.02</v>
      </c>
      <c r="I17" s="277">
        <f>H17*SUM(I4:I7)</f>
        <v>474742.7</v>
      </c>
      <c r="J17" s="307">
        <f t="shared" si="0"/>
        <v>3828.5701612903226</v>
      </c>
    </row>
    <row r="18" spans="2:11" ht="21" customHeight="1">
      <c r="B18" s="312" t="s">
        <v>386</v>
      </c>
      <c r="C18" s="417">
        <f>16870+77000</f>
        <v>93870</v>
      </c>
      <c r="D18" s="323">
        <f>1-D17</f>
        <v>0.4</v>
      </c>
      <c r="E18" s="318">
        <f>D18*(I27-E19)</f>
        <v>20063988.029601425</v>
      </c>
      <c r="F18" s="319">
        <f>E18/($C$8+$C$13)</f>
        <v>161806.35507743084</v>
      </c>
      <c r="G18" s="531" t="s">
        <v>99</v>
      </c>
      <c r="H18" s="805">
        <v>8.8293999999999994E-3</v>
      </c>
      <c r="I18" s="277">
        <f>H18*I10</f>
        <v>120838.73057851239</v>
      </c>
      <c r="J18" s="307">
        <f>I18/($C$13+$C$8)</f>
        <v>974.50589176219671</v>
      </c>
    </row>
    <row r="19" spans="2:11" ht="21" customHeight="1">
      <c r="B19" s="312" t="s">
        <v>387</v>
      </c>
      <c r="C19" s="313">
        <f>D8+D13</f>
        <v>91577</v>
      </c>
      <c r="D19" s="312" t="s">
        <v>395</v>
      </c>
      <c r="E19" s="329">
        <f>I28</f>
        <v>3237000</v>
      </c>
      <c r="F19" s="330">
        <f>E19/($C$8+$C$13)</f>
        <v>26104.83870967742</v>
      </c>
      <c r="G19" s="124" t="s">
        <v>29</v>
      </c>
      <c r="H19" s="280">
        <v>6000</v>
      </c>
      <c r="I19" s="277">
        <f>H19*(C8+C13)</f>
        <v>744000</v>
      </c>
      <c r="J19" s="307">
        <f t="shared" si="0"/>
        <v>6000</v>
      </c>
    </row>
    <row r="20" spans="2:11" ht="21" customHeight="1">
      <c r="B20" s="312" t="s">
        <v>389</v>
      </c>
      <c r="C20" s="314">
        <v>40</v>
      </c>
      <c r="D20" s="312" t="s">
        <v>396</v>
      </c>
      <c r="E20" s="324">
        <f>SUM(E17:E19)</f>
        <v>53396970.074003562</v>
      </c>
      <c r="F20" s="330">
        <f>E20/($C$8+$C$13)</f>
        <v>430620.72640325455</v>
      </c>
      <c r="G20" s="124" t="s">
        <v>30</v>
      </c>
      <c r="H20" s="276" t="s">
        <v>24</v>
      </c>
      <c r="I20" s="277">
        <v>400000</v>
      </c>
      <c r="J20" s="307">
        <f t="shared" si="0"/>
        <v>3225.8064516129034</v>
      </c>
    </row>
    <row r="21" spans="2:11" ht="21" customHeight="1" thickBot="1">
      <c r="B21" s="312" t="s">
        <v>390</v>
      </c>
      <c r="C21" s="314">
        <v>10</v>
      </c>
      <c r="D21" s="316"/>
      <c r="E21" s="326"/>
      <c r="F21" s="317"/>
      <c r="G21" s="124" t="s">
        <v>31</v>
      </c>
      <c r="H21" s="281" t="s">
        <v>376</v>
      </c>
      <c r="I21" s="277">
        <f>-SUM('Site 6 - Draw'!F38:I38,'Site 6 - Draw'!F47:I47,'Site 6 - Draw'!F56:I56)</f>
        <v>1789899.2355750001</v>
      </c>
      <c r="J21" s="307">
        <f t="shared" si="0"/>
        <v>14434.671254637096</v>
      </c>
    </row>
    <row r="22" spans="2:11" ht="21" customHeight="1">
      <c r="B22" s="315" t="s">
        <v>438</v>
      </c>
      <c r="C22" s="417">
        <v>14233</v>
      </c>
      <c r="D22" s="1172" t="s">
        <v>105</v>
      </c>
      <c r="E22" s="1174">
        <f>E20</f>
        <v>53396970.074003562</v>
      </c>
      <c r="F22" s="1191">
        <f>F20</f>
        <v>430620.72640325455</v>
      </c>
      <c r="G22" s="124" t="s">
        <v>377</v>
      </c>
      <c r="H22" s="282">
        <f>'Market Research'!H125</f>
        <v>140</v>
      </c>
      <c r="I22" s="277">
        <f>H22*D13</f>
        <v>2040780</v>
      </c>
      <c r="J22" s="307">
        <f t="shared" si="0"/>
        <v>16457.903225806451</v>
      </c>
    </row>
    <row r="23" spans="2:11" ht="21" customHeight="1" thickBot="1">
      <c r="B23" s="448" t="s">
        <v>437</v>
      </c>
      <c r="C23" s="447">
        <f>C18/(C17*43560)</f>
        <v>7.0855978260869579</v>
      </c>
      <c r="D23" s="1173"/>
      <c r="E23" s="1175"/>
      <c r="F23" s="1192"/>
      <c r="G23" s="124" t="s">
        <v>378</v>
      </c>
      <c r="H23" s="283">
        <v>0.06</v>
      </c>
      <c r="I23" s="277">
        <f>'Site 6 - Draw'!J41*5*H23</f>
        <v>153058.5</v>
      </c>
      <c r="J23" s="307">
        <f t="shared" si="0"/>
        <v>1234.3427419354839</v>
      </c>
    </row>
    <row r="24" spans="2:11" ht="21" customHeight="1" thickBot="1">
      <c r="B24" s="416">
        <v>8</v>
      </c>
      <c r="C24" s="417">
        <f>C18/B24</f>
        <v>11733.75</v>
      </c>
      <c r="D24" s="1189" t="s">
        <v>106</v>
      </c>
      <c r="E24" s="1190"/>
      <c r="F24" s="260" t="s">
        <v>383</v>
      </c>
      <c r="G24" s="531" t="s">
        <v>33</v>
      </c>
      <c r="H24" s="532">
        <v>0.01</v>
      </c>
      <c r="I24" s="277">
        <v>250000</v>
      </c>
      <c r="J24" s="307">
        <f t="shared" si="0"/>
        <v>2016.1290322580646</v>
      </c>
      <c r="K24" s="266"/>
    </row>
    <row r="25" spans="2:11" ht="21" customHeight="1" thickBot="1">
      <c r="B25" s="316" t="s">
        <v>393</v>
      </c>
      <c r="C25" s="317" t="s">
        <v>6</v>
      </c>
      <c r="D25" s="1182" t="s">
        <v>333</v>
      </c>
      <c r="E25" s="1183"/>
      <c r="F25" s="331">
        <f>'Site 6 - Draw'!J39</f>
        <v>52850101.781886995</v>
      </c>
      <c r="G25" s="533" t="s">
        <v>34</v>
      </c>
      <c r="H25" s="534">
        <v>7.0000000000000007E-2</v>
      </c>
      <c r="I25" s="277">
        <f>I24*7</f>
        <v>1750000</v>
      </c>
      <c r="J25" s="307">
        <f t="shared" si="0"/>
        <v>14112.903225806451</v>
      </c>
      <c r="K25" s="266"/>
    </row>
    <row r="26" spans="2:11" ht="21" customHeight="1" thickBot="1">
      <c r="B26" s="1189" t="s">
        <v>110</v>
      </c>
      <c r="C26" s="1193"/>
      <c r="D26" s="1184" t="s">
        <v>391</v>
      </c>
      <c r="E26" s="1185"/>
      <c r="F26" s="380" t="s">
        <v>157</v>
      </c>
      <c r="G26" s="127" t="s">
        <v>100</v>
      </c>
      <c r="H26" s="274" t="s">
        <v>24</v>
      </c>
      <c r="I26" s="275">
        <v>1000000</v>
      </c>
      <c r="J26" s="308">
        <f t="shared" si="0"/>
        <v>8064.5161290322585</v>
      </c>
    </row>
    <row r="27" spans="2:11" ht="21" customHeight="1">
      <c r="B27" s="303" t="s">
        <v>311</v>
      </c>
      <c r="C27" s="338">
        <f>(F32+E18)/E18</f>
        <v>1.7500033405870095</v>
      </c>
      <c r="D27" s="1184" t="s">
        <v>392</v>
      </c>
      <c r="E27" s="1185"/>
      <c r="F27" s="332" t="s">
        <v>157</v>
      </c>
      <c r="G27" s="128" t="s">
        <v>101</v>
      </c>
      <c r="H27" s="340" t="s">
        <v>205</v>
      </c>
      <c r="I27" s="563">
        <f>SUM(I4:I26)</f>
        <v>53396970.074003562</v>
      </c>
      <c r="J27" s="342">
        <f t="shared" si="0"/>
        <v>430620.72640325455</v>
      </c>
      <c r="K27" s="266"/>
    </row>
    <row r="28" spans="2:11" ht="21" customHeight="1">
      <c r="B28" s="304" t="s">
        <v>136</v>
      </c>
      <c r="C28" s="336">
        <f>'Site 6 - Draw'!C58</f>
        <v>0.12536851933948623</v>
      </c>
      <c r="D28" s="1170" t="s">
        <v>334</v>
      </c>
      <c r="E28" s="1171"/>
      <c r="F28" s="333">
        <f>'Site 6 - Draw'!J48</f>
        <v>12357926.339815404</v>
      </c>
      <c r="G28" s="129" t="s">
        <v>618</v>
      </c>
      <c r="H28" s="343" t="s">
        <v>205</v>
      </c>
      <c r="I28" s="344">
        <v>3237000</v>
      </c>
      <c r="J28" s="345">
        <f>I28/($C$13+$C$8)</f>
        <v>26104.83870967742</v>
      </c>
    </row>
    <row r="29" spans="2:11" ht="21" customHeight="1">
      <c r="B29" s="304" t="s">
        <v>41</v>
      </c>
      <c r="C29" s="336">
        <f>'Site 6 - Draw'!C64</f>
        <v>0.14388825187933385</v>
      </c>
      <c r="D29" s="1186" t="s">
        <v>335</v>
      </c>
      <c r="E29" s="1187"/>
      <c r="F29" s="334">
        <f>F25+F28</f>
        <v>65208028.121702403</v>
      </c>
      <c r="G29" s="129" t="s">
        <v>336</v>
      </c>
      <c r="H29" s="343" t="s">
        <v>205</v>
      </c>
      <c r="I29" s="344">
        <f>'Site 6 - Draw'!J39+'Site 6 - Draw'!J48</f>
        <v>65208028.121702403</v>
      </c>
      <c r="J29" s="345">
        <f>I29/($C$13+$C$8)</f>
        <v>525871.19452985807</v>
      </c>
    </row>
    <row r="30" spans="2:11" ht="21" customHeight="1">
      <c r="B30" s="304" t="s">
        <v>111</v>
      </c>
      <c r="C30" s="431">
        <f>('Site 6 - Draw'!J47+'Site 6 - Draw'!J38)/E17</f>
        <v>9.9924397372223181E-2</v>
      </c>
      <c r="D30" s="1178" t="s">
        <v>107</v>
      </c>
      <c r="E30" s="1179"/>
      <c r="F30" s="333">
        <f>E17</f>
        <v>30095982.044402137</v>
      </c>
      <c r="G30" s="129" t="s">
        <v>102</v>
      </c>
      <c r="H30" s="343" t="s">
        <v>205</v>
      </c>
      <c r="I30" s="379">
        <f>('Site 6 - Draw'!J38+'Site 6 - Draw'!J47)/I27</f>
        <v>5.6320103274478769E-2</v>
      </c>
      <c r="J30" s="346" t="s">
        <v>205</v>
      </c>
    </row>
    <row r="31" spans="2:11" ht="21" customHeight="1">
      <c r="B31" s="304" t="s">
        <v>397</v>
      </c>
      <c r="C31" s="336">
        <f>Assumptions!I9</f>
        <v>4.2500000000000003E-2</v>
      </c>
      <c r="D31" s="1178" t="s">
        <v>108</v>
      </c>
      <c r="E31" s="1179"/>
      <c r="F31" s="333">
        <f>E18</f>
        <v>20063988.029601425</v>
      </c>
      <c r="G31" s="129" t="s">
        <v>103</v>
      </c>
      <c r="H31" s="343" t="s">
        <v>205</v>
      </c>
      <c r="I31" s="552">
        <f>I29/(I27-I28)-1</f>
        <v>0.30000133623480374</v>
      </c>
      <c r="J31" s="347" t="s">
        <v>205</v>
      </c>
    </row>
    <row r="32" spans="2:11" ht="21" customHeight="1" thickBot="1">
      <c r="B32" s="305" t="s">
        <v>546</v>
      </c>
      <c r="C32" s="339">
        <f>Assumptions!I6</f>
        <v>4.7500000000000001E-2</v>
      </c>
      <c r="D32" s="1180" t="s">
        <v>109</v>
      </c>
      <c r="E32" s="1181"/>
      <c r="F32" s="335">
        <f>F29-F30-F31</f>
        <v>15048058.04769884</v>
      </c>
      <c r="G32" s="816">
        <v>0.5</v>
      </c>
      <c r="H32" s="817" t="s">
        <v>205</v>
      </c>
      <c r="I32" s="818">
        <f>I29/(1+G32)</f>
        <v>43472018.747801602</v>
      </c>
      <c r="J32" s="819">
        <f>I32/($C$13+$C$8)</f>
        <v>350580.79635323875</v>
      </c>
    </row>
    <row r="33" spans="2:10" ht="16.05" customHeight="1">
      <c r="G33" s="820"/>
      <c r="H33" s="821"/>
      <c r="I33" s="822"/>
      <c r="J33" s="822"/>
    </row>
    <row r="34" spans="2:10" ht="15" customHeight="1">
      <c r="D34" s="144"/>
      <c r="E34" s="144"/>
      <c r="F34" s="144"/>
      <c r="G34" s="187"/>
      <c r="H34" s="188"/>
      <c r="I34" s="189"/>
      <c r="J34" s="188"/>
    </row>
    <row r="35" spans="2:10" ht="15" customHeight="1">
      <c r="D35" s="132"/>
      <c r="G35" s="190"/>
      <c r="H35" s="1176"/>
      <c r="I35" s="1176"/>
      <c r="J35" s="188"/>
    </row>
    <row r="36" spans="2:10" ht="15" customHeight="1">
      <c r="D36" s="132"/>
      <c r="G36" s="191"/>
      <c r="H36" s="1177"/>
      <c r="I36" s="1177"/>
      <c r="J36" s="192"/>
    </row>
    <row r="37" spans="2:10" ht="13.2">
      <c r="D37" s="132"/>
    </row>
    <row r="38" spans="2:10" ht="13.2">
      <c r="D38" s="179"/>
    </row>
    <row r="39" spans="2:10" s="144" customFormat="1" ht="13.2">
      <c r="B39" s="48"/>
      <c r="C39" s="48"/>
      <c r="D39" s="179"/>
      <c r="E39" s="48"/>
      <c r="F39" s="48"/>
    </row>
    <row r="40" spans="2:10" ht="13.2">
      <c r="B40" s="144"/>
      <c r="C40" s="144"/>
    </row>
    <row r="41" spans="2:10" ht="13.05" customHeight="1">
      <c r="B41" s="132"/>
      <c r="C41" s="132"/>
    </row>
    <row r="42" spans="2:10" ht="13.2">
      <c r="B42" s="132"/>
      <c r="C42" s="132"/>
    </row>
    <row r="43" spans="2:10" s="144" customFormat="1" ht="13.2">
      <c r="B43" s="125"/>
      <c r="C43" s="125"/>
      <c r="D43" s="48"/>
      <c r="E43" s="48"/>
      <c r="F43" s="48"/>
    </row>
    <row r="44" spans="2:10" s="132" customFormat="1" ht="13.2">
      <c r="D44" s="48"/>
      <c r="E44" s="48"/>
      <c r="F44" s="48"/>
    </row>
    <row r="45" spans="2:10" s="132" customFormat="1" ht="13.2">
      <c r="D45" s="48"/>
      <c r="E45" s="48"/>
      <c r="F45" s="48"/>
    </row>
    <row r="46" spans="2:10" s="125" customFormat="1" ht="13.2">
      <c r="D46" s="48"/>
      <c r="E46" s="48"/>
      <c r="F46" s="48"/>
    </row>
    <row r="47" spans="2:10" s="132" customFormat="1" ht="13.2">
      <c r="D47" s="48"/>
      <c r="E47" s="48"/>
      <c r="F47" s="48"/>
    </row>
    <row r="48" spans="2:10" s="132" customFormat="1" ht="13.2">
      <c r="D48" s="48"/>
      <c r="E48" s="48"/>
      <c r="F48" s="48"/>
    </row>
    <row r="49" spans="2:10" s="125" customFormat="1" ht="13.2">
      <c r="B49" s="132"/>
      <c r="C49" s="132"/>
      <c r="D49" s="48"/>
      <c r="E49" s="48"/>
      <c r="F49" s="48"/>
    </row>
    <row r="50" spans="2:10" s="132" customFormat="1" ht="13.2">
      <c r="B50" s="48"/>
      <c r="C50" s="179"/>
      <c r="D50" s="48"/>
      <c r="E50" s="48"/>
      <c r="F50" s="48"/>
    </row>
    <row r="51" spans="2:10" s="132" customFormat="1" ht="13.2">
      <c r="B51" s="48"/>
      <c r="C51" s="179"/>
      <c r="D51" s="48"/>
      <c r="E51" s="48"/>
      <c r="F51" s="48"/>
    </row>
    <row r="52" spans="2:10" s="132" customFormat="1" ht="13.2">
      <c r="B52" s="48"/>
      <c r="C52" s="48"/>
      <c r="D52" s="48"/>
      <c r="E52" s="48"/>
      <c r="F52" s="48"/>
    </row>
    <row r="53" spans="2:10" ht="13.2">
      <c r="G53" s="179"/>
      <c r="H53" s="179"/>
      <c r="I53" s="179"/>
      <c r="J53" s="179"/>
    </row>
    <row r="54" spans="2:10" ht="13.2">
      <c r="G54" s="179"/>
      <c r="H54" s="179"/>
      <c r="I54" s="179"/>
      <c r="J54" s="179"/>
    </row>
    <row r="55" spans="2:10" ht="13.2"/>
    <row r="56" spans="2:10" ht="15" customHeight="1"/>
    <row r="57" spans="2:10" ht="13.2"/>
    <row r="58" spans="2:10" ht="13.2">
      <c r="G58" s="179"/>
    </row>
    <row r="59" spans="2:10" ht="13.2">
      <c r="G59" s="179"/>
    </row>
    <row r="60" spans="2:10" ht="13.2"/>
    <row r="61" spans="2:10" ht="13.2"/>
    <row r="62" spans="2:10" ht="13.2">
      <c r="G62" s="179"/>
    </row>
    <row r="63" spans="2:10" ht="15" customHeight="1"/>
    <row r="64" spans="2:10" ht="15" customHeight="1"/>
    <row r="65" ht="13.2"/>
    <row r="66" ht="13.2"/>
    <row r="67" ht="13.2"/>
    <row r="68" ht="13.2"/>
    <row r="69" ht="13.2"/>
    <row r="70" ht="13.2"/>
    <row r="71" ht="13.2"/>
    <row r="72" ht="13.2"/>
    <row r="73" ht="13.2"/>
    <row r="74" ht="13.2"/>
    <row r="75" ht="13.2"/>
    <row r="76" ht="13.2"/>
    <row r="77" ht="13.2"/>
    <row r="78" ht="13.2"/>
    <row r="79" ht="13.2"/>
    <row r="80" ht="13.2"/>
    <row r="81" ht="13.2"/>
    <row r="82" ht="13.2"/>
    <row r="83" ht="13.2"/>
  </sheetData>
  <mergeCells count="32">
    <mergeCell ref="F22:F23"/>
    <mergeCell ref="D24:E24"/>
    <mergeCell ref="D25:E25"/>
    <mergeCell ref="H35:I35"/>
    <mergeCell ref="H36:I36"/>
    <mergeCell ref="D27:E27"/>
    <mergeCell ref="D28:E28"/>
    <mergeCell ref="D29:E29"/>
    <mergeCell ref="D30:E30"/>
    <mergeCell ref="D31:E31"/>
    <mergeCell ref="D32:E32"/>
    <mergeCell ref="B26:C26"/>
    <mergeCell ref="D26:E26"/>
    <mergeCell ref="B13:B14"/>
    <mergeCell ref="C13:C14"/>
    <mergeCell ref="D13:D14"/>
    <mergeCell ref="E13:E14"/>
    <mergeCell ref="D22:D23"/>
    <mergeCell ref="E22:E23"/>
    <mergeCell ref="F13:F14"/>
    <mergeCell ref="B15:C15"/>
    <mergeCell ref="D15:F15"/>
    <mergeCell ref="B2:F2"/>
    <mergeCell ref="G2:G3"/>
    <mergeCell ref="H2:H3"/>
    <mergeCell ref="I2:I3"/>
    <mergeCell ref="J2:J3"/>
    <mergeCell ref="B8:B9"/>
    <mergeCell ref="C8:C9"/>
    <mergeCell ref="D8:D9"/>
    <mergeCell ref="E8:E9"/>
    <mergeCell ref="F8:F9"/>
  </mergeCells>
  <printOptions horizontalCentered="1" verticalCentered="1"/>
  <pageMargins left="0.7" right="0.7" top="0.75" bottom="0.75" header="0.3" footer="0.3"/>
  <pageSetup scale="89" fitToHeight="0" orientation="landscape" horizontalDpi="4294967292" verticalDpi="4294967292" r:id="rId1"/>
  <headerFooter>
    <oddHeader>&amp;C&amp;"Times New Roman Bold,Bold"&amp;14&amp;K000000INVESTOR SHEET</oddHeader>
    <oddFooter>&amp;CPage &amp;P of &amp;N</oddFooter>
  </headerFooter>
  <ignoredErrors>
    <ignoredError sqref="I21" formulaRange="1"/>
    <ignoredError sqref="E13" formula="1"/>
  </ignoredError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0F8C14-82DC-4B42-8156-BDB922EC3C92}">
  <sheetPr>
    <tabColor rgb="FF00B050"/>
  </sheetPr>
  <dimension ref="A1:AS69"/>
  <sheetViews>
    <sheetView topLeftCell="A2" zoomScale="110" zoomScaleNormal="110" zoomScalePageLayoutView="125" workbookViewId="0">
      <selection activeCell="D28" sqref="D28"/>
    </sheetView>
  </sheetViews>
  <sheetFormatPr defaultColWidth="8.77734375" defaultRowHeight="14.4" outlineLevelRow="1"/>
  <cols>
    <col min="1" max="1" width="4" style="47" customWidth="1"/>
    <col min="2" max="2" width="48.44140625" style="48" bestFit="1" customWidth="1"/>
    <col min="3" max="3" width="20.77734375" style="48" customWidth="1"/>
    <col min="4" max="15" width="15.109375" style="48" customWidth="1"/>
    <col min="16" max="38" width="17" style="48" customWidth="1"/>
    <col min="39" max="39" width="16.44140625" style="48" customWidth="1"/>
    <col min="40" max="40" width="15" style="95" customWidth="1"/>
    <col min="41" max="41" width="17.77734375" style="95" bestFit="1" customWidth="1"/>
    <col min="42" max="42" width="9.44140625" style="48" bestFit="1" customWidth="1"/>
    <col min="43" max="43" width="11.77734375" style="48" bestFit="1" customWidth="1"/>
    <col min="44" max="45" width="9.44140625" style="48" bestFit="1" customWidth="1"/>
    <col min="46" max="16384" width="8.77734375" style="48"/>
  </cols>
  <sheetData>
    <row r="1" spans="1:45" s="47" customFormat="1" ht="15" thickBot="1">
      <c r="AN1" s="133"/>
      <c r="AO1" s="133"/>
    </row>
    <row r="2" spans="1:45" s="95" customFormat="1" ht="15" thickBot="1">
      <c r="A2" s="133"/>
      <c r="B2" s="1213" t="str">
        <f>'Development Program'!B10</f>
        <v>The Argyle</v>
      </c>
      <c r="C2" s="562" t="s">
        <v>343</v>
      </c>
      <c r="D2" s="136">
        <v>0</v>
      </c>
      <c r="E2" s="478">
        <f t="shared" ref="E2:O2" si="0">D2+1</f>
        <v>1</v>
      </c>
      <c r="F2" s="123">
        <f>E2+1</f>
        <v>2</v>
      </c>
      <c r="G2" s="228">
        <f>F2+1</f>
        <v>3</v>
      </c>
      <c r="H2" s="228">
        <f t="shared" si="0"/>
        <v>4</v>
      </c>
      <c r="I2" s="229">
        <f t="shared" si="0"/>
        <v>5</v>
      </c>
      <c r="J2" s="398">
        <f t="shared" si="0"/>
        <v>6</v>
      </c>
      <c r="K2" s="137">
        <f>J2+1</f>
        <v>7</v>
      </c>
      <c r="L2" s="137">
        <f t="shared" si="0"/>
        <v>8</v>
      </c>
      <c r="M2" s="137">
        <f t="shared" si="0"/>
        <v>9</v>
      </c>
      <c r="N2" s="137">
        <f t="shared" si="0"/>
        <v>10</v>
      </c>
      <c r="O2" s="261">
        <f t="shared" si="0"/>
        <v>11</v>
      </c>
      <c r="P2" s="48"/>
      <c r="Q2" s="48"/>
      <c r="R2" s="48"/>
      <c r="S2" s="48"/>
      <c r="T2" s="48"/>
      <c r="U2" s="48"/>
      <c r="V2" s="48"/>
      <c r="W2" s="48"/>
      <c r="X2" s="48"/>
      <c r="Y2" s="48"/>
      <c r="Z2" s="48"/>
      <c r="AA2" s="48"/>
      <c r="AB2" s="48"/>
      <c r="AC2" s="48"/>
      <c r="AD2" s="48"/>
      <c r="AE2" s="48"/>
      <c r="AF2" s="48"/>
      <c r="AG2" s="48"/>
      <c r="AH2" s="48"/>
      <c r="AI2" s="48"/>
      <c r="AJ2" s="48"/>
      <c r="AK2" s="48"/>
      <c r="AL2" s="48"/>
      <c r="AM2" s="48"/>
      <c r="AP2" s="48"/>
      <c r="AQ2" s="48"/>
      <c r="AR2" s="48"/>
      <c r="AS2" s="48"/>
    </row>
    <row r="3" spans="1:45" s="95" customFormat="1" ht="41.55" customHeight="1" thickBot="1">
      <c r="A3" s="133"/>
      <c r="B3" s="1158"/>
      <c r="C3" s="236" t="s">
        <v>104</v>
      </c>
      <c r="D3" s="224">
        <v>45413</v>
      </c>
      <c r="E3" s="553">
        <f t="shared" ref="E3:K3" si="1">EDATE(D3,12)</f>
        <v>45778</v>
      </c>
      <c r="F3" s="291">
        <f t="shared" si="1"/>
        <v>46143</v>
      </c>
      <c r="G3" s="292">
        <f t="shared" si="1"/>
        <v>46508</v>
      </c>
      <c r="H3" s="292">
        <f t="shared" si="1"/>
        <v>46874</v>
      </c>
      <c r="I3" s="293">
        <f t="shared" si="1"/>
        <v>47239</v>
      </c>
      <c r="J3" s="399">
        <f t="shared" si="1"/>
        <v>47604</v>
      </c>
      <c r="K3" s="225">
        <f t="shared" si="1"/>
        <v>47969</v>
      </c>
      <c r="L3" s="225">
        <f t="shared" ref="L3:O3" si="2">EDATE(K3,12)</f>
        <v>48335</v>
      </c>
      <c r="M3" s="225">
        <f t="shared" si="2"/>
        <v>48700</v>
      </c>
      <c r="N3" s="225">
        <f t="shared" si="2"/>
        <v>49065</v>
      </c>
      <c r="O3" s="226">
        <f t="shared" si="2"/>
        <v>49430</v>
      </c>
      <c r="P3" s="48"/>
      <c r="Q3" s="48"/>
      <c r="R3" s="48"/>
      <c r="S3" s="48"/>
      <c r="T3" s="48"/>
      <c r="U3" s="48"/>
      <c r="V3" s="48"/>
      <c r="W3" s="48"/>
      <c r="X3" s="48"/>
      <c r="Y3" s="48"/>
      <c r="Z3" s="48"/>
      <c r="AA3" s="48"/>
      <c r="AB3" s="48"/>
      <c r="AC3" s="48"/>
      <c r="AD3" s="48"/>
      <c r="AE3" s="48"/>
      <c r="AF3" s="48"/>
      <c r="AG3" s="48"/>
      <c r="AH3" s="48"/>
      <c r="AI3" s="48"/>
      <c r="AJ3" s="48"/>
      <c r="AK3" s="48"/>
      <c r="AL3" s="48"/>
      <c r="AM3" s="48"/>
      <c r="AP3" s="48"/>
      <c r="AQ3" s="48"/>
      <c r="AR3" s="48"/>
      <c r="AS3" s="48"/>
    </row>
    <row r="4" spans="1:45" s="95" customFormat="1" ht="64.05" hidden="1" customHeight="1" thickBot="1">
      <c r="A4" s="133"/>
      <c r="B4" s="1214"/>
      <c r="C4" s="237" t="s">
        <v>46</v>
      </c>
      <c r="D4" s="114" t="e">
        <f>EOMONTH(#REF!,3)</f>
        <v>#REF!</v>
      </c>
      <c r="E4" s="554" t="e">
        <f t="shared" ref="E4:I4" si="3">EOMONTH(D4,3)</f>
        <v>#REF!</v>
      </c>
      <c r="F4" s="214" t="e">
        <f>EOMONTH(#REF!,3)</f>
        <v>#REF!</v>
      </c>
      <c r="G4" s="215" t="e">
        <f>EOMONTH(#REF!,3)</f>
        <v>#REF!</v>
      </c>
      <c r="H4" s="215" t="e">
        <f t="shared" si="3"/>
        <v>#REF!</v>
      </c>
      <c r="I4" s="216" t="e">
        <f t="shared" si="3"/>
        <v>#REF!</v>
      </c>
      <c r="J4" s="538" t="e">
        <f>EOMONTH(#REF!,3)</f>
        <v>#REF!</v>
      </c>
      <c r="K4" s="97" t="e">
        <f>EOMONTH(J4,3)</f>
        <v>#REF!</v>
      </c>
      <c r="L4" s="97" t="e">
        <f>EOMONTH(J4,3)</f>
        <v>#REF!</v>
      </c>
      <c r="M4" s="97" t="e">
        <f>EOMONTH(K4,3)</f>
        <v>#REF!</v>
      </c>
      <c r="N4" s="97" t="e">
        <f t="shared" ref="N4" si="4">EOMONTH(M4,3)</f>
        <v>#REF!</v>
      </c>
      <c r="O4" s="104" t="e">
        <f>EOMONTH(#REF!,3)</f>
        <v>#REF!</v>
      </c>
      <c r="AP4" s="48"/>
      <c r="AQ4" s="48"/>
      <c r="AR4" s="48"/>
      <c r="AS4" s="48"/>
    </row>
    <row r="5" spans="1:45" s="95" customFormat="1" ht="15" thickBot="1">
      <c r="A5" s="133"/>
      <c r="B5" s="98" t="s">
        <v>112</v>
      </c>
      <c r="C5" s="238">
        <v>1</v>
      </c>
      <c r="D5" s="227" t="s">
        <v>205</v>
      </c>
      <c r="E5" s="555" t="s">
        <v>205</v>
      </c>
      <c r="F5" s="530">
        <f>F30/$C$30</f>
        <v>0.27276413254508181</v>
      </c>
      <c r="G5" s="537">
        <f t="shared" ref="G5:I5" si="5">G30/$C$30</f>
        <v>0.23140330753342234</v>
      </c>
      <c r="H5" s="537">
        <f t="shared" si="5"/>
        <v>0.24574429121899305</v>
      </c>
      <c r="I5" s="565">
        <f t="shared" si="5"/>
        <v>0.25008826870250289</v>
      </c>
      <c r="J5" s="400" t="s">
        <v>205</v>
      </c>
      <c r="K5" s="101" t="s">
        <v>205</v>
      </c>
      <c r="L5" s="101" t="s">
        <v>205</v>
      </c>
      <c r="M5" s="101" t="s">
        <v>205</v>
      </c>
      <c r="N5" s="101" t="s">
        <v>205</v>
      </c>
      <c r="O5" s="118" t="s">
        <v>205</v>
      </c>
      <c r="AP5" s="48"/>
      <c r="AQ5" s="48"/>
      <c r="AR5" s="48"/>
      <c r="AS5" s="48"/>
    </row>
    <row r="6" spans="1:45" s="95" customFormat="1">
      <c r="A6" s="133"/>
      <c r="B6" s="273" t="str">
        <f>'Site 6 - Financial'!G4</f>
        <v>Residential Condominium Hard Costs for Construction</v>
      </c>
      <c r="C6" s="234">
        <f>'Site 6 - Financial'!I4</f>
        <v>20020000</v>
      </c>
      <c r="D6" s="267" t="s">
        <v>205</v>
      </c>
      <c r="E6" s="556" t="s">
        <v>205</v>
      </c>
      <c r="F6" s="528">
        <v>0</v>
      </c>
      <c r="G6" s="529">
        <f>$C6/3</f>
        <v>6673333.333333333</v>
      </c>
      <c r="H6" s="529">
        <f t="shared" ref="H6:I10" si="6">$C6/3</f>
        <v>6673333.333333333</v>
      </c>
      <c r="I6" s="564">
        <f t="shared" si="6"/>
        <v>6673333.333333333</v>
      </c>
      <c r="J6" s="401" t="s">
        <v>205</v>
      </c>
      <c r="K6" s="268" t="s">
        <v>205</v>
      </c>
      <c r="L6" s="268" t="s">
        <v>205</v>
      </c>
      <c r="M6" s="268" t="s">
        <v>205</v>
      </c>
      <c r="N6" s="268" t="s">
        <v>205</v>
      </c>
      <c r="O6" s="269" t="s">
        <v>205</v>
      </c>
      <c r="P6" s="929"/>
      <c r="AP6" s="48"/>
      <c r="AQ6" s="48"/>
      <c r="AR6" s="48"/>
      <c r="AS6" s="48"/>
    </row>
    <row r="7" spans="1:45" s="95" customFormat="1">
      <c r="A7" s="133"/>
      <c r="B7" s="273" t="str">
        <f>'Site 6 - Financial'!G5</f>
        <v>Office Shell &amp; Core Hard Costs for Construction</v>
      </c>
      <c r="C7" s="234">
        <f>'Site 6 - Financial'!I5</f>
        <v>0</v>
      </c>
      <c r="D7" s="267" t="s">
        <v>205</v>
      </c>
      <c r="E7" s="556" t="s">
        <v>205</v>
      </c>
      <c r="F7" s="217">
        <v>0</v>
      </c>
      <c r="G7" s="218">
        <f t="shared" ref="G7:G10" si="7">$C7/3</f>
        <v>0</v>
      </c>
      <c r="H7" s="218">
        <f t="shared" si="6"/>
        <v>0</v>
      </c>
      <c r="I7" s="219">
        <f t="shared" si="6"/>
        <v>0</v>
      </c>
      <c r="J7" s="401" t="s">
        <v>205</v>
      </c>
      <c r="K7" s="268" t="s">
        <v>205</v>
      </c>
      <c r="L7" s="268" t="s">
        <v>205</v>
      </c>
      <c r="M7" s="268" t="s">
        <v>205</v>
      </c>
      <c r="N7" s="268" t="s">
        <v>205</v>
      </c>
      <c r="O7" s="269" t="s">
        <v>205</v>
      </c>
      <c r="P7" s="929"/>
      <c r="AP7" s="48"/>
      <c r="AQ7" s="48"/>
      <c r="AR7" s="48"/>
      <c r="AS7" s="48"/>
    </row>
    <row r="8" spans="1:45" s="95" customFormat="1">
      <c r="A8" s="133"/>
      <c r="B8" s="273" t="str">
        <f>'Site 6 - Financial'!G6</f>
        <v>Retail Hard Costs for Construction</v>
      </c>
      <c r="C8" s="234">
        <f>'Site 6 - Financial'!I6</f>
        <v>3717135</v>
      </c>
      <c r="D8" s="267" t="s">
        <v>205</v>
      </c>
      <c r="E8" s="556" t="s">
        <v>205</v>
      </c>
      <c r="F8" s="561">
        <v>0</v>
      </c>
      <c r="G8" s="218">
        <f t="shared" si="7"/>
        <v>1239045</v>
      </c>
      <c r="H8" s="218">
        <f t="shared" si="6"/>
        <v>1239045</v>
      </c>
      <c r="I8" s="219">
        <f t="shared" si="6"/>
        <v>1239045</v>
      </c>
      <c r="J8" s="401" t="s">
        <v>205</v>
      </c>
      <c r="K8" s="268" t="s">
        <v>205</v>
      </c>
      <c r="L8" s="268" t="s">
        <v>205</v>
      </c>
      <c r="M8" s="268" t="s">
        <v>205</v>
      </c>
      <c r="N8" s="268" t="s">
        <v>205</v>
      </c>
      <c r="O8" s="269" t="s">
        <v>205</v>
      </c>
      <c r="P8" s="929"/>
      <c r="AP8" s="48"/>
      <c r="AQ8" s="48"/>
      <c r="AR8" s="48"/>
      <c r="AS8" s="48"/>
    </row>
    <row r="9" spans="1:45" s="95" customFormat="1">
      <c r="A9" s="133"/>
      <c r="B9" s="273" t="str">
        <f>'Site 6 - Financial'!G7</f>
        <v>Parking Stalls (Parking Preserved)</v>
      </c>
      <c r="C9" s="234">
        <f>'Site 6 - Financial'!I7</f>
        <v>0</v>
      </c>
      <c r="D9" s="267" t="s">
        <v>205</v>
      </c>
      <c r="E9" s="556" t="s">
        <v>205</v>
      </c>
      <c r="F9" s="217">
        <v>0</v>
      </c>
      <c r="G9" s="218">
        <f t="shared" si="7"/>
        <v>0</v>
      </c>
      <c r="H9" s="218">
        <f t="shared" si="6"/>
        <v>0</v>
      </c>
      <c r="I9" s="219">
        <f t="shared" si="6"/>
        <v>0</v>
      </c>
      <c r="J9" s="401" t="s">
        <v>205</v>
      </c>
      <c r="K9" s="268" t="s">
        <v>205</v>
      </c>
      <c r="L9" s="268" t="s">
        <v>205</v>
      </c>
      <c r="M9" s="268" t="s">
        <v>205</v>
      </c>
      <c r="N9" s="268" t="s">
        <v>205</v>
      </c>
      <c r="O9" s="269" t="s">
        <v>205</v>
      </c>
      <c r="P9" s="929"/>
      <c r="AP9" s="48"/>
      <c r="AQ9" s="48"/>
      <c r="AR9" s="48"/>
      <c r="AS9" s="48"/>
    </row>
    <row r="10" spans="1:45" s="95" customFormat="1">
      <c r="A10" s="133"/>
      <c r="B10" s="273" t="str">
        <f>'Site 6 - Financial'!G8</f>
        <v>Hard Cost Contingency</v>
      </c>
      <c r="C10" s="234">
        <f>'Site 6 - Financial'!I8</f>
        <v>2373713.5</v>
      </c>
      <c r="D10" s="267" t="s">
        <v>205</v>
      </c>
      <c r="E10" s="556" t="s">
        <v>205</v>
      </c>
      <c r="F10" s="217">
        <v>0</v>
      </c>
      <c r="G10" s="218">
        <f t="shared" si="7"/>
        <v>791237.83333333337</v>
      </c>
      <c r="H10" s="218">
        <f t="shared" si="6"/>
        <v>791237.83333333337</v>
      </c>
      <c r="I10" s="219">
        <f t="shared" si="6"/>
        <v>791237.83333333337</v>
      </c>
      <c r="J10" s="402" t="s">
        <v>205</v>
      </c>
      <c r="K10" s="271" t="s">
        <v>205</v>
      </c>
      <c r="L10" s="271" t="s">
        <v>205</v>
      </c>
      <c r="M10" s="271" t="s">
        <v>205</v>
      </c>
      <c r="N10" s="271" t="s">
        <v>205</v>
      </c>
      <c r="O10" s="272" t="s">
        <v>205</v>
      </c>
      <c r="P10" s="929"/>
      <c r="AP10" s="48"/>
      <c r="AQ10" s="48"/>
      <c r="AR10" s="48"/>
      <c r="AS10" s="48"/>
    </row>
    <row r="11" spans="1:45" s="95" customFormat="1">
      <c r="A11" s="133"/>
      <c r="B11" s="273" t="str">
        <f>'Site 6 - Financial'!G9</f>
        <v>Demolition</v>
      </c>
      <c r="C11" s="234">
        <f>'Site 6 - Financial'!I9</f>
        <v>500000</v>
      </c>
      <c r="D11" s="267" t="s">
        <v>205</v>
      </c>
      <c r="E11" s="556" t="s">
        <v>205</v>
      </c>
      <c r="F11" s="217">
        <v>0</v>
      </c>
      <c r="G11" s="218">
        <f>C11</f>
        <v>500000</v>
      </c>
      <c r="H11" s="218">
        <v>0</v>
      </c>
      <c r="I11" s="219">
        <v>0</v>
      </c>
      <c r="J11" s="402" t="s">
        <v>205</v>
      </c>
      <c r="K11" s="271" t="s">
        <v>205</v>
      </c>
      <c r="L11" s="271" t="s">
        <v>205</v>
      </c>
      <c r="M11" s="271" t="s">
        <v>205</v>
      </c>
      <c r="N11" s="271" t="s">
        <v>205</v>
      </c>
      <c r="O11" s="272" t="s">
        <v>205</v>
      </c>
      <c r="P11" s="929"/>
      <c r="AP11" s="48"/>
      <c r="AQ11" s="48"/>
      <c r="AR11" s="48"/>
      <c r="AS11" s="48"/>
    </row>
    <row r="12" spans="1:45" s="95" customFormat="1" ht="19.05" customHeight="1">
      <c r="A12" s="133"/>
      <c r="B12" s="273" t="str">
        <f>'Site 6 - Financial'!G10</f>
        <v>Land</v>
      </c>
      <c r="C12" s="234">
        <f>'Site 6 - Financial'!I10</f>
        <v>13685950.41322314</v>
      </c>
      <c r="D12" s="267" t="s">
        <v>205</v>
      </c>
      <c r="E12" s="556" t="s">
        <v>205</v>
      </c>
      <c r="F12" s="217">
        <f>C12</f>
        <v>13685950.41322314</v>
      </c>
      <c r="G12" s="218">
        <v>0</v>
      </c>
      <c r="H12" s="218">
        <v>0</v>
      </c>
      <c r="I12" s="219">
        <v>0</v>
      </c>
      <c r="J12" s="402" t="s">
        <v>205</v>
      </c>
      <c r="K12" s="271" t="s">
        <v>205</v>
      </c>
      <c r="L12" s="271" t="s">
        <v>205</v>
      </c>
      <c r="M12" s="271" t="s">
        <v>205</v>
      </c>
      <c r="N12" s="268" t="s">
        <v>205</v>
      </c>
      <c r="O12" s="272" t="s">
        <v>205</v>
      </c>
      <c r="P12" s="929"/>
      <c r="AP12" s="48"/>
      <c r="AQ12" s="48"/>
      <c r="AR12" s="48"/>
      <c r="AS12" s="48"/>
    </row>
    <row r="13" spans="1:45" s="95" customFormat="1">
      <c r="A13" s="133"/>
      <c r="B13" s="273" t="str">
        <f>'Site 6 - Financial'!G11</f>
        <v>Municipal Fees and Allowances</v>
      </c>
      <c r="C13" s="234">
        <f>'Site 6 - Financial'!I11</f>
        <v>115000</v>
      </c>
      <c r="D13" s="267" t="s">
        <v>205</v>
      </c>
      <c r="E13" s="556" t="s">
        <v>205</v>
      </c>
      <c r="F13" s="217">
        <f>C13</f>
        <v>115000</v>
      </c>
      <c r="G13" s="218">
        <v>0</v>
      </c>
      <c r="H13" s="218">
        <v>0</v>
      </c>
      <c r="I13" s="219">
        <v>0</v>
      </c>
      <c r="J13" s="402" t="s">
        <v>205</v>
      </c>
      <c r="K13" s="271" t="s">
        <v>205</v>
      </c>
      <c r="L13" s="271" t="s">
        <v>205</v>
      </c>
      <c r="M13" s="271" t="s">
        <v>205</v>
      </c>
      <c r="N13" s="271" t="s">
        <v>205</v>
      </c>
      <c r="O13" s="272" t="s">
        <v>205</v>
      </c>
      <c r="P13" s="929"/>
      <c r="AP13" s="48"/>
      <c r="AQ13" s="48"/>
      <c r="AR13" s="48"/>
      <c r="AS13" s="48"/>
    </row>
    <row r="14" spans="1:45" s="95" customFormat="1">
      <c r="A14" s="133"/>
      <c r="B14" s="273" t="str">
        <f>'Site 6 - Financial'!G12</f>
        <v>Infrastructure Allocation</v>
      </c>
      <c r="C14" s="234">
        <f>'Site 6 - Financial'!I12</f>
        <v>1337473.2880755607</v>
      </c>
      <c r="D14" s="267" t="s">
        <v>205</v>
      </c>
      <c r="E14" s="556" t="s">
        <v>205</v>
      </c>
      <c r="F14" s="217">
        <f>$C14/4</f>
        <v>334368.32201889018</v>
      </c>
      <c r="G14" s="218">
        <f t="shared" ref="G14:I14" si="8">$C14/4</f>
        <v>334368.32201889018</v>
      </c>
      <c r="H14" s="218">
        <f t="shared" si="8"/>
        <v>334368.32201889018</v>
      </c>
      <c r="I14" s="219">
        <f t="shared" si="8"/>
        <v>334368.32201889018</v>
      </c>
      <c r="J14" s="401" t="s">
        <v>205</v>
      </c>
      <c r="K14" s="268" t="s">
        <v>205</v>
      </c>
      <c r="L14" s="268" t="s">
        <v>205</v>
      </c>
      <c r="M14" s="268" t="s">
        <v>205</v>
      </c>
      <c r="N14" s="268" t="s">
        <v>205</v>
      </c>
      <c r="O14" s="269" t="s">
        <v>205</v>
      </c>
      <c r="P14" s="929"/>
      <c r="AP14" s="48"/>
      <c r="AQ14" s="48"/>
      <c r="AR14" s="48"/>
      <c r="AS14" s="48"/>
    </row>
    <row r="15" spans="1:45" s="95" customFormat="1">
      <c r="A15" s="133"/>
      <c r="B15" s="273" t="str">
        <f>'Site 6 - Financial'!G13</f>
        <v>Legal</v>
      </c>
      <c r="C15" s="234">
        <f>'Site 6 - Financial'!I13</f>
        <v>400000</v>
      </c>
      <c r="D15" s="267" t="s">
        <v>205</v>
      </c>
      <c r="E15" s="556" t="s">
        <v>205</v>
      </c>
      <c r="F15" s="217">
        <f>C15/2</f>
        <v>200000</v>
      </c>
      <c r="G15" s="218">
        <v>0</v>
      </c>
      <c r="H15" s="218">
        <v>0</v>
      </c>
      <c r="I15" s="219">
        <f>C15/2</f>
        <v>200000</v>
      </c>
      <c r="J15" s="401" t="s">
        <v>205</v>
      </c>
      <c r="K15" s="268" t="s">
        <v>205</v>
      </c>
      <c r="L15" s="268" t="s">
        <v>205</v>
      </c>
      <c r="M15" s="268" t="s">
        <v>205</v>
      </c>
      <c r="N15" s="268" t="s">
        <v>205</v>
      </c>
      <c r="O15" s="269" t="s">
        <v>205</v>
      </c>
      <c r="P15" s="929"/>
      <c r="AP15" s="48"/>
      <c r="AQ15" s="48"/>
      <c r="AR15" s="48"/>
      <c r="AS15" s="48"/>
    </row>
    <row r="16" spans="1:45" s="95" customFormat="1">
      <c r="A16" s="133"/>
      <c r="B16" s="273" t="str">
        <f>'Site 6 - Financial'!G14</f>
        <v>Land Closing Costs/Commissions</v>
      </c>
      <c r="C16" s="234">
        <f>'Site 6 - Financial'!I14</f>
        <v>273719.00826446281</v>
      </c>
      <c r="D16" s="267" t="s">
        <v>205</v>
      </c>
      <c r="E16" s="556" t="s">
        <v>205</v>
      </c>
      <c r="F16" s="217">
        <f>C16</f>
        <v>273719.00826446281</v>
      </c>
      <c r="G16" s="218">
        <v>0</v>
      </c>
      <c r="H16" s="218">
        <v>0</v>
      </c>
      <c r="I16" s="219">
        <v>0</v>
      </c>
      <c r="J16" s="402" t="s">
        <v>205</v>
      </c>
      <c r="K16" s="271" t="s">
        <v>205</v>
      </c>
      <c r="L16" s="271" t="s">
        <v>205</v>
      </c>
      <c r="M16" s="271" t="s">
        <v>205</v>
      </c>
      <c r="N16" s="271" t="s">
        <v>205</v>
      </c>
      <c r="O16" s="272" t="s">
        <v>205</v>
      </c>
      <c r="P16" s="929"/>
      <c r="AP16" s="48"/>
      <c r="AQ16" s="48"/>
      <c r="AR16" s="48"/>
      <c r="AS16" s="48"/>
    </row>
    <row r="17" spans="1:45" s="95" customFormat="1">
      <c r="A17" s="133"/>
      <c r="B17" s="273" t="str">
        <f>'Site 6 - Financial'!G15</f>
        <v xml:space="preserve">Design </v>
      </c>
      <c r="C17" s="234">
        <f>'Site 6 - Financial'!I15</f>
        <v>949485.4</v>
      </c>
      <c r="D17" s="267" t="s">
        <v>205</v>
      </c>
      <c r="E17" s="556" t="s">
        <v>205</v>
      </c>
      <c r="F17" s="217">
        <f>C17*0.75</f>
        <v>712114.05</v>
      </c>
      <c r="G17" s="218">
        <f>C17*0.15</f>
        <v>142422.81</v>
      </c>
      <c r="H17" s="218">
        <f>C17*0.05</f>
        <v>47474.270000000004</v>
      </c>
      <c r="I17" s="219">
        <f>H17</f>
        <v>47474.270000000004</v>
      </c>
      <c r="J17" s="402" t="s">
        <v>205</v>
      </c>
      <c r="K17" s="271" t="s">
        <v>205</v>
      </c>
      <c r="L17" s="271" t="s">
        <v>205</v>
      </c>
      <c r="M17" s="271" t="s">
        <v>205</v>
      </c>
      <c r="N17" s="271" t="s">
        <v>205</v>
      </c>
      <c r="O17" s="272" t="s">
        <v>205</v>
      </c>
      <c r="P17" s="929"/>
      <c r="AP17" s="48"/>
      <c r="AQ17" s="48"/>
      <c r="AR17" s="48"/>
      <c r="AS17" s="48"/>
    </row>
    <row r="18" spans="1:45" s="95" customFormat="1" ht="19.05" customHeight="1">
      <c r="A18" s="133"/>
      <c r="B18" s="273" t="str">
        <f>'Site 6 - Financial'!G16</f>
        <v>Developer Fee</v>
      </c>
      <c r="C18" s="234">
        <f>'Site 6 - Financial'!I16</f>
        <v>1301174.2982868946</v>
      </c>
      <c r="D18" s="267" t="s">
        <v>205</v>
      </c>
      <c r="E18" s="556" t="s">
        <v>205</v>
      </c>
      <c r="F18" s="217">
        <f>$C18/4</f>
        <v>325293.57457172364</v>
      </c>
      <c r="G18" s="218">
        <f t="shared" ref="G18:I21" si="9">$C18/4</f>
        <v>325293.57457172364</v>
      </c>
      <c r="H18" s="218">
        <f t="shared" si="9"/>
        <v>325293.57457172364</v>
      </c>
      <c r="I18" s="219">
        <f t="shared" si="9"/>
        <v>325293.57457172364</v>
      </c>
      <c r="J18" s="402" t="s">
        <v>205</v>
      </c>
      <c r="K18" s="271" t="s">
        <v>205</v>
      </c>
      <c r="L18" s="271" t="s">
        <v>205</v>
      </c>
      <c r="M18" s="271" t="s">
        <v>205</v>
      </c>
      <c r="N18" s="268" t="s">
        <v>205</v>
      </c>
      <c r="O18" s="272" t="s">
        <v>205</v>
      </c>
      <c r="P18" s="929"/>
      <c r="AP18" s="48"/>
      <c r="AQ18" s="48"/>
      <c r="AR18" s="48"/>
      <c r="AS18" s="48"/>
    </row>
    <row r="19" spans="1:45" s="95" customFormat="1">
      <c r="A19" s="133"/>
      <c r="B19" s="273" t="str">
        <f>'Site 6 - Financial'!G17</f>
        <v>Construction Management Fee</v>
      </c>
      <c r="C19" s="234">
        <f>'Site 6 - Financial'!I17</f>
        <v>474742.7</v>
      </c>
      <c r="D19" s="267" t="s">
        <v>205</v>
      </c>
      <c r="E19" s="556" t="s">
        <v>205</v>
      </c>
      <c r="F19" s="217">
        <f>$C19/4</f>
        <v>118685.675</v>
      </c>
      <c r="G19" s="218">
        <f t="shared" si="9"/>
        <v>118685.675</v>
      </c>
      <c r="H19" s="218">
        <f t="shared" si="9"/>
        <v>118685.675</v>
      </c>
      <c r="I19" s="219">
        <f t="shared" si="9"/>
        <v>118685.675</v>
      </c>
      <c r="J19" s="402" t="s">
        <v>205</v>
      </c>
      <c r="K19" s="271" t="s">
        <v>205</v>
      </c>
      <c r="L19" s="271" t="s">
        <v>205</v>
      </c>
      <c r="M19" s="271" t="s">
        <v>205</v>
      </c>
      <c r="N19" s="271" t="s">
        <v>205</v>
      </c>
      <c r="O19" s="272" t="s">
        <v>205</v>
      </c>
      <c r="P19" s="929"/>
      <c r="AP19" s="48"/>
      <c r="AQ19" s="48"/>
      <c r="AR19" s="48"/>
      <c r="AS19" s="48"/>
    </row>
    <row r="20" spans="1:45" s="95" customFormat="1">
      <c r="A20" s="133"/>
      <c r="B20" s="273" t="str">
        <f>'Site 6 - Financial'!G18</f>
        <v>Taxes</v>
      </c>
      <c r="C20" s="234">
        <f>'Site 6 - Financial'!I18</f>
        <v>120838.73057851239</v>
      </c>
      <c r="D20" s="267" t="s">
        <v>205</v>
      </c>
      <c r="E20" s="556" t="s">
        <v>205</v>
      </c>
      <c r="F20" s="217">
        <f>C20/4</f>
        <v>30209.682644628097</v>
      </c>
      <c r="G20" s="218">
        <f>F20</f>
        <v>30209.682644628097</v>
      </c>
      <c r="H20" s="218">
        <f>G20</f>
        <v>30209.682644628097</v>
      </c>
      <c r="I20" s="219">
        <f>H20</f>
        <v>30209.682644628097</v>
      </c>
      <c r="J20" s="401" t="s">
        <v>205</v>
      </c>
      <c r="K20" s="268" t="s">
        <v>205</v>
      </c>
      <c r="L20" s="268" t="s">
        <v>205</v>
      </c>
      <c r="M20" s="268" t="s">
        <v>205</v>
      </c>
      <c r="N20" s="268" t="s">
        <v>205</v>
      </c>
      <c r="O20" s="269" t="s">
        <v>205</v>
      </c>
      <c r="P20" s="929"/>
      <c r="AP20" s="48"/>
      <c r="AQ20" s="48"/>
      <c r="AR20" s="48"/>
      <c r="AS20" s="48"/>
    </row>
    <row r="21" spans="1:45" s="95" customFormat="1">
      <c r="A21" s="133"/>
      <c r="B21" s="273" t="str">
        <f>'Site 6 - Financial'!G19</f>
        <v>Insurance</v>
      </c>
      <c r="C21" s="234">
        <f>'Site 6 - Financial'!I19</f>
        <v>744000</v>
      </c>
      <c r="D21" s="267" t="s">
        <v>205</v>
      </c>
      <c r="E21" s="556" t="s">
        <v>205</v>
      </c>
      <c r="F21" s="217">
        <f>$C21/4</f>
        <v>186000</v>
      </c>
      <c r="G21" s="218">
        <f t="shared" si="9"/>
        <v>186000</v>
      </c>
      <c r="H21" s="218">
        <f t="shared" si="9"/>
        <v>186000</v>
      </c>
      <c r="I21" s="219">
        <f t="shared" si="9"/>
        <v>186000</v>
      </c>
      <c r="J21" s="401" t="s">
        <v>205</v>
      </c>
      <c r="K21" s="268" t="s">
        <v>205</v>
      </c>
      <c r="L21" s="268" t="s">
        <v>205</v>
      </c>
      <c r="M21" s="268" t="s">
        <v>205</v>
      </c>
      <c r="N21" s="268" t="s">
        <v>205</v>
      </c>
      <c r="O21" s="269" t="s">
        <v>205</v>
      </c>
      <c r="P21" s="929"/>
      <c r="AP21" s="48"/>
      <c r="AQ21" s="48"/>
      <c r="AR21" s="48"/>
      <c r="AS21" s="48"/>
    </row>
    <row r="22" spans="1:45" s="95" customFormat="1">
      <c r="A22" s="133"/>
      <c r="B22" s="273" t="str">
        <f>'Site 6 - Financial'!G20</f>
        <v>Marketing, FFE and Preleasing</v>
      </c>
      <c r="C22" s="234">
        <f>'Site 6 - Financial'!I20</f>
        <v>400000</v>
      </c>
      <c r="D22" s="267" t="s">
        <v>205</v>
      </c>
      <c r="E22" s="556" t="s">
        <v>205</v>
      </c>
      <c r="F22" s="217">
        <v>0</v>
      </c>
      <c r="G22" s="218">
        <v>0</v>
      </c>
      <c r="H22" s="218">
        <f>C22/2</f>
        <v>200000</v>
      </c>
      <c r="I22" s="219">
        <f>H22</f>
        <v>200000</v>
      </c>
      <c r="J22" s="401" t="s">
        <v>205</v>
      </c>
      <c r="K22" s="268" t="s">
        <v>205</v>
      </c>
      <c r="L22" s="268" t="s">
        <v>205</v>
      </c>
      <c r="M22" s="268" t="s">
        <v>205</v>
      </c>
      <c r="N22" s="268" t="s">
        <v>205</v>
      </c>
      <c r="O22" s="269" t="s">
        <v>205</v>
      </c>
      <c r="P22" s="929"/>
      <c r="AP22" s="48"/>
      <c r="AQ22" s="48"/>
      <c r="AR22" s="48"/>
      <c r="AS22" s="48"/>
    </row>
    <row r="23" spans="1:45" s="95" customFormat="1">
      <c r="A23" s="133"/>
      <c r="B23" s="273" t="str">
        <f>'Site 6 - Financial'!G21</f>
        <v>Operating Deficit</v>
      </c>
      <c r="C23" s="234">
        <f>'Site 6 - Financial'!I21</f>
        <v>1789899.2355750001</v>
      </c>
      <c r="D23" s="267" t="s">
        <v>205</v>
      </c>
      <c r="E23" s="556" t="s">
        <v>205</v>
      </c>
      <c r="F23" s="217">
        <f>-(F38+F47+F56)</f>
        <v>0</v>
      </c>
      <c r="G23" s="218">
        <f t="shared" ref="G23:I23" si="10">-(G38+G47+G56)</f>
        <v>579086.75</v>
      </c>
      <c r="H23" s="218">
        <f t="shared" si="10"/>
        <v>596459.35250000004</v>
      </c>
      <c r="I23" s="219">
        <f t="shared" si="10"/>
        <v>614353.13307500002</v>
      </c>
      <c r="J23" s="401" t="s">
        <v>205</v>
      </c>
      <c r="K23" s="268" t="s">
        <v>205</v>
      </c>
      <c r="L23" s="268" t="s">
        <v>205</v>
      </c>
      <c r="M23" s="268" t="s">
        <v>205</v>
      </c>
      <c r="N23" s="268" t="s">
        <v>205</v>
      </c>
      <c r="O23" s="269" t="s">
        <v>205</v>
      </c>
      <c r="P23" s="929"/>
      <c r="AP23" s="48"/>
      <c r="AQ23" s="48"/>
      <c r="AR23" s="48"/>
      <c r="AS23" s="48"/>
    </row>
    <row r="24" spans="1:45" s="95" customFormat="1">
      <c r="A24" s="133"/>
      <c r="B24" s="273" t="str">
        <f>'Site 6 - Financial'!G22</f>
        <v>Commercial Interior Fitout Cost</v>
      </c>
      <c r="C24" s="234">
        <f>'Site 6 - Financial'!I22</f>
        <v>2040780</v>
      </c>
      <c r="D24" s="267" t="s">
        <v>205</v>
      </c>
      <c r="E24" s="556" t="s">
        <v>205</v>
      </c>
      <c r="F24" s="217">
        <v>0</v>
      </c>
      <c r="G24" s="218">
        <v>0</v>
      </c>
      <c r="H24" s="218">
        <f>C24/2</f>
        <v>1020390</v>
      </c>
      <c r="I24" s="219">
        <f>H24</f>
        <v>1020390</v>
      </c>
      <c r="J24" s="401" t="s">
        <v>205</v>
      </c>
      <c r="K24" s="268" t="s">
        <v>205</v>
      </c>
      <c r="L24" s="268" t="s">
        <v>205</v>
      </c>
      <c r="M24" s="268" t="s">
        <v>205</v>
      </c>
      <c r="N24" s="268" t="s">
        <v>205</v>
      </c>
      <c r="O24" s="269" t="s">
        <v>205</v>
      </c>
      <c r="P24" s="929"/>
      <c r="AP24" s="48"/>
      <c r="AQ24" s="48"/>
      <c r="AR24" s="48"/>
      <c r="AS24" s="48"/>
    </row>
    <row r="25" spans="1:45" s="95" customFormat="1">
      <c r="A25" s="133"/>
      <c r="B25" s="273" t="str">
        <f>'Site 6 - Financial'!G23</f>
        <v>Commercial Brokerage Commission</v>
      </c>
      <c r="C25" s="234">
        <f>'Site 6 - Financial'!I23</f>
        <v>153058.5</v>
      </c>
      <c r="D25" s="267" t="s">
        <v>205</v>
      </c>
      <c r="E25" s="556" t="s">
        <v>205</v>
      </c>
      <c r="F25" s="217">
        <v>0</v>
      </c>
      <c r="G25" s="218">
        <v>0</v>
      </c>
      <c r="H25" s="218">
        <f t="shared" ref="H25" si="11">C25/2</f>
        <v>76529.25</v>
      </c>
      <c r="I25" s="219">
        <f t="shared" ref="I25" si="12">H25</f>
        <v>76529.25</v>
      </c>
      <c r="J25" s="401" t="s">
        <v>205</v>
      </c>
      <c r="K25" s="268" t="s">
        <v>205</v>
      </c>
      <c r="L25" s="268" t="s">
        <v>205</v>
      </c>
      <c r="M25" s="268" t="s">
        <v>205</v>
      </c>
      <c r="N25" s="268" t="s">
        <v>205</v>
      </c>
      <c r="O25" s="269" t="s">
        <v>205</v>
      </c>
      <c r="P25" s="929"/>
      <c r="AP25" s="48"/>
      <c r="AQ25" s="48"/>
      <c r="AR25" s="48"/>
      <c r="AS25" s="48"/>
    </row>
    <row r="26" spans="1:45" s="95" customFormat="1">
      <c r="A26" s="133"/>
      <c r="B26" s="273" t="str">
        <f>'Site 6 - Financial'!G24</f>
        <v>Construction Loan Origination</v>
      </c>
      <c r="C26" s="234">
        <f>'Site 6 - Financial'!I24</f>
        <v>250000</v>
      </c>
      <c r="D26" s="267" t="s">
        <v>205</v>
      </c>
      <c r="E26" s="556" t="s">
        <v>205</v>
      </c>
      <c r="F26" s="217">
        <f>C26</f>
        <v>250000</v>
      </c>
      <c r="G26" s="218">
        <v>0</v>
      </c>
      <c r="H26" s="218">
        <v>0</v>
      </c>
      <c r="I26" s="219">
        <v>0</v>
      </c>
      <c r="J26" s="401" t="s">
        <v>205</v>
      </c>
      <c r="K26" s="268" t="s">
        <v>205</v>
      </c>
      <c r="L26" s="268" t="s">
        <v>205</v>
      </c>
      <c r="M26" s="268" t="s">
        <v>205</v>
      </c>
      <c r="N26" s="268" t="s">
        <v>205</v>
      </c>
      <c r="O26" s="269" t="s">
        <v>205</v>
      </c>
      <c r="P26" s="929"/>
      <c r="AP26" s="48"/>
      <c r="AQ26" s="48"/>
      <c r="AR26" s="48"/>
      <c r="AS26" s="48"/>
    </row>
    <row r="27" spans="1:45" s="95" customFormat="1">
      <c r="A27" s="133"/>
      <c r="B27" s="273" t="str">
        <f>'Site 6 - Financial'!G25</f>
        <v>Construction Interest</v>
      </c>
      <c r="C27" s="234">
        <f>'Site 6 - Financial'!I25</f>
        <v>1750000</v>
      </c>
      <c r="D27" s="267" t="s">
        <v>205</v>
      </c>
      <c r="E27" s="556" t="s">
        <v>205</v>
      </c>
      <c r="F27" s="217">
        <f>$C27/4</f>
        <v>437500</v>
      </c>
      <c r="G27" s="218">
        <f t="shared" ref="G27:I28" si="13">$C27/4</f>
        <v>437500</v>
      </c>
      <c r="H27" s="218">
        <f t="shared" si="13"/>
        <v>437500</v>
      </c>
      <c r="I27" s="219">
        <f t="shared" si="13"/>
        <v>437500</v>
      </c>
      <c r="J27" s="401" t="s">
        <v>205</v>
      </c>
      <c r="K27" s="268" t="s">
        <v>205</v>
      </c>
      <c r="L27" s="268" t="s">
        <v>205</v>
      </c>
      <c r="M27" s="268" t="s">
        <v>205</v>
      </c>
      <c r="N27" s="268" t="s">
        <v>205</v>
      </c>
      <c r="O27" s="269" t="s">
        <v>205</v>
      </c>
      <c r="P27" s="929"/>
      <c r="AP27" s="48"/>
      <c r="AQ27" s="48"/>
      <c r="AR27" s="48"/>
      <c r="AS27" s="48"/>
    </row>
    <row r="28" spans="1:45" s="95" customFormat="1">
      <c r="A28" s="133"/>
      <c r="B28" s="938" t="str">
        <f>'Site 6 - Financial'!G26</f>
        <v>Additional Contingency</v>
      </c>
      <c r="C28" s="234">
        <f>'Site 6 - Financial'!I26</f>
        <v>1000000</v>
      </c>
      <c r="D28" s="267" t="s">
        <v>205</v>
      </c>
      <c r="E28" s="556" t="s">
        <v>205</v>
      </c>
      <c r="F28" s="217">
        <f>$C28/4</f>
        <v>250000</v>
      </c>
      <c r="G28" s="218">
        <f t="shared" si="13"/>
        <v>250000</v>
      </c>
      <c r="H28" s="218">
        <f t="shared" si="13"/>
        <v>250000</v>
      </c>
      <c r="I28" s="219">
        <f t="shared" si="13"/>
        <v>250000</v>
      </c>
      <c r="J28" s="401" t="s">
        <v>205</v>
      </c>
      <c r="K28" s="268" t="s">
        <v>205</v>
      </c>
      <c r="L28" s="268" t="s">
        <v>205</v>
      </c>
      <c r="M28" s="268" t="s">
        <v>205</v>
      </c>
      <c r="N28" s="268" t="s">
        <v>205</v>
      </c>
      <c r="O28" s="269" t="s">
        <v>205</v>
      </c>
      <c r="P28" s="929"/>
      <c r="AP28" s="48"/>
      <c r="AQ28" s="48"/>
      <c r="AR28" s="48"/>
      <c r="AS28" s="48"/>
    </row>
    <row r="29" spans="1:45" s="95" customFormat="1" ht="15" thickBot="1">
      <c r="A29" s="133"/>
      <c r="B29" s="209" t="s">
        <v>619</v>
      </c>
      <c r="C29" s="830">
        <f>-'Site 6 - Financial'!I28</f>
        <v>-3237000</v>
      </c>
      <c r="D29" s="253" t="s">
        <v>205</v>
      </c>
      <c r="E29" s="831" t="s">
        <v>205</v>
      </c>
      <c r="F29" s="825">
        <f>C29</f>
        <v>-3237000</v>
      </c>
      <c r="G29" s="826">
        <v>0</v>
      </c>
      <c r="H29" s="826">
        <v>0</v>
      </c>
      <c r="I29" s="827">
        <v>0</v>
      </c>
      <c r="J29" s="828" t="s">
        <v>205</v>
      </c>
      <c r="K29" s="248" t="s">
        <v>205</v>
      </c>
      <c r="L29" s="248" t="s">
        <v>205</v>
      </c>
      <c r="M29" s="248" t="s">
        <v>205</v>
      </c>
      <c r="N29" s="248" t="s">
        <v>205</v>
      </c>
      <c r="O29" s="249" t="s">
        <v>205</v>
      </c>
      <c r="P29" s="929"/>
      <c r="AP29" s="48"/>
      <c r="AQ29" s="48"/>
      <c r="AR29" s="48"/>
      <c r="AS29" s="48"/>
    </row>
    <row r="30" spans="1:45" s="95" customFormat="1" ht="15" thickBot="1">
      <c r="A30" s="133"/>
      <c r="B30" s="98" t="s">
        <v>39</v>
      </c>
      <c r="C30" s="254">
        <f>SUM(C6:C29)</f>
        <v>50159970.074003562</v>
      </c>
      <c r="D30" s="255">
        <f t="shared" ref="D30:O30" si="14">SUM(D6:D29)</f>
        <v>0</v>
      </c>
      <c r="E30" s="254">
        <f t="shared" si="14"/>
        <v>0</v>
      </c>
      <c r="F30" s="255">
        <f t="shared" si="14"/>
        <v>13681840.725722846</v>
      </c>
      <c r="G30" s="256">
        <f t="shared" si="14"/>
        <v>11607182.980901908</v>
      </c>
      <c r="H30" s="256">
        <f t="shared" si="14"/>
        <v>12326526.293401908</v>
      </c>
      <c r="I30" s="257">
        <f t="shared" si="14"/>
        <v>12544420.073976908</v>
      </c>
      <c r="J30" s="403">
        <f t="shared" si="14"/>
        <v>0</v>
      </c>
      <c r="K30" s="256">
        <f t="shared" si="14"/>
        <v>0</v>
      </c>
      <c r="L30" s="256">
        <f t="shared" si="14"/>
        <v>0</v>
      </c>
      <c r="M30" s="256">
        <f t="shared" si="14"/>
        <v>0</v>
      </c>
      <c r="N30" s="256">
        <f t="shared" si="14"/>
        <v>0</v>
      </c>
      <c r="O30" s="257">
        <f t="shared" si="14"/>
        <v>0</v>
      </c>
      <c r="AP30" s="48"/>
      <c r="AQ30" s="48"/>
      <c r="AR30" s="48"/>
      <c r="AS30" s="48"/>
    </row>
    <row r="31" spans="1:45" s="133" customFormat="1">
      <c r="B31" s="193" t="s">
        <v>607</v>
      </c>
      <c r="C31" s="230"/>
      <c r="D31" s="250"/>
      <c r="E31" s="387"/>
      <c r="F31" s="250"/>
      <c r="G31" s="241"/>
      <c r="H31" s="241"/>
      <c r="I31" s="242"/>
      <c r="J31" s="404"/>
      <c r="K31" s="241"/>
      <c r="L31" s="241"/>
      <c r="M31" s="241"/>
      <c r="N31" s="241"/>
      <c r="O31" s="242"/>
      <c r="AP31" s="47"/>
      <c r="AQ31" s="47"/>
      <c r="AR31" s="47"/>
      <c r="AS31" s="47"/>
    </row>
    <row r="32" spans="1:45" s="133" customFormat="1">
      <c r="B32" s="194" t="s">
        <v>92</v>
      </c>
      <c r="C32" s="231" t="s">
        <v>205</v>
      </c>
      <c r="D32" s="251">
        <v>0</v>
      </c>
      <c r="E32" s="388">
        <v>0</v>
      </c>
      <c r="F32" s="251">
        <v>0</v>
      </c>
      <c r="G32" s="243">
        <v>0</v>
      </c>
      <c r="H32" s="243">
        <v>0</v>
      </c>
      <c r="I32" s="244">
        <v>0</v>
      </c>
      <c r="J32" s="405">
        <f>'Site 6 - Financial'!F8</f>
        <v>2758800</v>
      </c>
      <c r="K32" s="243">
        <f>J32*(1+Assumptions!$F$14)</f>
        <v>2841564</v>
      </c>
      <c r="L32" s="248" t="s">
        <v>205</v>
      </c>
      <c r="M32" s="248" t="s">
        <v>205</v>
      </c>
      <c r="N32" s="248" t="s">
        <v>205</v>
      </c>
      <c r="O32" s="249" t="s">
        <v>205</v>
      </c>
      <c r="AP32" s="47"/>
      <c r="AQ32" s="47"/>
      <c r="AR32" s="47"/>
      <c r="AS32" s="47"/>
    </row>
    <row r="33" spans="2:45" s="133" customFormat="1">
      <c r="B33" s="194" t="s">
        <v>539</v>
      </c>
      <c r="C33" s="231" t="s">
        <v>205</v>
      </c>
      <c r="D33" s="251">
        <v>0</v>
      </c>
      <c r="E33" s="388">
        <v>0</v>
      </c>
      <c r="F33" s="251">
        <v>0</v>
      </c>
      <c r="G33" s="243">
        <v>0</v>
      </c>
      <c r="H33" s="243">
        <v>0</v>
      </c>
      <c r="I33" s="244">
        <v>0</v>
      </c>
      <c r="J33" s="405">
        <f>'Site 6 - Financial'!C20*12*Assumptions!D22</f>
        <v>72000</v>
      </c>
      <c r="K33" s="243">
        <f>J33*(1+Assumptions!$F$14)</f>
        <v>74160</v>
      </c>
      <c r="L33" s="248" t="s">
        <v>205</v>
      </c>
      <c r="M33" s="248" t="s">
        <v>205</v>
      </c>
      <c r="N33" s="248" t="s">
        <v>205</v>
      </c>
      <c r="O33" s="249" t="s">
        <v>205</v>
      </c>
      <c r="AP33" s="47"/>
      <c r="AQ33" s="47"/>
      <c r="AR33" s="47"/>
      <c r="AS33" s="47"/>
    </row>
    <row r="34" spans="2:45" s="133" customFormat="1">
      <c r="B34" s="205" t="s">
        <v>313</v>
      </c>
      <c r="C34" s="231" t="s">
        <v>205</v>
      </c>
      <c r="D34" s="251">
        <v>0</v>
      </c>
      <c r="E34" s="388">
        <v>0</v>
      </c>
      <c r="F34" s="251">
        <v>0</v>
      </c>
      <c r="G34" s="243">
        <v>0</v>
      </c>
      <c r="H34" s="243">
        <v>0</v>
      </c>
      <c r="I34" s="244">
        <v>0</v>
      </c>
      <c r="J34" s="405">
        <f>(SUM(Assumptions!D35,Assumptions!D37)*'Site 6 - Financial'!D8)*((1+Assumptions!$F$14)^'Site 6 - Draw'!J2)</f>
        <v>597623.17441276449</v>
      </c>
      <c r="K34" s="243">
        <f>J34*(1+Assumptions!$F$14)</f>
        <v>615551.86964514747</v>
      </c>
      <c r="L34" s="557" t="s">
        <v>205</v>
      </c>
      <c r="M34" s="557" t="s">
        <v>205</v>
      </c>
      <c r="N34" s="557" t="s">
        <v>205</v>
      </c>
      <c r="O34" s="559" t="s">
        <v>205</v>
      </c>
      <c r="AP34" s="47"/>
      <c r="AQ34" s="47"/>
      <c r="AR34" s="47"/>
      <c r="AS34" s="47"/>
    </row>
    <row r="35" spans="2:45" s="133" customFormat="1">
      <c r="B35" s="239" t="s">
        <v>94</v>
      </c>
      <c r="C35" s="240" t="s">
        <v>205</v>
      </c>
      <c r="D35" s="115">
        <f>SUM(D32:D34)</f>
        <v>0</v>
      </c>
      <c r="E35" s="389">
        <f t="shared" ref="E35:K35" si="15">SUM(E32:E34)</f>
        <v>0</v>
      </c>
      <c r="F35" s="115">
        <f t="shared" si="15"/>
        <v>0</v>
      </c>
      <c r="G35" s="107">
        <f t="shared" si="15"/>
        <v>0</v>
      </c>
      <c r="H35" s="107">
        <f t="shared" si="15"/>
        <v>0</v>
      </c>
      <c r="I35" s="116">
        <f t="shared" si="15"/>
        <v>0</v>
      </c>
      <c r="J35" s="108">
        <f t="shared" si="15"/>
        <v>3428423.1744127646</v>
      </c>
      <c r="K35" s="107">
        <f t="shared" si="15"/>
        <v>3531275.8696451476</v>
      </c>
      <c r="L35" s="268" t="s">
        <v>205</v>
      </c>
      <c r="M35" s="268" t="s">
        <v>205</v>
      </c>
      <c r="N35" s="268" t="s">
        <v>205</v>
      </c>
      <c r="O35" s="269" t="s">
        <v>205</v>
      </c>
      <c r="AP35" s="47"/>
      <c r="AQ35" s="47"/>
      <c r="AR35" s="47"/>
      <c r="AS35" s="47"/>
    </row>
    <row r="36" spans="2:45" s="133" customFormat="1">
      <c r="B36" s="205" t="s">
        <v>543</v>
      </c>
      <c r="C36" s="231" t="s">
        <v>205</v>
      </c>
      <c r="D36" s="251">
        <v>0</v>
      </c>
      <c r="E36" s="388">
        <v>0</v>
      </c>
      <c r="F36" s="251">
        <v>0</v>
      </c>
      <c r="G36" s="243">
        <f>-(Assumptions!D35+Assumptions!D36)*'Site 6 - Financial'!D8</f>
        <v>-539000</v>
      </c>
      <c r="H36" s="243">
        <f>G36*(1+Assumptions!$F$14)</f>
        <v>-555170</v>
      </c>
      <c r="I36" s="244">
        <f>H36*(1+Assumptions!$F$14)</f>
        <v>-571825.1</v>
      </c>
      <c r="J36" s="405">
        <f>-'Site 6 - Financial'!D8*Assumptions!D38</f>
        <v>-770000</v>
      </c>
      <c r="K36" s="243">
        <f>J36*(1+Assumptions!$F$14)</f>
        <v>-793100</v>
      </c>
      <c r="L36" s="558" t="s">
        <v>205</v>
      </c>
      <c r="M36" s="558" t="s">
        <v>205</v>
      </c>
      <c r="N36" s="558" t="s">
        <v>205</v>
      </c>
      <c r="O36" s="560" t="s">
        <v>205</v>
      </c>
      <c r="AP36" s="47"/>
      <c r="AQ36" s="47"/>
      <c r="AR36" s="47"/>
      <c r="AS36" s="47"/>
    </row>
    <row r="37" spans="2:45" s="133" customFormat="1">
      <c r="B37" s="205" t="s">
        <v>321</v>
      </c>
      <c r="C37" s="231" t="s">
        <v>205</v>
      </c>
      <c r="D37" s="251">
        <f t="shared" ref="D37:F37" si="16">-5%*D35</f>
        <v>0</v>
      </c>
      <c r="E37" s="388">
        <f t="shared" si="16"/>
        <v>0</v>
      </c>
      <c r="F37" s="251">
        <f t="shared" si="16"/>
        <v>0</v>
      </c>
      <c r="G37" s="243">
        <f>-5%*G35</f>
        <v>0</v>
      </c>
      <c r="H37" s="243">
        <f>-5%*H35</f>
        <v>0</v>
      </c>
      <c r="I37" s="244">
        <f t="shared" ref="I37:K37" si="17">-5%*I35</f>
        <v>0</v>
      </c>
      <c r="J37" s="405">
        <f t="shared" si="17"/>
        <v>-171421.15872063825</v>
      </c>
      <c r="K37" s="243">
        <f t="shared" si="17"/>
        <v>-176563.7934822574</v>
      </c>
      <c r="L37" s="557" t="s">
        <v>205</v>
      </c>
      <c r="M37" s="557" t="s">
        <v>205</v>
      </c>
      <c r="N37" s="557" t="s">
        <v>205</v>
      </c>
      <c r="O37" s="559" t="s">
        <v>205</v>
      </c>
      <c r="AP37" s="47"/>
      <c r="AQ37" s="47"/>
      <c r="AR37" s="47"/>
      <c r="AS37" s="47"/>
    </row>
    <row r="38" spans="2:45" s="133" customFormat="1">
      <c r="B38" s="239" t="s">
        <v>95</v>
      </c>
      <c r="C38" s="240" t="s">
        <v>205</v>
      </c>
      <c r="D38" s="115">
        <f t="shared" ref="D38:E38" si="18">SUM(D35:D37)</f>
        <v>0</v>
      </c>
      <c r="E38" s="389">
        <f t="shared" si="18"/>
        <v>0</v>
      </c>
      <c r="F38" s="115">
        <f>SUM(F35:F37)</f>
        <v>0</v>
      </c>
      <c r="G38" s="107">
        <f>SUM(G35:G37)</f>
        <v>-539000</v>
      </c>
      <c r="H38" s="107">
        <f>SUM(H35:H37)</f>
        <v>-555170</v>
      </c>
      <c r="I38" s="116">
        <f t="shared" ref="I38:K38" si="19">SUM(I35:I37)</f>
        <v>-571825.1</v>
      </c>
      <c r="J38" s="108">
        <f t="shared" si="19"/>
        <v>2487002.0156921265</v>
      </c>
      <c r="K38" s="107">
        <f t="shared" si="19"/>
        <v>2561612.0761628901</v>
      </c>
      <c r="L38" s="268" t="s">
        <v>205</v>
      </c>
      <c r="M38" s="268" t="s">
        <v>205</v>
      </c>
      <c r="N38" s="268" t="s">
        <v>205</v>
      </c>
      <c r="O38" s="269" t="s">
        <v>205</v>
      </c>
      <c r="AP38" s="47"/>
      <c r="AQ38" s="47"/>
      <c r="AR38" s="47"/>
      <c r="AS38" s="47"/>
    </row>
    <row r="39" spans="2:45" s="133" customFormat="1" ht="15" thickBot="1">
      <c r="B39" s="223" t="s">
        <v>328</v>
      </c>
      <c r="C39" s="232" t="s">
        <v>205</v>
      </c>
      <c r="D39" s="252">
        <v>0</v>
      </c>
      <c r="E39" s="390">
        <v>0</v>
      </c>
      <c r="F39" s="252">
        <v>0</v>
      </c>
      <c r="G39" s="245">
        <v>0</v>
      </c>
      <c r="H39" s="245">
        <v>0</v>
      </c>
      <c r="I39" s="246">
        <v>0</v>
      </c>
      <c r="J39" s="406">
        <f>(K38/Assumptions!$I$6)*0.98</f>
        <v>52850101.781886995</v>
      </c>
      <c r="K39" s="245">
        <v>0</v>
      </c>
      <c r="L39" s="268" t="s">
        <v>205</v>
      </c>
      <c r="M39" s="268" t="s">
        <v>205</v>
      </c>
      <c r="N39" s="268" t="s">
        <v>205</v>
      </c>
      <c r="O39" s="269" t="s">
        <v>205</v>
      </c>
      <c r="AP39" s="47"/>
      <c r="AQ39" s="47"/>
      <c r="AR39" s="47"/>
      <c r="AS39" s="47"/>
    </row>
    <row r="40" spans="2:45" s="133" customFormat="1">
      <c r="B40" s="193" t="s">
        <v>338</v>
      </c>
      <c r="C40" s="230"/>
      <c r="D40" s="250"/>
      <c r="E40" s="387"/>
      <c r="F40" s="250"/>
      <c r="G40" s="241"/>
      <c r="H40" s="241"/>
      <c r="I40" s="242"/>
      <c r="J40" s="404"/>
      <c r="K40" s="241"/>
      <c r="L40" s="241"/>
      <c r="M40" s="241"/>
      <c r="N40" s="241"/>
      <c r="O40" s="242"/>
      <c r="AP40" s="47"/>
      <c r="AQ40" s="47"/>
      <c r="AR40" s="47"/>
      <c r="AS40" s="47"/>
    </row>
    <row r="41" spans="2:45" s="133" customFormat="1">
      <c r="B41" s="194" t="s">
        <v>92</v>
      </c>
      <c r="C41" s="231" t="s">
        <v>205</v>
      </c>
      <c r="D41" s="251">
        <v>0</v>
      </c>
      <c r="E41" s="388">
        <v>0</v>
      </c>
      <c r="F41" s="251">
        <v>0</v>
      </c>
      <c r="G41" s="243">
        <v>0</v>
      </c>
      <c r="H41" s="243">
        <v>0</v>
      </c>
      <c r="I41" s="244">
        <v>0</v>
      </c>
      <c r="J41" s="405">
        <f>'Site 6 - Financial'!D11*'Site 6 - Financial'!E11</f>
        <v>510195</v>
      </c>
      <c r="K41" s="243">
        <f>J41*(1+Assumptions!$F$14)</f>
        <v>525500.85</v>
      </c>
      <c r="L41" s="248" t="s">
        <v>205</v>
      </c>
      <c r="M41" s="248" t="s">
        <v>205</v>
      </c>
      <c r="N41" s="248" t="s">
        <v>205</v>
      </c>
      <c r="O41" s="249" t="s">
        <v>205</v>
      </c>
      <c r="AP41" s="47"/>
      <c r="AQ41" s="47"/>
      <c r="AR41" s="47"/>
      <c r="AS41" s="47"/>
    </row>
    <row r="42" spans="2:45" s="133" customFormat="1">
      <c r="B42" s="194" t="s">
        <v>539</v>
      </c>
      <c r="C42" s="231" t="s">
        <v>205</v>
      </c>
      <c r="D42" s="251">
        <v>0</v>
      </c>
      <c r="E42" s="388">
        <v>0</v>
      </c>
      <c r="F42" s="251">
        <v>0</v>
      </c>
      <c r="G42" s="243">
        <v>0</v>
      </c>
      <c r="H42" s="243">
        <v>0</v>
      </c>
      <c r="I42" s="244">
        <v>0</v>
      </c>
      <c r="J42" s="405">
        <f>'Site 6 - Financial'!C21*12*Assumptions!D21</f>
        <v>42000</v>
      </c>
      <c r="K42" s="243">
        <f>J42*(1+Assumptions!$F$14)</f>
        <v>43260</v>
      </c>
      <c r="L42" s="248" t="s">
        <v>205</v>
      </c>
      <c r="M42" s="248" t="s">
        <v>205</v>
      </c>
      <c r="N42" s="248" t="s">
        <v>205</v>
      </c>
      <c r="O42" s="249" t="s">
        <v>205</v>
      </c>
      <c r="AP42" s="47"/>
      <c r="AQ42" s="47"/>
      <c r="AR42" s="47"/>
      <c r="AS42" s="47"/>
    </row>
    <row r="43" spans="2:45" s="133" customFormat="1">
      <c r="B43" s="205" t="s">
        <v>313</v>
      </c>
      <c r="C43" s="231" t="s">
        <v>205</v>
      </c>
      <c r="D43" s="251">
        <v>0</v>
      </c>
      <c r="E43" s="388">
        <v>0</v>
      </c>
      <c r="F43" s="251">
        <v>0</v>
      </c>
      <c r="G43" s="243">
        <v>0</v>
      </c>
      <c r="H43" s="243">
        <v>0</v>
      </c>
      <c r="I43" s="244">
        <v>0</v>
      </c>
      <c r="J43" s="405">
        <f>(Assumptions!D30*'Site 6 - Financial'!D11)*(1+Assumptions!$F$14)^J2</f>
        <v>85287.931599865842</v>
      </c>
      <c r="K43" s="243">
        <f>J43*(1+Assumptions!$F$14)</f>
        <v>87846.569547861814</v>
      </c>
      <c r="L43" s="557" t="s">
        <v>205</v>
      </c>
      <c r="M43" s="557" t="s">
        <v>205</v>
      </c>
      <c r="N43" s="557" t="s">
        <v>205</v>
      </c>
      <c r="O43" s="559" t="s">
        <v>205</v>
      </c>
      <c r="AP43" s="47"/>
      <c r="AQ43" s="47"/>
      <c r="AR43" s="47"/>
      <c r="AS43" s="47"/>
    </row>
    <row r="44" spans="2:45" s="133" customFormat="1">
      <c r="B44" s="239" t="s">
        <v>94</v>
      </c>
      <c r="C44" s="240" t="s">
        <v>205</v>
      </c>
      <c r="D44" s="115">
        <f t="shared" ref="D44:K44" si="20">SUM(D41:D43)</f>
        <v>0</v>
      </c>
      <c r="E44" s="389">
        <f t="shared" si="20"/>
        <v>0</v>
      </c>
      <c r="F44" s="115">
        <f t="shared" si="20"/>
        <v>0</v>
      </c>
      <c r="G44" s="107">
        <f t="shared" si="20"/>
        <v>0</v>
      </c>
      <c r="H44" s="107">
        <f t="shared" si="20"/>
        <v>0</v>
      </c>
      <c r="I44" s="116">
        <f t="shared" si="20"/>
        <v>0</v>
      </c>
      <c r="J44" s="108">
        <f t="shared" si="20"/>
        <v>637482.9315998659</v>
      </c>
      <c r="K44" s="107">
        <f t="shared" si="20"/>
        <v>656607.41954786179</v>
      </c>
      <c r="L44" s="268" t="s">
        <v>205</v>
      </c>
      <c r="M44" s="268" t="s">
        <v>205</v>
      </c>
      <c r="N44" s="268" t="s">
        <v>205</v>
      </c>
      <c r="O44" s="269" t="s">
        <v>205</v>
      </c>
      <c r="AP44" s="47"/>
      <c r="AQ44" s="47"/>
      <c r="AR44" s="47"/>
      <c r="AS44" s="47"/>
    </row>
    <row r="45" spans="2:45" s="133" customFormat="1">
      <c r="B45" s="205" t="s">
        <v>543</v>
      </c>
      <c r="C45" s="231" t="s">
        <v>205</v>
      </c>
      <c r="D45" s="251">
        <v>0</v>
      </c>
      <c r="E45" s="388">
        <v>0</v>
      </c>
      <c r="F45" s="251">
        <v>0</v>
      </c>
      <c r="G45" s="243">
        <f>-(Assumptions!D26+Assumptions!D27)*'Site 6 - Financial'!D11</f>
        <v>-40086.75</v>
      </c>
      <c r="H45" s="243">
        <f>G45*(1+Assumptions!$F$14)</f>
        <v>-41289.352500000001</v>
      </c>
      <c r="I45" s="244">
        <f>H45*(1+Assumptions!$F$14)</f>
        <v>-42528.033074999999</v>
      </c>
      <c r="J45" s="405">
        <f>-(Assumptions!D30*'Site 6 - Financial'!D11)*(1+Assumptions!$F$14)^J2</f>
        <v>-85287.931599865842</v>
      </c>
      <c r="K45" s="243">
        <f>J45*(1+Assumptions!$F$14)</f>
        <v>-87846.569547861814</v>
      </c>
      <c r="L45" s="558" t="s">
        <v>205</v>
      </c>
      <c r="M45" s="558" t="s">
        <v>205</v>
      </c>
      <c r="N45" s="558" t="s">
        <v>205</v>
      </c>
      <c r="O45" s="560" t="s">
        <v>205</v>
      </c>
      <c r="AP45" s="47"/>
      <c r="AQ45" s="47"/>
      <c r="AR45" s="47"/>
      <c r="AS45" s="47"/>
    </row>
    <row r="46" spans="2:45" s="133" customFormat="1">
      <c r="B46" s="205" t="s">
        <v>321</v>
      </c>
      <c r="C46" s="231" t="s">
        <v>205</v>
      </c>
      <c r="D46" s="251">
        <f t="shared" ref="D46:K46" si="21">-5%*D44</f>
        <v>0</v>
      </c>
      <c r="E46" s="388">
        <f t="shared" si="21"/>
        <v>0</v>
      </c>
      <c r="F46" s="251">
        <f t="shared" ref="F46" si="22">-5%*F44</f>
        <v>0</v>
      </c>
      <c r="G46" s="243">
        <f t="shared" si="21"/>
        <v>0</v>
      </c>
      <c r="H46" s="243">
        <f t="shared" si="21"/>
        <v>0</v>
      </c>
      <c r="I46" s="244">
        <f t="shared" si="21"/>
        <v>0</v>
      </c>
      <c r="J46" s="405">
        <f t="shared" si="21"/>
        <v>-31874.146579993296</v>
      </c>
      <c r="K46" s="243">
        <f t="shared" si="21"/>
        <v>-32830.37097739309</v>
      </c>
      <c r="L46" s="557" t="s">
        <v>205</v>
      </c>
      <c r="M46" s="557" t="s">
        <v>205</v>
      </c>
      <c r="N46" s="557" t="s">
        <v>205</v>
      </c>
      <c r="O46" s="559" t="s">
        <v>205</v>
      </c>
      <c r="AP46" s="47"/>
      <c r="AQ46" s="47"/>
      <c r="AR46" s="47"/>
      <c r="AS46" s="47"/>
    </row>
    <row r="47" spans="2:45" s="133" customFormat="1">
      <c r="B47" s="239" t="s">
        <v>95</v>
      </c>
      <c r="C47" s="240" t="s">
        <v>205</v>
      </c>
      <c r="D47" s="115">
        <f t="shared" ref="D47:G47" si="23">SUM(D44:D46)</f>
        <v>0</v>
      </c>
      <c r="E47" s="389">
        <f t="shared" si="23"/>
        <v>0</v>
      </c>
      <c r="F47" s="115">
        <f t="shared" ref="F47" si="24">SUM(F44:F46)</f>
        <v>0</v>
      </c>
      <c r="G47" s="107">
        <f t="shared" si="23"/>
        <v>-40086.75</v>
      </c>
      <c r="H47" s="107">
        <f>SUM(H44:H46)</f>
        <v>-41289.352500000001</v>
      </c>
      <c r="I47" s="116">
        <f>SUM(I44:I46)</f>
        <v>-42528.033074999999</v>
      </c>
      <c r="J47" s="108">
        <f>SUM(J44:J46)</f>
        <v>520320.85342000669</v>
      </c>
      <c r="K47" s="107">
        <f>SUM(K44:K46)</f>
        <v>535930.47902260686</v>
      </c>
      <c r="L47" s="268" t="s">
        <v>205</v>
      </c>
      <c r="M47" s="268" t="s">
        <v>205</v>
      </c>
      <c r="N47" s="268" t="s">
        <v>205</v>
      </c>
      <c r="O47" s="269" t="s">
        <v>205</v>
      </c>
      <c r="AP47" s="47"/>
      <c r="AQ47" s="47"/>
      <c r="AR47" s="47"/>
      <c r="AS47" s="47"/>
    </row>
    <row r="48" spans="2:45" s="133" customFormat="1" ht="15" thickBot="1">
      <c r="B48" s="223" t="s">
        <v>328</v>
      </c>
      <c r="C48" s="232" t="s">
        <v>205</v>
      </c>
      <c r="D48" s="252">
        <v>0</v>
      </c>
      <c r="E48" s="390">
        <v>0</v>
      </c>
      <c r="F48" s="252">
        <v>0</v>
      </c>
      <c r="G48" s="245">
        <v>0</v>
      </c>
      <c r="H48" s="245">
        <v>0</v>
      </c>
      <c r="I48" s="246">
        <v>0</v>
      </c>
      <c r="J48" s="406">
        <f>(K47/Assumptions!I9)*0.98</f>
        <v>12357926.339815404</v>
      </c>
      <c r="K48" s="245" t="s">
        <v>205</v>
      </c>
      <c r="L48" s="268" t="s">
        <v>205</v>
      </c>
      <c r="M48" s="268" t="s">
        <v>205</v>
      </c>
      <c r="N48" s="268" t="s">
        <v>205</v>
      </c>
      <c r="O48" s="269" t="s">
        <v>205</v>
      </c>
      <c r="AP48" s="47"/>
      <c r="AQ48" s="47"/>
      <c r="AR48" s="47"/>
      <c r="AS48" s="47"/>
    </row>
    <row r="49" spans="2:45" s="133" customFormat="1">
      <c r="B49" s="193" t="s">
        <v>406</v>
      </c>
      <c r="C49" s="230"/>
      <c r="D49" s="250"/>
      <c r="E49" s="387"/>
      <c r="F49" s="250"/>
      <c r="G49" s="241"/>
      <c r="H49" s="241"/>
      <c r="I49" s="242"/>
      <c r="J49" s="404"/>
      <c r="K49" s="241"/>
      <c r="L49" s="241"/>
      <c r="M49" s="241"/>
      <c r="N49" s="241"/>
      <c r="O49" s="242"/>
      <c r="AP49" s="47"/>
      <c r="AQ49" s="47"/>
      <c r="AR49" s="47"/>
      <c r="AS49" s="47"/>
    </row>
    <row r="50" spans="2:45" s="133" customFormat="1">
      <c r="B50" s="194" t="s">
        <v>92</v>
      </c>
      <c r="C50" s="231" t="s">
        <v>205</v>
      </c>
      <c r="D50" s="251">
        <v>0</v>
      </c>
      <c r="E50" s="388">
        <v>0</v>
      </c>
      <c r="F50" s="251">
        <v>0</v>
      </c>
      <c r="G50" s="243">
        <v>0</v>
      </c>
      <c r="H50" s="243">
        <v>0</v>
      </c>
      <c r="I50" s="244">
        <v>0</v>
      </c>
      <c r="J50" s="405">
        <v>0</v>
      </c>
      <c r="K50" s="243" t="s">
        <v>205</v>
      </c>
      <c r="L50" s="248" t="s">
        <v>205</v>
      </c>
      <c r="M50" s="248" t="s">
        <v>205</v>
      </c>
      <c r="N50" s="248" t="s">
        <v>205</v>
      </c>
      <c r="O50" s="249" t="s">
        <v>205</v>
      </c>
      <c r="AP50" s="47"/>
      <c r="AQ50" s="47"/>
      <c r="AR50" s="47"/>
      <c r="AS50" s="47"/>
    </row>
    <row r="51" spans="2:45" s="133" customFormat="1">
      <c r="B51" s="194" t="s">
        <v>539</v>
      </c>
      <c r="C51" s="231" t="s">
        <v>205</v>
      </c>
      <c r="D51" s="251">
        <v>0</v>
      </c>
      <c r="E51" s="388">
        <v>0</v>
      </c>
      <c r="F51" s="251">
        <v>0</v>
      </c>
      <c r="G51" s="243">
        <v>0</v>
      </c>
      <c r="H51" s="243">
        <v>0</v>
      </c>
      <c r="I51" s="244">
        <v>0</v>
      </c>
      <c r="J51" s="405">
        <v>0</v>
      </c>
      <c r="K51" s="243" t="s">
        <v>205</v>
      </c>
      <c r="L51" s="248" t="s">
        <v>205</v>
      </c>
      <c r="M51" s="248" t="s">
        <v>205</v>
      </c>
      <c r="N51" s="248" t="s">
        <v>205</v>
      </c>
      <c r="O51" s="249" t="s">
        <v>205</v>
      </c>
      <c r="AP51" s="47"/>
      <c r="AQ51" s="47"/>
      <c r="AR51" s="47"/>
      <c r="AS51" s="47"/>
    </row>
    <row r="52" spans="2:45" s="133" customFormat="1">
      <c r="B52" s="194" t="s">
        <v>313</v>
      </c>
      <c r="C52" s="231" t="s">
        <v>205</v>
      </c>
      <c r="D52" s="251">
        <v>0</v>
      </c>
      <c r="E52" s="388">
        <v>0</v>
      </c>
      <c r="F52" s="251">
        <v>0</v>
      </c>
      <c r="G52" s="243">
        <v>0</v>
      </c>
      <c r="H52" s="243">
        <v>0</v>
      </c>
      <c r="I52" s="244">
        <v>0</v>
      </c>
      <c r="J52" s="405">
        <v>0</v>
      </c>
      <c r="K52" s="243" t="s">
        <v>205</v>
      </c>
      <c r="L52" s="557" t="s">
        <v>205</v>
      </c>
      <c r="M52" s="557" t="s">
        <v>205</v>
      </c>
      <c r="N52" s="557" t="s">
        <v>205</v>
      </c>
      <c r="O52" s="559" t="s">
        <v>205</v>
      </c>
      <c r="AP52" s="47"/>
      <c r="AQ52" s="47"/>
      <c r="AR52" s="47"/>
      <c r="AS52" s="47"/>
    </row>
    <row r="53" spans="2:45" s="133" customFormat="1">
      <c r="B53" s="239" t="s">
        <v>94</v>
      </c>
      <c r="C53" s="240" t="s">
        <v>205</v>
      </c>
      <c r="D53" s="115">
        <v>0</v>
      </c>
      <c r="E53" s="389">
        <v>0</v>
      </c>
      <c r="F53" s="115">
        <v>0</v>
      </c>
      <c r="G53" s="107">
        <v>0</v>
      </c>
      <c r="H53" s="107">
        <v>0</v>
      </c>
      <c r="I53" s="116">
        <v>0</v>
      </c>
      <c r="J53" s="108">
        <v>0</v>
      </c>
      <c r="K53" s="107" t="s">
        <v>205</v>
      </c>
      <c r="L53" s="268" t="s">
        <v>205</v>
      </c>
      <c r="M53" s="268" t="s">
        <v>205</v>
      </c>
      <c r="N53" s="268" t="s">
        <v>205</v>
      </c>
      <c r="O53" s="269" t="s">
        <v>205</v>
      </c>
      <c r="AP53" s="47"/>
      <c r="AQ53" s="47"/>
      <c r="AR53" s="47"/>
      <c r="AS53" s="47"/>
    </row>
    <row r="54" spans="2:45" s="133" customFormat="1">
      <c r="B54" s="205" t="s">
        <v>543</v>
      </c>
      <c r="C54" s="231" t="s">
        <v>205</v>
      </c>
      <c r="D54" s="251">
        <v>0</v>
      </c>
      <c r="E54" s="388">
        <v>0</v>
      </c>
      <c r="F54" s="251">
        <v>0</v>
      </c>
      <c r="G54" s="243">
        <v>0</v>
      </c>
      <c r="H54" s="243">
        <v>0</v>
      </c>
      <c r="I54" s="244">
        <v>0</v>
      </c>
      <c r="J54" s="405">
        <v>0</v>
      </c>
      <c r="K54" s="243" t="s">
        <v>205</v>
      </c>
      <c r="L54" s="558" t="s">
        <v>205</v>
      </c>
      <c r="M54" s="558" t="s">
        <v>205</v>
      </c>
      <c r="N54" s="558" t="s">
        <v>205</v>
      </c>
      <c r="O54" s="560" t="s">
        <v>205</v>
      </c>
      <c r="AP54" s="47"/>
      <c r="AQ54" s="47"/>
      <c r="AR54" s="47"/>
      <c r="AS54" s="47"/>
    </row>
    <row r="55" spans="2:45" s="133" customFormat="1">
      <c r="B55" s="194" t="s">
        <v>321</v>
      </c>
      <c r="C55" s="231" t="s">
        <v>205</v>
      </c>
      <c r="D55" s="251">
        <v>0</v>
      </c>
      <c r="E55" s="388">
        <v>0</v>
      </c>
      <c r="F55" s="251">
        <v>0</v>
      </c>
      <c r="G55" s="243">
        <v>0</v>
      </c>
      <c r="H55" s="243">
        <v>0</v>
      </c>
      <c r="I55" s="244">
        <v>0</v>
      </c>
      <c r="J55" s="405">
        <v>0</v>
      </c>
      <c r="K55" s="243" t="s">
        <v>205</v>
      </c>
      <c r="L55" s="557" t="s">
        <v>205</v>
      </c>
      <c r="M55" s="557" t="s">
        <v>205</v>
      </c>
      <c r="N55" s="557" t="s">
        <v>205</v>
      </c>
      <c r="O55" s="559" t="s">
        <v>205</v>
      </c>
      <c r="AP55" s="47"/>
      <c r="AQ55" s="47"/>
      <c r="AR55" s="47"/>
      <c r="AS55" s="47"/>
    </row>
    <row r="56" spans="2:45" s="133" customFormat="1">
      <c r="B56" s="239" t="s">
        <v>95</v>
      </c>
      <c r="C56" s="240" t="s">
        <v>205</v>
      </c>
      <c r="D56" s="115">
        <v>0</v>
      </c>
      <c r="E56" s="389">
        <v>0</v>
      </c>
      <c r="F56" s="115">
        <v>0</v>
      </c>
      <c r="G56" s="107">
        <v>0</v>
      </c>
      <c r="H56" s="107">
        <v>0</v>
      </c>
      <c r="I56" s="116">
        <v>0</v>
      </c>
      <c r="J56" s="108">
        <v>0</v>
      </c>
      <c r="K56" s="107" t="s">
        <v>205</v>
      </c>
      <c r="L56" s="268" t="s">
        <v>205</v>
      </c>
      <c r="M56" s="268" t="s">
        <v>205</v>
      </c>
      <c r="N56" s="268" t="s">
        <v>205</v>
      </c>
      <c r="O56" s="269" t="s">
        <v>205</v>
      </c>
      <c r="AP56" s="47"/>
      <c r="AQ56" s="47"/>
      <c r="AR56" s="47"/>
      <c r="AS56" s="47"/>
    </row>
    <row r="57" spans="2:45" s="133" customFormat="1" ht="15" thickBot="1">
      <c r="B57" s="197" t="s">
        <v>328</v>
      </c>
      <c r="C57" s="232" t="s">
        <v>205</v>
      </c>
      <c r="D57" s="252">
        <v>0</v>
      </c>
      <c r="E57" s="390">
        <v>0</v>
      </c>
      <c r="F57" s="252">
        <v>0</v>
      </c>
      <c r="G57" s="245">
        <v>0</v>
      </c>
      <c r="H57" s="245">
        <v>0</v>
      </c>
      <c r="I57" s="246">
        <v>0</v>
      </c>
      <c r="J57" s="406">
        <v>0</v>
      </c>
      <c r="K57" s="245" t="s">
        <v>205</v>
      </c>
      <c r="L57" s="268" t="s">
        <v>205</v>
      </c>
      <c r="M57" s="268" t="s">
        <v>205</v>
      </c>
      <c r="N57" s="268" t="s">
        <v>205</v>
      </c>
      <c r="O57" s="269" t="s">
        <v>205</v>
      </c>
      <c r="AP57" s="47"/>
      <c r="AQ57" s="47"/>
      <c r="AR57" s="47"/>
      <c r="AS57" s="47"/>
    </row>
    <row r="58" spans="2:45" s="133" customFormat="1" ht="15" thickBot="1">
      <c r="B58" s="254" t="s">
        <v>341</v>
      </c>
      <c r="C58" s="360">
        <f>IRR(F58:J58)</f>
        <v>0.12536851933948623</v>
      </c>
      <c r="D58" s="255">
        <f>D30</f>
        <v>0</v>
      </c>
      <c r="E58" s="386">
        <f>E30</f>
        <v>0</v>
      </c>
      <c r="F58" s="255">
        <f>-F30</f>
        <v>-13681840.725722846</v>
      </c>
      <c r="G58" s="256">
        <f>-G30</f>
        <v>-11607182.980901908</v>
      </c>
      <c r="H58" s="256">
        <f>-H30</f>
        <v>-12326526.293401908</v>
      </c>
      <c r="I58" s="257">
        <f>-I30</f>
        <v>-12544420.073976908</v>
      </c>
      <c r="J58" s="403">
        <f>SUM(J38:J39,J56:J57,J47:J48,J30)</f>
        <v>68215350.990814537</v>
      </c>
      <c r="K58" s="256">
        <v>0</v>
      </c>
      <c r="L58" s="256">
        <f>SUM(L38:L39,L56:L57,L47:L48,L30)</f>
        <v>0</v>
      </c>
      <c r="M58" s="256">
        <f>SUM(M38:M39,M56:M57,M47:M48,M30)</f>
        <v>0</v>
      </c>
      <c r="N58" s="256">
        <f>SUM(N38:N39,N56:N57,N47:N48,N30)</f>
        <v>0</v>
      </c>
      <c r="O58" s="257" t="s">
        <v>205</v>
      </c>
      <c r="AP58" s="47"/>
      <c r="AQ58" s="47"/>
      <c r="AR58" s="47"/>
      <c r="AS58" s="47"/>
    </row>
    <row r="59" spans="2:45" s="133" customFormat="1">
      <c r="B59" s="194" t="s">
        <v>344</v>
      </c>
      <c r="C59" s="258">
        <f>Assumptions!I13</f>
        <v>4.4999999999999998E-2</v>
      </c>
      <c r="D59" s="253" t="s">
        <v>205</v>
      </c>
      <c r="E59" s="391" t="s">
        <v>205</v>
      </c>
      <c r="F59" s="253">
        <f>-PMT(C59,30,-'Site 6 - Financial'!E17)</f>
        <v>-1847638.7730551627</v>
      </c>
      <c r="G59" s="248">
        <f>F59</f>
        <v>-1847638.7730551627</v>
      </c>
      <c r="H59" s="248">
        <f>G59</f>
        <v>-1847638.7730551627</v>
      </c>
      <c r="I59" s="249">
        <f>H59</f>
        <v>-1847638.7730551627</v>
      </c>
      <c r="J59" s="408">
        <f t="shared" ref="J59" si="25">I59</f>
        <v>-1847638.7730551627</v>
      </c>
      <c r="K59" s="248" t="s">
        <v>205</v>
      </c>
      <c r="L59" s="248" t="s">
        <v>205</v>
      </c>
      <c r="M59" s="248" t="s">
        <v>205</v>
      </c>
      <c r="N59" s="248" t="s">
        <v>205</v>
      </c>
      <c r="O59" s="221" t="s">
        <v>205</v>
      </c>
      <c r="AP59" s="47"/>
      <c r="AQ59" s="47"/>
      <c r="AR59" s="47"/>
      <c r="AS59" s="47"/>
    </row>
    <row r="60" spans="2:45" s="199" customFormat="1" outlineLevel="1">
      <c r="B60" s="361" t="s">
        <v>399</v>
      </c>
      <c r="C60" s="362"/>
      <c r="D60" s="363" t="s">
        <v>205</v>
      </c>
      <c r="E60" s="392" t="s">
        <v>205</v>
      </c>
      <c r="F60" s="363">
        <f>$C$59*'Site 6 - Financial'!$E$17</f>
        <v>1354319.1919980962</v>
      </c>
      <c r="G60" s="364">
        <f>F62*$C$59</f>
        <v>1332119.8108505281</v>
      </c>
      <c r="H60" s="364">
        <f>G62*$C$59</f>
        <v>1308921.4575513194</v>
      </c>
      <c r="I60" s="410">
        <f>H62*$C$59</f>
        <v>1284679.1783536465</v>
      </c>
      <c r="J60" s="409">
        <f>I62*$C$59</f>
        <v>1259345.9965920784</v>
      </c>
      <c r="K60" s="364" t="s">
        <v>205</v>
      </c>
      <c r="L60" s="364" t="s">
        <v>205</v>
      </c>
      <c r="M60" s="364" t="s">
        <v>205</v>
      </c>
      <c r="N60" s="364" t="s">
        <v>205</v>
      </c>
      <c r="O60" s="365" t="s">
        <v>205</v>
      </c>
      <c r="AP60" s="368"/>
      <c r="AQ60" s="368"/>
      <c r="AR60" s="368"/>
      <c r="AS60" s="368"/>
    </row>
    <row r="61" spans="2:45" s="199" customFormat="1" outlineLevel="1">
      <c r="B61" s="361" t="s">
        <v>400</v>
      </c>
      <c r="C61" s="362"/>
      <c r="D61" s="363" t="s">
        <v>205</v>
      </c>
      <c r="E61" s="392" t="s">
        <v>205</v>
      </c>
      <c r="F61" s="363">
        <f t="shared" ref="F61:J61" si="26">-(F60+F59)</f>
        <v>493319.58105706656</v>
      </c>
      <c r="G61" s="364">
        <f t="shared" si="26"/>
        <v>515518.96220463468</v>
      </c>
      <c r="H61" s="364">
        <f t="shared" si="26"/>
        <v>538717.31550384336</v>
      </c>
      <c r="I61" s="410">
        <f t="shared" si="26"/>
        <v>562959.59470151621</v>
      </c>
      <c r="J61" s="409">
        <f t="shared" si="26"/>
        <v>588292.77646308439</v>
      </c>
      <c r="K61" s="364" t="s">
        <v>205</v>
      </c>
      <c r="L61" s="364" t="s">
        <v>205</v>
      </c>
      <c r="M61" s="364" t="s">
        <v>205</v>
      </c>
      <c r="N61" s="364" t="s">
        <v>205</v>
      </c>
      <c r="O61" s="365" t="s">
        <v>205</v>
      </c>
      <c r="AP61" s="368"/>
      <c r="AQ61" s="368"/>
      <c r="AR61" s="368"/>
      <c r="AS61" s="368"/>
    </row>
    <row r="62" spans="2:45" s="199" customFormat="1" outlineLevel="1">
      <c r="B62" s="361" t="s">
        <v>408</v>
      </c>
      <c r="C62" s="362"/>
      <c r="D62" s="363" t="s">
        <v>205</v>
      </c>
      <c r="E62" s="392" t="s">
        <v>205</v>
      </c>
      <c r="F62" s="363">
        <f>'Site 6 - Financial'!E17-F61</f>
        <v>29602662.463345069</v>
      </c>
      <c r="G62" s="364">
        <f>F62-G61</f>
        <v>29087143.501140434</v>
      </c>
      <c r="H62" s="364">
        <f t="shared" ref="H62:J62" si="27">G62-H61</f>
        <v>28548426.185636591</v>
      </c>
      <c r="I62" s="410">
        <f>H62-I61</f>
        <v>27985466.590935074</v>
      </c>
      <c r="J62" s="409">
        <f t="shared" si="27"/>
        <v>27397173.81447199</v>
      </c>
      <c r="K62" s="364" t="s">
        <v>205</v>
      </c>
      <c r="L62" s="364" t="s">
        <v>205</v>
      </c>
      <c r="M62" s="364" t="s">
        <v>205</v>
      </c>
      <c r="N62" s="364" t="s">
        <v>205</v>
      </c>
      <c r="O62" s="365" t="s">
        <v>205</v>
      </c>
      <c r="AP62" s="368"/>
      <c r="AQ62" s="368"/>
      <c r="AR62" s="368"/>
      <c r="AS62" s="368"/>
    </row>
    <row r="63" spans="2:45" s="133" customFormat="1" ht="15" thickBot="1">
      <c r="B63" s="194" t="s">
        <v>345</v>
      </c>
      <c r="C63" s="233"/>
      <c r="D63" s="253" t="s">
        <v>205</v>
      </c>
      <c r="E63" s="391" t="s">
        <v>205</v>
      </c>
      <c r="F63" s="253">
        <f>F58*0.4</f>
        <v>-5472736.2902891384</v>
      </c>
      <c r="G63" s="248">
        <f>G58*0.4</f>
        <v>-4642873.1923607634</v>
      </c>
      <c r="H63" s="248">
        <f t="shared" ref="H63:I63" si="28">H58*0.4</f>
        <v>-4930610.5173607636</v>
      </c>
      <c r="I63" s="249">
        <f t="shared" si="28"/>
        <v>-5017768.0295907632</v>
      </c>
      <c r="J63" s="408">
        <v>0</v>
      </c>
      <c r="K63" s="248" t="s">
        <v>205</v>
      </c>
      <c r="L63" s="248" t="s">
        <v>205</v>
      </c>
      <c r="M63" s="248" t="s">
        <v>205</v>
      </c>
      <c r="N63" s="248" t="s">
        <v>205</v>
      </c>
      <c r="O63" s="221" t="s">
        <v>205</v>
      </c>
      <c r="AP63" s="47"/>
      <c r="AQ63" s="47"/>
      <c r="AR63" s="47"/>
      <c r="AS63" s="47"/>
    </row>
    <row r="64" spans="2:45" s="145" customFormat="1" ht="15" thickBot="1">
      <c r="B64" s="254" t="s">
        <v>342</v>
      </c>
      <c r="C64" s="360">
        <f>IRR(F64:J64)</f>
        <v>0.14388825187933385</v>
      </c>
      <c r="D64" s="255">
        <v>0</v>
      </c>
      <c r="E64" s="386">
        <v>0</v>
      </c>
      <c r="F64" s="255">
        <f>F63+F59</f>
        <v>-7320375.0633443017</v>
      </c>
      <c r="G64" s="256">
        <f>G63+G59</f>
        <v>-6490511.9654159267</v>
      </c>
      <c r="H64" s="256">
        <f>H63+H59</f>
        <v>-6778249.2904159259</v>
      </c>
      <c r="I64" s="256">
        <f>I63+I59</f>
        <v>-6865406.8026459254</v>
      </c>
      <c r="J64" s="403">
        <f>J58+J59-J62</f>
        <v>38970538.403287381</v>
      </c>
      <c r="K64" s="256">
        <v>0</v>
      </c>
      <c r="L64" s="256">
        <v>0</v>
      </c>
      <c r="M64" s="256">
        <v>0</v>
      </c>
      <c r="N64" s="256">
        <v>0</v>
      </c>
      <c r="O64" s="257" t="s">
        <v>205</v>
      </c>
      <c r="AP64" s="263"/>
      <c r="AQ64" s="263"/>
      <c r="AR64" s="263"/>
      <c r="AS64" s="263"/>
    </row>
    <row r="65" spans="1:45" s="95" customFormat="1">
      <c r="A65" s="133"/>
      <c r="B65" s="48"/>
      <c r="C65" s="48"/>
      <c r="D65" s="48"/>
      <c r="E65" s="48"/>
      <c r="F65" s="48"/>
      <c r="G65" s="48"/>
      <c r="H65" s="48"/>
      <c r="I65" s="48"/>
      <c r="J65" s="48"/>
      <c r="K65" s="48"/>
      <c r="L65" s="48"/>
      <c r="M65" s="48"/>
      <c r="N65" s="48"/>
      <c r="O65" s="48"/>
      <c r="P65" s="48"/>
      <c r="Q65" s="48"/>
      <c r="R65" s="48"/>
      <c r="S65" s="48"/>
      <c r="T65" s="48"/>
      <c r="U65" s="48"/>
      <c r="V65" s="48"/>
      <c r="W65" s="48"/>
      <c r="X65" s="48"/>
      <c r="Y65" s="48"/>
      <c r="Z65" s="48"/>
      <c r="AA65" s="48"/>
      <c r="AB65" s="48"/>
      <c r="AC65" s="48"/>
      <c r="AD65" s="48"/>
      <c r="AE65" s="48"/>
      <c r="AF65" s="48"/>
      <c r="AG65" s="48"/>
      <c r="AH65" s="48"/>
      <c r="AI65" s="48"/>
      <c r="AJ65" s="48"/>
      <c r="AK65" s="48"/>
      <c r="AL65" s="48"/>
      <c r="AM65" s="48"/>
      <c r="AP65" s="48"/>
      <c r="AQ65" s="48"/>
      <c r="AR65" s="48"/>
      <c r="AS65" s="48"/>
    </row>
    <row r="66" spans="1:45" s="95" customFormat="1">
      <c r="A66" s="133"/>
      <c r="B66" s="48"/>
      <c r="C66" s="179"/>
      <c r="D66" s="48"/>
      <c r="E66" s="48"/>
      <c r="F66" s="48"/>
      <c r="G66" s="48"/>
      <c r="H66" s="48"/>
      <c r="I66" s="48"/>
      <c r="J66" s="309"/>
      <c r="K66" s="48"/>
      <c r="L66" s="48"/>
      <c r="M66" s="48"/>
      <c r="N66" s="48"/>
      <c r="O66" s="48"/>
      <c r="P66" s="48"/>
      <c r="Q66" s="48"/>
      <c r="R66" s="48"/>
      <c r="S66" s="48"/>
      <c r="T66" s="48"/>
      <c r="U66" s="48"/>
      <c r="V66" s="48"/>
      <c r="W66" s="48"/>
      <c r="X66" s="48"/>
      <c r="Y66" s="48"/>
      <c r="Z66" s="48"/>
      <c r="AA66" s="48"/>
      <c r="AB66" s="48"/>
      <c r="AC66" s="48"/>
      <c r="AD66" s="48"/>
      <c r="AE66" s="48"/>
      <c r="AF66" s="48"/>
      <c r="AG66" s="48"/>
      <c r="AH66" s="48"/>
      <c r="AI66" s="48"/>
      <c r="AJ66" s="48"/>
      <c r="AK66" s="48"/>
      <c r="AL66" s="48"/>
      <c r="AM66" s="48"/>
      <c r="AP66" s="48"/>
      <c r="AQ66" s="48"/>
      <c r="AR66" s="48"/>
      <c r="AS66" s="48"/>
    </row>
    <row r="67" spans="1:45" s="95" customFormat="1">
      <c r="A67" s="133"/>
      <c r="B67" s="48"/>
      <c r="C67" s="179"/>
      <c r="D67" s="48"/>
      <c r="E67" s="48"/>
      <c r="F67" s="48"/>
      <c r="G67" s="48"/>
      <c r="H67" s="48"/>
      <c r="I67" s="48"/>
      <c r="J67" s="48"/>
      <c r="K67" s="48"/>
      <c r="L67" s="48"/>
      <c r="M67" s="48"/>
      <c r="N67" s="48"/>
      <c r="O67" s="48"/>
      <c r="P67" s="48"/>
      <c r="Q67" s="48"/>
      <c r="R67" s="48"/>
      <c r="S67" s="48"/>
      <c r="T67" s="48"/>
      <c r="U67" s="48"/>
      <c r="V67" s="48"/>
      <c r="W67" s="48"/>
      <c r="X67" s="48"/>
      <c r="Y67" s="48"/>
      <c r="Z67" s="48"/>
      <c r="AA67" s="48"/>
      <c r="AB67" s="48"/>
      <c r="AC67" s="48"/>
      <c r="AD67" s="48"/>
      <c r="AE67" s="48"/>
      <c r="AF67" s="48"/>
      <c r="AG67" s="48"/>
      <c r="AH67" s="48"/>
      <c r="AI67" s="48"/>
      <c r="AJ67" s="48"/>
      <c r="AK67" s="48"/>
      <c r="AL67" s="48"/>
      <c r="AM67" s="48"/>
      <c r="AP67" s="48"/>
      <c r="AQ67" s="48"/>
      <c r="AR67" s="48"/>
      <c r="AS67" s="48"/>
    </row>
    <row r="68" spans="1:45" s="95" customFormat="1">
      <c r="A68" s="133"/>
      <c r="B68" s="144"/>
      <c r="C68" s="184"/>
      <c r="D68" s="48"/>
      <c r="E68" s="48"/>
      <c r="F68" s="48"/>
      <c r="G68" s="48"/>
      <c r="H68" s="48"/>
      <c r="I68" s="48"/>
      <c r="J68" s="48"/>
      <c r="K68" s="48"/>
      <c r="L68" s="48"/>
      <c r="M68" s="48"/>
      <c r="N68" s="48"/>
      <c r="O68" s="48"/>
      <c r="P68" s="48"/>
      <c r="Q68" s="48"/>
      <c r="R68" s="48"/>
      <c r="S68" s="48"/>
      <c r="T68" s="48"/>
      <c r="U68" s="48"/>
      <c r="V68" s="48"/>
      <c r="W68" s="48"/>
      <c r="X68" s="48"/>
      <c r="Y68" s="48"/>
      <c r="Z68" s="48"/>
      <c r="AA68" s="48"/>
      <c r="AB68" s="48"/>
      <c r="AC68" s="48"/>
      <c r="AD68" s="48"/>
      <c r="AE68" s="48"/>
      <c r="AF68" s="48"/>
      <c r="AG68" s="48"/>
      <c r="AH68" s="48"/>
      <c r="AI68" s="48"/>
      <c r="AJ68" s="48"/>
      <c r="AK68" s="48"/>
      <c r="AL68" s="48"/>
      <c r="AM68" s="48"/>
      <c r="AP68" s="48"/>
      <c r="AQ68" s="48"/>
      <c r="AR68" s="48"/>
      <c r="AS68" s="48"/>
    </row>
    <row r="69" spans="1:45" s="95" customFormat="1">
      <c r="A69" s="133"/>
      <c r="B69" s="48"/>
      <c r="C69" s="48"/>
      <c r="D69" s="48"/>
      <c r="E69" s="48"/>
      <c r="F69" s="48"/>
      <c r="G69" s="48"/>
      <c r="H69" s="48"/>
      <c r="I69" s="48"/>
      <c r="J69" s="48"/>
      <c r="K69" s="48"/>
      <c r="L69" s="48"/>
      <c r="M69" s="48"/>
      <c r="N69" s="48"/>
      <c r="O69" s="48"/>
      <c r="P69" s="48"/>
      <c r="Q69" s="48"/>
      <c r="R69" s="48"/>
      <c r="S69" s="48"/>
      <c r="T69" s="48"/>
      <c r="U69" s="48"/>
      <c r="V69" s="48"/>
      <c r="W69" s="48"/>
      <c r="X69" s="48"/>
      <c r="Y69" s="48"/>
      <c r="Z69" s="48"/>
      <c r="AA69" s="48"/>
      <c r="AB69" s="48"/>
      <c r="AC69" s="48"/>
      <c r="AD69" s="48"/>
      <c r="AE69" s="48"/>
      <c r="AF69" s="48"/>
      <c r="AG69" s="48"/>
      <c r="AH69" s="48"/>
      <c r="AI69" s="48"/>
      <c r="AJ69" s="48"/>
      <c r="AK69" s="48"/>
      <c r="AL69" s="48"/>
      <c r="AM69" s="48"/>
      <c r="AP69" s="48"/>
      <c r="AQ69" s="48"/>
      <c r="AR69" s="48"/>
      <c r="AS69" s="48"/>
    </row>
  </sheetData>
  <mergeCells count="1">
    <mergeCell ref="B2:B4"/>
  </mergeCells>
  <conditionalFormatting sqref="D4:O4">
    <cfRule type="cellIs" dxfId="15" priority="1" operator="equal">
      <formula>#REF!</formula>
    </cfRule>
    <cfRule type="cellIs" dxfId="14" priority="2" operator="equal">
      <formula>#REF!</formula>
    </cfRule>
    <cfRule type="cellIs" dxfId="13" priority="3" operator="equal">
      <formula>#REF!</formula>
    </cfRule>
    <cfRule type="cellIs" dxfId="12" priority="4" operator="equal">
      <formula>#REF!</formula>
    </cfRule>
  </conditionalFormatting>
  <pageMargins left="0.7" right="0.7" top="0.75" bottom="0.75" header="0.3" footer="0.3"/>
  <pageSetup paperSize="3" orientation="landscape" horizontalDpi="1200" verticalDpi="1200" r:id="rId1"/>
  <headerFooter>
    <oddHeader>&amp;C&amp;"Calibri,Regular"&amp;K000000OVERALL DRAW</oddHeader>
    <oddFooter>&amp;C&amp;"Calibri,Regular"&amp;K000000PAGE &amp;P OF &amp;N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646945-5A93-2B46-B9D3-CCEC486B3A41}">
  <sheetPr>
    <tabColor rgb="FF00B050"/>
    <pageSetUpPr fitToPage="1"/>
  </sheetPr>
  <dimension ref="B1:K83"/>
  <sheetViews>
    <sheetView showGridLines="0" zoomScale="89" zoomScaleNormal="110" zoomScaleSheetLayoutView="90" workbookViewId="0">
      <selection activeCell="I30" sqref="I30"/>
    </sheetView>
  </sheetViews>
  <sheetFormatPr defaultColWidth="8.77734375" defaultRowHeight="23.25" customHeight="1"/>
  <cols>
    <col min="1" max="1" width="2" style="48" customWidth="1"/>
    <col min="2" max="2" width="36.44140625" style="48" bestFit="1" customWidth="1"/>
    <col min="3" max="3" width="32.109375" style="48" bestFit="1" customWidth="1"/>
    <col min="4" max="4" width="22.44140625" style="48" bestFit="1" customWidth="1"/>
    <col min="5" max="5" width="18.44140625" style="48" customWidth="1"/>
    <col min="6" max="6" width="18.109375" style="48" bestFit="1" customWidth="1"/>
    <col min="7" max="7" width="44.77734375" style="48" customWidth="1"/>
    <col min="8" max="11" width="26.109375" style="48" customWidth="1"/>
    <col min="12" max="12" width="13.109375" style="48" bestFit="1" customWidth="1"/>
    <col min="13" max="13" width="24.44140625" style="48" customWidth="1"/>
    <col min="14" max="14" width="32.44140625" style="48" customWidth="1"/>
    <col min="15" max="15" width="20.109375" style="48" customWidth="1"/>
    <col min="16" max="16384" width="8.77734375" style="48"/>
  </cols>
  <sheetData>
    <row r="1" spans="2:10" ht="12" customHeight="1" thickBot="1">
      <c r="B1" s="121"/>
      <c r="C1" s="121"/>
      <c r="D1" s="119"/>
      <c r="E1" s="122"/>
    </row>
    <row r="2" spans="2:10" ht="21" customHeight="1">
      <c r="B2" s="1197" t="str">
        <f>'Development Program'!B11</f>
        <v>The Yesler</v>
      </c>
      <c r="C2" s="1198"/>
      <c r="D2" s="1198"/>
      <c r="E2" s="1198"/>
      <c r="F2" s="1199"/>
      <c r="G2" s="1216" t="s">
        <v>101</v>
      </c>
      <c r="H2" s="1164" t="s">
        <v>96</v>
      </c>
      <c r="I2" s="1164" t="s">
        <v>97</v>
      </c>
      <c r="J2" s="1166" t="s">
        <v>91</v>
      </c>
    </row>
    <row r="3" spans="2:10" ht="21" customHeight="1" thickBot="1">
      <c r="B3" s="93" t="s">
        <v>605</v>
      </c>
      <c r="C3" s="327" t="s">
        <v>84</v>
      </c>
      <c r="D3" s="328" t="s">
        <v>402</v>
      </c>
      <c r="E3" s="327" t="s">
        <v>606</v>
      </c>
      <c r="F3" s="120" t="s">
        <v>404</v>
      </c>
      <c r="G3" s="1217"/>
      <c r="H3" s="1165"/>
      <c r="I3" s="1165"/>
      <c r="J3" s="1167"/>
    </row>
    <row r="4" spans="2:10" ht="21" customHeight="1">
      <c r="B4" s="154" t="s">
        <v>86</v>
      </c>
      <c r="C4" s="155">
        <v>35</v>
      </c>
      <c r="D4" s="156">
        <f>Assumptions!C7*C4</f>
        <v>15750</v>
      </c>
      <c r="E4" s="157">
        <f>'Site 6 - Financial'!E4</f>
        <v>1768</v>
      </c>
      <c r="F4" s="158">
        <f>E4*C4*12</f>
        <v>742560</v>
      </c>
      <c r="G4" s="126" t="str">
        <f>Assumptions!F19</f>
        <v>Residential Condominium Hard Costs for Construction</v>
      </c>
      <c r="H4" s="284">
        <f>'Market Research'!H117</f>
        <v>275</v>
      </c>
      <c r="I4" s="285">
        <f>H4*D8</f>
        <v>18768750</v>
      </c>
      <c r="J4" s="306">
        <f t="shared" ref="J4:J27" si="0">I4/($C$13+$C$8)</f>
        <v>169087.83783783784</v>
      </c>
    </row>
    <row r="5" spans="2:10" ht="21" customHeight="1">
      <c r="B5" s="159" t="s">
        <v>190</v>
      </c>
      <c r="C5" s="160">
        <v>50</v>
      </c>
      <c r="D5" s="161">
        <f>Assumptions!C9*C5</f>
        <v>32500</v>
      </c>
      <c r="E5" s="162">
        <f>'Site 6 - Financial'!E5</f>
        <v>1895</v>
      </c>
      <c r="F5" s="163">
        <f>E5*C5*12</f>
        <v>1137000</v>
      </c>
      <c r="G5" s="126" t="s">
        <v>309</v>
      </c>
      <c r="H5" s="286">
        <f>'Market Research'!H122</f>
        <v>255</v>
      </c>
      <c r="I5" s="285">
        <f>H5*D12</f>
        <v>0</v>
      </c>
      <c r="J5" s="307">
        <f t="shared" si="0"/>
        <v>0</v>
      </c>
    </row>
    <row r="6" spans="2:10" ht="21" customHeight="1">
      <c r="B6" s="159" t="s">
        <v>191</v>
      </c>
      <c r="C6" s="160">
        <v>20</v>
      </c>
      <c r="D6" s="161">
        <f>Assumptions!C11*C6</f>
        <v>20000</v>
      </c>
      <c r="E6" s="162">
        <f>'Site 6 - Financial'!E6</f>
        <v>2274</v>
      </c>
      <c r="F6" s="163">
        <f>E6*C6*12</f>
        <v>545760</v>
      </c>
      <c r="G6" s="520" t="s">
        <v>415</v>
      </c>
      <c r="H6" s="286">
        <f>'Market Research'!H122</f>
        <v>255</v>
      </c>
      <c r="I6" s="285">
        <f>H5*D11</f>
        <v>6894435</v>
      </c>
      <c r="J6" s="307">
        <f t="shared" si="0"/>
        <v>62112.027027027027</v>
      </c>
    </row>
    <row r="7" spans="2:10" ht="21" customHeight="1" thickBot="1">
      <c r="B7" s="164" t="s">
        <v>192</v>
      </c>
      <c r="C7" s="165">
        <v>0</v>
      </c>
      <c r="D7" s="166">
        <f>Assumptions!C13*C7</f>
        <v>0</v>
      </c>
      <c r="E7" s="167">
        <f>'Site 6 - Financial'!E7</f>
        <v>2628</v>
      </c>
      <c r="F7" s="168">
        <f>E7*C7*12</f>
        <v>0</v>
      </c>
      <c r="G7" s="520" t="s">
        <v>540</v>
      </c>
      <c r="H7" s="287">
        <f>'Market Research'!H135</f>
        <v>130</v>
      </c>
      <c r="I7" s="285">
        <f>H7*C22*0.5</f>
        <v>0</v>
      </c>
      <c r="J7" s="307">
        <f t="shared" si="0"/>
        <v>0</v>
      </c>
    </row>
    <row r="8" spans="2:10" ht="21" customHeight="1">
      <c r="B8" s="1200" t="s">
        <v>87</v>
      </c>
      <c r="C8" s="1202">
        <f>SUM(C4:C7)</f>
        <v>105</v>
      </c>
      <c r="D8" s="1204">
        <f>SUM(D4:D7)</f>
        <v>68250</v>
      </c>
      <c r="E8" s="1206">
        <f>F8/C8/12</f>
        <v>1924.8571428571429</v>
      </c>
      <c r="F8" s="1168">
        <f>SUM(F4:F7)</f>
        <v>2425320</v>
      </c>
      <c r="G8" s="126" t="s">
        <v>20</v>
      </c>
      <c r="H8" s="288">
        <v>0.1</v>
      </c>
      <c r="I8" s="285">
        <f>H8*SUM(I4:I7)</f>
        <v>2566318.5</v>
      </c>
      <c r="J8" s="307">
        <f t="shared" si="0"/>
        <v>23119.986486486487</v>
      </c>
    </row>
    <row r="9" spans="2:10" ht="21" customHeight="1">
      <c r="B9" s="1201"/>
      <c r="C9" s="1203"/>
      <c r="D9" s="1205"/>
      <c r="E9" s="1207"/>
      <c r="F9" s="1169"/>
      <c r="G9" s="126" t="s">
        <v>6</v>
      </c>
      <c r="H9" s="289" t="s">
        <v>24</v>
      </c>
      <c r="I9" s="285">
        <v>0</v>
      </c>
      <c r="J9" s="307">
        <f t="shared" si="0"/>
        <v>0</v>
      </c>
    </row>
    <row r="10" spans="2:10" ht="21" customHeight="1" thickBot="1">
      <c r="B10" s="185" t="s">
        <v>412</v>
      </c>
      <c r="C10" s="327" t="s">
        <v>84</v>
      </c>
      <c r="D10" s="327" t="s">
        <v>402</v>
      </c>
      <c r="E10" s="327" t="s">
        <v>89</v>
      </c>
      <c r="F10" s="120" t="s">
        <v>85</v>
      </c>
      <c r="G10" s="520" t="s">
        <v>312</v>
      </c>
      <c r="H10" s="290">
        <f>'Market Research'!C53</f>
        <v>45000000</v>
      </c>
      <c r="I10" s="285">
        <f>H10*C17</f>
        <v>16803719.008264463</v>
      </c>
      <c r="J10" s="307">
        <f t="shared" si="0"/>
        <v>151384.85593031047</v>
      </c>
    </row>
    <row r="11" spans="2:10" ht="21" customHeight="1">
      <c r="B11" s="169" t="s">
        <v>1</v>
      </c>
      <c r="C11" s="170">
        <v>6</v>
      </c>
      <c r="D11" s="171">
        <v>27037</v>
      </c>
      <c r="E11" s="172">
        <f>Assumptions!F7</f>
        <v>35</v>
      </c>
      <c r="F11" s="173">
        <f>D11*E11</f>
        <v>946295</v>
      </c>
      <c r="G11" s="520" t="s">
        <v>21</v>
      </c>
      <c r="H11" s="625" t="s">
        <v>380</v>
      </c>
      <c r="I11" s="285">
        <v>120000</v>
      </c>
      <c r="J11" s="306">
        <f t="shared" si="0"/>
        <v>1081.081081081081</v>
      </c>
    </row>
    <row r="12" spans="2:10" ht="21" customHeight="1" thickBot="1">
      <c r="B12" s="174" t="s">
        <v>0</v>
      </c>
      <c r="C12" s="175">
        <v>0</v>
      </c>
      <c r="D12" s="176">
        <v>0</v>
      </c>
      <c r="E12" s="177">
        <f>Assumptions!G7</f>
        <v>45</v>
      </c>
      <c r="F12" s="178">
        <f>D12*E12</f>
        <v>0</v>
      </c>
      <c r="G12" s="520" t="s">
        <v>43</v>
      </c>
      <c r="H12" s="280" t="s">
        <v>381</v>
      </c>
      <c r="I12" s="285">
        <f>'Development Program'!Q22</f>
        <v>1337473.2880755607</v>
      </c>
      <c r="J12" s="307">
        <f t="shared" si="0"/>
        <v>12049.308901581628</v>
      </c>
    </row>
    <row r="13" spans="2:10" ht="21" customHeight="1">
      <c r="B13" s="1200" t="s">
        <v>87</v>
      </c>
      <c r="C13" s="1202">
        <f>SUM(C11:C12)</f>
        <v>6</v>
      </c>
      <c r="D13" s="1209">
        <f>SUM(D11:D12)</f>
        <v>27037</v>
      </c>
      <c r="E13" s="1211">
        <f>IF(D13=0,0,F13/D13)</f>
        <v>35</v>
      </c>
      <c r="F13" s="1168">
        <f>SUM(F11:F12)</f>
        <v>946295</v>
      </c>
      <c r="G13" s="124" t="s">
        <v>23</v>
      </c>
      <c r="H13" s="276" t="s">
        <v>24</v>
      </c>
      <c r="I13" s="277">
        <v>400000</v>
      </c>
      <c r="J13" s="307">
        <f t="shared" si="0"/>
        <v>3603.6036036036035</v>
      </c>
    </row>
    <row r="14" spans="2:10" ht="21" customHeight="1" thickBot="1">
      <c r="B14" s="1208"/>
      <c r="C14" s="1203"/>
      <c r="D14" s="1210"/>
      <c r="E14" s="1212"/>
      <c r="F14" s="1188"/>
      <c r="G14" s="124" t="s">
        <v>374</v>
      </c>
      <c r="H14" s="302">
        <v>0.02</v>
      </c>
      <c r="I14" s="277">
        <f>H14*I10</f>
        <v>336074.38016528927</v>
      </c>
      <c r="J14" s="307">
        <f t="shared" si="0"/>
        <v>3027.6971186062096</v>
      </c>
    </row>
    <row r="15" spans="2:10" ht="21" customHeight="1">
      <c r="B15" s="1120" t="s">
        <v>384</v>
      </c>
      <c r="C15" s="1122"/>
      <c r="D15" s="1194" t="s">
        <v>206</v>
      </c>
      <c r="E15" s="1195"/>
      <c r="F15" s="1196"/>
      <c r="G15" s="124" t="s">
        <v>26</v>
      </c>
      <c r="H15" s="278">
        <v>0.04</v>
      </c>
      <c r="I15" s="277">
        <f>H15*SUM(I4:I7)</f>
        <v>1026527.4</v>
      </c>
      <c r="J15" s="307">
        <f t="shared" si="0"/>
        <v>9247.9945945945947</v>
      </c>
    </row>
    <row r="16" spans="2:10" ht="21" customHeight="1" thickBot="1">
      <c r="B16" s="142" t="s">
        <v>331</v>
      </c>
      <c r="C16" s="198" t="s">
        <v>388</v>
      </c>
      <c r="D16" s="142" t="s">
        <v>331</v>
      </c>
      <c r="E16" s="143" t="s">
        <v>104</v>
      </c>
      <c r="F16" s="198" t="s">
        <v>91</v>
      </c>
      <c r="G16" s="124" t="s">
        <v>27</v>
      </c>
      <c r="H16" s="279">
        <v>0.03</v>
      </c>
      <c r="I16" s="277">
        <f>H16*SUM(I4:I15)</f>
        <v>1447598.9272951593</v>
      </c>
      <c r="J16" s="307">
        <f t="shared" si="0"/>
        <v>13041.431777433867</v>
      </c>
    </row>
    <row r="17" spans="2:11" ht="21" customHeight="1">
      <c r="B17" s="310" t="s">
        <v>385</v>
      </c>
      <c r="C17" s="311">
        <f>16266/43560</f>
        <v>0.3734159779614325</v>
      </c>
      <c r="D17" s="320">
        <f>Assumptions!I11</f>
        <v>0.6</v>
      </c>
      <c r="E17" s="321">
        <f>D17*(I$27-I28)</f>
        <v>29472230.826247223</v>
      </c>
      <c r="F17" s="322">
        <f>E17/($C$8+$C$13)</f>
        <v>265515.59302925423</v>
      </c>
      <c r="G17" s="124" t="s">
        <v>28</v>
      </c>
      <c r="H17" s="278">
        <v>0.02</v>
      </c>
      <c r="I17" s="277">
        <f>H17*SUM(I4:I7)</f>
        <v>513263.7</v>
      </c>
      <c r="J17" s="307">
        <f t="shared" si="0"/>
        <v>4623.9972972972973</v>
      </c>
    </row>
    <row r="18" spans="2:11" ht="21" customHeight="1">
      <c r="B18" s="312" t="s">
        <v>386</v>
      </c>
      <c r="C18" s="417">
        <f>30042+68250</f>
        <v>98292</v>
      </c>
      <c r="D18" s="323">
        <f>1-D17</f>
        <v>0.4</v>
      </c>
      <c r="E18" s="318">
        <f>D18*(I$27-I28)</f>
        <v>19648153.884164818</v>
      </c>
      <c r="F18" s="319">
        <f>E18/($C$8+$C$13)</f>
        <v>177010.3953528362</v>
      </c>
      <c r="G18" s="531" t="s">
        <v>99</v>
      </c>
      <c r="H18" s="805">
        <v>8.8293999999999994E-3</v>
      </c>
      <c r="I18" s="277">
        <f>H18*I10</f>
        <v>148366.75661157025</v>
      </c>
      <c r="J18" s="307">
        <f>I18/($C$13+$C$8)</f>
        <v>1336.6374469510833</v>
      </c>
    </row>
    <row r="19" spans="2:11" ht="21" customHeight="1">
      <c r="B19" s="312" t="s">
        <v>387</v>
      </c>
      <c r="C19" s="313">
        <f>D8+D13</f>
        <v>95287</v>
      </c>
      <c r="D19" s="312" t="s">
        <v>395</v>
      </c>
      <c r="E19" s="329">
        <f>I28</f>
        <v>10664000</v>
      </c>
      <c r="F19" s="330">
        <f>E19/($C$8+$C$13)</f>
        <v>96072.072072072071</v>
      </c>
      <c r="G19" s="124" t="s">
        <v>29</v>
      </c>
      <c r="H19" s="280">
        <v>6000</v>
      </c>
      <c r="I19" s="277">
        <f>H19*(C8+C13)</f>
        <v>666000</v>
      </c>
      <c r="J19" s="307">
        <f t="shared" si="0"/>
        <v>6000</v>
      </c>
    </row>
    <row r="20" spans="2:11" ht="21" customHeight="1">
      <c r="B20" s="312" t="s">
        <v>389</v>
      </c>
      <c r="C20" s="314">
        <v>0</v>
      </c>
      <c r="D20" s="312" t="s">
        <v>396</v>
      </c>
      <c r="E20" s="324">
        <f>SUM(E17:E19)</f>
        <v>59784384.71041204</v>
      </c>
      <c r="F20" s="325">
        <f>SUM(F17:F19)</f>
        <v>538598.06045416254</v>
      </c>
      <c r="G20" s="124" t="s">
        <v>30</v>
      </c>
      <c r="H20" s="276" t="s">
        <v>24</v>
      </c>
      <c r="I20" s="277">
        <v>400000</v>
      </c>
      <c r="J20" s="307">
        <f t="shared" si="0"/>
        <v>3603.6036036036035</v>
      </c>
    </row>
    <row r="21" spans="2:11" ht="21" customHeight="1" thickBot="1">
      <c r="B21" s="312" t="s">
        <v>390</v>
      </c>
      <c r="C21" s="314">
        <v>0</v>
      </c>
      <c r="D21" s="316"/>
      <c r="E21" s="326"/>
      <c r="F21" s="317"/>
      <c r="G21" s="124" t="s">
        <v>31</v>
      </c>
      <c r="H21" s="281" t="s">
        <v>376</v>
      </c>
      <c r="I21" s="277">
        <f>-SUM('Site 7 - Draw'!G38:H38,'Site 7 - Draw'!G47:H47,'Site 7 - Draw'!G56:H56)</f>
        <v>466789.25</v>
      </c>
      <c r="J21" s="307">
        <f t="shared" si="0"/>
        <v>4205.3085585585586</v>
      </c>
    </row>
    <row r="22" spans="2:11" ht="21" customHeight="1">
      <c r="B22" s="315" t="s">
        <v>438</v>
      </c>
      <c r="C22" s="417">
        <v>0</v>
      </c>
      <c r="D22" s="1172" t="s">
        <v>105</v>
      </c>
      <c r="E22" s="1174">
        <f>E20</f>
        <v>59784384.71041204</v>
      </c>
      <c r="F22" s="1191">
        <f>F20</f>
        <v>538598.06045416254</v>
      </c>
      <c r="G22" s="124" t="s">
        <v>377</v>
      </c>
      <c r="H22" s="282">
        <f>'Market Research'!H125</f>
        <v>140</v>
      </c>
      <c r="I22" s="277">
        <f>H22*D13</f>
        <v>3785180</v>
      </c>
      <c r="J22" s="307">
        <f t="shared" si="0"/>
        <v>34100.720720720718</v>
      </c>
    </row>
    <row r="23" spans="2:11" ht="21" customHeight="1" thickBot="1">
      <c r="B23" s="448" t="s">
        <v>437</v>
      </c>
      <c r="C23" s="447">
        <f>C18/(C17*43560)</f>
        <v>6.0427886388786423</v>
      </c>
      <c r="D23" s="1173"/>
      <c r="E23" s="1175"/>
      <c r="F23" s="1192"/>
      <c r="G23" s="124" t="s">
        <v>378</v>
      </c>
      <c r="H23" s="283">
        <v>0.06</v>
      </c>
      <c r="I23" s="277">
        <f>'Site 7 - Draw'!I41*5*H23</f>
        <v>283888.5</v>
      </c>
      <c r="J23" s="307">
        <f t="shared" si="0"/>
        <v>2557.5540540540542</v>
      </c>
    </row>
    <row r="24" spans="2:11" ht="21" customHeight="1" thickBot="1">
      <c r="B24" s="416">
        <v>7</v>
      </c>
      <c r="C24" s="417">
        <f>C18/B24</f>
        <v>14041.714285714286</v>
      </c>
      <c r="D24" s="1189" t="s">
        <v>106</v>
      </c>
      <c r="E24" s="1190"/>
      <c r="F24" s="260" t="s">
        <v>383</v>
      </c>
      <c r="G24" s="531" t="s">
        <v>33</v>
      </c>
      <c r="H24" s="532">
        <v>0.01</v>
      </c>
      <c r="I24" s="277">
        <v>290000</v>
      </c>
      <c r="J24" s="307">
        <f t="shared" si="0"/>
        <v>2612.6126126126128</v>
      </c>
      <c r="K24" s="266"/>
    </row>
    <row r="25" spans="2:11" ht="21" customHeight="1" thickBot="1">
      <c r="B25" s="316" t="s">
        <v>393</v>
      </c>
      <c r="C25" s="317" t="s">
        <v>394</v>
      </c>
      <c r="D25" s="1182" t="s">
        <v>333</v>
      </c>
      <c r="E25" s="1183"/>
      <c r="F25" s="331">
        <f>'Site 7 - Draw'!I39</f>
        <v>42531191.348651916</v>
      </c>
      <c r="G25" s="533" t="s">
        <v>34</v>
      </c>
      <c r="H25" s="534">
        <v>7.0000000000000007E-2</v>
      </c>
      <c r="I25" s="277">
        <f>I24*7</f>
        <v>2030000</v>
      </c>
      <c r="J25" s="307">
        <f t="shared" si="0"/>
        <v>18288.288288288288</v>
      </c>
      <c r="K25" s="266"/>
    </row>
    <row r="26" spans="2:11" ht="21" customHeight="1" thickBot="1">
      <c r="B26" s="1189" t="s">
        <v>110</v>
      </c>
      <c r="C26" s="1193"/>
      <c r="D26" s="1184" t="s">
        <v>391</v>
      </c>
      <c r="E26" s="1185"/>
      <c r="F26" s="380" t="s">
        <v>157</v>
      </c>
      <c r="G26" s="127" t="s">
        <v>100</v>
      </c>
      <c r="H26" s="274" t="s">
        <v>24</v>
      </c>
      <c r="I26" s="275">
        <v>1500000</v>
      </c>
      <c r="J26" s="308">
        <f t="shared" si="0"/>
        <v>13513.513513513513</v>
      </c>
    </row>
    <row r="27" spans="2:11" ht="21" customHeight="1">
      <c r="B27" s="303" t="s">
        <v>311</v>
      </c>
      <c r="C27" s="338">
        <f>(F32+E18)/E18</f>
        <v>1.742040863965449</v>
      </c>
      <c r="D27" s="1184" t="s">
        <v>392</v>
      </c>
      <c r="E27" s="1185"/>
      <c r="F27" s="332" t="s">
        <v>157</v>
      </c>
      <c r="G27" s="128" t="s">
        <v>101</v>
      </c>
      <c r="H27" s="340" t="s">
        <v>205</v>
      </c>
      <c r="I27" s="341">
        <f>SUM(I4:I26)</f>
        <v>59784384.71041204</v>
      </c>
      <c r="J27" s="342">
        <f t="shared" si="0"/>
        <v>538598.06045416254</v>
      </c>
      <c r="K27" s="266"/>
    </row>
    <row r="28" spans="2:11" ht="21" customHeight="1">
      <c r="B28" s="304" t="s">
        <v>136</v>
      </c>
      <c r="C28" s="431">
        <f>'Site 7 - Draw'!C58</f>
        <v>0.27131034569024082</v>
      </c>
      <c r="D28" s="1170" t="s">
        <v>334</v>
      </c>
      <c r="E28" s="1171"/>
      <c r="F28" s="333">
        <f>'Site 7 - Draw'!I48+'Site 7 - Draw'!I57</f>
        <v>21168926.445291877</v>
      </c>
      <c r="G28" s="129" t="s">
        <v>618</v>
      </c>
      <c r="H28" s="343" t="s">
        <v>205</v>
      </c>
      <c r="I28" s="344">
        <v>10664000</v>
      </c>
      <c r="J28" s="345">
        <f>I28/($C$13+$C$8)</f>
        <v>96072.072072072071</v>
      </c>
    </row>
    <row r="29" spans="2:11" ht="21" customHeight="1">
      <c r="B29" s="304" t="s">
        <v>41</v>
      </c>
      <c r="C29" s="431">
        <f>'Site 7 - Draw'!C64</f>
        <v>0.41552359222812729</v>
      </c>
      <c r="D29" s="1186" t="s">
        <v>335</v>
      </c>
      <c r="E29" s="1187"/>
      <c r="F29" s="334">
        <f>F25+F28</f>
        <v>63700117.793943793</v>
      </c>
      <c r="G29" s="129" t="s">
        <v>336</v>
      </c>
      <c r="H29" s="343" t="s">
        <v>205</v>
      </c>
      <c r="I29" s="344">
        <f>'Site 7 - Draw'!I39+'Site 7 - Draw'!I48</f>
        <v>63700117.793943793</v>
      </c>
      <c r="J29" s="345">
        <f>I29/($C$13+$C$8)</f>
        <v>573874.93508057471</v>
      </c>
    </row>
    <row r="30" spans="2:11" ht="21" customHeight="1">
      <c r="B30" s="304" t="s">
        <v>111</v>
      </c>
      <c r="C30" s="336">
        <f>'Site 7 - Draw'!G58/'Site 7 - Financial'!E17</f>
        <v>-0.40780708441374908</v>
      </c>
      <c r="D30" s="1178" t="s">
        <v>107</v>
      </c>
      <c r="E30" s="1179"/>
      <c r="F30" s="333">
        <f>E17</f>
        <v>29472230.826247223</v>
      </c>
      <c r="G30" s="129" t="s">
        <v>102</v>
      </c>
      <c r="H30" s="343" t="s">
        <v>205</v>
      </c>
      <c r="I30" s="379">
        <f>('Site 7 - Draw'!I47+'Site 7 - Draw'!I38+'Site 7 - Draw'!I56)/I27</f>
        <v>4.838586889589995E-2</v>
      </c>
      <c r="J30" s="346" t="s">
        <v>205</v>
      </c>
    </row>
    <row r="31" spans="2:11" ht="21" customHeight="1">
      <c r="B31" s="304" t="s">
        <v>397</v>
      </c>
      <c r="C31" s="336">
        <f>Assumptions!I9</f>
        <v>4.2500000000000003E-2</v>
      </c>
      <c r="D31" s="1178" t="s">
        <v>108</v>
      </c>
      <c r="E31" s="1179"/>
      <c r="F31" s="333">
        <f>E18</f>
        <v>19648153.884164818</v>
      </c>
      <c r="G31" s="129" t="s">
        <v>103</v>
      </c>
      <c r="H31" s="343" t="s">
        <v>205</v>
      </c>
      <c r="I31" s="552">
        <f>I29/(I27-I28)-1</f>
        <v>0.29681634558617964</v>
      </c>
      <c r="J31" s="347" t="s">
        <v>205</v>
      </c>
    </row>
    <row r="32" spans="2:11" ht="21" customHeight="1" thickBot="1">
      <c r="B32" s="305" t="s">
        <v>398</v>
      </c>
      <c r="C32" s="339">
        <f>Assumptions!I8</f>
        <v>4.7500000000000001E-2</v>
      </c>
      <c r="D32" s="1180" t="s">
        <v>109</v>
      </c>
      <c r="E32" s="1181"/>
      <c r="F32" s="335">
        <f>F29-F30-F31</f>
        <v>14579733.083531752</v>
      </c>
      <c r="G32" s="816">
        <v>0.5</v>
      </c>
      <c r="H32" s="817" t="s">
        <v>205</v>
      </c>
      <c r="I32" s="818">
        <f>I29/(1+G32)</f>
        <v>42466745.195962526</v>
      </c>
      <c r="J32" s="819">
        <f>I32/($C$13+$C$8)</f>
        <v>382583.29005371645</v>
      </c>
    </row>
    <row r="33" spans="2:10" ht="16.05" customHeight="1">
      <c r="G33" s="820"/>
      <c r="H33" s="821"/>
      <c r="I33" s="822"/>
      <c r="J33" s="822"/>
    </row>
    <row r="34" spans="2:10" ht="15" customHeight="1">
      <c r="D34" s="144"/>
      <c r="E34" s="144"/>
      <c r="F34" s="144"/>
      <c r="G34" s="187"/>
      <c r="H34" s="188"/>
      <c r="I34" s="189"/>
      <c r="J34" s="188"/>
    </row>
    <row r="35" spans="2:10" ht="15" customHeight="1">
      <c r="D35" s="132"/>
      <c r="G35" s="190"/>
      <c r="H35" s="1176"/>
      <c r="I35" s="1176"/>
      <c r="J35" s="188"/>
    </row>
    <row r="36" spans="2:10" ht="15" customHeight="1">
      <c r="D36" s="132"/>
      <c r="G36" s="191"/>
      <c r="H36" s="1177"/>
      <c r="I36" s="1177"/>
      <c r="J36" s="192"/>
    </row>
    <row r="37" spans="2:10" ht="13.2">
      <c r="D37" s="132"/>
    </row>
    <row r="38" spans="2:10" ht="13.2">
      <c r="D38" s="179"/>
    </row>
    <row r="39" spans="2:10" s="144" customFormat="1" ht="13.2">
      <c r="B39" s="48"/>
      <c r="C39" s="48"/>
      <c r="D39" s="179"/>
      <c r="E39" s="48"/>
      <c r="F39" s="48"/>
    </row>
    <row r="40" spans="2:10" ht="13.2">
      <c r="B40" s="144"/>
      <c r="C40" s="144"/>
    </row>
    <row r="41" spans="2:10" ht="13.05" customHeight="1">
      <c r="B41" s="132"/>
      <c r="C41" s="132"/>
    </row>
    <row r="42" spans="2:10" ht="13.2">
      <c r="B42" s="132"/>
      <c r="C42" s="132"/>
    </row>
    <row r="43" spans="2:10" s="144" customFormat="1" ht="13.2">
      <c r="B43" s="125"/>
      <c r="C43" s="125"/>
      <c r="D43" s="48"/>
      <c r="E43" s="48"/>
      <c r="F43" s="48"/>
    </row>
    <row r="44" spans="2:10" s="132" customFormat="1" ht="13.2">
      <c r="D44" s="48"/>
      <c r="E44" s="48"/>
      <c r="F44" s="48"/>
    </row>
    <row r="45" spans="2:10" s="132" customFormat="1" ht="13.2">
      <c r="D45" s="48"/>
      <c r="E45" s="48"/>
      <c r="F45" s="48"/>
    </row>
    <row r="46" spans="2:10" s="125" customFormat="1" ht="13.2">
      <c r="D46" s="48"/>
      <c r="E46" s="48"/>
      <c r="F46" s="48"/>
    </row>
    <row r="47" spans="2:10" s="132" customFormat="1" ht="13.2">
      <c r="D47" s="48"/>
      <c r="E47" s="48"/>
      <c r="F47" s="48"/>
    </row>
    <row r="48" spans="2:10" s="132" customFormat="1" ht="13.2">
      <c r="D48" s="48"/>
      <c r="E48" s="48"/>
      <c r="F48" s="48"/>
    </row>
    <row r="49" spans="2:10" s="125" customFormat="1" ht="13.2">
      <c r="B49" s="132"/>
      <c r="C49" s="132"/>
      <c r="D49" s="48"/>
      <c r="E49" s="48"/>
      <c r="F49" s="48"/>
    </row>
    <row r="50" spans="2:10" s="132" customFormat="1" ht="13.2">
      <c r="B50" s="48"/>
      <c r="C50" s="179"/>
      <c r="D50" s="48"/>
      <c r="E50" s="48"/>
      <c r="F50" s="48"/>
    </row>
    <row r="51" spans="2:10" s="132" customFormat="1" ht="13.2">
      <c r="B51" s="48"/>
      <c r="C51" s="179"/>
      <c r="D51" s="48"/>
      <c r="E51" s="48"/>
      <c r="F51" s="48"/>
    </row>
    <row r="52" spans="2:10" s="132" customFormat="1" ht="13.2">
      <c r="B52" s="48"/>
      <c r="C52" s="48"/>
      <c r="D52" s="48"/>
      <c r="E52" s="48"/>
      <c r="F52" s="48"/>
    </row>
    <row r="53" spans="2:10" ht="13.2">
      <c r="G53" s="179"/>
      <c r="H53" s="179"/>
      <c r="I53" s="179"/>
      <c r="J53" s="179"/>
    </row>
    <row r="54" spans="2:10" ht="13.2">
      <c r="G54" s="179"/>
      <c r="H54" s="179"/>
      <c r="I54" s="179"/>
      <c r="J54" s="179"/>
    </row>
    <row r="55" spans="2:10" ht="13.2"/>
    <row r="56" spans="2:10" ht="15" customHeight="1"/>
    <row r="57" spans="2:10" ht="13.2"/>
    <row r="58" spans="2:10" ht="13.2">
      <c r="G58" s="179"/>
    </row>
    <row r="59" spans="2:10" ht="13.2">
      <c r="G59" s="179"/>
    </row>
    <row r="60" spans="2:10" ht="13.2"/>
    <row r="61" spans="2:10" ht="13.2"/>
    <row r="62" spans="2:10" ht="13.2">
      <c r="G62" s="179"/>
    </row>
    <row r="63" spans="2:10" ht="15" customHeight="1"/>
    <row r="64" spans="2:10" ht="15" customHeight="1"/>
    <row r="65" ht="13.2"/>
    <row r="66" ht="13.2"/>
    <row r="67" ht="13.2"/>
    <row r="68" ht="13.2"/>
    <row r="69" ht="13.2"/>
    <row r="70" ht="13.2"/>
    <row r="71" ht="13.2"/>
    <row r="72" ht="13.2"/>
    <row r="73" ht="13.2"/>
    <row r="74" ht="13.2"/>
    <row r="75" ht="13.2"/>
    <row r="76" ht="13.2"/>
    <row r="77" ht="13.2"/>
    <row r="78" ht="13.2"/>
    <row r="79" ht="13.2"/>
    <row r="80" ht="13.2"/>
    <row r="81" ht="13.2"/>
    <row r="82" ht="13.2"/>
    <row r="83" ht="13.2"/>
  </sheetData>
  <mergeCells count="32">
    <mergeCell ref="F22:F23"/>
    <mergeCell ref="D24:E24"/>
    <mergeCell ref="D25:E25"/>
    <mergeCell ref="H35:I35"/>
    <mergeCell ref="H36:I36"/>
    <mergeCell ref="D27:E27"/>
    <mergeCell ref="D28:E28"/>
    <mergeCell ref="D29:E29"/>
    <mergeCell ref="D30:E30"/>
    <mergeCell ref="D31:E31"/>
    <mergeCell ref="D32:E32"/>
    <mergeCell ref="B26:C26"/>
    <mergeCell ref="D26:E26"/>
    <mergeCell ref="B13:B14"/>
    <mergeCell ref="C13:C14"/>
    <mergeCell ref="D13:D14"/>
    <mergeCell ref="E13:E14"/>
    <mergeCell ref="D22:D23"/>
    <mergeCell ref="E22:E23"/>
    <mergeCell ref="F13:F14"/>
    <mergeCell ref="B15:C15"/>
    <mergeCell ref="D15:F15"/>
    <mergeCell ref="B2:F2"/>
    <mergeCell ref="G2:G3"/>
    <mergeCell ref="H2:H3"/>
    <mergeCell ref="I2:I3"/>
    <mergeCell ref="J2:J3"/>
    <mergeCell ref="B8:B9"/>
    <mergeCell ref="C8:C9"/>
    <mergeCell ref="D8:D9"/>
    <mergeCell ref="E8:E9"/>
    <mergeCell ref="F8:F9"/>
  </mergeCells>
  <printOptions horizontalCentered="1" verticalCentered="1"/>
  <pageMargins left="0.7" right="0.7" top="0.75" bottom="0.75" header="0.3" footer="0.3"/>
  <pageSetup scale="91" fitToHeight="0" orientation="landscape" horizontalDpi="4294967292" verticalDpi="4294967292" r:id="rId1"/>
  <headerFooter>
    <oddHeader>&amp;C&amp;"Times New Roman Bold,Bold"&amp;14&amp;K000000INVESTOR SHEET</oddHeader>
    <oddFooter>&amp;CPage &amp;P of &amp;N</oddFooter>
  </headerFooter>
  <ignoredErrors>
    <ignoredError sqref="E13 E8" formula="1"/>
  </ignoredError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4A89B0-6730-E544-B6C0-FFB1ADD9E977}">
  <sheetPr>
    <tabColor rgb="FF00B050"/>
  </sheetPr>
  <dimension ref="A1:BR69"/>
  <sheetViews>
    <sheetView topLeftCell="A34" zoomScale="112" zoomScaleNormal="110" zoomScalePageLayoutView="125" workbookViewId="0">
      <selection activeCell="C58" sqref="C58"/>
    </sheetView>
  </sheetViews>
  <sheetFormatPr defaultColWidth="8.77734375" defaultRowHeight="14.4" outlineLevelRow="1"/>
  <cols>
    <col min="1" max="1" width="4" style="47" customWidth="1"/>
    <col min="2" max="2" width="48.44140625" style="48" bestFit="1" customWidth="1"/>
    <col min="3" max="3" width="20.77734375" style="48" customWidth="1"/>
    <col min="4" max="15" width="15.109375" style="48" customWidth="1"/>
    <col min="16" max="35" width="14.44140625" style="48" hidden="1" customWidth="1"/>
    <col min="36" max="36" width="12.44140625" style="48" hidden="1" customWidth="1"/>
    <col min="37" max="37" width="17" style="48" hidden="1" customWidth="1"/>
    <col min="38" max="38" width="16.44140625" style="48" hidden="1" customWidth="1"/>
    <col min="39" max="39" width="13.44140625" style="48" hidden="1" customWidth="1"/>
    <col min="40" max="40" width="15" style="48" hidden="1" customWidth="1"/>
    <col min="41" max="63" width="17" style="48" customWidth="1"/>
    <col min="64" max="64" width="16.44140625" style="48" customWidth="1"/>
    <col min="65" max="65" width="15" style="95" customWidth="1"/>
    <col min="66" max="66" width="17.77734375" style="95" bestFit="1" customWidth="1"/>
    <col min="67" max="67" width="9.44140625" style="48" bestFit="1" customWidth="1"/>
    <col min="68" max="68" width="11.77734375" style="48" bestFit="1" customWidth="1"/>
    <col min="69" max="70" width="9.44140625" style="48" bestFit="1" customWidth="1"/>
    <col min="71" max="16384" width="8.77734375" style="48"/>
  </cols>
  <sheetData>
    <row r="1" spans="1:70" s="47" customFormat="1" ht="15" thickBot="1">
      <c r="BM1" s="133"/>
      <c r="BN1" s="133"/>
    </row>
    <row r="2" spans="1:70" s="95" customFormat="1" ht="15" thickBot="1">
      <c r="A2" s="133"/>
      <c r="B2" s="1213" t="str">
        <f>'Development Program'!G25</f>
        <v>King's Court</v>
      </c>
      <c r="C2" s="540" t="s">
        <v>343</v>
      </c>
      <c r="D2" s="521">
        <v>0</v>
      </c>
      <c r="E2" s="522">
        <f t="shared" ref="E2:O2" si="0">D2+1</f>
        <v>1</v>
      </c>
      <c r="F2" s="595">
        <f>E2+1</f>
        <v>2</v>
      </c>
      <c r="G2" s="123">
        <f t="shared" si="0"/>
        <v>3</v>
      </c>
      <c r="H2" s="229">
        <f t="shared" si="0"/>
        <v>4</v>
      </c>
      <c r="I2" s="398">
        <f t="shared" si="0"/>
        <v>5</v>
      </c>
      <c r="J2" s="137">
        <f>I2+1</f>
        <v>6</v>
      </c>
      <c r="K2" s="137">
        <f>J2+1</f>
        <v>7</v>
      </c>
      <c r="L2" s="137">
        <f t="shared" si="0"/>
        <v>8</v>
      </c>
      <c r="M2" s="137">
        <f t="shared" si="0"/>
        <v>9</v>
      </c>
      <c r="N2" s="137">
        <f t="shared" si="0"/>
        <v>10</v>
      </c>
      <c r="O2" s="261">
        <f t="shared" si="0"/>
        <v>11</v>
      </c>
      <c r="P2" s="94"/>
      <c r="Q2" s="94"/>
      <c r="R2" s="94"/>
      <c r="S2" s="94"/>
      <c r="T2" s="94"/>
      <c r="U2" s="94"/>
      <c r="V2" s="94"/>
      <c r="W2" s="94"/>
      <c r="X2" s="94"/>
      <c r="Y2" s="94"/>
      <c r="Z2" s="94"/>
      <c r="AA2" s="94"/>
      <c r="AB2" s="94"/>
      <c r="AC2" s="94"/>
      <c r="AD2" s="94"/>
      <c r="AE2" s="94"/>
      <c r="AF2" s="94"/>
      <c r="AG2" s="94"/>
      <c r="AH2" s="94"/>
      <c r="AI2" s="94"/>
      <c r="AJ2" s="94"/>
      <c r="AK2" s="94"/>
      <c r="AL2" s="94"/>
      <c r="AM2" s="94"/>
      <c r="AN2" s="94"/>
      <c r="AO2" s="48"/>
      <c r="AP2" s="48"/>
      <c r="AQ2" s="48"/>
      <c r="AR2" s="48"/>
      <c r="AS2" s="48"/>
      <c r="AT2" s="48"/>
      <c r="AU2" s="48"/>
      <c r="AV2" s="48"/>
      <c r="AW2" s="48"/>
      <c r="AX2" s="48"/>
      <c r="AY2" s="48"/>
      <c r="AZ2" s="48"/>
      <c r="BA2" s="48"/>
      <c r="BB2" s="48"/>
      <c r="BC2" s="48"/>
      <c r="BD2" s="48"/>
      <c r="BE2" s="48"/>
      <c r="BF2" s="48"/>
      <c r="BG2" s="48"/>
      <c r="BH2" s="48"/>
      <c r="BI2" s="48"/>
      <c r="BJ2" s="48"/>
      <c r="BK2" s="48"/>
      <c r="BL2" s="48"/>
      <c r="BO2" s="48"/>
      <c r="BP2" s="48"/>
      <c r="BQ2" s="48"/>
      <c r="BR2" s="48"/>
    </row>
    <row r="3" spans="1:70" s="95" customFormat="1" ht="41.55" customHeight="1" thickBot="1">
      <c r="A3" s="133"/>
      <c r="B3" s="1158"/>
      <c r="C3" s="541" t="s">
        <v>104</v>
      </c>
      <c r="D3" s="523">
        <v>45413</v>
      </c>
      <c r="E3" s="524">
        <f>EDATE(D3,12)</f>
        <v>45778</v>
      </c>
      <c r="F3" s="596">
        <f>EDATE(E3,12)</f>
        <v>46143</v>
      </c>
      <c r="G3" s="291">
        <f>EDATE(F3,12)</f>
        <v>46508</v>
      </c>
      <c r="H3" s="293">
        <f t="shared" ref="H3:O3" si="1">EDATE(G3,12)</f>
        <v>46874</v>
      </c>
      <c r="I3" s="399">
        <f t="shared" si="1"/>
        <v>47239</v>
      </c>
      <c r="J3" s="225">
        <f>EDATE(H3,12)</f>
        <v>47239</v>
      </c>
      <c r="K3" s="225">
        <f>EDATE(I3,12)</f>
        <v>47604</v>
      </c>
      <c r="L3" s="225">
        <f t="shared" si="1"/>
        <v>47969</v>
      </c>
      <c r="M3" s="225">
        <f t="shared" si="1"/>
        <v>48335</v>
      </c>
      <c r="N3" s="225">
        <f t="shared" si="1"/>
        <v>48700</v>
      </c>
      <c r="O3" s="226">
        <f t="shared" si="1"/>
        <v>49065</v>
      </c>
      <c r="P3" s="117"/>
      <c r="Q3" s="106"/>
      <c r="R3" s="106"/>
      <c r="S3" s="106"/>
      <c r="T3" s="106"/>
      <c r="U3" s="106"/>
      <c r="V3" s="106"/>
      <c r="W3" s="106"/>
      <c r="X3" s="106"/>
      <c r="Y3" s="106"/>
      <c r="Z3" s="106"/>
      <c r="AA3" s="106"/>
      <c r="AB3" s="106"/>
      <c r="AC3" s="106"/>
      <c r="AD3" s="106"/>
      <c r="AE3" s="106"/>
      <c r="AF3" s="106"/>
      <c r="AG3" s="106"/>
      <c r="AH3" s="106"/>
      <c r="AI3" s="106"/>
      <c r="AJ3" s="105"/>
      <c r="AK3" s="105"/>
      <c r="AL3" s="105"/>
      <c r="AM3" s="105"/>
      <c r="AN3" s="105"/>
      <c r="AO3" s="48"/>
      <c r="AP3" s="48"/>
      <c r="AQ3" s="48"/>
      <c r="AR3" s="48"/>
      <c r="AS3" s="48"/>
      <c r="AT3" s="48"/>
      <c r="AU3" s="48"/>
      <c r="AV3" s="48"/>
      <c r="AW3" s="48"/>
      <c r="AX3" s="48"/>
      <c r="AY3" s="48"/>
      <c r="AZ3" s="48"/>
      <c r="BA3" s="48"/>
      <c r="BB3" s="48"/>
      <c r="BC3" s="48"/>
      <c r="BD3" s="48"/>
      <c r="BE3" s="48"/>
      <c r="BF3" s="48"/>
      <c r="BG3" s="48"/>
      <c r="BH3" s="48"/>
      <c r="BI3" s="48"/>
      <c r="BJ3" s="48"/>
      <c r="BK3" s="48"/>
      <c r="BL3" s="48"/>
      <c r="BO3" s="48"/>
      <c r="BP3" s="48"/>
      <c r="BQ3" s="48"/>
      <c r="BR3" s="48"/>
    </row>
    <row r="4" spans="1:70" s="95" customFormat="1" ht="64.05" hidden="1" customHeight="1" thickBot="1">
      <c r="A4" s="133"/>
      <c r="B4" s="1158"/>
      <c r="C4" s="597" t="s">
        <v>46</v>
      </c>
      <c r="D4" s="583" t="e">
        <f>EOMONTH(#REF!,3)</f>
        <v>#REF!</v>
      </c>
      <c r="E4" s="584" t="e">
        <f t="shared" ref="E4:AD4" si="2">EOMONTH(D4,3)</f>
        <v>#REF!</v>
      </c>
      <c r="F4" s="588" t="e">
        <f>EOMONTH(#REF!,3)</f>
        <v>#REF!</v>
      </c>
      <c r="G4" s="585" t="e">
        <f t="shared" si="2"/>
        <v>#REF!</v>
      </c>
      <c r="H4" s="586" t="e">
        <f t="shared" si="2"/>
        <v>#REF!</v>
      </c>
      <c r="I4" s="587" t="e">
        <f>EOMONTH(#REF!,3)</f>
        <v>#REF!</v>
      </c>
      <c r="J4" s="584" t="e">
        <f t="shared" ref="J4:K4" si="3">EOMONTH(H4,3)</f>
        <v>#REF!</v>
      </c>
      <c r="K4" s="584" t="e">
        <f t="shared" si="3"/>
        <v>#REF!</v>
      </c>
      <c r="L4" s="584" t="e">
        <f>EOMONTH(I4,3)</f>
        <v>#REF!</v>
      </c>
      <c r="M4" s="584" t="e">
        <f>EOMONTH(K4,3)</f>
        <v>#REF!</v>
      </c>
      <c r="N4" s="584" t="e">
        <f t="shared" ref="N4" si="4">EOMONTH(M4,3)</f>
        <v>#REF!</v>
      </c>
      <c r="O4" s="588" t="e">
        <f>EOMONTH(#REF!,3)</f>
        <v>#REF!</v>
      </c>
      <c r="P4" s="96" t="e">
        <f>EOMONTH(#REF!,3)</f>
        <v>#REF!</v>
      </c>
      <c r="Q4" s="97" t="e">
        <f t="shared" si="2"/>
        <v>#REF!</v>
      </c>
      <c r="R4" s="97" t="e">
        <f t="shared" si="2"/>
        <v>#REF!</v>
      </c>
      <c r="S4" s="97" t="e">
        <f t="shared" si="2"/>
        <v>#REF!</v>
      </c>
      <c r="T4" s="97" t="e">
        <f t="shared" si="2"/>
        <v>#REF!</v>
      </c>
      <c r="U4" s="97" t="e">
        <f t="shared" si="2"/>
        <v>#REF!</v>
      </c>
      <c r="V4" s="97" t="e">
        <f t="shared" si="2"/>
        <v>#REF!</v>
      </c>
      <c r="W4" s="97" t="e">
        <f t="shared" si="2"/>
        <v>#REF!</v>
      </c>
      <c r="X4" s="97" t="e">
        <f t="shared" si="2"/>
        <v>#REF!</v>
      </c>
      <c r="Y4" s="97" t="e">
        <f t="shared" si="2"/>
        <v>#REF!</v>
      </c>
      <c r="Z4" s="97" t="e">
        <f t="shared" si="2"/>
        <v>#REF!</v>
      </c>
      <c r="AA4" s="97" t="e">
        <f t="shared" si="2"/>
        <v>#REF!</v>
      </c>
      <c r="AB4" s="97" t="e">
        <f t="shared" si="2"/>
        <v>#REF!</v>
      </c>
      <c r="AC4" s="97" t="e">
        <f t="shared" si="2"/>
        <v>#REF!</v>
      </c>
      <c r="AD4" s="97" t="e">
        <f t="shared" si="2"/>
        <v>#REF!</v>
      </c>
      <c r="AE4" s="97" t="e">
        <f>EOMONTH(AD4,3)</f>
        <v>#REF!</v>
      </c>
      <c r="AF4" s="97" t="e">
        <f t="shared" ref="AF4:AN4" si="5">EOMONTH(AE4,3)</f>
        <v>#REF!</v>
      </c>
      <c r="AG4" s="97" t="e">
        <f t="shared" si="5"/>
        <v>#REF!</v>
      </c>
      <c r="AH4" s="97" t="e">
        <f t="shared" si="5"/>
        <v>#REF!</v>
      </c>
      <c r="AI4" s="97" t="e">
        <f t="shared" si="5"/>
        <v>#REF!</v>
      </c>
      <c r="AJ4" s="97" t="e">
        <f t="shared" si="5"/>
        <v>#REF!</v>
      </c>
      <c r="AK4" s="97" t="e">
        <f t="shared" si="5"/>
        <v>#REF!</v>
      </c>
      <c r="AL4" s="97" t="e">
        <f>EOMONTH(AK4,3)</f>
        <v>#REF!</v>
      </c>
      <c r="AM4" s="97" t="e">
        <f t="shared" si="5"/>
        <v>#REF!</v>
      </c>
      <c r="AN4" s="97" t="e">
        <f t="shared" si="5"/>
        <v>#REF!</v>
      </c>
      <c r="BO4" s="48"/>
      <c r="BP4" s="48"/>
      <c r="BQ4" s="48"/>
      <c r="BR4" s="48"/>
    </row>
    <row r="5" spans="1:70" s="95" customFormat="1" ht="15" thickBot="1">
      <c r="A5" s="133"/>
      <c r="B5" s="480" t="s">
        <v>112</v>
      </c>
      <c r="C5" s="568">
        <v>1</v>
      </c>
      <c r="D5" s="589" t="s">
        <v>205</v>
      </c>
      <c r="E5" s="590" t="s">
        <v>205</v>
      </c>
      <c r="F5" s="594" t="s">
        <v>205</v>
      </c>
      <c r="G5" s="591">
        <f>G30/C30</f>
        <v>0.24468425064824942</v>
      </c>
      <c r="H5" s="592">
        <f>H30/C30</f>
        <v>0.75531574935175061</v>
      </c>
      <c r="I5" s="593" t="s">
        <v>205</v>
      </c>
      <c r="J5" s="590" t="s">
        <v>205</v>
      </c>
      <c r="K5" s="590" t="s">
        <v>205</v>
      </c>
      <c r="L5" s="590" t="s">
        <v>205</v>
      </c>
      <c r="M5" s="590" t="s">
        <v>205</v>
      </c>
      <c r="N5" s="590" t="s">
        <v>205</v>
      </c>
      <c r="O5" s="594" t="s">
        <v>205</v>
      </c>
      <c r="P5" s="99"/>
      <c r="Q5" s="100"/>
      <c r="R5" s="100"/>
      <c r="S5" s="100"/>
      <c r="T5" s="100"/>
      <c r="U5" s="100"/>
      <c r="V5" s="100"/>
      <c r="W5" s="100"/>
      <c r="X5" s="100"/>
      <c r="Y5" s="100"/>
      <c r="Z5" s="100"/>
      <c r="AA5" s="100"/>
      <c r="AB5" s="100"/>
      <c r="AC5" s="100"/>
      <c r="AD5" s="100"/>
      <c r="AE5" s="100"/>
      <c r="AF5" s="100"/>
      <c r="AG5" s="100"/>
      <c r="AH5" s="100"/>
      <c r="AI5" s="100"/>
      <c r="AJ5" s="100"/>
      <c r="AK5" s="100"/>
      <c r="AL5" s="100"/>
      <c r="AM5" s="100"/>
      <c r="AN5" s="100"/>
      <c r="BO5" s="48"/>
      <c r="BP5" s="48"/>
      <c r="BQ5" s="48"/>
      <c r="BR5" s="48"/>
    </row>
    <row r="6" spans="1:70" s="95" customFormat="1">
      <c r="A6" s="133"/>
      <c r="B6" s="209" t="str">
        <f>'Site 7 - Financial'!G4</f>
        <v>Residential Condominium Hard Costs for Construction</v>
      </c>
      <c r="C6" s="598">
        <f>'Site 7 - Financial'!I4</f>
        <v>18768750</v>
      </c>
      <c r="D6" s="267" t="s">
        <v>205</v>
      </c>
      <c r="E6" s="401" t="s">
        <v>205</v>
      </c>
      <c r="F6" s="501" t="s">
        <v>205</v>
      </c>
      <c r="G6" s="528">
        <v>0</v>
      </c>
      <c r="H6" s="564">
        <f>C6</f>
        <v>18768750</v>
      </c>
      <c r="I6" s="574" t="s">
        <v>205</v>
      </c>
      <c r="J6" s="557" t="s">
        <v>205</v>
      </c>
      <c r="K6" s="557" t="s">
        <v>205</v>
      </c>
      <c r="L6" s="557" t="s">
        <v>205</v>
      </c>
      <c r="M6" s="557" t="s">
        <v>205</v>
      </c>
      <c r="N6" s="557" t="s">
        <v>205</v>
      </c>
      <c r="O6" s="559" t="s">
        <v>205</v>
      </c>
      <c r="P6" s="109"/>
      <c r="Q6" s="102"/>
      <c r="R6" s="102"/>
      <c r="S6" s="102"/>
      <c r="T6" s="102"/>
      <c r="U6" s="102"/>
      <c r="V6" s="102"/>
      <c r="W6" s="102"/>
      <c r="X6" s="102"/>
      <c r="Y6" s="102"/>
      <c r="Z6" s="102"/>
      <c r="AA6" s="102"/>
      <c r="AB6" s="102"/>
      <c r="AC6" s="102"/>
      <c r="AD6" s="102"/>
      <c r="AE6" s="102"/>
      <c r="AF6" s="102"/>
      <c r="AG6" s="102"/>
      <c r="AH6" s="102"/>
      <c r="AI6" s="102"/>
      <c r="AJ6" s="102"/>
      <c r="AK6" s="102"/>
      <c r="AL6" s="102"/>
      <c r="AM6" s="102"/>
      <c r="AN6" s="102"/>
      <c r="AO6" s="930">
        <f>C6-SUM(G6:H6)</f>
        <v>0</v>
      </c>
      <c r="BO6" s="48"/>
      <c r="BP6" s="48"/>
      <c r="BQ6" s="48"/>
      <c r="BR6" s="48"/>
    </row>
    <row r="7" spans="1:70" s="95" customFormat="1">
      <c r="A7" s="133"/>
      <c r="B7" s="273" t="str">
        <f>'Site 7 - Financial'!G5</f>
        <v>Office Shell &amp; Core Hard Costs for Construction</v>
      </c>
      <c r="C7" s="544">
        <f>'Site 7 - Financial'!I5</f>
        <v>0</v>
      </c>
      <c r="D7" s="267" t="s">
        <v>205</v>
      </c>
      <c r="E7" s="401" t="s">
        <v>205</v>
      </c>
      <c r="F7" s="501" t="s">
        <v>205</v>
      </c>
      <c r="G7" s="528">
        <v>0</v>
      </c>
      <c r="H7" s="564">
        <f t="shared" ref="H7:H10" si="6">C7</f>
        <v>0</v>
      </c>
      <c r="I7" s="401" t="s">
        <v>205</v>
      </c>
      <c r="J7" s="268" t="s">
        <v>205</v>
      </c>
      <c r="K7" s="268" t="s">
        <v>205</v>
      </c>
      <c r="L7" s="268" t="s">
        <v>205</v>
      </c>
      <c r="M7" s="268" t="s">
        <v>205</v>
      </c>
      <c r="N7" s="268" t="s">
        <v>205</v>
      </c>
      <c r="O7" s="269" t="s">
        <v>205</v>
      </c>
      <c r="P7" s="109"/>
      <c r="Q7" s="102"/>
      <c r="R7" s="102"/>
      <c r="S7" s="102"/>
      <c r="T7" s="102"/>
      <c r="U7" s="102"/>
      <c r="V7" s="102"/>
      <c r="W7" s="102"/>
      <c r="X7" s="102"/>
      <c r="Y7" s="102"/>
      <c r="Z7" s="102"/>
      <c r="AA7" s="102"/>
      <c r="AB7" s="102"/>
      <c r="AC7" s="102"/>
      <c r="AD7" s="102"/>
      <c r="AE7" s="102"/>
      <c r="AF7" s="102"/>
      <c r="AG7" s="102"/>
      <c r="AH7" s="102"/>
      <c r="AI7" s="102"/>
      <c r="AJ7" s="102"/>
      <c r="AK7" s="102"/>
      <c r="AL7" s="102"/>
      <c r="AM7" s="102"/>
      <c r="AN7" s="102"/>
      <c r="AO7" s="930">
        <f t="shared" ref="AO7:AO29" si="7">C7-SUM(G7:H7)</f>
        <v>0</v>
      </c>
      <c r="BO7" s="48"/>
      <c r="BP7" s="48"/>
      <c r="BQ7" s="48"/>
      <c r="BR7" s="48"/>
    </row>
    <row r="8" spans="1:70" s="95" customFormat="1">
      <c r="A8" s="133"/>
      <c r="B8" s="273" t="str">
        <f>'Site 7 - Financial'!G6</f>
        <v>Retail Hard Costs for Construction (50%)</v>
      </c>
      <c r="C8" s="544">
        <f>'Site 7 - Financial'!I6</f>
        <v>6894435</v>
      </c>
      <c r="D8" s="267" t="s">
        <v>205</v>
      </c>
      <c r="E8" s="401" t="s">
        <v>205</v>
      </c>
      <c r="F8" s="501" t="s">
        <v>205</v>
      </c>
      <c r="G8" s="528">
        <v>0</v>
      </c>
      <c r="H8" s="564">
        <f t="shared" si="6"/>
        <v>6894435</v>
      </c>
      <c r="I8" s="401" t="s">
        <v>205</v>
      </c>
      <c r="J8" s="268" t="s">
        <v>205</v>
      </c>
      <c r="K8" s="268" t="s">
        <v>205</v>
      </c>
      <c r="L8" s="268" t="s">
        <v>205</v>
      </c>
      <c r="M8" s="268" t="s">
        <v>205</v>
      </c>
      <c r="N8" s="268" t="s">
        <v>205</v>
      </c>
      <c r="O8" s="269" t="s">
        <v>205</v>
      </c>
      <c r="P8" s="109"/>
      <c r="Q8" s="102"/>
      <c r="R8" s="102"/>
      <c r="S8" s="102"/>
      <c r="T8" s="102"/>
      <c r="U8" s="102"/>
      <c r="V8" s="102"/>
      <c r="W8" s="102"/>
      <c r="X8" s="102"/>
      <c r="Y8" s="102"/>
      <c r="Z8" s="102"/>
      <c r="AA8" s="102"/>
      <c r="AB8" s="102"/>
      <c r="AC8" s="102"/>
      <c r="AD8" s="102"/>
      <c r="AE8" s="102"/>
      <c r="AF8" s="102"/>
      <c r="AG8" s="102"/>
      <c r="AH8" s="102"/>
      <c r="AI8" s="102"/>
      <c r="AJ8" s="102"/>
      <c r="AK8" s="102"/>
      <c r="AL8" s="102"/>
      <c r="AM8" s="102"/>
      <c r="AN8" s="102"/>
      <c r="AO8" s="930">
        <f t="shared" si="7"/>
        <v>0</v>
      </c>
      <c r="BO8" s="48"/>
      <c r="BP8" s="48"/>
      <c r="BQ8" s="48"/>
      <c r="BR8" s="48"/>
    </row>
    <row r="9" spans="1:70" s="95" customFormat="1">
      <c r="A9" s="133"/>
      <c r="B9" s="273" t="str">
        <f>'Site 7 - Financial'!G7</f>
        <v>Parking Stalls</v>
      </c>
      <c r="C9" s="544">
        <f>'Site 7 - Financial'!I7</f>
        <v>0</v>
      </c>
      <c r="D9" s="267" t="s">
        <v>205</v>
      </c>
      <c r="E9" s="401" t="s">
        <v>205</v>
      </c>
      <c r="F9" s="501" t="s">
        <v>205</v>
      </c>
      <c r="G9" s="528">
        <v>0</v>
      </c>
      <c r="H9" s="564">
        <f t="shared" si="6"/>
        <v>0</v>
      </c>
      <c r="I9" s="401" t="s">
        <v>205</v>
      </c>
      <c r="J9" s="268" t="s">
        <v>205</v>
      </c>
      <c r="K9" s="268" t="s">
        <v>205</v>
      </c>
      <c r="L9" s="268" t="s">
        <v>205</v>
      </c>
      <c r="M9" s="268" t="s">
        <v>205</v>
      </c>
      <c r="N9" s="268" t="s">
        <v>205</v>
      </c>
      <c r="O9" s="269" t="s">
        <v>205</v>
      </c>
      <c r="P9" s="109"/>
      <c r="Q9" s="102"/>
      <c r="R9" s="102"/>
      <c r="S9" s="102"/>
      <c r="T9" s="102"/>
      <c r="U9" s="102"/>
      <c r="V9" s="102"/>
      <c r="W9" s="102"/>
      <c r="X9" s="102"/>
      <c r="Y9" s="102"/>
      <c r="Z9" s="102"/>
      <c r="AA9" s="102"/>
      <c r="AB9" s="102"/>
      <c r="AC9" s="102"/>
      <c r="AD9" s="102"/>
      <c r="AE9" s="102"/>
      <c r="AF9" s="102"/>
      <c r="AG9" s="102"/>
      <c r="AH9" s="102"/>
      <c r="AI9" s="102"/>
      <c r="AJ9" s="102"/>
      <c r="AK9" s="102"/>
      <c r="AL9" s="102"/>
      <c r="AM9" s="102"/>
      <c r="AN9" s="102"/>
      <c r="AO9" s="930">
        <f t="shared" si="7"/>
        <v>0</v>
      </c>
      <c r="BO9" s="48"/>
      <c r="BP9" s="48"/>
      <c r="BQ9" s="48"/>
      <c r="BR9" s="48"/>
    </row>
    <row r="10" spans="1:70" s="95" customFormat="1">
      <c r="A10" s="133"/>
      <c r="B10" s="273" t="str">
        <f>'Site 7 - Financial'!G8</f>
        <v>Hard Cost Contingency</v>
      </c>
      <c r="C10" s="544">
        <f>'Site 7 - Financial'!I8</f>
        <v>2566318.5</v>
      </c>
      <c r="D10" s="267" t="s">
        <v>205</v>
      </c>
      <c r="E10" s="401" t="s">
        <v>205</v>
      </c>
      <c r="F10" s="501" t="s">
        <v>205</v>
      </c>
      <c r="G10" s="528">
        <v>0</v>
      </c>
      <c r="H10" s="564">
        <f t="shared" si="6"/>
        <v>2566318.5</v>
      </c>
      <c r="I10" s="402" t="s">
        <v>205</v>
      </c>
      <c r="J10" s="271" t="s">
        <v>205</v>
      </c>
      <c r="K10" s="271" t="s">
        <v>205</v>
      </c>
      <c r="L10" s="271" t="s">
        <v>205</v>
      </c>
      <c r="M10" s="271" t="s">
        <v>205</v>
      </c>
      <c r="N10" s="271" t="s">
        <v>205</v>
      </c>
      <c r="O10" s="272" t="s">
        <v>205</v>
      </c>
      <c r="P10" s="112"/>
      <c r="Q10" s="111"/>
      <c r="R10" s="111"/>
      <c r="S10" s="111"/>
      <c r="T10" s="111"/>
      <c r="U10" s="111"/>
      <c r="V10" s="111"/>
      <c r="W10" s="111"/>
      <c r="X10" s="111"/>
      <c r="Y10" s="111"/>
      <c r="Z10" s="111"/>
      <c r="AA10" s="111"/>
      <c r="AB10" s="111"/>
      <c r="AC10" s="111"/>
      <c r="AD10" s="111"/>
      <c r="AE10" s="111"/>
      <c r="AF10" s="111"/>
      <c r="AG10" s="111"/>
      <c r="AH10" s="111"/>
      <c r="AI10" s="111"/>
      <c r="AJ10" s="111"/>
      <c r="AK10" s="111"/>
      <c r="AL10" s="111"/>
      <c r="AM10" s="111"/>
      <c r="AN10" s="111"/>
      <c r="AO10" s="930">
        <f t="shared" si="7"/>
        <v>0</v>
      </c>
      <c r="BO10" s="48"/>
      <c r="BP10" s="48"/>
      <c r="BQ10" s="48"/>
      <c r="BR10" s="48"/>
    </row>
    <row r="11" spans="1:70" s="95" customFormat="1">
      <c r="A11" s="133"/>
      <c r="B11" s="273" t="str">
        <f>'Site 7 - Financial'!G9</f>
        <v>Demolition</v>
      </c>
      <c r="C11" s="544">
        <f>'Site 7 - Financial'!I9</f>
        <v>0</v>
      </c>
      <c r="D11" s="267" t="s">
        <v>205</v>
      </c>
      <c r="E11" s="401" t="s">
        <v>205</v>
      </c>
      <c r="F11" s="501" t="s">
        <v>205</v>
      </c>
      <c r="G11" s="217">
        <v>0</v>
      </c>
      <c r="H11" s="219">
        <v>0</v>
      </c>
      <c r="I11" s="402" t="s">
        <v>205</v>
      </c>
      <c r="J11" s="271" t="s">
        <v>205</v>
      </c>
      <c r="K11" s="271" t="s">
        <v>205</v>
      </c>
      <c r="L11" s="271" t="s">
        <v>205</v>
      </c>
      <c r="M11" s="271" t="s">
        <v>205</v>
      </c>
      <c r="N11" s="271" t="s">
        <v>205</v>
      </c>
      <c r="O11" s="272" t="s">
        <v>205</v>
      </c>
      <c r="P11" s="112"/>
      <c r="Q11" s="111"/>
      <c r="R11" s="111"/>
      <c r="S11" s="111"/>
      <c r="T11" s="111"/>
      <c r="U11" s="111"/>
      <c r="V11" s="111"/>
      <c r="W11" s="111"/>
      <c r="X11" s="111"/>
      <c r="Y11" s="111"/>
      <c r="Z11" s="111"/>
      <c r="AA11" s="111"/>
      <c r="AB11" s="111"/>
      <c r="AC11" s="111"/>
      <c r="AD11" s="111"/>
      <c r="AE11" s="111"/>
      <c r="AF11" s="111"/>
      <c r="AG11" s="111"/>
      <c r="AH11" s="111"/>
      <c r="AI11" s="111"/>
      <c r="AJ11" s="111"/>
      <c r="AK11" s="111"/>
      <c r="AL11" s="111"/>
      <c r="AM11" s="111"/>
      <c r="AN11" s="111"/>
      <c r="AO11" s="930">
        <f t="shared" si="7"/>
        <v>0</v>
      </c>
      <c r="BO11" s="48"/>
      <c r="BP11" s="48"/>
      <c r="BQ11" s="48"/>
      <c r="BR11" s="48"/>
    </row>
    <row r="12" spans="1:70" s="95" customFormat="1" ht="19.05" customHeight="1">
      <c r="A12" s="133"/>
      <c r="B12" s="273" t="str">
        <f>'Site 7 - Financial'!G10</f>
        <v>Land</v>
      </c>
      <c r="C12" s="544">
        <f>'Site 7 - Financial'!I10</f>
        <v>16803719.008264463</v>
      </c>
      <c r="D12" s="267" t="s">
        <v>205</v>
      </c>
      <c r="E12" s="401" t="s">
        <v>205</v>
      </c>
      <c r="F12" s="501" t="s">
        <v>205</v>
      </c>
      <c r="G12" s="217">
        <f>C12</f>
        <v>16803719.008264463</v>
      </c>
      <c r="H12" s="219">
        <v>0</v>
      </c>
      <c r="I12" s="402" t="s">
        <v>205</v>
      </c>
      <c r="J12" s="271" t="s">
        <v>205</v>
      </c>
      <c r="K12" s="271" t="s">
        <v>205</v>
      </c>
      <c r="L12" s="271" t="s">
        <v>205</v>
      </c>
      <c r="M12" s="271" t="s">
        <v>205</v>
      </c>
      <c r="N12" s="268" t="s">
        <v>205</v>
      </c>
      <c r="O12" s="272" t="s">
        <v>205</v>
      </c>
      <c r="P12" s="109"/>
      <c r="Q12" s="102"/>
      <c r="R12" s="102"/>
      <c r="S12" s="102"/>
      <c r="T12" s="102"/>
      <c r="U12" s="102"/>
      <c r="V12" s="102"/>
      <c r="W12" s="102"/>
      <c r="X12" s="102"/>
      <c r="Y12" s="102"/>
      <c r="Z12" s="102"/>
      <c r="AA12" s="102"/>
      <c r="AB12" s="102"/>
      <c r="AC12" s="102"/>
      <c r="AD12" s="102"/>
      <c r="AE12" s="102"/>
      <c r="AF12" s="102"/>
      <c r="AG12" s="102"/>
      <c r="AH12" s="102"/>
      <c r="AI12" s="102"/>
      <c r="AJ12" s="111"/>
      <c r="AK12" s="111"/>
      <c r="AL12" s="111"/>
      <c r="AM12" s="111"/>
      <c r="AN12" s="111"/>
      <c r="AO12" s="930">
        <f t="shared" si="7"/>
        <v>0</v>
      </c>
      <c r="BO12" s="48"/>
      <c r="BP12" s="48"/>
      <c r="BQ12" s="48"/>
      <c r="BR12" s="48"/>
    </row>
    <row r="13" spans="1:70" s="95" customFormat="1">
      <c r="A13" s="133"/>
      <c r="B13" s="273" t="str">
        <f>'Site 7 - Financial'!G11</f>
        <v>Municipal Fees and Allowances</v>
      </c>
      <c r="C13" s="544">
        <f>'Site 7 - Financial'!I11</f>
        <v>120000</v>
      </c>
      <c r="D13" s="267" t="s">
        <v>205</v>
      </c>
      <c r="E13" s="401" t="s">
        <v>205</v>
      </c>
      <c r="F13" s="501" t="s">
        <v>205</v>
      </c>
      <c r="G13" s="217">
        <f>C13</f>
        <v>120000</v>
      </c>
      <c r="H13" s="219">
        <v>0</v>
      </c>
      <c r="I13" s="402" t="s">
        <v>205</v>
      </c>
      <c r="J13" s="271" t="s">
        <v>205</v>
      </c>
      <c r="K13" s="271" t="s">
        <v>205</v>
      </c>
      <c r="L13" s="271" t="s">
        <v>205</v>
      </c>
      <c r="M13" s="271" t="s">
        <v>205</v>
      </c>
      <c r="N13" s="271" t="s">
        <v>205</v>
      </c>
      <c r="O13" s="272" t="s">
        <v>205</v>
      </c>
      <c r="P13" s="112"/>
      <c r="Q13" s="111"/>
      <c r="R13" s="111"/>
      <c r="S13" s="111"/>
      <c r="T13" s="111"/>
      <c r="U13" s="111"/>
      <c r="V13" s="111"/>
      <c r="W13" s="111"/>
      <c r="X13" s="111"/>
      <c r="Y13" s="111"/>
      <c r="Z13" s="111"/>
      <c r="AA13" s="111"/>
      <c r="AB13" s="111"/>
      <c r="AC13" s="111"/>
      <c r="AD13" s="111"/>
      <c r="AE13" s="111"/>
      <c r="AF13" s="111"/>
      <c r="AG13" s="111"/>
      <c r="AH13" s="111"/>
      <c r="AI13" s="111"/>
      <c r="AJ13" s="111"/>
      <c r="AK13" s="111"/>
      <c r="AL13" s="111"/>
      <c r="AM13" s="111"/>
      <c r="AN13" s="111"/>
      <c r="AO13" s="930">
        <f t="shared" si="7"/>
        <v>0</v>
      </c>
      <c r="BO13" s="48"/>
      <c r="BP13" s="48"/>
      <c r="BQ13" s="48"/>
      <c r="BR13" s="48"/>
    </row>
    <row r="14" spans="1:70" s="95" customFormat="1">
      <c r="A14" s="133"/>
      <c r="B14" s="273" t="str">
        <f>'Site 7 - Financial'!G12</f>
        <v>Infrastructure Allocation</v>
      </c>
      <c r="C14" s="544">
        <f>'Site 7 - Financial'!I12</f>
        <v>1337473.2880755607</v>
      </c>
      <c r="D14" s="267" t="s">
        <v>205</v>
      </c>
      <c r="E14" s="401" t="s">
        <v>205</v>
      </c>
      <c r="F14" s="501" t="s">
        <v>205</v>
      </c>
      <c r="G14" s="217">
        <f>C14/2</f>
        <v>668736.64403778035</v>
      </c>
      <c r="H14" s="219">
        <f>G14</f>
        <v>668736.64403778035</v>
      </c>
      <c r="I14" s="401" t="s">
        <v>205</v>
      </c>
      <c r="J14" s="268" t="s">
        <v>205</v>
      </c>
      <c r="K14" s="268" t="s">
        <v>205</v>
      </c>
      <c r="L14" s="268" t="s">
        <v>205</v>
      </c>
      <c r="M14" s="268" t="s">
        <v>205</v>
      </c>
      <c r="N14" s="268" t="s">
        <v>205</v>
      </c>
      <c r="O14" s="269" t="s">
        <v>205</v>
      </c>
      <c r="P14" s="109"/>
      <c r="Q14" s="102"/>
      <c r="R14" s="102"/>
      <c r="S14" s="102"/>
      <c r="T14" s="102"/>
      <c r="U14" s="102"/>
      <c r="V14" s="102"/>
      <c r="W14" s="102"/>
      <c r="X14" s="102"/>
      <c r="Y14" s="102"/>
      <c r="Z14" s="102"/>
      <c r="AA14" s="102"/>
      <c r="AB14" s="102"/>
      <c r="AC14" s="102"/>
      <c r="AD14" s="102"/>
      <c r="AE14" s="102"/>
      <c r="AF14" s="102"/>
      <c r="AG14" s="102"/>
      <c r="AH14" s="102"/>
      <c r="AI14" s="102"/>
      <c r="AJ14" s="102"/>
      <c r="AK14" s="102"/>
      <c r="AL14" s="102"/>
      <c r="AM14" s="102"/>
      <c r="AN14" s="102"/>
      <c r="AO14" s="930">
        <f t="shared" si="7"/>
        <v>0</v>
      </c>
      <c r="BO14" s="48"/>
      <c r="BP14" s="48"/>
      <c r="BQ14" s="48"/>
      <c r="BR14" s="48"/>
    </row>
    <row r="15" spans="1:70" s="95" customFormat="1">
      <c r="A15" s="133"/>
      <c r="B15" s="273" t="str">
        <f>'Site 7 - Financial'!G13</f>
        <v>Legal</v>
      </c>
      <c r="C15" s="544">
        <f>'Site 7 - Financial'!I13</f>
        <v>400000</v>
      </c>
      <c r="D15" s="267" t="s">
        <v>205</v>
      </c>
      <c r="E15" s="401" t="s">
        <v>205</v>
      </c>
      <c r="F15" s="501" t="s">
        <v>205</v>
      </c>
      <c r="G15" s="217">
        <f>C15/2</f>
        <v>200000</v>
      </c>
      <c r="H15" s="219">
        <f>G15</f>
        <v>200000</v>
      </c>
      <c r="I15" s="401" t="s">
        <v>205</v>
      </c>
      <c r="J15" s="268" t="s">
        <v>205</v>
      </c>
      <c r="K15" s="268" t="s">
        <v>205</v>
      </c>
      <c r="L15" s="268" t="s">
        <v>205</v>
      </c>
      <c r="M15" s="268" t="s">
        <v>205</v>
      </c>
      <c r="N15" s="268" t="s">
        <v>205</v>
      </c>
      <c r="O15" s="269" t="s">
        <v>205</v>
      </c>
      <c r="P15" s="109"/>
      <c r="Q15" s="102"/>
      <c r="R15" s="102"/>
      <c r="S15" s="102"/>
      <c r="T15" s="102"/>
      <c r="U15" s="102"/>
      <c r="V15" s="102"/>
      <c r="W15" s="102"/>
      <c r="X15" s="102"/>
      <c r="Y15" s="102"/>
      <c r="Z15" s="102"/>
      <c r="AA15" s="102"/>
      <c r="AB15" s="102"/>
      <c r="AC15" s="102"/>
      <c r="AD15" s="102"/>
      <c r="AE15" s="102"/>
      <c r="AF15" s="102"/>
      <c r="AG15" s="102"/>
      <c r="AH15" s="102"/>
      <c r="AI15" s="102"/>
      <c r="AJ15" s="102"/>
      <c r="AK15" s="102"/>
      <c r="AL15" s="102"/>
      <c r="AM15" s="102"/>
      <c r="AN15" s="102"/>
      <c r="AO15" s="930">
        <f t="shared" si="7"/>
        <v>0</v>
      </c>
      <c r="BO15" s="48"/>
      <c r="BP15" s="48"/>
      <c r="BQ15" s="48"/>
      <c r="BR15" s="48"/>
    </row>
    <row r="16" spans="1:70" s="95" customFormat="1">
      <c r="A16" s="133"/>
      <c r="B16" s="273" t="str">
        <f>'Site 7 - Financial'!G14</f>
        <v>Land Closing Costs/Commissions</v>
      </c>
      <c r="C16" s="544">
        <f>'Site 7 - Financial'!I14</f>
        <v>336074.38016528927</v>
      </c>
      <c r="D16" s="267" t="s">
        <v>205</v>
      </c>
      <c r="E16" s="401" t="s">
        <v>205</v>
      </c>
      <c r="F16" s="501" t="s">
        <v>205</v>
      </c>
      <c r="G16" s="217">
        <f>C16</f>
        <v>336074.38016528927</v>
      </c>
      <c r="H16" s="219">
        <v>0</v>
      </c>
      <c r="I16" s="402" t="s">
        <v>205</v>
      </c>
      <c r="J16" s="271" t="s">
        <v>205</v>
      </c>
      <c r="K16" s="271" t="s">
        <v>205</v>
      </c>
      <c r="L16" s="271" t="s">
        <v>205</v>
      </c>
      <c r="M16" s="271" t="s">
        <v>205</v>
      </c>
      <c r="N16" s="271" t="s">
        <v>205</v>
      </c>
      <c r="O16" s="272" t="s">
        <v>205</v>
      </c>
      <c r="P16" s="112"/>
      <c r="Q16" s="111"/>
      <c r="R16" s="111"/>
      <c r="S16" s="111"/>
      <c r="T16" s="111"/>
      <c r="U16" s="111"/>
      <c r="V16" s="111"/>
      <c r="W16" s="111"/>
      <c r="X16" s="111"/>
      <c r="Y16" s="111"/>
      <c r="Z16" s="111"/>
      <c r="AA16" s="111"/>
      <c r="AB16" s="111"/>
      <c r="AC16" s="111"/>
      <c r="AD16" s="111"/>
      <c r="AE16" s="111"/>
      <c r="AF16" s="111"/>
      <c r="AG16" s="111"/>
      <c r="AH16" s="111"/>
      <c r="AI16" s="111"/>
      <c r="AJ16" s="111"/>
      <c r="AK16" s="111"/>
      <c r="AL16" s="111"/>
      <c r="AM16" s="111"/>
      <c r="AN16" s="111"/>
      <c r="AO16" s="930">
        <f t="shared" si="7"/>
        <v>0</v>
      </c>
      <c r="BO16" s="48"/>
      <c r="BP16" s="48"/>
      <c r="BQ16" s="48"/>
      <c r="BR16" s="48"/>
    </row>
    <row r="17" spans="1:70" s="95" customFormat="1">
      <c r="A17" s="133"/>
      <c r="B17" s="273" t="str">
        <f>'Site 7 - Financial'!G15</f>
        <v xml:space="preserve">Design </v>
      </c>
      <c r="C17" s="544">
        <f>'Site 7 - Financial'!I15</f>
        <v>1026527.4</v>
      </c>
      <c r="D17" s="267" t="s">
        <v>205</v>
      </c>
      <c r="E17" s="401" t="s">
        <v>205</v>
      </c>
      <c r="F17" s="501" t="s">
        <v>205</v>
      </c>
      <c r="G17" s="217">
        <f>C17*0.75</f>
        <v>769895.55</v>
      </c>
      <c r="H17" s="219">
        <f>C17*0.25</f>
        <v>256631.85</v>
      </c>
      <c r="I17" s="402" t="s">
        <v>205</v>
      </c>
      <c r="J17" s="271" t="s">
        <v>205</v>
      </c>
      <c r="K17" s="271" t="s">
        <v>205</v>
      </c>
      <c r="L17" s="271" t="s">
        <v>205</v>
      </c>
      <c r="M17" s="271" t="s">
        <v>205</v>
      </c>
      <c r="N17" s="271" t="s">
        <v>205</v>
      </c>
      <c r="O17" s="272" t="s">
        <v>205</v>
      </c>
      <c r="P17" s="112"/>
      <c r="Q17" s="111"/>
      <c r="R17" s="111"/>
      <c r="S17" s="111"/>
      <c r="T17" s="111"/>
      <c r="U17" s="111"/>
      <c r="V17" s="111"/>
      <c r="W17" s="111"/>
      <c r="X17" s="111"/>
      <c r="Y17" s="111"/>
      <c r="Z17" s="111"/>
      <c r="AA17" s="111"/>
      <c r="AB17" s="111"/>
      <c r="AC17" s="111"/>
      <c r="AD17" s="111"/>
      <c r="AE17" s="111"/>
      <c r="AF17" s="111"/>
      <c r="AG17" s="111"/>
      <c r="AH17" s="111"/>
      <c r="AI17" s="111"/>
      <c r="AJ17" s="111"/>
      <c r="AK17" s="111"/>
      <c r="AL17" s="111"/>
      <c r="AM17" s="111"/>
      <c r="AN17" s="111"/>
      <c r="AO17" s="930">
        <f t="shared" si="7"/>
        <v>0</v>
      </c>
      <c r="BO17" s="48"/>
      <c r="BP17" s="48"/>
      <c r="BQ17" s="48"/>
      <c r="BR17" s="48"/>
    </row>
    <row r="18" spans="1:70" s="95" customFormat="1" ht="19.05" customHeight="1">
      <c r="A18" s="133"/>
      <c r="B18" s="273" t="str">
        <f>'Site 7 - Financial'!G16</f>
        <v>Developer Fee</v>
      </c>
      <c r="C18" s="544">
        <f>'Site 7 - Financial'!I16</f>
        <v>1447598.9272951593</v>
      </c>
      <c r="D18" s="267" t="s">
        <v>205</v>
      </c>
      <c r="E18" s="401" t="s">
        <v>205</v>
      </c>
      <c r="F18" s="501" t="s">
        <v>205</v>
      </c>
      <c r="G18" s="217">
        <f>C18/2</f>
        <v>723799.46364757966</v>
      </c>
      <c r="H18" s="219">
        <f>G18</f>
        <v>723799.46364757966</v>
      </c>
      <c r="I18" s="402" t="s">
        <v>205</v>
      </c>
      <c r="J18" s="271" t="s">
        <v>205</v>
      </c>
      <c r="K18" s="271" t="s">
        <v>205</v>
      </c>
      <c r="L18" s="271" t="s">
        <v>205</v>
      </c>
      <c r="M18" s="271" t="s">
        <v>205</v>
      </c>
      <c r="N18" s="268" t="s">
        <v>205</v>
      </c>
      <c r="O18" s="272" t="s">
        <v>205</v>
      </c>
      <c r="P18" s="109"/>
      <c r="Q18" s="102"/>
      <c r="R18" s="102"/>
      <c r="S18" s="102"/>
      <c r="T18" s="102"/>
      <c r="U18" s="102"/>
      <c r="V18" s="102"/>
      <c r="W18" s="102"/>
      <c r="X18" s="102"/>
      <c r="Y18" s="102"/>
      <c r="Z18" s="102"/>
      <c r="AA18" s="102"/>
      <c r="AB18" s="102"/>
      <c r="AC18" s="102"/>
      <c r="AD18" s="102"/>
      <c r="AE18" s="102"/>
      <c r="AF18" s="102"/>
      <c r="AG18" s="102"/>
      <c r="AH18" s="102"/>
      <c r="AI18" s="102"/>
      <c r="AJ18" s="111"/>
      <c r="AK18" s="111"/>
      <c r="AL18" s="111"/>
      <c r="AM18" s="111"/>
      <c r="AN18" s="111"/>
      <c r="AO18" s="930">
        <f t="shared" si="7"/>
        <v>0</v>
      </c>
      <c r="BO18" s="48"/>
      <c r="BP18" s="48"/>
      <c r="BQ18" s="48"/>
      <c r="BR18" s="48"/>
    </row>
    <row r="19" spans="1:70" s="95" customFormat="1">
      <c r="A19" s="133"/>
      <c r="B19" s="273" t="str">
        <f>'Site 7 - Financial'!G17</f>
        <v>Construction Management Fee</v>
      </c>
      <c r="C19" s="544">
        <f>'Site 7 - Financial'!I17</f>
        <v>513263.7</v>
      </c>
      <c r="D19" s="267" t="s">
        <v>205</v>
      </c>
      <c r="E19" s="401" t="s">
        <v>205</v>
      </c>
      <c r="F19" s="501" t="s">
        <v>205</v>
      </c>
      <c r="G19" s="217">
        <f>C19/2</f>
        <v>256631.85</v>
      </c>
      <c r="H19" s="219">
        <f>G19</f>
        <v>256631.85</v>
      </c>
      <c r="I19" s="402" t="s">
        <v>205</v>
      </c>
      <c r="J19" s="271" t="s">
        <v>205</v>
      </c>
      <c r="K19" s="271" t="s">
        <v>205</v>
      </c>
      <c r="L19" s="271" t="s">
        <v>205</v>
      </c>
      <c r="M19" s="271" t="s">
        <v>205</v>
      </c>
      <c r="N19" s="271" t="s">
        <v>205</v>
      </c>
      <c r="O19" s="272" t="s">
        <v>205</v>
      </c>
      <c r="P19" s="112"/>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930">
        <f t="shared" si="7"/>
        <v>0</v>
      </c>
      <c r="BO19" s="48"/>
      <c r="BP19" s="48"/>
      <c r="BQ19" s="48"/>
      <c r="BR19" s="48"/>
    </row>
    <row r="20" spans="1:70" s="95" customFormat="1">
      <c r="A20" s="133"/>
      <c r="B20" s="273" t="str">
        <f>'Site 7 - Financial'!G18</f>
        <v>Taxes</v>
      </c>
      <c r="C20" s="544">
        <f>'Site 7 - Financial'!I18</f>
        <v>148366.75661157025</v>
      </c>
      <c r="D20" s="267" t="s">
        <v>205</v>
      </c>
      <c r="E20" s="401" t="s">
        <v>205</v>
      </c>
      <c r="F20" s="501" t="s">
        <v>205</v>
      </c>
      <c r="G20" s="217">
        <f>C20/2</f>
        <v>74183.378305785125</v>
      </c>
      <c r="H20" s="219">
        <f>G20</f>
        <v>74183.378305785125</v>
      </c>
      <c r="I20" s="401" t="s">
        <v>205</v>
      </c>
      <c r="J20" s="268" t="s">
        <v>205</v>
      </c>
      <c r="K20" s="268" t="s">
        <v>205</v>
      </c>
      <c r="L20" s="268" t="s">
        <v>205</v>
      </c>
      <c r="M20" s="268" t="s">
        <v>205</v>
      </c>
      <c r="N20" s="268" t="s">
        <v>205</v>
      </c>
      <c r="O20" s="269" t="s">
        <v>205</v>
      </c>
      <c r="P20" s="109"/>
      <c r="Q20" s="102"/>
      <c r="R20" s="102"/>
      <c r="S20" s="102"/>
      <c r="T20" s="102"/>
      <c r="U20" s="102"/>
      <c r="V20" s="102"/>
      <c r="W20" s="102"/>
      <c r="X20" s="102"/>
      <c r="Y20" s="102"/>
      <c r="Z20" s="102"/>
      <c r="AA20" s="102"/>
      <c r="AB20" s="102"/>
      <c r="AC20" s="102"/>
      <c r="AD20" s="102"/>
      <c r="AE20" s="102"/>
      <c r="AF20" s="102"/>
      <c r="AG20" s="102"/>
      <c r="AH20" s="102"/>
      <c r="AI20" s="102"/>
      <c r="AJ20" s="102"/>
      <c r="AK20" s="102"/>
      <c r="AL20" s="102"/>
      <c r="AM20" s="102"/>
      <c r="AN20" s="102"/>
      <c r="AO20" s="930">
        <f t="shared" si="7"/>
        <v>0</v>
      </c>
      <c r="BO20" s="48"/>
      <c r="BP20" s="48"/>
      <c r="BQ20" s="48"/>
      <c r="BR20" s="48"/>
    </row>
    <row r="21" spans="1:70" s="95" customFormat="1">
      <c r="A21" s="133"/>
      <c r="B21" s="273" t="str">
        <f>'Site 7 - Financial'!G19</f>
        <v>Insurance</v>
      </c>
      <c r="C21" s="544">
        <f>'Site 7 - Financial'!I19</f>
        <v>666000</v>
      </c>
      <c r="D21" s="267" t="s">
        <v>205</v>
      </c>
      <c r="E21" s="401" t="s">
        <v>205</v>
      </c>
      <c r="F21" s="501" t="s">
        <v>205</v>
      </c>
      <c r="G21" s="217">
        <f>C21/2</f>
        <v>333000</v>
      </c>
      <c r="H21" s="219">
        <f>G21</f>
        <v>333000</v>
      </c>
      <c r="I21" s="401" t="s">
        <v>205</v>
      </c>
      <c r="J21" s="268" t="s">
        <v>205</v>
      </c>
      <c r="K21" s="268" t="s">
        <v>205</v>
      </c>
      <c r="L21" s="268" t="s">
        <v>205</v>
      </c>
      <c r="M21" s="268" t="s">
        <v>205</v>
      </c>
      <c r="N21" s="268" t="s">
        <v>205</v>
      </c>
      <c r="O21" s="269" t="s">
        <v>205</v>
      </c>
      <c r="P21" s="109"/>
      <c r="Q21" s="102"/>
      <c r="R21" s="102"/>
      <c r="S21" s="102"/>
      <c r="T21" s="102"/>
      <c r="U21" s="102"/>
      <c r="V21" s="102"/>
      <c r="W21" s="102"/>
      <c r="X21" s="102"/>
      <c r="Y21" s="102"/>
      <c r="Z21" s="102"/>
      <c r="AA21" s="102"/>
      <c r="AB21" s="102"/>
      <c r="AC21" s="102"/>
      <c r="AD21" s="102"/>
      <c r="AE21" s="102"/>
      <c r="AF21" s="102"/>
      <c r="AG21" s="102"/>
      <c r="AH21" s="102"/>
      <c r="AI21" s="102"/>
      <c r="AJ21" s="102"/>
      <c r="AK21" s="102"/>
      <c r="AL21" s="102"/>
      <c r="AM21" s="102"/>
      <c r="AN21" s="102"/>
      <c r="AO21" s="930">
        <f t="shared" si="7"/>
        <v>0</v>
      </c>
      <c r="BO21" s="48"/>
      <c r="BP21" s="48"/>
      <c r="BQ21" s="48"/>
      <c r="BR21" s="48"/>
    </row>
    <row r="22" spans="1:70" s="95" customFormat="1">
      <c r="A22" s="133"/>
      <c r="B22" s="273" t="str">
        <f>'Site 7 - Financial'!G20</f>
        <v>Marketing, FFE and Preleasing</v>
      </c>
      <c r="C22" s="544">
        <f>'Site 7 - Financial'!I20</f>
        <v>400000</v>
      </c>
      <c r="D22" s="267" t="s">
        <v>205</v>
      </c>
      <c r="E22" s="401" t="s">
        <v>205</v>
      </c>
      <c r="F22" s="501" t="s">
        <v>205</v>
      </c>
      <c r="G22" s="217">
        <f>C22/2</f>
        <v>200000</v>
      </c>
      <c r="H22" s="219">
        <f>G22</f>
        <v>200000</v>
      </c>
      <c r="I22" s="401" t="s">
        <v>205</v>
      </c>
      <c r="J22" s="268" t="s">
        <v>205</v>
      </c>
      <c r="K22" s="268" t="s">
        <v>205</v>
      </c>
      <c r="L22" s="268" t="s">
        <v>205</v>
      </c>
      <c r="M22" s="268" t="s">
        <v>205</v>
      </c>
      <c r="N22" s="268" t="s">
        <v>205</v>
      </c>
      <c r="O22" s="269" t="s">
        <v>205</v>
      </c>
      <c r="P22" s="109"/>
      <c r="Q22" s="102"/>
      <c r="R22" s="102"/>
      <c r="S22" s="102"/>
      <c r="T22" s="102"/>
      <c r="U22" s="102"/>
      <c r="V22" s="102"/>
      <c r="W22" s="102"/>
      <c r="X22" s="102"/>
      <c r="Y22" s="102"/>
      <c r="Z22" s="102"/>
      <c r="AA22" s="102"/>
      <c r="AB22" s="102"/>
      <c r="AC22" s="102"/>
      <c r="AD22" s="102"/>
      <c r="AE22" s="102"/>
      <c r="AF22" s="102"/>
      <c r="AG22" s="102"/>
      <c r="AH22" s="102"/>
      <c r="AI22" s="102"/>
      <c r="AJ22" s="102"/>
      <c r="AK22" s="102"/>
      <c r="AL22" s="102"/>
      <c r="AM22" s="102"/>
      <c r="AN22" s="102"/>
      <c r="AO22" s="930">
        <f t="shared" si="7"/>
        <v>0</v>
      </c>
      <c r="BO22" s="48"/>
      <c r="BP22" s="48"/>
      <c r="BQ22" s="48"/>
      <c r="BR22" s="48"/>
    </row>
    <row r="23" spans="1:70" s="95" customFormat="1">
      <c r="A23" s="133"/>
      <c r="B23" s="273" t="str">
        <f>'Site 7 - Financial'!G21</f>
        <v>Operating Deficit</v>
      </c>
      <c r="C23" s="544">
        <f>'Site 7 - Financial'!I21</f>
        <v>466789.25</v>
      </c>
      <c r="D23" s="267" t="s">
        <v>205</v>
      </c>
      <c r="E23" s="401" t="s">
        <v>205</v>
      </c>
      <c r="F23" s="501" t="s">
        <v>205</v>
      </c>
      <c r="G23" s="217">
        <f>-(G38+G47+G56)</f>
        <v>0</v>
      </c>
      <c r="H23" s="219">
        <f>-(H38+H47+H56)</f>
        <v>466789.25</v>
      </c>
      <c r="I23" s="401" t="s">
        <v>205</v>
      </c>
      <c r="J23" s="268" t="s">
        <v>205</v>
      </c>
      <c r="K23" s="268" t="s">
        <v>205</v>
      </c>
      <c r="L23" s="268" t="s">
        <v>205</v>
      </c>
      <c r="M23" s="268" t="s">
        <v>205</v>
      </c>
      <c r="N23" s="268" t="s">
        <v>205</v>
      </c>
      <c r="O23" s="269" t="s">
        <v>205</v>
      </c>
      <c r="P23" s="109"/>
      <c r="Q23" s="102"/>
      <c r="R23" s="102"/>
      <c r="S23" s="102"/>
      <c r="T23" s="102"/>
      <c r="U23" s="102"/>
      <c r="V23" s="102"/>
      <c r="W23" s="102"/>
      <c r="X23" s="102"/>
      <c r="Y23" s="102"/>
      <c r="Z23" s="102"/>
      <c r="AA23" s="102"/>
      <c r="AB23" s="102"/>
      <c r="AC23" s="102"/>
      <c r="AD23" s="102"/>
      <c r="AE23" s="102"/>
      <c r="AF23" s="102"/>
      <c r="AG23" s="102"/>
      <c r="AH23" s="102"/>
      <c r="AI23" s="102"/>
      <c r="AJ23" s="102"/>
      <c r="AK23" s="102"/>
      <c r="AL23" s="102"/>
      <c r="AM23" s="102"/>
      <c r="AN23" s="102"/>
      <c r="AO23" s="930">
        <f t="shared" si="7"/>
        <v>0</v>
      </c>
      <c r="BO23" s="48"/>
      <c r="BP23" s="48"/>
      <c r="BQ23" s="48"/>
      <c r="BR23" s="48"/>
    </row>
    <row r="24" spans="1:70" s="95" customFormat="1">
      <c r="A24" s="133"/>
      <c r="B24" s="273" t="str">
        <f>'Site 7 - Financial'!G22</f>
        <v>Commercial Interior Fitout Cost</v>
      </c>
      <c r="C24" s="544">
        <f>'Site 7 - Financial'!I22</f>
        <v>3785180</v>
      </c>
      <c r="D24" s="267" t="s">
        <v>205</v>
      </c>
      <c r="E24" s="401" t="s">
        <v>205</v>
      </c>
      <c r="F24" s="501" t="s">
        <v>205</v>
      </c>
      <c r="G24" s="217">
        <v>0</v>
      </c>
      <c r="H24" s="219">
        <f>C24</f>
        <v>3785180</v>
      </c>
      <c r="I24" s="401" t="s">
        <v>205</v>
      </c>
      <c r="J24" s="268" t="s">
        <v>205</v>
      </c>
      <c r="K24" s="268" t="s">
        <v>205</v>
      </c>
      <c r="L24" s="268" t="s">
        <v>205</v>
      </c>
      <c r="M24" s="268" t="s">
        <v>205</v>
      </c>
      <c r="N24" s="268" t="s">
        <v>205</v>
      </c>
      <c r="O24" s="269" t="s">
        <v>205</v>
      </c>
      <c r="P24" s="109"/>
      <c r="Q24" s="102"/>
      <c r="R24" s="102"/>
      <c r="S24" s="102"/>
      <c r="T24" s="102"/>
      <c r="U24" s="102"/>
      <c r="V24" s="102"/>
      <c r="W24" s="102"/>
      <c r="X24" s="102"/>
      <c r="Y24" s="102"/>
      <c r="Z24" s="102"/>
      <c r="AA24" s="102"/>
      <c r="AB24" s="102"/>
      <c r="AC24" s="102"/>
      <c r="AD24" s="102"/>
      <c r="AE24" s="102"/>
      <c r="AF24" s="102"/>
      <c r="AG24" s="102"/>
      <c r="AH24" s="102"/>
      <c r="AI24" s="102"/>
      <c r="AJ24" s="102"/>
      <c r="AK24" s="102"/>
      <c r="AL24" s="110"/>
      <c r="AM24" s="102"/>
      <c r="AN24" s="102"/>
      <c r="AO24" s="930">
        <f t="shared" si="7"/>
        <v>0</v>
      </c>
      <c r="BO24" s="48"/>
      <c r="BP24" s="48"/>
      <c r="BQ24" s="48"/>
      <c r="BR24" s="48"/>
    </row>
    <row r="25" spans="1:70" s="95" customFormat="1">
      <c r="A25" s="133"/>
      <c r="B25" s="273" t="str">
        <f>'Site 7 - Financial'!G23</f>
        <v>Commercial Brokerage Commission</v>
      </c>
      <c r="C25" s="544">
        <f>'Site 7 - Financial'!I23</f>
        <v>283888.5</v>
      </c>
      <c r="D25" s="267" t="s">
        <v>205</v>
      </c>
      <c r="E25" s="401" t="s">
        <v>205</v>
      </c>
      <c r="F25" s="501" t="s">
        <v>205</v>
      </c>
      <c r="G25" s="217">
        <f>C25/2</f>
        <v>141944.25</v>
      </c>
      <c r="H25" s="219">
        <f>G25</f>
        <v>141944.25</v>
      </c>
      <c r="I25" s="401" t="s">
        <v>205</v>
      </c>
      <c r="J25" s="268" t="s">
        <v>205</v>
      </c>
      <c r="K25" s="268" t="s">
        <v>205</v>
      </c>
      <c r="L25" s="268" t="s">
        <v>205</v>
      </c>
      <c r="M25" s="268" t="s">
        <v>205</v>
      </c>
      <c r="N25" s="268" t="s">
        <v>205</v>
      </c>
      <c r="O25" s="269" t="s">
        <v>205</v>
      </c>
      <c r="P25" s="109"/>
      <c r="Q25" s="102"/>
      <c r="R25" s="102"/>
      <c r="S25" s="102"/>
      <c r="T25" s="102"/>
      <c r="U25" s="102"/>
      <c r="V25" s="102"/>
      <c r="W25" s="102"/>
      <c r="X25" s="102"/>
      <c r="Y25" s="102"/>
      <c r="Z25" s="102"/>
      <c r="AA25" s="102"/>
      <c r="AB25" s="102"/>
      <c r="AC25" s="102"/>
      <c r="AD25" s="102"/>
      <c r="AE25" s="102"/>
      <c r="AF25" s="102"/>
      <c r="AG25" s="102"/>
      <c r="AH25" s="102"/>
      <c r="AI25" s="102"/>
      <c r="AJ25" s="102"/>
      <c r="AK25" s="102"/>
      <c r="AL25" s="110"/>
      <c r="AM25" s="102"/>
      <c r="AN25" s="102"/>
      <c r="AO25" s="930">
        <f t="shared" si="7"/>
        <v>0</v>
      </c>
      <c r="BO25" s="48"/>
      <c r="BP25" s="48"/>
      <c r="BQ25" s="48"/>
      <c r="BR25" s="48"/>
    </row>
    <row r="26" spans="1:70" s="95" customFormat="1">
      <c r="A26" s="133"/>
      <c r="B26" s="273" t="str">
        <f>'Site 7 - Financial'!G24</f>
        <v>Construction Loan Origination</v>
      </c>
      <c r="C26" s="544">
        <f>'Site 7 - Financial'!I24</f>
        <v>290000</v>
      </c>
      <c r="D26" s="267" t="s">
        <v>205</v>
      </c>
      <c r="E26" s="401" t="s">
        <v>205</v>
      </c>
      <c r="F26" s="501" t="s">
        <v>205</v>
      </c>
      <c r="G26" s="217">
        <f>C26</f>
        <v>290000</v>
      </c>
      <c r="H26" s="219">
        <v>0</v>
      </c>
      <c r="I26" s="401" t="s">
        <v>205</v>
      </c>
      <c r="J26" s="268" t="s">
        <v>205</v>
      </c>
      <c r="K26" s="268" t="s">
        <v>205</v>
      </c>
      <c r="L26" s="268" t="s">
        <v>205</v>
      </c>
      <c r="M26" s="268" t="s">
        <v>205</v>
      </c>
      <c r="N26" s="268" t="s">
        <v>205</v>
      </c>
      <c r="O26" s="269" t="s">
        <v>205</v>
      </c>
      <c r="P26" s="109"/>
      <c r="Q26" s="102"/>
      <c r="R26" s="102"/>
      <c r="S26" s="102"/>
      <c r="T26" s="102"/>
      <c r="U26" s="102"/>
      <c r="V26" s="102"/>
      <c r="W26" s="102"/>
      <c r="X26" s="102"/>
      <c r="Y26" s="102"/>
      <c r="Z26" s="102"/>
      <c r="AA26" s="102"/>
      <c r="AB26" s="102"/>
      <c r="AC26" s="102"/>
      <c r="AD26" s="102"/>
      <c r="AE26" s="102"/>
      <c r="AF26" s="102"/>
      <c r="AG26" s="102"/>
      <c r="AH26" s="102"/>
      <c r="AI26" s="102"/>
      <c r="AJ26" s="102"/>
      <c r="AK26" s="102"/>
      <c r="AL26" s="110"/>
      <c r="AM26" s="102"/>
      <c r="AN26" s="102"/>
      <c r="AO26" s="930">
        <f t="shared" si="7"/>
        <v>0</v>
      </c>
      <c r="BO26" s="48"/>
      <c r="BP26" s="48"/>
      <c r="BQ26" s="48"/>
      <c r="BR26" s="48"/>
    </row>
    <row r="27" spans="1:70" s="95" customFormat="1">
      <c r="A27" s="133"/>
      <c r="B27" s="273" t="str">
        <f>'Site 7 - Financial'!G25</f>
        <v>Construction Interest</v>
      </c>
      <c r="C27" s="544">
        <f>'Site 7 - Financial'!I25</f>
        <v>2030000</v>
      </c>
      <c r="D27" s="267" t="s">
        <v>205</v>
      </c>
      <c r="E27" s="401" t="s">
        <v>205</v>
      </c>
      <c r="F27" s="501" t="s">
        <v>205</v>
      </c>
      <c r="G27" s="217">
        <f>C27/2</f>
        <v>1015000</v>
      </c>
      <c r="H27" s="219">
        <f>G27</f>
        <v>1015000</v>
      </c>
      <c r="I27" s="401" t="s">
        <v>205</v>
      </c>
      <c r="J27" s="268" t="s">
        <v>205</v>
      </c>
      <c r="K27" s="268" t="s">
        <v>205</v>
      </c>
      <c r="L27" s="268" t="s">
        <v>205</v>
      </c>
      <c r="M27" s="268" t="s">
        <v>205</v>
      </c>
      <c r="N27" s="268" t="s">
        <v>205</v>
      </c>
      <c r="O27" s="269" t="s">
        <v>205</v>
      </c>
      <c r="P27" s="109"/>
      <c r="Q27" s="102"/>
      <c r="R27" s="102"/>
      <c r="S27" s="102"/>
      <c r="T27" s="102"/>
      <c r="U27" s="102"/>
      <c r="V27" s="102"/>
      <c r="W27" s="102"/>
      <c r="X27" s="102"/>
      <c r="Y27" s="102"/>
      <c r="Z27" s="102"/>
      <c r="AA27" s="102"/>
      <c r="AB27" s="102"/>
      <c r="AC27" s="102"/>
      <c r="AD27" s="102"/>
      <c r="AE27" s="102"/>
      <c r="AF27" s="102"/>
      <c r="AG27" s="102"/>
      <c r="AH27" s="102"/>
      <c r="AI27" s="102"/>
      <c r="AJ27" s="102"/>
      <c r="AK27" s="102"/>
      <c r="AL27" s="102"/>
      <c r="AM27" s="102"/>
      <c r="AN27" s="102"/>
      <c r="AO27" s="930">
        <f t="shared" si="7"/>
        <v>0</v>
      </c>
      <c r="BO27" s="48"/>
      <c r="BP27" s="48"/>
      <c r="BQ27" s="48"/>
      <c r="BR27" s="48"/>
    </row>
    <row r="28" spans="1:70" s="95" customFormat="1">
      <c r="A28" s="133"/>
      <c r="B28" s="273" t="str">
        <f>'Site 7 - Financial'!G26</f>
        <v>Additional Contingency</v>
      </c>
      <c r="C28" s="544">
        <f>'Site 7 - Financial'!I26</f>
        <v>1500000</v>
      </c>
      <c r="D28" s="267" t="s">
        <v>205</v>
      </c>
      <c r="E28" s="401" t="s">
        <v>205</v>
      </c>
      <c r="F28" s="501" t="s">
        <v>205</v>
      </c>
      <c r="G28" s="217">
        <f>C28/2</f>
        <v>750000</v>
      </c>
      <c r="H28" s="219">
        <f>G28</f>
        <v>750000</v>
      </c>
      <c r="I28" s="401" t="s">
        <v>205</v>
      </c>
      <c r="J28" s="268" t="s">
        <v>205</v>
      </c>
      <c r="K28" s="268" t="s">
        <v>205</v>
      </c>
      <c r="L28" s="268" t="s">
        <v>205</v>
      </c>
      <c r="M28" s="268" t="s">
        <v>205</v>
      </c>
      <c r="N28" s="268" t="s">
        <v>205</v>
      </c>
      <c r="O28" s="269" t="s">
        <v>205</v>
      </c>
      <c r="P28" s="109"/>
      <c r="Q28" s="102"/>
      <c r="R28" s="102"/>
      <c r="S28" s="102"/>
      <c r="T28" s="102"/>
      <c r="U28" s="102"/>
      <c r="V28" s="102"/>
      <c r="W28" s="102"/>
      <c r="X28" s="102"/>
      <c r="Y28" s="102"/>
      <c r="Z28" s="102"/>
      <c r="AA28" s="102"/>
      <c r="AB28" s="102"/>
      <c r="AC28" s="102"/>
      <c r="AD28" s="102"/>
      <c r="AE28" s="102"/>
      <c r="AF28" s="102"/>
      <c r="AG28" s="102"/>
      <c r="AH28" s="102"/>
      <c r="AI28" s="102"/>
      <c r="AJ28" s="102"/>
      <c r="AK28" s="102"/>
      <c r="AL28" s="102"/>
      <c r="AM28" s="102"/>
      <c r="AN28" s="102"/>
      <c r="AO28" s="930">
        <f t="shared" si="7"/>
        <v>0</v>
      </c>
      <c r="BO28" s="48"/>
      <c r="BP28" s="48"/>
      <c r="BQ28" s="48"/>
      <c r="BR28" s="48"/>
    </row>
    <row r="29" spans="1:70" s="95" customFormat="1" ht="15" thickBot="1">
      <c r="A29" s="133"/>
      <c r="B29" s="834" t="s">
        <v>619</v>
      </c>
      <c r="C29" s="823">
        <f>-'Site 7 - Financial'!I28</f>
        <v>-10664000</v>
      </c>
      <c r="D29" s="253" t="s">
        <v>205</v>
      </c>
      <c r="E29" s="828" t="s">
        <v>205</v>
      </c>
      <c r="F29" s="196" t="s">
        <v>205</v>
      </c>
      <c r="G29" s="825">
        <f>C29</f>
        <v>-10664000</v>
      </c>
      <c r="H29" s="827">
        <v>0</v>
      </c>
      <c r="I29" s="828" t="s">
        <v>205</v>
      </c>
      <c r="J29" s="248" t="s">
        <v>205</v>
      </c>
      <c r="K29" s="248" t="s">
        <v>205</v>
      </c>
      <c r="L29" s="248" t="s">
        <v>205</v>
      </c>
      <c r="M29" s="248" t="s">
        <v>205</v>
      </c>
      <c r="N29" s="248" t="s">
        <v>205</v>
      </c>
      <c r="O29" s="249" t="s">
        <v>205</v>
      </c>
      <c r="P29" s="832"/>
      <c r="Q29" s="833"/>
      <c r="R29" s="833"/>
      <c r="S29" s="833"/>
      <c r="T29" s="833"/>
      <c r="U29" s="833"/>
      <c r="V29" s="833"/>
      <c r="W29" s="833"/>
      <c r="X29" s="833"/>
      <c r="Y29" s="833"/>
      <c r="Z29" s="833"/>
      <c r="AA29" s="833"/>
      <c r="AB29" s="833"/>
      <c r="AC29" s="833"/>
      <c r="AD29" s="833"/>
      <c r="AE29" s="833"/>
      <c r="AF29" s="833"/>
      <c r="AG29" s="833"/>
      <c r="AH29" s="833"/>
      <c r="AI29" s="833"/>
      <c r="AJ29" s="833"/>
      <c r="AK29" s="833"/>
      <c r="AL29" s="833"/>
      <c r="AM29" s="833"/>
      <c r="AN29" s="833"/>
      <c r="AO29" s="930">
        <f t="shared" si="7"/>
        <v>0</v>
      </c>
      <c r="BO29" s="48"/>
      <c r="BP29" s="48"/>
      <c r="BQ29" s="48"/>
      <c r="BR29" s="48"/>
    </row>
    <row r="30" spans="1:70" s="95" customFormat="1" ht="15" thickBot="1">
      <c r="A30" s="133"/>
      <c r="B30" s="98" t="s">
        <v>39</v>
      </c>
      <c r="C30" s="545">
        <f>SUM(C6:C29)</f>
        <v>49120384.71041204</v>
      </c>
      <c r="D30" s="255">
        <f t="shared" ref="D30:O30" si="8">SUM(D6:D29)</f>
        <v>0</v>
      </c>
      <c r="E30" s="256">
        <f t="shared" si="8"/>
        <v>0</v>
      </c>
      <c r="F30" s="257">
        <f t="shared" si="8"/>
        <v>0</v>
      </c>
      <c r="G30" s="255">
        <f t="shared" si="8"/>
        <v>12018984.524420898</v>
      </c>
      <c r="H30" s="257">
        <f t="shared" si="8"/>
        <v>37101400.185991146</v>
      </c>
      <c r="I30" s="403">
        <f t="shared" si="8"/>
        <v>0</v>
      </c>
      <c r="J30" s="256">
        <f t="shared" si="8"/>
        <v>0</v>
      </c>
      <c r="K30" s="256">
        <f t="shared" si="8"/>
        <v>0</v>
      </c>
      <c r="L30" s="256">
        <f t="shared" si="8"/>
        <v>0</v>
      </c>
      <c r="M30" s="256">
        <f t="shared" si="8"/>
        <v>0</v>
      </c>
      <c r="N30" s="256">
        <f t="shared" si="8"/>
        <v>0</v>
      </c>
      <c r="O30" s="257">
        <f t="shared" si="8"/>
        <v>0</v>
      </c>
      <c r="P30" s="103"/>
      <c r="Q30" s="113"/>
      <c r="R30" s="113"/>
      <c r="S30" s="113"/>
      <c r="T30" s="113"/>
      <c r="U30" s="113"/>
      <c r="V30" s="113"/>
      <c r="W30" s="113"/>
      <c r="X30" s="113"/>
      <c r="Y30" s="113"/>
      <c r="Z30" s="113"/>
      <c r="AA30" s="113"/>
      <c r="AB30" s="113"/>
      <c r="AC30" s="113"/>
      <c r="AD30" s="113"/>
      <c r="AE30" s="113"/>
      <c r="AF30" s="113"/>
      <c r="AG30" s="113"/>
      <c r="AH30" s="113"/>
      <c r="AI30" s="113"/>
      <c r="AJ30" s="113"/>
      <c r="AK30" s="113"/>
      <c r="AL30" s="113"/>
      <c r="AM30" s="113"/>
      <c r="AN30" s="113"/>
      <c r="BO30" s="48"/>
      <c r="BP30" s="48"/>
      <c r="BQ30" s="48"/>
      <c r="BR30" s="48"/>
    </row>
    <row r="31" spans="1:70" s="133" customFormat="1">
      <c r="B31" s="193" t="s">
        <v>607</v>
      </c>
      <c r="C31" s="230"/>
      <c r="D31" s="250"/>
      <c r="E31" s="241"/>
      <c r="F31" s="242"/>
      <c r="G31" s="250"/>
      <c r="H31" s="242"/>
      <c r="I31" s="404"/>
      <c r="J31" s="241"/>
      <c r="K31" s="241"/>
      <c r="L31" s="241"/>
      <c r="M31" s="241"/>
      <c r="N31" s="241"/>
      <c r="O31" s="242"/>
      <c r="P31" s="222"/>
      <c r="Q31" s="220"/>
      <c r="R31" s="220"/>
      <c r="S31" s="220"/>
      <c r="T31" s="220"/>
      <c r="U31" s="220"/>
      <c r="V31" s="220"/>
      <c r="W31" s="220"/>
      <c r="X31" s="220"/>
      <c r="Y31" s="220"/>
      <c r="Z31" s="220"/>
      <c r="AA31" s="220"/>
      <c r="AB31" s="220"/>
      <c r="AC31" s="220"/>
      <c r="AD31" s="220"/>
      <c r="AE31" s="220"/>
      <c r="AF31" s="220"/>
      <c r="AG31" s="220"/>
      <c r="AH31" s="220"/>
      <c r="AI31" s="220"/>
      <c r="AJ31" s="220"/>
      <c r="AK31" s="220"/>
      <c r="AL31" s="220"/>
      <c r="AM31" s="220"/>
      <c r="AN31" s="220"/>
      <c r="BO31" s="47"/>
      <c r="BP31" s="47"/>
      <c r="BQ31" s="47"/>
      <c r="BR31" s="47"/>
    </row>
    <row r="32" spans="1:70" s="133" customFormat="1">
      <c r="B32" s="194" t="s">
        <v>92</v>
      </c>
      <c r="C32" s="231" t="s">
        <v>205</v>
      </c>
      <c r="D32" s="251">
        <v>0</v>
      </c>
      <c r="E32" s="243">
        <v>0</v>
      </c>
      <c r="F32" s="244">
        <v>0</v>
      </c>
      <c r="G32" s="251">
        <v>0</v>
      </c>
      <c r="H32" s="244">
        <v>0</v>
      </c>
      <c r="I32" s="405">
        <f>'Site 7 - Financial'!F8</f>
        <v>2425320</v>
      </c>
      <c r="J32" s="243">
        <f>I32*(1+Assumptions!$F$14)</f>
        <v>2498079.6</v>
      </c>
      <c r="K32" s="243">
        <v>0</v>
      </c>
      <c r="L32" s="243">
        <v>0</v>
      </c>
      <c r="M32" s="243">
        <v>0</v>
      </c>
      <c r="N32" s="243">
        <v>0</v>
      </c>
      <c r="O32" s="244">
        <v>0</v>
      </c>
      <c r="P32" s="222"/>
      <c r="Q32" s="220"/>
      <c r="R32" s="220"/>
      <c r="S32" s="220"/>
      <c r="T32" s="220"/>
      <c r="U32" s="220"/>
      <c r="V32" s="220"/>
      <c r="W32" s="220"/>
      <c r="X32" s="220"/>
      <c r="Y32" s="220"/>
      <c r="Z32" s="220"/>
      <c r="AA32" s="220"/>
      <c r="AB32" s="220"/>
      <c r="AC32" s="220"/>
      <c r="AD32" s="220"/>
      <c r="AE32" s="220"/>
      <c r="AF32" s="220"/>
      <c r="AG32" s="220"/>
      <c r="AH32" s="220"/>
      <c r="AI32" s="220"/>
      <c r="AJ32" s="220"/>
      <c r="AK32" s="220"/>
      <c r="AL32" s="220"/>
      <c r="AM32" s="220"/>
      <c r="AN32" s="220"/>
      <c r="BO32" s="47"/>
      <c r="BP32" s="47"/>
      <c r="BQ32" s="47"/>
      <c r="BR32" s="47"/>
    </row>
    <row r="33" spans="2:70" s="133" customFormat="1">
      <c r="B33" s="194" t="s">
        <v>539</v>
      </c>
      <c r="C33" s="231" t="s">
        <v>205</v>
      </c>
      <c r="D33" s="251">
        <v>0</v>
      </c>
      <c r="E33" s="243">
        <v>0</v>
      </c>
      <c r="F33" s="244">
        <v>0</v>
      </c>
      <c r="G33" s="251">
        <v>0</v>
      </c>
      <c r="H33" s="244">
        <v>0</v>
      </c>
      <c r="I33" s="405">
        <v>0</v>
      </c>
      <c r="J33" s="243">
        <v>0</v>
      </c>
      <c r="K33" s="243">
        <v>0</v>
      </c>
      <c r="L33" s="243">
        <v>0</v>
      </c>
      <c r="M33" s="243">
        <v>0</v>
      </c>
      <c r="N33" s="243">
        <v>0</v>
      </c>
      <c r="O33" s="244">
        <v>0</v>
      </c>
      <c r="P33" s="222"/>
      <c r="Q33" s="220"/>
      <c r="R33" s="220"/>
      <c r="S33" s="220"/>
      <c r="T33" s="220"/>
      <c r="U33" s="220"/>
      <c r="V33" s="220"/>
      <c r="W33" s="220"/>
      <c r="X33" s="220"/>
      <c r="Y33" s="220"/>
      <c r="Z33" s="220"/>
      <c r="AA33" s="220"/>
      <c r="AB33" s="220"/>
      <c r="AC33" s="220"/>
      <c r="AD33" s="220"/>
      <c r="AE33" s="220"/>
      <c r="AF33" s="220"/>
      <c r="AG33" s="220"/>
      <c r="AH33" s="220"/>
      <c r="AI33" s="220"/>
      <c r="AJ33" s="220"/>
      <c r="AK33" s="220"/>
      <c r="AL33" s="220"/>
      <c r="AM33" s="220"/>
      <c r="AN33" s="220"/>
      <c r="BO33" s="47"/>
      <c r="BP33" s="47"/>
      <c r="BQ33" s="47"/>
      <c r="BR33" s="47"/>
    </row>
    <row r="34" spans="2:70" s="133" customFormat="1">
      <c r="B34" s="205" t="s">
        <v>313</v>
      </c>
      <c r="C34" s="231" t="s">
        <v>205</v>
      </c>
      <c r="D34" s="251">
        <v>0</v>
      </c>
      <c r="E34" s="243">
        <v>0</v>
      </c>
      <c r="F34" s="244">
        <v>0</v>
      </c>
      <c r="G34" s="251">
        <v>0</v>
      </c>
      <c r="H34" s="244">
        <v>0</v>
      </c>
      <c r="I34" s="405">
        <f>(SUM(Assumptions!D35,Assumptions!D37)*'Site 7 - Financial'!D8)*((1+Assumptions!$F$14)^'Site 7 - Draw'!I2)</f>
        <v>514282.96121133742</v>
      </c>
      <c r="J34" s="243">
        <f>I34*(1+Assumptions!$F$14)</f>
        <v>529711.4500476775</v>
      </c>
      <c r="K34" s="243">
        <v>0</v>
      </c>
      <c r="L34" s="243">
        <v>0</v>
      </c>
      <c r="M34" s="243">
        <v>0</v>
      </c>
      <c r="N34" s="243">
        <v>0</v>
      </c>
      <c r="O34" s="244">
        <v>0</v>
      </c>
      <c r="P34" s="222"/>
      <c r="Q34" s="220"/>
      <c r="R34" s="220"/>
      <c r="S34" s="220"/>
      <c r="T34" s="220"/>
      <c r="U34" s="220"/>
      <c r="V34" s="220"/>
      <c r="W34" s="220"/>
      <c r="X34" s="220"/>
      <c r="Y34" s="220"/>
      <c r="Z34" s="220"/>
      <c r="AA34" s="220"/>
      <c r="AB34" s="220"/>
      <c r="AC34" s="220"/>
      <c r="AD34" s="220"/>
      <c r="AE34" s="220"/>
      <c r="AF34" s="220"/>
      <c r="AG34" s="220"/>
      <c r="AH34" s="220"/>
      <c r="AI34" s="220"/>
      <c r="AJ34" s="220"/>
      <c r="AK34" s="220"/>
      <c r="AL34" s="220"/>
      <c r="AM34" s="220"/>
      <c r="AN34" s="220"/>
      <c r="BO34" s="47"/>
      <c r="BP34" s="47"/>
      <c r="BQ34" s="47"/>
      <c r="BR34" s="47"/>
    </row>
    <row r="35" spans="2:70" s="133" customFormat="1">
      <c r="B35" s="239" t="s">
        <v>94</v>
      </c>
      <c r="C35" s="240" t="s">
        <v>205</v>
      </c>
      <c r="D35" s="115">
        <f>SUM(D32:D34)</f>
        <v>0</v>
      </c>
      <c r="E35" s="107">
        <f t="shared" ref="E35:O35" si="9">SUM(E32:E34)</f>
        <v>0</v>
      </c>
      <c r="F35" s="116">
        <f t="shared" si="9"/>
        <v>0</v>
      </c>
      <c r="G35" s="115">
        <f t="shared" si="9"/>
        <v>0</v>
      </c>
      <c r="H35" s="116">
        <f t="shared" si="9"/>
        <v>0</v>
      </c>
      <c r="I35" s="108">
        <f t="shared" si="9"/>
        <v>2939602.9612113372</v>
      </c>
      <c r="J35" s="107">
        <f t="shared" si="9"/>
        <v>3027791.0500476775</v>
      </c>
      <c r="K35" s="107">
        <f t="shared" si="9"/>
        <v>0</v>
      </c>
      <c r="L35" s="107">
        <f t="shared" si="9"/>
        <v>0</v>
      </c>
      <c r="M35" s="107">
        <f t="shared" si="9"/>
        <v>0</v>
      </c>
      <c r="N35" s="107">
        <f t="shared" si="9"/>
        <v>0</v>
      </c>
      <c r="O35" s="116">
        <f t="shared" si="9"/>
        <v>0</v>
      </c>
      <c r="P35" s="222"/>
      <c r="Q35" s="220"/>
      <c r="R35" s="220"/>
      <c r="S35" s="220"/>
      <c r="T35" s="220"/>
      <c r="U35" s="220"/>
      <c r="V35" s="220"/>
      <c r="W35" s="220"/>
      <c r="X35" s="220"/>
      <c r="Y35" s="220"/>
      <c r="Z35" s="220"/>
      <c r="AA35" s="220"/>
      <c r="AB35" s="220"/>
      <c r="AC35" s="220"/>
      <c r="AD35" s="220"/>
      <c r="AE35" s="220"/>
      <c r="AF35" s="220"/>
      <c r="AG35" s="220"/>
      <c r="AH35" s="220"/>
      <c r="AI35" s="220"/>
      <c r="AJ35" s="220"/>
      <c r="AK35" s="220"/>
      <c r="AL35" s="220"/>
      <c r="AM35" s="220"/>
      <c r="AN35" s="220"/>
      <c r="BO35" s="47"/>
      <c r="BP35" s="47"/>
      <c r="BQ35" s="47"/>
      <c r="BR35" s="47"/>
    </row>
    <row r="36" spans="2:70" s="133" customFormat="1">
      <c r="B36" s="205" t="s">
        <v>543</v>
      </c>
      <c r="C36" s="231" t="s">
        <v>205</v>
      </c>
      <c r="D36" s="251">
        <v>0</v>
      </c>
      <c r="E36" s="243">
        <v>0</v>
      </c>
      <c r="F36" s="244">
        <v>0</v>
      </c>
      <c r="G36" s="251">
        <v>0</v>
      </c>
      <c r="H36" s="244">
        <f>-(Assumptions!D34+Assumptions!D35)*'Site 7 - Financial'!D8</f>
        <v>-392437.5</v>
      </c>
      <c r="I36" s="405">
        <f>-(Assumptions!D38*'Site 7 - Financial'!D8)*((1+Assumptions!$F$14)^'Site 7 - Draw'!I2)</f>
        <v>-791204.55570974993</v>
      </c>
      <c r="J36" s="243">
        <f>I36*(1+Assumptions!$F$14)</f>
        <v>-814940.69238104241</v>
      </c>
      <c r="K36" s="243">
        <v>0</v>
      </c>
      <c r="L36" s="243">
        <v>0</v>
      </c>
      <c r="M36" s="243">
        <v>0</v>
      </c>
      <c r="N36" s="243">
        <v>0</v>
      </c>
      <c r="O36" s="244">
        <v>0</v>
      </c>
      <c r="P36" s="222"/>
      <c r="Q36" s="220"/>
      <c r="R36" s="220"/>
      <c r="S36" s="220"/>
      <c r="T36" s="220"/>
      <c r="U36" s="220"/>
      <c r="V36" s="220"/>
      <c r="W36" s="220"/>
      <c r="X36" s="220"/>
      <c r="Y36" s="220"/>
      <c r="Z36" s="220"/>
      <c r="AA36" s="220"/>
      <c r="AB36" s="220"/>
      <c r="AC36" s="220"/>
      <c r="AD36" s="220"/>
      <c r="AE36" s="220"/>
      <c r="AF36" s="220"/>
      <c r="AG36" s="220"/>
      <c r="AH36" s="220"/>
      <c r="AI36" s="220"/>
      <c r="AJ36" s="220"/>
      <c r="AK36" s="220"/>
      <c r="AL36" s="220"/>
      <c r="AM36" s="220"/>
      <c r="AN36" s="220"/>
      <c r="BO36" s="47"/>
      <c r="BP36" s="47"/>
      <c r="BQ36" s="47"/>
      <c r="BR36" s="47"/>
    </row>
    <row r="37" spans="2:70" s="133" customFormat="1">
      <c r="B37" s="205" t="s">
        <v>321</v>
      </c>
      <c r="C37" s="231" t="s">
        <v>205</v>
      </c>
      <c r="D37" s="251">
        <f t="shared" ref="D37:F37" si="10">-5%*D35</f>
        <v>0</v>
      </c>
      <c r="E37" s="243">
        <f t="shared" si="10"/>
        <v>0</v>
      </c>
      <c r="F37" s="244">
        <f t="shared" si="10"/>
        <v>0</v>
      </c>
      <c r="G37" s="251">
        <f>-5%*G35</f>
        <v>0</v>
      </c>
      <c r="H37" s="244">
        <f>-5%*H35</f>
        <v>0</v>
      </c>
      <c r="I37" s="405">
        <f t="shared" ref="I37:O37" si="11">-5%*I35</f>
        <v>-146980.14806056686</v>
      </c>
      <c r="J37" s="243">
        <f t="shared" si="11"/>
        <v>-151389.55250238389</v>
      </c>
      <c r="K37" s="243">
        <f t="shared" si="11"/>
        <v>0</v>
      </c>
      <c r="L37" s="243">
        <f t="shared" si="11"/>
        <v>0</v>
      </c>
      <c r="M37" s="243">
        <f t="shared" si="11"/>
        <v>0</v>
      </c>
      <c r="N37" s="243">
        <f t="shared" si="11"/>
        <v>0</v>
      </c>
      <c r="O37" s="244">
        <f t="shared" si="11"/>
        <v>0</v>
      </c>
      <c r="P37" s="222"/>
      <c r="Q37" s="220"/>
      <c r="R37" s="220"/>
      <c r="S37" s="220"/>
      <c r="T37" s="220"/>
      <c r="U37" s="220"/>
      <c r="V37" s="220"/>
      <c r="W37" s="220"/>
      <c r="X37" s="220"/>
      <c r="Y37" s="220"/>
      <c r="Z37" s="220"/>
      <c r="AA37" s="220"/>
      <c r="AB37" s="220"/>
      <c r="AC37" s="220"/>
      <c r="AD37" s="220"/>
      <c r="AE37" s="220"/>
      <c r="AF37" s="220"/>
      <c r="AG37" s="220"/>
      <c r="AH37" s="220"/>
      <c r="AI37" s="220"/>
      <c r="AJ37" s="220"/>
      <c r="AK37" s="220"/>
      <c r="AL37" s="220"/>
      <c r="AM37" s="220"/>
      <c r="AN37" s="220"/>
      <c r="BO37" s="47"/>
      <c r="BP37" s="47"/>
      <c r="BQ37" s="47"/>
      <c r="BR37" s="47"/>
    </row>
    <row r="38" spans="2:70" s="133" customFormat="1">
      <c r="B38" s="239" t="s">
        <v>95</v>
      </c>
      <c r="C38" s="240" t="s">
        <v>205</v>
      </c>
      <c r="D38" s="115">
        <f t="shared" ref="D38:E38" si="12">SUM(D35:D37)</f>
        <v>0</v>
      </c>
      <c r="E38" s="107">
        <f t="shared" si="12"/>
        <v>0</v>
      </c>
      <c r="F38" s="116">
        <f>SUM(F35:F37)</f>
        <v>0</v>
      </c>
      <c r="G38" s="115">
        <f>SUM(G35:G37)</f>
        <v>0</v>
      </c>
      <c r="H38" s="116">
        <f>SUM(H35:H37)</f>
        <v>-392437.5</v>
      </c>
      <c r="I38" s="108">
        <f t="shared" ref="I38:O38" si="13">SUM(I35:I37)</f>
        <v>2001418.2574410206</v>
      </c>
      <c r="J38" s="107">
        <f t="shared" si="13"/>
        <v>2061460.805164251</v>
      </c>
      <c r="K38" s="107">
        <f t="shared" si="13"/>
        <v>0</v>
      </c>
      <c r="L38" s="107">
        <f t="shared" si="13"/>
        <v>0</v>
      </c>
      <c r="M38" s="107">
        <f t="shared" si="13"/>
        <v>0</v>
      </c>
      <c r="N38" s="107">
        <f t="shared" si="13"/>
        <v>0</v>
      </c>
      <c r="O38" s="116">
        <f t="shared" si="13"/>
        <v>0</v>
      </c>
      <c r="P38" s="222"/>
      <c r="Q38" s="220"/>
      <c r="R38" s="220"/>
      <c r="S38" s="220"/>
      <c r="T38" s="220"/>
      <c r="U38" s="220"/>
      <c r="V38" s="220"/>
      <c r="W38" s="220"/>
      <c r="X38" s="220"/>
      <c r="Y38" s="220"/>
      <c r="Z38" s="220"/>
      <c r="AA38" s="220"/>
      <c r="AB38" s="220"/>
      <c r="AC38" s="220"/>
      <c r="AD38" s="220"/>
      <c r="AE38" s="220"/>
      <c r="AF38" s="220"/>
      <c r="AG38" s="220"/>
      <c r="AH38" s="220"/>
      <c r="AI38" s="220"/>
      <c r="AJ38" s="220"/>
      <c r="AK38" s="220"/>
      <c r="AL38" s="220"/>
      <c r="AM38" s="220"/>
      <c r="AN38" s="220"/>
      <c r="BO38" s="47"/>
      <c r="BP38" s="47"/>
      <c r="BQ38" s="47"/>
      <c r="BR38" s="47"/>
    </row>
    <row r="39" spans="2:70" s="133" customFormat="1" ht="15" thickBot="1">
      <c r="B39" s="223" t="s">
        <v>328</v>
      </c>
      <c r="C39" s="232" t="s">
        <v>205</v>
      </c>
      <c r="D39" s="252">
        <v>0</v>
      </c>
      <c r="E39" s="245">
        <v>0</v>
      </c>
      <c r="F39" s="246">
        <v>0</v>
      </c>
      <c r="G39" s="252">
        <v>0</v>
      </c>
      <c r="H39" s="246">
        <v>0</v>
      </c>
      <c r="I39" s="406">
        <f>(J38/Assumptions!$I$6)*0.98</f>
        <v>42531191.348651916</v>
      </c>
      <c r="J39" s="245">
        <v>0</v>
      </c>
      <c r="K39" s="245">
        <v>0</v>
      </c>
      <c r="L39" s="245">
        <v>0</v>
      </c>
      <c r="M39" s="245">
        <v>0</v>
      </c>
      <c r="N39" s="245">
        <v>0</v>
      </c>
      <c r="O39" s="246" t="s">
        <v>205</v>
      </c>
      <c r="P39" s="222"/>
      <c r="Q39" s="220"/>
      <c r="R39" s="220"/>
      <c r="S39" s="220"/>
      <c r="T39" s="220"/>
      <c r="U39" s="220"/>
      <c r="V39" s="220"/>
      <c r="W39" s="220"/>
      <c r="X39" s="220"/>
      <c r="Y39" s="220"/>
      <c r="Z39" s="220"/>
      <c r="AA39" s="220"/>
      <c r="AB39" s="220"/>
      <c r="AC39" s="220"/>
      <c r="AD39" s="220"/>
      <c r="AE39" s="220"/>
      <c r="AF39" s="220"/>
      <c r="AG39" s="220"/>
      <c r="AH39" s="220"/>
      <c r="AI39" s="220"/>
      <c r="AJ39" s="220"/>
      <c r="AK39" s="220"/>
      <c r="AL39" s="220"/>
      <c r="AM39" s="220"/>
      <c r="AN39" s="220"/>
      <c r="BO39" s="47"/>
      <c r="BP39" s="47"/>
      <c r="BQ39" s="47"/>
      <c r="BR39" s="47"/>
    </row>
    <row r="40" spans="2:70" s="133" customFormat="1">
      <c r="B40" s="193" t="s">
        <v>338</v>
      </c>
      <c r="C40" s="230"/>
      <c r="D40" s="250"/>
      <c r="E40" s="241"/>
      <c r="F40" s="242"/>
      <c r="G40" s="250"/>
      <c r="H40" s="242"/>
      <c r="I40" s="404"/>
      <c r="J40" s="241"/>
      <c r="K40" s="241"/>
      <c r="L40" s="241"/>
      <c r="M40" s="241"/>
      <c r="N40" s="241"/>
      <c r="O40" s="242"/>
      <c r="P40" s="222"/>
      <c r="Q40" s="220"/>
      <c r="R40" s="220"/>
      <c r="S40" s="220"/>
      <c r="T40" s="220"/>
      <c r="U40" s="220"/>
      <c r="V40" s="220"/>
      <c r="W40" s="220"/>
      <c r="X40" s="220"/>
      <c r="Y40" s="220"/>
      <c r="Z40" s="220"/>
      <c r="AA40" s="220"/>
      <c r="AB40" s="220"/>
      <c r="AC40" s="220"/>
      <c r="AD40" s="220"/>
      <c r="AE40" s="220"/>
      <c r="AF40" s="220"/>
      <c r="AG40" s="220"/>
      <c r="AH40" s="220"/>
      <c r="AI40" s="220"/>
      <c r="AJ40" s="220"/>
      <c r="AK40" s="220"/>
      <c r="AL40" s="220"/>
      <c r="AM40" s="220"/>
      <c r="AN40" s="220"/>
      <c r="BO40" s="47"/>
      <c r="BP40" s="47"/>
      <c r="BQ40" s="47"/>
      <c r="BR40" s="47"/>
    </row>
    <row r="41" spans="2:70" s="133" customFormat="1">
      <c r="B41" s="194" t="s">
        <v>92</v>
      </c>
      <c r="C41" s="231" t="s">
        <v>205</v>
      </c>
      <c r="D41" s="251">
        <v>0</v>
      </c>
      <c r="E41" s="243">
        <v>0</v>
      </c>
      <c r="F41" s="244">
        <v>0</v>
      </c>
      <c r="G41" s="251">
        <v>0</v>
      </c>
      <c r="H41" s="244">
        <v>0</v>
      </c>
      <c r="I41" s="405">
        <f>'Site 7 - Financial'!D11*'Site 7 - Financial'!E11</f>
        <v>946295</v>
      </c>
      <c r="J41" s="243">
        <f>I41*(1+Assumptions!$F$14)</f>
        <v>974683.85</v>
      </c>
      <c r="K41" s="243">
        <v>0</v>
      </c>
      <c r="L41" s="243">
        <v>0</v>
      </c>
      <c r="M41" s="243">
        <v>0</v>
      </c>
      <c r="N41" s="243">
        <v>0</v>
      </c>
      <c r="O41" s="244">
        <v>0</v>
      </c>
      <c r="P41" s="222"/>
      <c r="Q41" s="220"/>
      <c r="R41" s="220"/>
      <c r="S41" s="220"/>
      <c r="T41" s="220"/>
      <c r="U41" s="220"/>
      <c r="V41" s="220"/>
      <c r="W41" s="220"/>
      <c r="X41" s="220"/>
      <c r="Y41" s="220"/>
      <c r="Z41" s="220"/>
      <c r="AA41" s="220"/>
      <c r="AB41" s="220"/>
      <c r="AC41" s="220"/>
      <c r="AD41" s="220"/>
      <c r="AE41" s="220"/>
      <c r="AF41" s="220"/>
      <c r="AG41" s="220"/>
      <c r="AH41" s="220"/>
      <c r="AI41" s="220"/>
      <c r="AJ41" s="220"/>
      <c r="AK41" s="220"/>
      <c r="AL41" s="220"/>
      <c r="AM41" s="220"/>
      <c r="AN41" s="220"/>
      <c r="BO41" s="47"/>
      <c r="BP41" s="47"/>
      <c r="BQ41" s="47"/>
      <c r="BR41" s="47"/>
    </row>
    <row r="42" spans="2:70" s="133" customFormat="1">
      <c r="B42" s="194" t="s">
        <v>539</v>
      </c>
      <c r="C42" s="231" t="s">
        <v>205</v>
      </c>
      <c r="D42" s="251">
        <v>0</v>
      </c>
      <c r="E42" s="243">
        <v>0</v>
      </c>
      <c r="F42" s="244">
        <v>0</v>
      </c>
      <c r="G42" s="251">
        <v>0</v>
      </c>
      <c r="H42" s="244">
        <v>0</v>
      </c>
      <c r="I42" s="405">
        <v>0</v>
      </c>
      <c r="J42" s="243">
        <v>0</v>
      </c>
      <c r="K42" s="243">
        <v>0</v>
      </c>
      <c r="L42" s="243">
        <v>0</v>
      </c>
      <c r="M42" s="243">
        <v>0</v>
      </c>
      <c r="N42" s="243">
        <v>0</v>
      </c>
      <c r="O42" s="244">
        <v>0</v>
      </c>
      <c r="P42" s="222"/>
      <c r="Q42" s="220"/>
      <c r="R42" s="220"/>
      <c r="S42" s="220"/>
      <c r="T42" s="220"/>
      <c r="U42" s="220"/>
      <c r="V42" s="220"/>
      <c r="W42" s="220"/>
      <c r="X42" s="220"/>
      <c r="Y42" s="220"/>
      <c r="Z42" s="220"/>
      <c r="AA42" s="220"/>
      <c r="AB42" s="220"/>
      <c r="AC42" s="220"/>
      <c r="AD42" s="220"/>
      <c r="AE42" s="220"/>
      <c r="AF42" s="220"/>
      <c r="AG42" s="220"/>
      <c r="AH42" s="220"/>
      <c r="AI42" s="220"/>
      <c r="AJ42" s="220"/>
      <c r="AK42" s="220"/>
      <c r="AL42" s="220"/>
      <c r="AM42" s="220"/>
      <c r="AN42" s="220"/>
      <c r="BO42" s="47"/>
      <c r="BP42" s="47"/>
      <c r="BQ42" s="47"/>
      <c r="BR42" s="47"/>
    </row>
    <row r="43" spans="2:70" s="133" customFormat="1">
      <c r="B43" s="205" t="s">
        <v>313</v>
      </c>
      <c r="C43" s="231" t="s">
        <v>205</v>
      </c>
      <c r="D43" s="251">
        <v>0</v>
      </c>
      <c r="E43" s="243">
        <v>0</v>
      </c>
      <c r="F43" s="244">
        <v>0</v>
      </c>
      <c r="G43" s="251">
        <v>0</v>
      </c>
      <c r="H43" s="244">
        <v>0</v>
      </c>
      <c r="I43" s="405">
        <f>(Assumptions!D30*'Site 7 - Financial'!D11)*(1+Assumptions!$F$14)^I2</f>
        <v>153582.13641956059</v>
      </c>
      <c r="J43" s="243">
        <f>I43*(1+Assumptions!$F$14)</f>
        <v>158189.60051214742</v>
      </c>
      <c r="K43" s="243">
        <v>0</v>
      </c>
      <c r="L43" s="243">
        <v>0</v>
      </c>
      <c r="M43" s="243">
        <v>0</v>
      </c>
      <c r="N43" s="243">
        <v>0</v>
      </c>
      <c r="O43" s="244">
        <v>0</v>
      </c>
      <c r="P43" s="222"/>
      <c r="Q43" s="220"/>
      <c r="R43" s="220"/>
      <c r="S43" s="220"/>
      <c r="T43" s="220"/>
      <c r="U43" s="220"/>
      <c r="V43" s="220"/>
      <c r="W43" s="220"/>
      <c r="X43" s="220"/>
      <c r="Y43" s="220"/>
      <c r="Z43" s="220"/>
      <c r="AA43" s="220"/>
      <c r="AB43" s="220"/>
      <c r="AC43" s="220"/>
      <c r="AD43" s="220"/>
      <c r="AE43" s="220"/>
      <c r="AF43" s="220"/>
      <c r="AG43" s="220"/>
      <c r="AH43" s="220"/>
      <c r="AI43" s="220"/>
      <c r="AJ43" s="220"/>
      <c r="AK43" s="220"/>
      <c r="AL43" s="220"/>
      <c r="AM43" s="220"/>
      <c r="AN43" s="220"/>
      <c r="BO43" s="47"/>
      <c r="BP43" s="47"/>
      <c r="BQ43" s="47"/>
      <c r="BR43" s="47"/>
    </row>
    <row r="44" spans="2:70" s="133" customFormat="1">
      <c r="B44" s="239" t="s">
        <v>94</v>
      </c>
      <c r="C44" s="240" t="s">
        <v>205</v>
      </c>
      <c r="D44" s="115">
        <f t="shared" ref="D44:O44" si="14">SUM(D41:D43)</f>
        <v>0</v>
      </c>
      <c r="E44" s="107">
        <f t="shared" si="14"/>
        <v>0</v>
      </c>
      <c r="F44" s="116">
        <f t="shared" si="14"/>
        <v>0</v>
      </c>
      <c r="G44" s="115">
        <f t="shared" si="14"/>
        <v>0</v>
      </c>
      <c r="H44" s="116">
        <f t="shared" si="14"/>
        <v>0</v>
      </c>
      <c r="I44" s="108">
        <f t="shared" si="14"/>
        <v>1099877.1364195605</v>
      </c>
      <c r="J44" s="107">
        <f t="shared" si="14"/>
        <v>1132873.4505121475</v>
      </c>
      <c r="K44" s="107">
        <f t="shared" si="14"/>
        <v>0</v>
      </c>
      <c r="L44" s="107">
        <f t="shared" si="14"/>
        <v>0</v>
      </c>
      <c r="M44" s="107">
        <f t="shared" si="14"/>
        <v>0</v>
      </c>
      <c r="N44" s="107">
        <f t="shared" si="14"/>
        <v>0</v>
      </c>
      <c r="O44" s="116">
        <f t="shared" si="14"/>
        <v>0</v>
      </c>
      <c r="P44" s="222"/>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BO44" s="47"/>
      <c r="BP44" s="47"/>
      <c r="BQ44" s="47"/>
      <c r="BR44" s="47"/>
    </row>
    <row r="45" spans="2:70" s="133" customFormat="1">
      <c r="B45" s="205" t="s">
        <v>543</v>
      </c>
      <c r="C45" s="231" t="s">
        <v>205</v>
      </c>
      <c r="D45" s="251">
        <v>0</v>
      </c>
      <c r="E45" s="243">
        <v>0</v>
      </c>
      <c r="F45" s="244">
        <v>0</v>
      </c>
      <c r="G45" s="251">
        <v>0</v>
      </c>
      <c r="H45" s="244">
        <f>-(Assumptions!D26+Assumptions!D27)*'Site 7 - Financial'!D11</f>
        <v>-74351.75</v>
      </c>
      <c r="I45" s="405">
        <f>-(Assumptions!D30*'Site 7 - Financial'!D11)*(1+Assumptions!$F$14)^I2</f>
        <v>-153582.13641956059</v>
      </c>
      <c r="J45" s="243">
        <f>I45*(1+Assumptions!$F$14)</f>
        <v>-158189.60051214742</v>
      </c>
      <c r="K45" s="243">
        <v>0</v>
      </c>
      <c r="L45" s="243">
        <v>0</v>
      </c>
      <c r="M45" s="243">
        <v>0</v>
      </c>
      <c r="N45" s="243">
        <v>0</v>
      </c>
      <c r="O45" s="244">
        <v>0</v>
      </c>
      <c r="P45" s="222"/>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BO45" s="47"/>
      <c r="BP45" s="47"/>
      <c r="BQ45" s="47"/>
      <c r="BR45" s="47"/>
    </row>
    <row r="46" spans="2:70" s="133" customFormat="1">
      <c r="B46" s="205" t="s">
        <v>321</v>
      </c>
      <c r="C46" s="231" t="s">
        <v>205</v>
      </c>
      <c r="D46" s="251">
        <f t="shared" ref="D46:J46" si="15">-5%*D44</f>
        <v>0</v>
      </c>
      <c r="E46" s="243">
        <f t="shared" si="15"/>
        <v>0</v>
      </c>
      <c r="F46" s="244">
        <f t="shared" si="15"/>
        <v>0</v>
      </c>
      <c r="G46" s="251">
        <f t="shared" si="15"/>
        <v>0</v>
      </c>
      <c r="H46" s="244">
        <f t="shared" si="15"/>
        <v>0</v>
      </c>
      <c r="I46" s="405">
        <f t="shared" si="15"/>
        <v>-54993.856820978028</v>
      </c>
      <c r="J46" s="243">
        <f t="shared" si="15"/>
        <v>-56643.672525607377</v>
      </c>
      <c r="K46" s="243">
        <v>0</v>
      </c>
      <c r="L46" s="243">
        <v>0</v>
      </c>
      <c r="M46" s="243">
        <v>0</v>
      </c>
      <c r="N46" s="243">
        <v>0</v>
      </c>
      <c r="O46" s="244">
        <v>0</v>
      </c>
      <c r="P46" s="222"/>
      <c r="Q46" s="220"/>
      <c r="R46" s="220"/>
      <c r="S46" s="220"/>
      <c r="T46" s="220"/>
      <c r="U46" s="220"/>
      <c r="V46" s="220"/>
      <c r="W46" s="220"/>
      <c r="X46" s="220"/>
      <c r="Y46" s="220"/>
      <c r="Z46" s="220"/>
      <c r="AA46" s="220"/>
      <c r="AB46" s="220"/>
      <c r="AC46" s="220"/>
      <c r="AD46" s="220"/>
      <c r="AE46" s="220"/>
      <c r="AF46" s="220"/>
      <c r="AG46" s="220"/>
      <c r="AH46" s="220"/>
      <c r="AI46" s="220"/>
      <c r="AJ46" s="220"/>
      <c r="AK46" s="220"/>
      <c r="AL46" s="220"/>
      <c r="AM46" s="220"/>
      <c r="AN46" s="220"/>
      <c r="BO46" s="47"/>
      <c r="BP46" s="47"/>
      <c r="BQ46" s="47"/>
      <c r="BR46" s="47"/>
    </row>
    <row r="47" spans="2:70" s="133" customFormat="1">
      <c r="B47" s="239" t="s">
        <v>95</v>
      </c>
      <c r="C47" s="240" t="s">
        <v>205</v>
      </c>
      <c r="D47" s="115">
        <f t="shared" ref="D47:F47" si="16">SUM(D44:D46)</f>
        <v>0</v>
      </c>
      <c r="E47" s="107">
        <f t="shared" si="16"/>
        <v>0</v>
      </c>
      <c r="F47" s="116">
        <f t="shared" si="16"/>
        <v>0</v>
      </c>
      <c r="G47" s="115">
        <f>SUM(G44:G46)</f>
        <v>0</v>
      </c>
      <c r="H47" s="116">
        <f>SUM(H44:H46)</f>
        <v>-74351.75</v>
      </c>
      <c r="I47" s="108">
        <f>SUM(I44:I46)</f>
        <v>891301.14317902201</v>
      </c>
      <c r="J47" s="107">
        <f>SUM(J44:J46)</f>
        <v>918040.17747439269</v>
      </c>
      <c r="K47" s="107">
        <f>SUM(K44:K46)</f>
        <v>0</v>
      </c>
      <c r="L47" s="107">
        <f t="shared" ref="L47:O47" si="17">SUM(L44:L46)</f>
        <v>0</v>
      </c>
      <c r="M47" s="107">
        <f t="shared" si="17"/>
        <v>0</v>
      </c>
      <c r="N47" s="107">
        <f t="shared" si="17"/>
        <v>0</v>
      </c>
      <c r="O47" s="116">
        <f t="shared" si="17"/>
        <v>0</v>
      </c>
      <c r="P47" s="222"/>
      <c r="Q47" s="220"/>
      <c r="R47" s="220"/>
      <c r="S47" s="220"/>
      <c r="T47" s="220"/>
      <c r="U47" s="220"/>
      <c r="V47" s="220"/>
      <c r="W47" s="220"/>
      <c r="X47" s="220"/>
      <c r="Y47" s="220"/>
      <c r="Z47" s="220"/>
      <c r="AA47" s="220"/>
      <c r="AB47" s="220"/>
      <c r="AC47" s="220"/>
      <c r="AD47" s="220"/>
      <c r="AE47" s="220"/>
      <c r="AF47" s="220"/>
      <c r="AG47" s="220"/>
      <c r="AH47" s="220"/>
      <c r="AI47" s="220"/>
      <c r="AJ47" s="220"/>
      <c r="AK47" s="220"/>
      <c r="AL47" s="220"/>
      <c r="AM47" s="220"/>
      <c r="AN47" s="220"/>
      <c r="BO47" s="47"/>
      <c r="BP47" s="47"/>
      <c r="BQ47" s="47"/>
      <c r="BR47" s="47"/>
    </row>
    <row r="48" spans="2:70" s="133" customFormat="1" ht="15" thickBot="1">
      <c r="B48" s="223" t="s">
        <v>328</v>
      </c>
      <c r="C48" s="232" t="s">
        <v>205</v>
      </c>
      <c r="D48" s="252">
        <v>0</v>
      </c>
      <c r="E48" s="245">
        <v>0</v>
      </c>
      <c r="F48" s="246">
        <v>0</v>
      </c>
      <c r="G48" s="252">
        <v>0</v>
      </c>
      <c r="H48" s="246">
        <v>0</v>
      </c>
      <c r="I48" s="406">
        <f>(J47/Assumptions!I9)*0.98</f>
        <v>21168926.445291877</v>
      </c>
      <c r="J48" s="245">
        <v>0</v>
      </c>
      <c r="K48" s="245">
        <v>0</v>
      </c>
      <c r="L48" s="245">
        <v>0</v>
      </c>
      <c r="M48" s="245">
        <v>0</v>
      </c>
      <c r="N48" s="245">
        <v>0</v>
      </c>
      <c r="O48" s="246" t="s">
        <v>205</v>
      </c>
      <c r="P48" s="222"/>
      <c r="Q48" s="220"/>
      <c r="R48" s="220"/>
      <c r="S48" s="220"/>
      <c r="T48" s="220"/>
      <c r="U48" s="220"/>
      <c r="V48" s="220"/>
      <c r="W48" s="220"/>
      <c r="X48" s="220"/>
      <c r="Y48" s="220"/>
      <c r="Z48" s="220"/>
      <c r="AA48" s="220"/>
      <c r="AB48" s="220"/>
      <c r="AC48" s="220"/>
      <c r="AD48" s="220"/>
      <c r="AE48" s="220"/>
      <c r="AF48" s="220"/>
      <c r="AG48" s="220"/>
      <c r="AH48" s="220"/>
      <c r="AI48" s="220"/>
      <c r="AJ48" s="220"/>
      <c r="AK48" s="220"/>
      <c r="AL48" s="220"/>
      <c r="AM48" s="220"/>
      <c r="AN48" s="220"/>
      <c r="BO48" s="47"/>
      <c r="BP48" s="47"/>
      <c r="BQ48" s="47"/>
      <c r="BR48" s="47"/>
    </row>
    <row r="49" spans="2:70" s="133" customFormat="1">
      <c r="B49" s="193" t="s">
        <v>406</v>
      </c>
      <c r="C49" s="230"/>
      <c r="D49" s="250"/>
      <c r="E49" s="241"/>
      <c r="F49" s="242"/>
      <c r="G49" s="250"/>
      <c r="H49" s="242"/>
      <c r="I49" s="404"/>
      <c r="J49" s="241"/>
      <c r="K49" s="241"/>
      <c r="L49" s="241"/>
      <c r="M49" s="241"/>
      <c r="N49" s="241"/>
      <c r="O49" s="242"/>
      <c r="P49" s="222"/>
      <c r="Q49" s="220"/>
      <c r="R49" s="220"/>
      <c r="S49" s="220"/>
      <c r="T49" s="220"/>
      <c r="U49" s="220"/>
      <c r="V49" s="220"/>
      <c r="W49" s="220"/>
      <c r="X49" s="220"/>
      <c r="Y49" s="220"/>
      <c r="Z49" s="220"/>
      <c r="AA49" s="220"/>
      <c r="AB49" s="220"/>
      <c r="AC49" s="220"/>
      <c r="AD49" s="220"/>
      <c r="AE49" s="220"/>
      <c r="AF49" s="220"/>
      <c r="AG49" s="220"/>
      <c r="AH49" s="220"/>
      <c r="AI49" s="220"/>
      <c r="AJ49" s="220"/>
      <c r="AK49" s="220"/>
      <c r="AL49" s="220"/>
      <c r="AM49" s="220"/>
      <c r="AN49" s="220"/>
      <c r="BO49" s="47"/>
      <c r="BP49" s="47"/>
      <c r="BQ49" s="47"/>
      <c r="BR49" s="47"/>
    </row>
    <row r="50" spans="2:70" s="133" customFormat="1">
      <c r="B50" s="194" t="s">
        <v>92</v>
      </c>
      <c r="C50" s="231" t="s">
        <v>205</v>
      </c>
      <c r="D50" s="251">
        <v>0</v>
      </c>
      <c r="E50" s="243">
        <v>0</v>
      </c>
      <c r="F50" s="244">
        <v>0</v>
      </c>
      <c r="G50" s="251">
        <f>'Site 7 - Financial'!D12*'Site 7 - Financial'!E12</f>
        <v>0</v>
      </c>
      <c r="H50" s="244">
        <f>G50*(1+Assumptions!$F$14)</f>
        <v>0</v>
      </c>
      <c r="I50" s="405">
        <f>H50*(1+Assumptions!$F$14)</f>
        <v>0</v>
      </c>
      <c r="J50" s="243">
        <f>I50*(1+Assumptions!$F$14)</f>
        <v>0</v>
      </c>
      <c r="K50" s="243">
        <v>0</v>
      </c>
      <c r="L50" s="243">
        <v>0</v>
      </c>
      <c r="M50" s="243">
        <f>L50*(1+Assumptions!$F$14)</f>
        <v>0</v>
      </c>
      <c r="N50" s="243">
        <f>M50*(1+Assumptions!$F$14)</f>
        <v>0</v>
      </c>
      <c r="O50" s="244">
        <f>N50*(1+Assumptions!$F$14)</f>
        <v>0</v>
      </c>
      <c r="P50" s="222"/>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BO50" s="47"/>
      <c r="BP50" s="47"/>
      <c r="BQ50" s="47"/>
      <c r="BR50" s="47"/>
    </row>
    <row r="51" spans="2:70" s="133" customFormat="1">
      <c r="B51" s="194" t="s">
        <v>539</v>
      </c>
      <c r="C51" s="231" t="s">
        <v>205</v>
      </c>
      <c r="D51" s="251">
        <v>0</v>
      </c>
      <c r="E51" s="243">
        <v>0</v>
      </c>
      <c r="F51" s="244">
        <v>0</v>
      </c>
      <c r="G51" s="251">
        <v>0</v>
      </c>
      <c r="H51" s="244">
        <v>0</v>
      </c>
      <c r="I51" s="405">
        <v>0</v>
      </c>
      <c r="J51" s="243">
        <v>0</v>
      </c>
      <c r="K51" s="243">
        <v>0</v>
      </c>
      <c r="L51" s="243">
        <f>-L50*(Assumptions!G9/12)*(1-Assumptions!G8)</f>
        <v>0</v>
      </c>
      <c r="M51" s="243">
        <v>0</v>
      </c>
      <c r="N51" s="243">
        <v>0</v>
      </c>
      <c r="O51" s="244">
        <v>0</v>
      </c>
      <c r="P51" s="222"/>
      <c r="Q51" s="220"/>
      <c r="R51" s="220"/>
      <c r="S51" s="220"/>
      <c r="T51" s="220"/>
      <c r="U51" s="220"/>
      <c r="V51" s="220"/>
      <c r="W51" s="220"/>
      <c r="X51" s="220"/>
      <c r="Y51" s="220"/>
      <c r="Z51" s="220"/>
      <c r="AA51" s="220"/>
      <c r="AB51" s="220"/>
      <c r="AC51" s="220"/>
      <c r="AD51" s="220"/>
      <c r="AE51" s="220"/>
      <c r="AF51" s="220"/>
      <c r="AG51" s="220"/>
      <c r="AH51" s="220"/>
      <c r="AI51" s="220"/>
      <c r="AJ51" s="220"/>
      <c r="AK51" s="220"/>
      <c r="AL51" s="220"/>
      <c r="AM51" s="220"/>
      <c r="AN51" s="220"/>
      <c r="BO51" s="47"/>
      <c r="BP51" s="47"/>
      <c r="BQ51" s="47"/>
      <c r="BR51" s="47"/>
    </row>
    <row r="52" spans="2:70" s="133" customFormat="1">
      <c r="B52" s="194" t="s">
        <v>313</v>
      </c>
      <c r="C52" s="231" t="s">
        <v>205</v>
      </c>
      <c r="D52" s="251">
        <v>0</v>
      </c>
      <c r="E52" s="243">
        <v>0</v>
      </c>
      <c r="F52" s="244">
        <v>0</v>
      </c>
      <c r="G52" s="251">
        <f>(Assumptions!D30*'Site 7 - Financial'!D12)*(1+Assumptions!F14)^G2</f>
        <v>0</v>
      </c>
      <c r="H52" s="244">
        <f>G52*(1+Assumptions!$F$14)</f>
        <v>0</v>
      </c>
      <c r="I52" s="405">
        <f>H52*(1+Assumptions!$F$14)</f>
        <v>0</v>
      </c>
      <c r="J52" s="243">
        <f>H52*(1+Assumptions!$F$14)</f>
        <v>0</v>
      </c>
      <c r="K52" s="243">
        <f>I52*(1+Assumptions!$F$14)</f>
        <v>0</v>
      </c>
      <c r="L52" s="243">
        <f>K52*(1+Assumptions!$F$14)</f>
        <v>0</v>
      </c>
      <c r="M52" s="243">
        <f>L52*(1+Assumptions!$F$14)</f>
        <v>0</v>
      </c>
      <c r="N52" s="243">
        <f>M52*(1+Assumptions!$F$14)</f>
        <v>0</v>
      </c>
      <c r="O52" s="244">
        <f>N52*(1+Assumptions!$F$14)</f>
        <v>0</v>
      </c>
      <c r="P52" s="222"/>
      <c r="Q52" s="220"/>
      <c r="R52" s="220"/>
      <c r="S52" s="220"/>
      <c r="T52" s="220"/>
      <c r="U52" s="220"/>
      <c r="V52" s="220"/>
      <c r="W52" s="220"/>
      <c r="X52" s="220"/>
      <c r="Y52" s="220"/>
      <c r="Z52" s="220"/>
      <c r="AA52" s="220"/>
      <c r="AB52" s="220"/>
      <c r="AC52" s="220"/>
      <c r="AD52" s="220"/>
      <c r="AE52" s="220"/>
      <c r="AF52" s="220"/>
      <c r="AG52" s="220"/>
      <c r="AH52" s="220"/>
      <c r="AI52" s="220"/>
      <c r="AJ52" s="220"/>
      <c r="AK52" s="220"/>
      <c r="AL52" s="220"/>
      <c r="AM52" s="220"/>
      <c r="AN52" s="220"/>
      <c r="BO52" s="47"/>
      <c r="BP52" s="47"/>
      <c r="BQ52" s="47"/>
      <c r="BR52" s="47"/>
    </row>
    <row r="53" spans="2:70" s="133" customFormat="1">
      <c r="B53" s="239" t="s">
        <v>94</v>
      </c>
      <c r="C53" s="240" t="s">
        <v>205</v>
      </c>
      <c r="D53" s="115">
        <f t="shared" ref="D53:G53" si="18">SUM(D50:D52)</f>
        <v>0</v>
      </c>
      <c r="E53" s="107">
        <f t="shared" si="18"/>
        <v>0</v>
      </c>
      <c r="F53" s="116">
        <f t="shared" si="18"/>
        <v>0</v>
      </c>
      <c r="G53" s="115">
        <f t="shared" si="18"/>
        <v>0</v>
      </c>
      <c r="H53" s="116">
        <f t="shared" ref="H53:O53" si="19">SUM(H50:H52)</f>
        <v>0</v>
      </c>
      <c r="I53" s="108">
        <f t="shared" si="19"/>
        <v>0</v>
      </c>
      <c r="J53" s="107">
        <f t="shared" si="19"/>
        <v>0</v>
      </c>
      <c r="K53" s="107">
        <f t="shared" si="19"/>
        <v>0</v>
      </c>
      <c r="L53" s="107">
        <f>SUM(L50:L52)</f>
        <v>0</v>
      </c>
      <c r="M53" s="107">
        <f t="shared" si="19"/>
        <v>0</v>
      </c>
      <c r="N53" s="107">
        <f t="shared" si="19"/>
        <v>0</v>
      </c>
      <c r="O53" s="116">
        <f t="shared" si="19"/>
        <v>0</v>
      </c>
      <c r="P53" s="222"/>
      <c r="Q53" s="220"/>
      <c r="R53" s="220"/>
      <c r="S53" s="220"/>
      <c r="T53" s="220"/>
      <c r="U53" s="220"/>
      <c r="V53" s="220"/>
      <c r="W53" s="220"/>
      <c r="X53" s="220"/>
      <c r="Y53" s="220"/>
      <c r="Z53" s="220"/>
      <c r="AA53" s="220"/>
      <c r="AB53" s="220"/>
      <c r="AC53" s="220"/>
      <c r="AD53" s="220"/>
      <c r="AE53" s="220"/>
      <c r="AF53" s="220"/>
      <c r="AG53" s="220"/>
      <c r="AH53" s="220"/>
      <c r="AI53" s="220"/>
      <c r="AJ53" s="220"/>
      <c r="AK53" s="220"/>
      <c r="AL53" s="220"/>
      <c r="AM53" s="220"/>
      <c r="AN53" s="220"/>
      <c r="BO53" s="47"/>
      <c r="BP53" s="47"/>
      <c r="BQ53" s="47"/>
      <c r="BR53" s="47"/>
    </row>
    <row r="54" spans="2:70" s="133" customFormat="1">
      <c r="B54" s="205" t="s">
        <v>543</v>
      </c>
      <c r="C54" s="231" t="s">
        <v>205</v>
      </c>
      <c r="D54" s="251">
        <v>0</v>
      </c>
      <c r="E54" s="243">
        <f>-(Assumptions!D26+Assumptions!D27)*'Site 7 - Financial'!D12</f>
        <v>0</v>
      </c>
      <c r="F54" s="244">
        <f>E54*(1+Assumptions!$F$14)</f>
        <v>0</v>
      </c>
      <c r="G54" s="251">
        <f>-(Assumptions!D30*'Site 7 - Financial'!D12)*(1+Assumptions!$F$14)^G2</f>
        <v>0</v>
      </c>
      <c r="H54" s="244">
        <f>G54*(1+Assumptions!$F$14)</f>
        <v>0</v>
      </c>
      <c r="I54" s="405">
        <f>H54*(1+Assumptions!$F$14)</f>
        <v>0</v>
      </c>
      <c r="J54" s="243">
        <f>H54*(1+Assumptions!$F$14)</f>
        <v>0</v>
      </c>
      <c r="K54" s="243">
        <f>I54*(1+Assumptions!$F$14)</f>
        <v>0</v>
      </c>
      <c r="L54" s="243">
        <f>K54*(1+Assumptions!$F$14)</f>
        <v>0</v>
      </c>
      <c r="M54" s="243">
        <f>L54*(1+Assumptions!$F$14)</f>
        <v>0</v>
      </c>
      <c r="N54" s="243">
        <f>M54*(1+Assumptions!$F$14)</f>
        <v>0</v>
      </c>
      <c r="O54" s="244">
        <f>N54*(1+Assumptions!$F$14)</f>
        <v>0</v>
      </c>
      <c r="P54" s="222"/>
      <c r="Q54" s="220"/>
      <c r="R54" s="220"/>
      <c r="S54" s="220"/>
      <c r="T54" s="220"/>
      <c r="U54" s="220"/>
      <c r="V54" s="220"/>
      <c r="W54" s="220"/>
      <c r="X54" s="220"/>
      <c r="Y54" s="220"/>
      <c r="Z54" s="220"/>
      <c r="AA54" s="220"/>
      <c r="AB54" s="220"/>
      <c r="AC54" s="220"/>
      <c r="AD54" s="220"/>
      <c r="AE54" s="220"/>
      <c r="AF54" s="220"/>
      <c r="AG54" s="220"/>
      <c r="AH54" s="220"/>
      <c r="AI54" s="220"/>
      <c r="AJ54" s="220"/>
      <c r="AK54" s="220"/>
      <c r="AL54" s="220"/>
      <c r="AM54" s="220"/>
      <c r="AN54" s="220"/>
      <c r="BO54" s="47"/>
      <c r="BP54" s="47"/>
      <c r="BQ54" s="47"/>
      <c r="BR54" s="47"/>
    </row>
    <row r="55" spans="2:70" s="133" customFormat="1">
      <c r="B55" s="194" t="s">
        <v>321</v>
      </c>
      <c r="C55" s="231" t="s">
        <v>205</v>
      </c>
      <c r="D55" s="251">
        <f t="shared" ref="D55:O55" si="20">-5%*D53</f>
        <v>0</v>
      </c>
      <c r="E55" s="243">
        <f t="shared" si="20"/>
        <v>0</v>
      </c>
      <c r="F55" s="244">
        <f t="shared" si="20"/>
        <v>0</v>
      </c>
      <c r="G55" s="251">
        <f t="shared" si="20"/>
        <v>0</v>
      </c>
      <c r="H55" s="244">
        <f t="shared" si="20"/>
        <v>0</v>
      </c>
      <c r="I55" s="405">
        <f t="shared" si="20"/>
        <v>0</v>
      </c>
      <c r="J55" s="243">
        <f t="shared" si="20"/>
        <v>0</v>
      </c>
      <c r="K55" s="243">
        <f t="shared" si="20"/>
        <v>0</v>
      </c>
      <c r="L55" s="243">
        <f t="shared" si="20"/>
        <v>0</v>
      </c>
      <c r="M55" s="243">
        <f t="shared" si="20"/>
        <v>0</v>
      </c>
      <c r="N55" s="243">
        <f t="shared" si="20"/>
        <v>0</v>
      </c>
      <c r="O55" s="244">
        <f t="shared" si="20"/>
        <v>0</v>
      </c>
      <c r="P55" s="222"/>
      <c r="Q55" s="220"/>
      <c r="R55" s="220"/>
      <c r="S55" s="220"/>
      <c r="T55" s="220"/>
      <c r="U55" s="220"/>
      <c r="V55" s="220"/>
      <c r="W55" s="220"/>
      <c r="X55" s="220"/>
      <c r="Y55" s="220"/>
      <c r="Z55" s="220"/>
      <c r="AA55" s="220"/>
      <c r="AB55" s="220"/>
      <c r="AC55" s="220"/>
      <c r="AD55" s="220"/>
      <c r="AE55" s="220"/>
      <c r="AF55" s="220"/>
      <c r="AG55" s="220"/>
      <c r="AH55" s="220"/>
      <c r="AI55" s="220"/>
      <c r="AJ55" s="220"/>
      <c r="AK55" s="220"/>
      <c r="AL55" s="220"/>
      <c r="AM55" s="220"/>
      <c r="AN55" s="220"/>
      <c r="BO55" s="47"/>
      <c r="BP55" s="47"/>
      <c r="BQ55" s="47"/>
      <c r="BR55" s="47"/>
    </row>
    <row r="56" spans="2:70" s="133" customFormat="1">
      <c r="B56" s="239" t="s">
        <v>95</v>
      </c>
      <c r="C56" s="240" t="s">
        <v>205</v>
      </c>
      <c r="D56" s="115">
        <f t="shared" ref="D56:O56" si="21">SUM(D53:D55)</f>
        <v>0</v>
      </c>
      <c r="E56" s="107">
        <f t="shared" si="21"/>
        <v>0</v>
      </c>
      <c r="F56" s="116">
        <f t="shared" si="21"/>
        <v>0</v>
      </c>
      <c r="G56" s="115">
        <f t="shared" si="21"/>
        <v>0</v>
      </c>
      <c r="H56" s="116">
        <f t="shared" si="21"/>
        <v>0</v>
      </c>
      <c r="I56" s="108">
        <f t="shared" si="21"/>
        <v>0</v>
      </c>
      <c r="J56" s="107">
        <f t="shared" ref="J56" si="22">SUM(J53:J55)</f>
        <v>0</v>
      </c>
      <c r="K56" s="107">
        <f t="shared" si="21"/>
        <v>0</v>
      </c>
      <c r="L56" s="107">
        <f>SUM(L53:L55)</f>
        <v>0</v>
      </c>
      <c r="M56" s="107">
        <f t="shared" si="21"/>
        <v>0</v>
      </c>
      <c r="N56" s="107">
        <f t="shared" si="21"/>
        <v>0</v>
      </c>
      <c r="O56" s="116">
        <f t="shared" si="21"/>
        <v>0</v>
      </c>
      <c r="P56" s="222"/>
      <c r="Q56" s="220"/>
      <c r="R56" s="220"/>
      <c r="S56" s="220"/>
      <c r="T56" s="220"/>
      <c r="U56" s="220"/>
      <c r="V56" s="220"/>
      <c r="W56" s="220"/>
      <c r="X56" s="220"/>
      <c r="Y56" s="220"/>
      <c r="Z56" s="220"/>
      <c r="AA56" s="220"/>
      <c r="AB56" s="220"/>
      <c r="AC56" s="220"/>
      <c r="AD56" s="220"/>
      <c r="AE56" s="220"/>
      <c r="AF56" s="220"/>
      <c r="AG56" s="220"/>
      <c r="AH56" s="220"/>
      <c r="AI56" s="220"/>
      <c r="AJ56" s="220"/>
      <c r="AK56" s="220"/>
      <c r="AL56" s="220"/>
      <c r="AM56" s="220"/>
      <c r="AN56" s="220"/>
      <c r="BO56" s="47"/>
      <c r="BP56" s="47"/>
      <c r="BQ56" s="47"/>
      <c r="BR56" s="47"/>
    </row>
    <row r="57" spans="2:70" s="133" customFormat="1" ht="15" thickBot="1">
      <c r="B57" s="197" t="s">
        <v>328</v>
      </c>
      <c r="C57" s="232" t="s">
        <v>205</v>
      </c>
      <c r="D57" s="252">
        <v>0</v>
      </c>
      <c r="E57" s="245">
        <v>0</v>
      </c>
      <c r="F57" s="246">
        <v>0</v>
      </c>
      <c r="G57" s="252">
        <v>0</v>
      </c>
      <c r="H57" s="246">
        <v>0</v>
      </c>
      <c r="I57" s="406">
        <f>J56/Assumptions!I8</f>
        <v>0</v>
      </c>
      <c r="J57" s="245" t="s">
        <v>205</v>
      </c>
      <c r="K57" s="245" t="s">
        <v>205</v>
      </c>
      <c r="L57" s="245" t="s">
        <v>205</v>
      </c>
      <c r="M57" s="245" t="s">
        <v>205</v>
      </c>
      <c r="N57" s="245" t="s">
        <v>205</v>
      </c>
      <c r="O57" s="246" t="s">
        <v>205</v>
      </c>
      <c r="P57" s="222"/>
      <c r="Q57" s="220"/>
      <c r="R57" s="220"/>
      <c r="S57" s="220"/>
      <c r="T57" s="220"/>
      <c r="U57" s="220"/>
      <c r="V57" s="220"/>
      <c r="W57" s="220"/>
      <c r="X57" s="220"/>
      <c r="Y57" s="220"/>
      <c r="Z57" s="220"/>
      <c r="AA57" s="220"/>
      <c r="AB57" s="220"/>
      <c r="AC57" s="220"/>
      <c r="AD57" s="220"/>
      <c r="AE57" s="220"/>
      <c r="AF57" s="220"/>
      <c r="AG57" s="220"/>
      <c r="AH57" s="220"/>
      <c r="AI57" s="220"/>
      <c r="AJ57" s="220"/>
      <c r="AK57" s="220"/>
      <c r="AL57" s="220"/>
      <c r="AM57" s="220"/>
      <c r="AN57" s="220"/>
      <c r="BO57" s="47"/>
      <c r="BP57" s="47"/>
      <c r="BQ57" s="47"/>
      <c r="BR57" s="47"/>
    </row>
    <row r="58" spans="2:70" s="133" customFormat="1" ht="15" thickBot="1">
      <c r="B58" s="254" t="s">
        <v>341</v>
      </c>
      <c r="C58" s="360">
        <f>IRR(G58:I58)</f>
        <v>0.27131034569024082</v>
      </c>
      <c r="D58" s="255">
        <f>D30</f>
        <v>0</v>
      </c>
      <c r="E58" s="256">
        <f>E30</f>
        <v>0</v>
      </c>
      <c r="F58" s="257">
        <f>F30</f>
        <v>0</v>
      </c>
      <c r="G58" s="255">
        <f>-G30</f>
        <v>-12018984.524420898</v>
      </c>
      <c r="H58" s="257">
        <f>-H30</f>
        <v>-37101400.185991146</v>
      </c>
      <c r="I58" s="403">
        <f>SUM(I38:I39,I56:I57,I47:I48,I30)</f>
        <v>66592837.194563836</v>
      </c>
      <c r="J58" s="256">
        <v>0</v>
      </c>
      <c r="K58" s="256">
        <v>0</v>
      </c>
      <c r="L58" s="256">
        <v>0</v>
      </c>
      <c r="M58" s="256">
        <v>0</v>
      </c>
      <c r="N58" s="256">
        <v>0</v>
      </c>
      <c r="O58" s="257" t="s">
        <v>205</v>
      </c>
      <c r="P58" s="222"/>
      <c r="Q58" s="220"/>
      <c r="R58" s="220"/>
      <c r="S58" s="220"/>
      <c r="T58" s="220"/>
      <c r="U58" s="220"/>
      <c r="V58" s="220"/>
      <c r="W58" s="220"/>
      <c r="X58" s="220"/>
      <c r="Y58" s="220"/>
      <c r="Z58" s="220"/>
      <c r="AA58" s="220"/>
      <c r="AB58" s="220"/>
      <c r="AC58" s="220"/>
      <c r="AD58" s="220"/>
      <c r="AE58" s="220"/>
      <c r="AF58" s="220"/>
      <c r="AG58" s="220"/>
      <c r="AH58" s="220"/>
      <c r="AI58" s="220"/>
      <c r="AJ58" s="220"/>
      <c r="AK58" s="220"/>
      <c r="AL58" s="220"/>
      <c r="AM58" s="220"/>
      <c r="AN58" s="220"/>
      <c r="BO58" s="47"/>
      <c r="BP58" s="47"/>
      <c r="BQ58" s="47"/>
      <c r="BR58" s="47"/>
    </row>
    <row r="59" spans="2:70" s="133" customFormat="1">
      <c r="B59" s="194" t="s">
        <v>344</v>
      </c>
      <c r="C59" s="258">
        <f>Assumptions!I13</f>
        <v>4.4999999999999998E-2</v>
      </c>
      <c r="D59" s="253" t="s">
        <v>205</v>
      </c>
      <c r="E59" s="248" t="s">
        <v>205</v>
      </c>
      <c r="F59" s="249" t="s">
        <v>205</v>
      </c>
      <c r="G59" s="253">
        <f>-PMT(C59,30,-'Site 7 - Financial'!E17)</f>
        <v>-1809345.7233815182</v>
      </c>
      <c r="H59" s="249">
        <f t="shared" ref="H59:I59" si="23">G59</f>
        <v>-1809345.7233815182</v>
      </c>
      <c r="I59" s="408">
        <f t="shared" si="23"/>
        <v>-1809345.7233815182</v>
      </c>
      <c r="J59" s="248" t="s">
        <v>205</v>
      </c>
      <c r="K59" s="248" t="s">
        <v>205</v>
      </c>
      <c r="L59" s="248" t="s">
        <v>205</v>
      </c>
      <c r="M59" s="248" t="s">
        <v>205</v>
      </c>
      <c r="N59" s="248" t="s">
        <v>205</v>
      </c>
      <c r="O59" s="249" t="s">
        <v>205</v>
      </c>
      <c r="P59" s="222"/>
      <c r="Q59" s="220"/>
      <c r="R59" s="220"/>
      <c r="S59" s="220"/>
      <c r="T59" s="220"/>
      <c r="U59" s="220"/>
      <c r="V59" s="220"/>
      <c r="W59" s="220"/>
      <c r="X59" s="220"/>
      <c r="Y59" s="220"/>
      <c r="Z59" s="220"/>
      <c r="AA59" s="220"/>
      <c r="AB59" s="220"/>
      <c r="AC59" s="220"/>
      <c r="AD59" s="220"/>
      <c r="AE59" s="220"/>
      <c r="AF59" s="220"/>
      <c r="AG59" s="220"/>
      <c r="AH59" s="220"/>
      <c r="AI59" s="220"/>
      <c r="AJ59" s="220"/>
      <c r="AK59" s="220"/>
      <c r="AL59" s="220"/>
      <c r="AM59" s="220"/>
      <c r="AN59" s="220"/>
      <c r="BO59" s="47"/>
      <c r="BP59" s="47"/>
      <c r="BQ59" s="47"/>
      <c r="BR59" s="47"/>
    </row>
    <row r="60" spans="2:70" s="199" customFormat="1" outlineLevel="1">
      <c r="B60" s="361" t="s">
        <v>399</v>
      </c>
      <c r="C60" s="362"/>
      <c r="D60" s="363" t="s">
        <v>205</v>
      </c>
      <c r="E60" s="364" t="s">
        <v>205</v>
      </c>
      <c r="F60" s="410" t="s">
        <v>205</v>
      </c>
      <c r="G60" s="363">
        <f>$C$59*'Site 7 - Financial'!$E$17</f>
        <v>1326250.3871811249</v>
      </c>
      <c r="H60" s="410">
        <f t="shared" ref="H60:I60" si="24">G62*$C$59</f>
        <v>1304511.0970521073</v>
      </c>
      <c r="I60" s="409">
        <f t="shared" si="24"/>
        <v>1281793.5388672838</v>
      </c>
      <c r="J60" s="364" t="s">
        <v>205</v>
      </c>
      <c r="K60" s="364" t="s">
        <v>205</v>
      </c>
      <c r="L60" s="364" t="s">
        <v>205</v>
      </c>
      <c r="M60" s="364" t="s">
        <v>205</v>
      </c>
      <c r="N60" s="364" t="s">
        <v>205</v>
      </c>
      <c r="O60" s="410" t="s">
        <v>205</v>
      </c>
      <c r="P60" s="366"/>
      <c r="Q60" s="367"/>
      <c r="R60" s="367"/>
      <c r="S60" s="367"/>
      <c r="T60" s="367"/>
      <c r="U60" s="367"/>
      <c r="V60" s="367"/>
      <c r="W60" s="367"/>
      <c r="X60" s="367"/>
      <c r="Y60" s="367"/>
      <c r="Z60" s="367"/>
      <c r="AA60" s="367"/>
      <c r="AB60" s="367"/>
      <c r="AC60" s="367"/>
      <c r="AD60" s="367"/>
      <c r="AE60" s="367"/>
      <c r="AF60" s="367"/>
      <c r="AG60" s="367"/>
      <c r="AH60" s="367"/>
      <c r="AI60" s="367"/>
      <c r="AJ60" s="367"/>
      <c r="AK60" s="367"/>
      <c r="AL60" s="367"/>
      <c r="AM60" s="367"/>
      <c r="AN60" s="367"/>
      <c r="BO60" s="368"/>
      <c r="BP60" s="368"/>
      <c r="BQ60" s="368"/>
      <c r="BR60" s="368"/>
    </row>
    <row r="61" spans="2:70" s="199" customFormat="1" outlineLevel="1">
      <c r="B61" s="361" t="s">
        <v>400</v>
      </c>
      <c r="C61" s="362"/>
      <c r="D61" s="363" t="s">
        <v>205</v>
      </c>
      <c r="E61" s="364" t="s">
        <v>205</v>
      </c>
      <c r="F61" s="410" t="s">
        <v>205</v>
      </c>
      <c r="G61" s="363">
        <f t="shared" ref="G61:I61" si="25">-(G60+G59)</f>
        <v>483095.33620039327</v>
      </c>
      <c r="H61" s="410">
        <f t="shared" si="25"/>
        <v>504834.62632941082</v>
      </c>
      <c r="I61" s="409">
        <f t="shared" si="25"/>
        <v>527552.18451423431</v>
      </c>
      <c r="J61" s="364" t="s">
        <v>205</v>
      </c>
      <c r="K61" s="364" t="s">
        <v>205</v>
      </c>
      <c r="L61" s="364" t="s">
        <v>205</v>
      </c>
      <c r="M61" s="364" t="s">
        <v>205</v>
      </c>
      <c r="N61" s="364" t="s">
        <v>205</v>
      </c>
      <c r="O61" s="410" t="s">
        <v>205</v>
      </c>
      <c r="P61" s="366"/>
      <c r="Q61" s="367"/>
      <c r="R61" s="367"/>
      <c r="S61" s="367"/>
      <c r="T61" s="367"/>
      <c r="U61" s="367"/>
      <c r="V61" s="367"/>
      <c r="W61" s="367"/>
      <c r="X61" s="367"/>
      <c r="Y61" s="367"/>
      <c r="Z61" s="367"/>
      <c r="AA61" s="367"/>
      <c r="AB61" s="367"/>
      <c r="AC61" s="367"/>
      <c r="AD61" s="367"/>
      <c r="AE61" s="367"/>
      <c r="AF61" s="367"/>
      <c r="AG61" s="367"/>
      <c r="AH61" s="367"/>
      <c r="AI61" s="367"/>
      <c r="AJ61" s="367"/>
      <c r="AK61" s="367"/>
      <c r="AL61" s="367"/>
      <c r="AM61" s="367"/>
      <c r="AN61" s="367"/>
      <c r="BO61" s="368"/>
      <c r="BP61" s="368"/>
      <c r="BQ61" s="368"/>
      <c r="BR61" s="368"/>
    </row>
    <row r="62" spans="2:70" s="199" customFormat="1" outlineLevel="1">
      <c r="B62" s="361" t="s">
        <v>408</v>
      </c>
      <c r="C62" s="362"/>
      <c r="D62" s="363" t="s">
        <v>205</v>
      </c>
      <c r="E62" s="364" t="s">
        <v>205</v>
      </c>
      <c r="F62" s="410" t="s">
        <v>205</v>
      </c>
      <c r="G62" s="363">
        <f>'Site 7 - Financial'!E17-G61</f>
        <v>28989135.490046829</v>
      </c>
      <c r="H62" s="410">
        <f t="shared" ref="H62:I62" si="26">G62-H61</f>
        <v>28484300.863717418</v>
      </c>
      <c r="I62" s="409">
        <f t="shared" si="26"/>
        <v>27956748.679203182</v>
      </c>
      <c r="J62" s="364" t="s">
        <v>205</v>
      </c>
      <c r="K62" s="364" t="s">
        <v>205</v>
      </c>
      <c r="L62" s="364" t="s">
        <v>205</v>
      </c>
      <c r="M62" s="364" t="s">
        <v>205</v>
      </c>
      <c r="N62" s="364" t="s">
        <v>205</v>
      </c>
      <c r="O62" s="410" t="s">
        <v>205</v>
      </c>
      <c r="P62" s="366"/>
      <c r="Q62" s="367"/>
      <c r="R62" s="367"/>
      <c r="S62" s="367"/>
      <c r="T62" s="367"/>
      <c r="U62" s="367"/>
      <c r="V62" s="367"/>
      <c r="W62" s="367"/>
      <c r="X62" s="367"/>
      <c r="Y62" s="367"/>
      <c r="Z62" s="367"/>
      <c r="AA62" s="367"/>
      <c r="AB62" s="367"/>
      <c r="AC62" s="367"/>
      <c r="AD62" s="367"/>
      <c r="AE62" s="367"/>
      <c r="AF62" s="367"/>
      <c r="AG62" s="367"/>
      <c r="AH62" s="367"/>
      <c r="AI62" s="367"/>
      <c r="AJ62" s="367"/>
      <c r="AK62" s="367"/>
      <c r="AL62" s="367"/>
      <c r="AM62" s="367"/>
      <c r="AN62" s="367"/>
      <c r="BO62" s="368"/>
      <c r="BP62" s="368"/>
      <c r="BQ62" s="368"/>
      <c r="BR62" s="368"/>
    </row>
    <row r="63" spans="2:70" s="133" customFormat="1" ht="15" thickBot="1">
      <c r="B63" s="194" t="s">
        <v>345</v>
      </c>
      <c r="C63" s="233"/>
      <c r="D63" s="253" t="s">
        <v>205</v>
      </c>
      <c r="E63" s="248" t="s">
        <v>205</v>
      </c>
      <c r="F63" s="249" t="s">
        <v>205</v>
      </c>
      <c r="G63" s="253">
        <f>-G30*0.4</f>
        <v>-4807593.8097683592</v>
      </c>
      <c r="H63" s="249">
        <f>-H30*0.4</f>
        <v>-14840560.074396459</v>
      </c>
      <c r="I63" s="408">
        <v>0</v>
      </c>
      <c r="J63" s="248" t="s">
        <v>205</v>
      </c>
      <c r="K63" s="248" t="s">
        <v>205</v>
      </c>
      <c r="L63" s="248" t="s">
        <v>205</v>
      </c>
      <c r="M63" s="248" t="s">
        <v>205</v>
      </c>
      <c r="N63" s="248" t="s">
        <v>205</v>
      </c>
      <c r="O63" s="249" t="s">
        <v>205</v>
      </c>
      <c r="P63" s="222"/>
      <c r="Q63" s="220"/>
      <c r="R63" s="220"/>
      <c r="S63" s="220"/>
      <c r="T63" s="220"/>
      <c r="U63" s="220"/>
      <c r="V63" s="220"/>
      <c r="W63" s="220"/>
      <c r="X63" s="220"/>
      <c r="Y63" s="220"/>
      <c r="Z63" s="220"/>
      <c r="AA63" s="220"/>
      <c r="AB63" s="220"/>
      <c r="AC63" s="220"/>
      <c r="AD63" s="220"/>
      <c r="AE63" s="220"/>
      <c r="AF63" s="220"/>
      <c r="AG63" s="220"/>
      <c r="AH63" s="220"/>
      <c r="AI63" s="220"/>
      <c r="AJ63" s="220"/>
      <c r="AK63" s="220"/>
      <c r="AL63" s="220"/>
      <c r="AM63" s="220"/>
      <c r="AN63" s="220"/>
      <c r="BO63" s="47"/>
      <c r="BP63" s="47"/>
      <c r="BQ63" s="47"/>
      <c r="BR63" s="47"/>
    </row>
    <row r="64" spans="2:70" s="145" customFormat="1" ht="15" thickBot="1">
      <c r="B64" s="254" t="s">
        <v>342</v>
      </c>
      <c r="C64" s="360">
        <f>IRR(G64:I64)</f>
        <v>0.41552359222812729</v>
      </c>
      <c r="D64" s="255">
        <v>0</v>
      </c>
      <c r="E64" s="256">
        <v>0</v>
      </c>
      <c r="F64" s="257">
        <v>0</v>
      </c>
      <c r="G64" s="255">
        <f>G63+G59</f>
        <v>-6616939.5331498776</v>
      </c>
      <c r="H64" s="255">
        <f>H63+H59</f>
        <v>-16649905.797777977</v>
      </c>
      <c r="I64" s="403">
        <f>I58+I59-I62</f>
        <v>36826742.791979134</v>
      </c>
      <c r="J64" s="256">
        <v>0</v>
      </c>
      <c r="K64" s="256">
        <v>0</v>
      </c>
      <c r="L64" s="256">
        <v>0</v>
      </c>
      <c r="M64" s="256">
        <v>0</v>
      </c>
      <c r="N64" s="256">
        <v>0</v>
      </c>
      <c r="O64" s="257" t="s">
        <v>205</v>
      </c>
      <c r="P64" s="222"/>
      <c r="Q64" s="220"/>
      <c r="R64" s="220"/>
      <c r="S64" s="220"/>
      <c r="T64" s="220"/>
      <c r="U64" s="220"/>
      <c r="V64" s="220"/>
      <c r="W64" s="220"/>
      <c r="X64" s="220"/>
      <c r="Y64" s="220"/>
      <c r="Z64" s="220"/>
      <c r="AA64" s="220"/>
      <c r="AB64" s="220"/>
      <c r="AC64" s="220"/>
      <c r="AD64" s="220"/>
      <c r="AE64" s="220"/>
      <c r="AF64" s="220"/>
      <c r="AG64" s="220"/>
      <c r="AH64" s="220"/>
      <c r="AI64" s="220"/>
      <c r="AJ64" s="220"/>
      <c r="AK64" s="220"/>
      <c r="AL64" s="220"/>
      <c r="AM64" s="220"/>
      <c r="AN64" s="220"/>
      <c r="BO64" s="263"/>
      <c r="BP64" s="263"/>
      <c r="BQ64" s="263"/>
      <c r="BR64" s="263"/>
    </row>
    <row r="65" spans="1:70" s="95" customFormat="1">
      <c r="A65" s="133"/>
      <c r="B65" s="48"/>
      <c r="C65" s="48"/>
      <c r="D65" s="48"/>
      <c r="E65" s="48"/>
      <c r="F65" s="48"/>
      <c r="G65" s="48"/>
      <c r="H65" s="48"/>
      <c r="I65" s="48"/>
      <c r="J65" s="48"/>
      <c r="K65" s="48"/>
      <c r="L65" s="48"/>
      <c r="M65" s="48"/>
      <c r="N65" s="48"/>
      <c r="O65" s="48"/>
      <c r="P65" s="48"/>
      <c r="Q65" s="48"/>
      <c r="R65" s="48"/>
      <c r="S65" s="48"/>
      <c r="T65" s="48"/>
      <c r="U65" s="48"/>
      <c r="V65" s="48"/>
      <c r="W65" s="48"/>
      <c r="X65" s="48"/>
      <c r="Y65" s="48"/>
      <c r="Z65" s="48"/>
      <c r="AA65" s="48"/>
      <c r="AB65" s="48"/>
      <c r="AC65" s="48"/>
      <c r="AD65" s="48"/>
      <c r="AE65" s="48"/>
      <c r="AF65" s="48"/>
      <c r="AG65" s="48"/>
      <c r="AH65" s="48"/>
      <c r="AI65" s="48"/>
      <c r="AJ65" s="48"/>
      <c r="AK65" s="48"/>
      <c r="AL65" s="48"/>
      <c r="AM65" s="48"/>
      <c r="AN65" s="48"/>
      <c r="AO65" s="48"/>
      <c r="AP65" s="48"/>
      <c r="AQ65" s="48"/>
      <c r="AR65" s="48"/>
      <c r="AS65" s="48"/>
      <c r="AT65" s="48"/>
      <c r="AU65" s="48"/>
      <c r="AV65" s="48"/>
      <c r="AW65" s="48"/>
      <c r="AX65" s="48"/>
      <c r="AY65" s="48"/>
      <c r="AZ65" s="48"/>
      <c r="BA65" s="48"/>
      <c r="BB65" s="48"/>
      <c r="BC65" s="48"/>
      <c r="BD65" s="48"/>
      <c r="BE65" s="48"/>
      <c r="BF65" s="48"/>
      <c r="BG65" s="48"/>
      <c r="BH65" s="48"/>
      <c r="BI65" s="48"/>
      <c r="BJ65" s="48"/>
      <c r="BK65" s="48"/>
      <c r="BL65" s="48"/>
      <c r="BO65" s="48"/>
      <c r="BP65" s="48"/>
      <c r="BQ65" s="48"/>
      <c r="BR65" s="48"/>
    </row>
    <row r="66" spans="1:70" s="95" customFormat="1">
      <c r="A66" s="133"/>
      <c r="B66" s="48"/>
      <c r="C66" s="179"/>
      <c r="D66" s="48"/>
      <c r="E66" s="48"/>
      <c r="F66" s="48"/>
      <c r="G66" s="48"/>
      <c r="H66" s="48"/>
      <c r="I66" s="309"/>
      <c r="J66" s="48"/>
      <c r="K66" s="48"/>
      <c r="L66" s="48"/>
      <c r="M66" s="48"/>
      <c r="N66" s="48"/>
      <c r="O66" s="48"/>
      <c r="P66" s="48"/>
      <c r="Q66" s="48"/>
      <c r="R66" s="48"/>
      <c r="S66" s="48"/>
      <c r="T66" s="48"/>
      <c r="U66" s="48"/>
      <c r="V66" s="48"/>
      <c r="W66" s="48"/>
      <c r="X66" s="48"/>
      <c r="Y66" s="48"/>
      <c r="Z66" s="48"/>
      <c r="AA66" s="48"/>
      <c r="AB66" s="48"/>
      <c r="AC66" s="48"/>
      <c r="AD66" s="48"/>
      <c r="AE66" s="48"/>
      <c r="AF66" s="48"/>
      <c r="AG66" s="48"/>
      <c r="AH66" s="48"/>
      <c r="AI66" s="48"/>
      <c r="AJ66" s="48"/>
      <c r="AK66" s="48"/>
      <c r="AL66" s="48"/>
      <c r="AM66" s="48"/>
      <c r="AN66" s="48"/>
      <c r="AO66" s="48"/>
      <c r="AP66" s="48"/>
      <c r="AQ66" s="48"/>
      <c r="AR66" s="48"/>
      <c r="AS66" s="48"/>
      <c r="AT66" s="48"/>
      <c r="AU66" s="48"/>
      <c r="AV66" s="48"/>
      <c r="AW66" s="48"/>
      <c r="AX66" s="48"/>
      <c r="AY66" s="48"/>
      <c r="AZ66" s="48"/>
      <c r="BA66" s="48"/>
      <c r="BB66" s="48"/>
      <c r="BC66" s="48"/>
      <c r="BD66" s="48"/>
      <c r="BE66" s="48"/>
      <c r="BF66" s="48"/>
      <c r="BG66" s="48"/>
      <c r="BH66" s="48"/>
      <c r="BI66" s="48"/>
      <c r="BJ66" s="48"/>
      <c r="BK66" s="48"/>
      <c r="BL66" s="48"/>
      <c r="BO66" s="48"/>
      <c r="BP66" s="48"/>
      <c r="BQ66" s="48"/>
      <c r="BR66" s="48"/>
    </row>
    <row r="67" spans="1:70" s="95" customFormat="1">
      <c r="A67" s="133"/>
      <c r="B67" s="48"/>
      <c r="C67" s="179"/>
      <c r="D67" s="48"/>
      <c r="E67" s="48"/>
      <c r="F67" s="48"/>
      <c r="G67" s="48"/>
      <c r="H67" s="48"/>
      <c r="I67" s="48"/>
      <c r="J67" s="48"/>
      <c r="K67" s="48"/>
      <c r="L67" s="48"/>
      <c r="M67" s="48"/>
      <c r="N67" s="48"/>
      <c r="O67" s="48"/>
      <c r="P67" s="48"/>
      <c r="Q67" s="48"/>
      <c r="R67" s="48"/>
      <c r="S67" s="48"/>
      <c r="T67" s="48"/>
      <c r="U67" s="48"/>
      <c r="V67" s="48"/>
      <c r="W67" s="48"/>
      <c r="X67" s="48"/>
      <c r="Y67" s="48"/>
      <c r="Z67" s="48"/>
      <c r="AA67" s="48"/>
      <c r="AB67" s="48"/>
      <c r="AC67" s="48"/>
      <c r="AD67" s="48"/>
      <c r="AE67" s="48"/>
      <c r="AF67" s="48"/>
      <c r="AG67" s="48"/>
      <c r="AH67" s="48"/>
      <c r="AI67" s="48"/>
      <c r="AJ67" s="48"/>
      <c r="AK67" s="48"/>
      <c r="AL67" s="48"/>
      <c r="AM67" s="48"/>
      <c r="AN67" s="48"/>
      <c r="AO67" s="48"/>
      <c r="AP67" s="48"/>
      <c r="AQ67" s="48"/>
      <c r="AR67" s="48"/>
      <c r="AS67" s="48"/>
      <c r="AT67" s="48"/>
      <c r="AU67" s="48"/>
      <c r="AV67" s="48"/>
      <c r="AW67" s="48"/>
      <c r="AX67" s="48"/>
      <c r="AY67" s="48"/>
      <c r="AZ67" s="48"/>
      <c r="BA67" s="48"/>
      <c r="BB67" s="48"/>
      <c r="BC67" s="48"/>
      <c r="BD67" s="48"/>
      <c r="BE67" s="48"/>
      <c r="BF67" s="48"/>
      <c r="BG67" s="48"/>
      <c r="BH67" s="48"/>
      <c r="BI67" s="48"/>
      <c r="BJ67" s="48"/>
      <c r="BK67" s="48"/>
      <c r="BL67" s="48"/>
      <c r="BO67" s="48"/>
      <c r="BP67" s="48"/>
      <c r="BQ67" s="48"/>
      <c r="BR67" s="48"/>
    </row>
    <row r="68" spans="1:70" s="95" customFormat="1">
      <c r="A68" s="133"/>
      <c r="B68" s="144"/>
      <c r="C68" s="184"/>
      <c r="D68" s="48"/>
      <c r="E68" s="48"/>
      <c r="F68" s="48"/>
      <c r="G68" s="48"/>
      <c r="H68" s="48"/>
      <c r="I68" s="48"/>
      <c r="J68" s="48"/>
      <c r="K68" s="48"/>
      <c r="L68" s="48"/>
      <c r="M68" s="48"/>
      <c r="N68" s="48"/>
      <c r="O68" s="48"/>
      <c r="P68" s="48"/>
      <c r="Q68" s="48"/>
      <c r="R68" s="48"/>
      <c r="S68" s="48"/>
      <c r="T68" s="48"/>
      <c r="U68" s="48"/>
      <c r="V68" s="48"/>
      <c r="W68" s="48"/>
      <c r="X68" s="48"/>
      <c r="Y68" s="48"/>
      <c r="Z68" s="48"/>
      <c r="AA68" s="48"/>
      <c r="AB68" s="48"/>
      <c r="AC68" s="48"/>
      <c r="AD68" s="48"/>
      <c r="AE68" s="48"/>
      <c r="AF68" s="48"/>
      <c r="AG68" s="48"/>
      <c r="AH68" s="48"/>
      <c r="AI68" s="48"/>
      <c r="AJ68" s="48"/>
      <c r="AK68" s="48"/>
      <c r="AL68" s="48"/>
      <c r="AM68" s="48"/>
      <c r="AN68" s="48"/>
      <c r="AO68" s="48"/>
      <c r="AP68" s="48"/>
      <c r="AQ68" s="48"/>
      <c r="AR68" s="48"/>
      <c r="AS68" s="48"/>
      <c r="AT68" s="48"/>
      <c r="AU68" s="48"/>
      <c r="AV68" s="48"/>
      <c r="AW68" s="48"/>
      <c r="AX68" s="48"/>
      <c r="AY68" s="48"/>
      <c r="AZ68" s="48"/>
      <c r="BA68" s="48"/>
      <c r="BB68" s="48"/>
      <c r="BC68" s="48"/>
      <c r="BD68" s="48"/>
      <c r="BE68" s="48"/>
      <c r="BF68" s="48"/>
      <c r="BG68" s="48"/>
      <c r="BH68" s="48"/>
      <c r="BI68" s="48"/>
      <c r="BJ68" s="48"/>
      <c r="BK68" s="48"/>
      <c r="BL68" s="48"/>
      <c r="BO68" s="48"/>
      <c r="BP68" s="48"/>
      <c r="BQ68" s="48"/>
      <c r="BR68" s="48"/>
    </row>
    <row r="69" spans="1:70" s="95" customFormat="1">
      <c r="A69" s="133"/>
      <c r="B69" s="48"/>
      <c r="C69" s="48"/>
      <c r="D69" s="48"/>
      <c r="E69" s="48"/>
      <c r="F69" s="48"/>
      <c r="G69" s="48"/>
      <c r="H69" s="48"/>
      <c r="I69" s="48"/>
      <c r="J69" s="48"/>
      <c r="K69" s="48"/>
      <c r="L69" s="48"/>
      <c r="M69" s="48"/>
      <c r="N69" s="48"/>
      <c r="O69" s="48"/>
      <c r="P69" s="48"/>
      <c r="Q69" s="48"/>
      <c r="R69" s="48"/>
      <c r="S69" s="48"/>
      <c r="T69" s="48"/>
      <c r="U69" s="48"/>
      <c r="V69" s="48"/>
      <c r="W69" s="48"/>
      <c r="X69" s="48"/>
      <c r="Y69" s="48"/>
      <c r="Z69" s="48"/>
      <c r="AA69" s="48"/>
      <c r="AB69" s="48"/>
      <c r="AC69" s="48"/>
      <c r="AD69" s="48"/>
      <c r="AE69" s="48"/>
      <c r="AF69" s="48"/>
      <c r="AG69" s="48"/>
      <c r="AH69" s="48"/>
      <c r="AI69" s="48"/>
      <c r="AJ69" s="48"/>
      <c r="AK69" s="48"/>
      <c r="AL69" s="48"/>
      <c r="AM69" s="48"/>
      <c r="AN69" s="48"/>
      <c r="AO69" s="48"/>
      <c r="AP69" s="48"/>
      <c r="AQ69" s="48"/>
      <c r="AR69" s="48"/>
      <c r="AS69" s="48"/>
      <c r="AT69" s="48"/>
      <c r="AU69" s="48"/>
      <c r="AV69" s="48"/>
      <c r="AW69" s="48"/>
      <c r="AX69" s="48"/>
      <c r="AY69" s="48"/>
      <c r="AZ69" s="48"/>
      <c r="BA69" s="48"/>
      <c r="BB69" s="48"/>
      <c r="BC69" s="48"/>
      <c r="BD69" s="48"/>
      <c r="BE69" s="48"/>
      <c r="BF69" s="48"/>
      <c r="BG69" s="48"/>
      <c r="BH69" s="48"/>
      <c r="BI69" s="48"/>
      <c r="BJ69" s="48"/>
      <c r="BK69" s="48"/>
      <c r="BL69" s="48"/>
      <c r="BO69" s="48"/>
      <c r="BP69" s="48"/>
      <c r="BQ69" s="48"/>
      <c r="BR69" s="48"/>
    </row>
  </sheetData>
  <mergeCells count="1">
    <mergeCell ref="B2:B4"/>
  </mergeCells>
  <conditionalFormatting sqref="D4:AN4">
    <cfRule type="cellIs" dxfId="11" priority="1" operator="equal">
      <formula>#REF!</formula>
    </cfRule>
    <cfRule type="cellIs" dxfId="10" priority="2" operator="equal">
      <formula>#REF!</formula>
    </cfRule>
    <cfRule type="cellIs" dxfId="9" priority="3" operator="equal">
      <formula>#REF!</formula>
    </cfRule>
    <cfRule type="cellIs" dxfId="8" priority="4" operator="equal">
      <formula>#REF!</formula>
    </cfRule>
  </conditionalFormatting>
  <conditionalFormatting sqref="AM5:AN5">
    <cfRule type="cellIs" dxfId="7" priority="5" operator="equal">
      <formula>#REF!</formula>
    </cfRule>
    <cfRule type="cellIs" dxfId="6" priority="6" operator="equal">
      <formula>#REF!</formula>
    </cfRule>
    <cfRule type="cellIs" dxfId="5" priority="7" operator="equal">
      <formula>#REF!</formula>
    </cfRule>
    <cfRule type="cellIs" dxfId="4" priority="8" operator="equal">
      <formula>#REF!</formula>
    </cfRule>
    <cfRule type="cellIs" dxfId="3" priority="9" operator="equal">
      <formula>#REF!</formula>
    </cfRule>
    <cfRule type="cellIs" dxfId="2" priority="10" operator="equal">
      <formula>#REF!</formula>
    </cfRule>
    <cfRule type="cellIs" dxfId="1" priority="11" operator="equal">
      <formula>#REF!</formula>
    </cfRule>
    <cfRule type="cellIs" dxfId="0" priority="12" operator="equal">
      <formula>#REF!</formula>
    </cfRule>
  </conditionalFormatting>
  <pageMargins left="0.7" right="0.7" top="0.75" bottom="0.75" header="0.3" footer="0.3"/>
  <pageSetup paperSize="3" orientation="landscape" horizontalDpi="1200" verticalDpi="1200" r:id="rId1"/>
  <headerFooter>
    <oddHeader>&amp;C&amp;"Calibri,Regular"&amp;K000000OVERALL DRAW</oddHeader>
    <oddFooter>&amp;C&amp;"Calibri,Regular"&amp;K000000PAGE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156EFC-0B5B-FA41-8503-FF1E494D1953}">
  <sheetPr>
    <tabColor rgb="FF00B0F0"/>
  </sheetPr>
  <dimension ref="A1:U138"/>
  <sheetViews>
    <sheetView zoomScale="75" workbookViewId="0">
      <selection activeCell="F6" sqref="F6"/>
    </sheetView>
  </sheetViews>
  <sheetFormatPr defaultColWidth="10.77734375" defaultRowHeight="15"/>
  <cols>
    <col min="1" max="1" width="4.109375" style="681" customWidth="1"/>
    <col min="2" max="2" width="43" style="681" customWidth="1"/>
    <col min="3" max="3" width="24.77734375" style="681" customWidth="1"/>
    <col min="4" max="4" width="9.77734375" style="681" customWidth="1"/>
    <col min="5" max="5" width="25" style="681" customWidth="1"/>
    <col min="6" max="7" width="15.44140625" style="681" customWidth="1"/>
    <col min="8" max="8" width="13" style="681" bestFit="1" customWidth="1"/>
    <col min="9" max="9" width="16" style="681" bestFit="1" customWidth="1"/>
    <col min="10" max="10" width="13.44140625" style="681" customWidth="1"/>
    <col min="11" max="11" width="24.33203125" style="681" customWidth="1"/>
    <col min="12" max="12" width="17.33203125" style="681" bestFit="1" customWidth="1"/>
    <col min="13" max="13" width="24.109375" style="681" bestFit="1" customWidth="1"/>
    <col min="14" max="14" width="10.77734375" style="681" bestFit="1" customWidth="1"/>
    <col min="15" max="15" width="6.109375" style="681" bestFit="1" customWidth="1"/>
    <col min="16" max="16" width="16.77734375" style="681" customWidth="1"/>
    <col min="17" max="17" width="10.6640625" style="1" bestFit="1" customWidth="1"/>
    <col min="18" max="18" width="9.77734375" style="1" bestFit="1" customWidth="1"/>
    <col min="19" max="19" width="11.109375" style="1" bestFit="1" customWidth="1"/>
    <col min="20" max="20" width="24.44140625" style="1" bestFit="1" customWidth="1"/>
    <col min="21" max="21" width="74.44140625" style="1" customWidth="1"/>
    <col min="22" max="16384" width="10.77734375" style="681"/>
  </cols>
  <sheetData>
    <row r="1" spans="1:21" ht="15.6" thickBot="1"/>
    <row r="2" spans="1:21" ht="36.6" thickTop="1" thickBot="1">
      <c r="B2" s="1010" t="s">
        <v>598</v>
      </c>
      <c r="C2" s="1011"/>
      <c r="D2" s="1011"/>
      <c r="E2" s="1011"/>
      <c r="F2" s="1011"/>
      <c r="G2" s="1011"/>
      <c r="H2" s="1011"/>
      <c r="I2" s="1011"/>
      <c r="J2" s="1011"/>
      <c r="K2" s="1011"/>
      <c r="L2" s="1011"/>
      <c r="M2" s="1011"/>
      <c r="N2" s="1011"/>
      <c r="O2" s="1011"/>
      <c r="P2" s="1011"/>
      <c r="Q2" s="1011"/>
      <c r="R2" s="1011"/>
      <c r="S2" s="1011"/>
      <c r="T2" s="1012"/>
    </row>
    <row r="3" spans="1:21" ht="43.05" customHeight="1" thickTop="1">
      <c r="B3" s="1051" t="s">
        <v>588</v>
      </c>
      <c r="C3" s="1043"/>
      <c r="E3" s="1072" t="s">
        <v>492</v>
      </c>
      <c r="F3" s="1073"/>
      <c r="G3" s="1073"/>
      <c r="H3" s="1073"/>
      <c r="I3" s="1073"/>
      <c r="J3" s="1073"/>
      <c r="K3" s="1073"/>
      <c r="L3" s="1073"/>
      <c r="M3" s="1073"/>
      <c r="N3" s="1073"/>
      <c r="O3" s="1073"/>
      <c r="P3" s="1073"/>
      <c r="Q3" s="1073"/>
      <c r="R3" s="1073"/>
      <c r="S3" s="1073"/>
      <c r="T3" s="1076"/>
    </row>
    <row r="4" spans="1:21" ht="43.05" customHeight="1" thickBot="1">
      <c r="B4" s="1052"/>
      <c r="C4" s="1053"/>
      <c r="E4" s="660" t="s">
        <v>113</v>
      </c>
      <c r="F4" s="661" t="s">
        <v>114</v>
      </c>
      <c r="G4" s="661" t="s">
        <v>115</v>
      </c>
      <c r="H4" s="661" t="s">
        <v>116</v>
      </c>
      <c r="I4" s="661" t="s">
        <v>117</v>
      </c>
      <c r="J4" s="662" t="s">
        <v>93</v>
      </c>
      <c r="K4" s="661" t="s">
        <v>118</v>
      </c>
      <c r="L4" s="661" t="s">
        <v>119</v>
      </c>
      <c r="M4" s="662" t="s">
        <v>120</v>
      </c>
      <c r="N4" s="662" t="s">
        <v>121</v>
      </c>
      <c r="O4" s="1015" t="s">
        <v>214</v>
      </c>
      <c r="P4" s="1015"/>
      <c r="Q4" s="1015"/>
      <c r="R4" s="1015"/>
      <c r="S4" s="1015"/>
      <c r="T4" s="1053"/>
    </row>
    <row r="5" spans="1:21" ht="31.95" customHeight="1" thickTop="1">
      <c r="A5" s="713"/>
      <c r="B5" s="711" t="s">
        <v>586</v>
      </c>
      <c r="C5" s="712">
        <v>4.4999999999999998E-2</v>
      </c>
      <c r="E5" s="663" t="s">
        <v>249</v>
      </c>
      <c r="F5" s="664" t="s">
        <v>217</v>
      </c>
      <c r="G5" s="664" t="s">
        <v>218</v>
      </c>
      <c r="H5" s="665">
        <v>45280</v>
      </c>
      <c r="I5" s="666">
        <v>13425000</v>
      </c>
      <c r="J5" s="667">
        <f t="shared" ref="J5:J11" si="0">I5/L5</f>
        <v>637.7369246116574</v>
      </c>
      <c r="K5" s="668" t="s">
        <v>157</v>
      </c>
      <c r="L5" s="669">
        <v>21051</v>
      </c>
      <c r="M5" s="667" t="s">
        <v>157</v>
      </c>
      <c r="N5" s="664">
        <v>1910</v>
      </c>
      <c r="O5" s="1062" t="s">
        <v>250</v>
      </c>
      <c r="P5" s="1062"/>
      <c r="Q5" s="1062"/>
      <c r="R5" s="1062"/>
      <c r="S5" s="1062"/>
      <c r="T5" s="1063"/>
    </row>
    <row r="6" spans="1:21" ht="31.95" customHeight="1">
      <c r="A6" s="713"/>
      <c r="B6" s="711" t="s">
        <v>587</v>
      </c>
      <c r="C6" s="712">
        <f>C5+0.0025</f>
        <v>4.7500000000000001E-2</v>
      </c>
      <c r="E6" s="663" t="s">
        <v>251</v>
      </c>
      <c r="F6" s="664" t="s">
        <v>217</v>
      </c>
      <c r="G6" s="664" t="s">
        <v>218</v>
      </c>
      <c r="H6" s="665">
        <v>45218</v>
      </c>
      <c r="I6" s="666">
        <v>26900000</v>
      </c>
      <c r="J6" s="667">
        <f t="shared" si="0"/>
        <v>402.99625468164794</v>
      </c>
      <c r="K6" s="668" t="s">
        <v>157</v>
      </c>
      <c r="L6" s="669">
        <v>66750</v>
      </c>
      <c r="M6" s="667" t="s">
        <v>157</v>
      </c>
      <c r="N6" s="664">
        <v>1992</v>
      </c>
      <c r="O6" s="1064" t="s">
        <v>485</v>
      </c>
      <c r="P6" s="1064"/>
      <c r="Q6" s="1064"/>
      <c r="R6" s="1064"/>
      <c r="S6" s="1064"/>
      <c r="T6" s="1065"/>
    </row>
    <row r="7" spans="1:21" ht="31.95" customHeight="1">
      <c r="A7" s="713"/>
      <c r="B7" s="711" t="s">
        <v>657</v>
      </c>
      <c r="C7" s="718">
        <v>2000</v>
      </c>
      <c r="E7" s="663" t="s">
        <v>252</v>
      </c>
      <c r="F7" s="664" t="s">
        <v>217</v>
      </c>
      <c r="G7" s="664" t="s">
        <v>218</v>
      </c>
      <c r="H7" s="665">
        <v>45194</v>
      </c>
      <c r="I7" s="666">
        <v>28500000</v>
      </c>
      <c r="J7" s="667">
        <f t="shared" si="0"/>
        <v>570</v>
      </c>
      <c r="K7" s="668" t="s">
        <v>157</v>
      </c>
      <c r="L7" s="669">
        <v>50000</v>
      </c>
      <c r="M7" s="666" t="s">
        <v>157</v>
      </c>
      <c r="N7" s="664">
        <v>2020</v>
      </c>
      <c r="O7" s="1064" t="s">
        <v>486</v>
      </c>
      <c r="P7" s="1064"/>
      <c r="Q7" s="1064"/>
      <c r="R7" s="1064"/>
      <c r="S7" s="1064"/>
      <c r="T7" s="1065"/>
    </row>
    <row r="8" spans="1:21" ht="31.95" customHeight="1">
      <c r="B8" s="711" t="s">
        <v>658</v>
      </c>
      <c r="C8" s="718">
        <v>2400</v>
      </c>
      <c r="E8" s="663" t="s">
        <v>253</v>
      </c>
      <c r="F8" s="664" t="s">
        <v>217</v>
      </c>
      <c r="G8" s="664" t="s">
        <v>218</v>
      </c>
      <c r="H8" s="665">
        <v>45063</v>
      </c>
      <c r="I8" s="666">
        <v>11600000</v>
      </c>
      <c r="J8" s="667">
        <f t="shared" si="0"/>
        <v>446.25682849888437</v>
      </c>
      <c r="K8" s="668">
        <v>4.0500000000000001E-2</v>
      </c>
      <c r="L8" s="669">
        <v>25994</v>
      </c>
      <c r="M8" s="666">
        <f>(K8*I8)/L8</f>
        <v>18.073401554204818</v>
      </c>
      <c r="N8" s="664">
        <v>1925</v>
      </c>
      <c r="O8" s="1064" t="s">
        <v>487</v>
      </c>
      <c r="P8" s="1064"/>
      <c r="Q8" s="1064"/>
      <c r="R8" s="1064"/>
      <c r="S8" s="1064"/>
      <c r="T8" s="1065"/>
    </row>
    <row r="9" spans="1:21" ht="31.95" customHeight="1">
      <c r="B9" s="711" t="s">
        <v>659</v>
      </c>
      <c r="C9" s="718">
        <v>3400</v>
      </c>
      <c r="E9" s="663" t="s">
        <v>254</v>
      </c>
      <c r="F9" s="664" t="s">
        <v>217</v>
      </c>
      <c r="G9" s="664" t="s">
        <v>218</v>
      </c>
      <c r="H9" s="665">
        <v>45023</v>
      </c>
      <c r="I9" s="666">
        <v>15100000</v>
      </c>
      <c r="J9" s="667">
        <f t="shared" si="0"/>
        <v>520.86926526388413</v>
      </c>
      <c r="K9" s="668">
        <v>4.7E-2</v>
      </c>
      <c r="L9" s="669">
        <v>28990</v>
      </c>
      <c r="M9" s="666">
        <f>(K9*I9)/L9</f>
        <v>24.480855467402552</v>
      </c>
      <c r="N9" s="664">
        <v>2016</v>
      </c>
      <c r="O9" s="1064" t="s">
        <v>488</v>
      </c>
      <c r="P9" s="1064"/>
      <c r="Q9" s="1064"/>
      <c r="R9" s="1064"/>
      <c r="S9" s="1064"/>
      <c r="T9" s="1065"/>
    </row>
    <row r="10" spans="1:21" ht="31.95" customHeight="1">
      <c r="B10" s="711" t="s">
        <v>660</v>
      </c>
      <c r="C10" s="718">
        <v>4600</v>
      </c>
      <c r="E10" s="663" t="s">
        <v>255</v>
      </c>
      <c r="F10" s="664" t="s">
        <v>217</v>
      </c>
      <c r="G10" s="664" t="s">
        <v>218</v>
      </c>
      <c r="H10" s="665">
        <v>44991</v>
      </c>
      <c r="I10" s="666">
        <v>37455000</v>
      </c>
      <c r="J10" s="667">
        <f t="shared" si="0"/>
        <v>452.2567557777295</v>
      </c>
      <c r="K10" s="668" t="s">
        <v>157</v>
      </c>
      <c r="L10" s="669">
        <v>82818</v>
      </c>
      <c r="M10" s="666" t="s">
        <v>157</v>
      </c>
      <c r="N10" s="664">
        <v>2013</v>
      </c>
      <c r="O10" s="1064" t="s">
        <v>489</v>
      </c>
      <c r="P10" s="1064"/>
      <c r="Q10" s="1064"/>
      <c r="R10" s="1064"/>
      <c r="S10" s="1064"/>
      <c r="T10" s="1065"/>
    </row>
    <row r="11" spans="1:21" ht="31.95" customHeight="1" thickBot="1">
      <c r="B11" s="711" t="s">
        <v>661</v>
      </c>
      <c r="C11" s="718">
        <v>1768</v>
      </c>
      <c r="E11" s="670" t="s">
        <v>256</v>
      </c>
      <c r="F11" s="664" t="s">
        <v>217</v>
      </c>
      <c r="G11" s="664" t="s">
        <v>218</v>
      </c>
      <c r="H11" s="671">
        <v>44980</v>
      </c>
      <c r="I11" s="672">
        <v>105000000</v>
      </c>
      <c r="J11" s="673">
        <f t="shared" si="0"/>
        <v>698.44015033092762</v>
      </c>
      <c r="K11" s="674">
        <v>4.4999999999999998E-2</v>
      </c>
      <c r="L11" s="675">
        <v>150335</v>
      </c>
      <c r="M11" s="672">
        <f>(K11*I11)/L11</f>
        <v>31.42980676489174</v>
      </c>
      <c r="N11" s="676">
        <v>2021</v>
      </c>
      <c r="O11" s="1044" t="s">
        <v>490</v>
      </c>
      <c r="P11" s="1044"/>
      <c r="Q11" s="1044"/>
      <c r="R11" s="1044"/>
      <c r="S11" s="1044"/>
      <c r="T11" s="1045"/>
    </row>
    <row r="12" spans="1:21" ht="33" customHeight="1" thickTop="1" thickBot="1">
      <c r="B12" s="711" t="s">
        <v>656</v>
      </c>
      <c r="C12" s="718">
        <v>1895</v>
      </c>
      <c r="E12" s="1038" t="s">
        <v>125</v>
      </c>
      <c r="F12" s="1039"/>
      <c r="G12" s="1039"/>
      <c r="H12" s="677"/>
      <c r="I12" s="678">
        <f>SUM(I5:I11)</f>
        <v>237980000</v>
      </c>
      <c r="J12" s="678">
        <f>SUMPRODUCT(J5:J11,I5:I11)/I12</f>
        <v>583.93316729272124</v>
      </c>
      <c r="K12" s="679">
        <f>AVERAGE(K5:K11)</f>
        <v>4.4166666666666667E-2</v>
      </c>
      <c r="L12" s="680"/>
      <c r="M12" s="678">
        <f>AVERAGE(M5:M11)</f>
        <v>24.661354595499702</v>
      </c>
      <c r="N12" s="680"/>
      <c r="O12" s="1101"/>
      <c r="P12" s="1101"/>
      <c r="Q12" s="1101"/>
      <c r="R12" s="1101"/>
      <c r="S12" s="1101"/>
      <c r="T12" s="1102"/>
    </row>
    <row r="13" spans="1:21" ht="16.2" thickTop="1" thickBot="1">
      <c r="B13" s="711" t="s">
        <v>662</v>
      </c>
      <c r="C13" s="718">
        <v>2274</v>
      </c>
      <c r="Q13" s="681"/>
      <c r="R13" s="681"/>
      <c r="S13" s="681"/>
      <c r="T13" s="713"/>
      <c r="U13" s="681"/>
    </row>
    <row r="14" spans="1:21" ht="34.049999999999997" customHeight="1" thickTop="1" thickBot="1">
      <c r="B14" s="714" t="s">
        <v>663</v>
      </c>
      <c r="C14" s="802">
        <v>2628</v>
      </c>
      <c r="E14" s="1048" t="s">
        <v>491</v>
      </c>
      <c r="F14" s="1049"/>
      <c r="G14" s="1049"/>
      <c r="H14" s="1049"/>
      <c r="I14" s="1049"/>
      <c r="J14" s="1049"/>
      <c r="K14" s="1049"/>
      <c r="L14" s="1049"/>
      <c r="M14" s="1049"/>
      <c r="N14" s="1049"/>
      <c r="O14" s="1049"/>
      <c r="P14" s="1049"/>
      <c r="Q14" s="1049"/>
      <c r="R14" s="1049"/>
      <c r="S14" s="1049"/>
      <c r="T14" s="1050"/>
      <c r="U14" s="681"/>
    </row>
    <row r="15" spans="1:21" ht="48" thickTop="1" thickBot="1">
      <c r="B15" s="711"/>
      <c r="E15" s="700" t="s">
        <v>113</v>
      </c>
      <c r="F15" s="701" t="s">
        <v>114</v>
      </c>
      <c r="G15" s="701" t="s">
        <v>115</v>
      </c>
      <c r="H15" s="701" t="s">
        <v>484</v>
      </c>
      <c r="I15" s="702" t="s">
        <v>121</v>
      </c>
      <c r="J15" s="702" t="s">
        <v>119</v>
      </c>
      <c r="K15" s="701" t="s">
        <v>292</v>
      </c>
      <c r="L15" s="703" t="s">
        <v>493</v>
      </c>
      <c r="M15" s="700" t="s">
        <v>113</v>
      </c>
      <c r="N15" s="701" t="s">
        <v>114</v>
      </c>
      <c r="O15" s="701" t="s">
        <v>115</v>
      </c>
      <c r="P15" s="701" t="s">
        <v>484</v>
      </c>
      <c r="Q15" s="702" t="s">
        <v>121</v>
      </c>
      <c r="R15" s="702" t="s">
        <v>119</v>
      </c>
      <c r="S15" s="701" t="s">
        <v>292</v>
      </c>
      <c r="T15" s="703" t="s">
        <v>493</v>
      </c>
      <c r="U15" s="681"/>
    </row>
    <row r="16" spans="1:21" ht="27" customHeight="1" thickTop="1">
      <c r="B16" s="711"/>
      <c r="E16" s="682" t="s">
        <v>494</v>
      </c>
      <c r="F16" s="683" t="s">
        <v>217</v>
      </c>
      <c r="G16" s="684" t="s">
        <v>218</v>
      </c>
      <c r="H16" s="685">
        <v>1859</v>
      </c>
      <c r="I16" s="683">
        <v>2018</v>
      </c>
      <c r="J16" s="686">
        <v>706</v>
      </c>
      <c r="K16" s="686" t="s">
        <v>9</v>
      </c>
      <c r="L16" s="687" t="s">
        <v>497</v>
      </c>
      <c r="M16" s="663" t="s">
        <v>494</v>
      </c>
      <c r="N16" s="664" t="s">
        <v>217</v>
      </c>
      <c r="O16" s="688" t="s">
        <v>218</v>
      </c>
      <c r="P16" s="689">
        <v>3378</v>
      </c>
      <c r="Q16" s="690">
        <v>2018</v>
      </c>
      <c r="R16" s="669">
        <v>1009</v>
      </c>
      <c r="S16" s="691" t="s">
        <v>515</v>
      </c>
      <c r="T16" s="692" t="s">
        <v>497</v>
      </c>
      <c r="U16" s="681"/>
    </row>
    <row r="17" spans="2:21" ht="27" customHeight="1">
      <c r="B17" s="711"/>
      <c r="E17" s="663" t="s">
        <v>495</v>
      </c>
      <c r="F17" s="664" t="s">
        <v>217</v>
      </c>
      <c r="G17" s="688" t="s">
        <v>218</v>
      </c>
      <c r="H17" s="689">
        <v>1905</v>
      </c>
      <c r="I17" s="690">
        <v>2017</v>
      </c>
      <c r="J17" s="669">
        <v>448</v>
      </c>
      <c r="K17" s="691" t="s">
        <v>9</v>
      </c>
      <c r="L17" s="692" t="s">
        <v>496</v>
      </c>
      <c r="M17" s="663" t="s">
        <v>500</v>
      </c>
      <c r="N17" s="664" t="s">
        <v>217</v>
      </c>
      <c r="O17" s="688" t="s">
        <v>218</v>
      </c>
      <c r="P17" s="689">
        <v>3154</v>
      </c>
      <c r="Q17" s="690">
        <v>1998</v>
      </c>
      <c r="R17" s="669">
        <v>1375</v>
      </c>
      <c r="S17" s="691" t="s">
        <v>515</v>
      </c>
      <c r="T17" s="692" t="s">
        <v>501</v>
      </c>
      <c r="U17" s="681"/>
    </row>
    <row r="18" spans="2:21" ht="27" customHeight="1">
      <c r="B18" s="711"/>
      <c r="E18" s="663" t="s">
        <v>498</v>
      </c>
      <c r="F18" s="664" t="s">
        <v>217</v>
      </c>
      <c r="G18" s="688" t="s">
        <v>218</v>
      </c>
      <c r="H18" s="689">
        <v>1950</v>
      </c>
      <c r="I18" s="690">
        <v>1910</v>
      </c>
      <c r="J18" s="669">
        <v>805</v>
      </c>
      <c r="K18" s="691" t="s">
        <v>9</v>
      </c>
      <c r="L18" s="692" t="s">
        <v>499</v>
      </c>
      <c r="M18" s="663" t="s">
        <v>510</v>
      </c>
      <c r="N18" s="664" t="s">
        <v>217</v>
      </c>
      <c r="O18" s="688" t="s">
        <v>218</v>
      </c>
      <c r="P18" s="689">
        <v>3479</v>
      </c>
      <c r="Q18" s="690">
        <v>2018</v>
      </c>
      <c r="R18" s="669">
        <v>1169</v>
      </c>
      <c r="S18" s="691" t="s">
        <v>515</v>
      </c>
      <c r="T18" s="692" t="s">
        <v>511</v>
      </c>
      <c r="U18" s="681"/>
    </row>
    <row r="19" spans="2:21" ht="27" customHeight="1">
      <c r="B19" s="711"/>
      <c r="E19" s="693" t="s">
        <v>504</v>
      </c>
      <c r="F19" s="705" t="s">
        <v>217</v>
      </c>
      <c r="G19" s="706" t="s">
        <v>218</v>
      </c>
      <c r="H19" s="707">
        <v>1985</v>
      </c>
      <c r="I19" s="708">
        <v>2015</v>
      </c>
      <c r="J19" s="709">
        <v>465</v>
      </c>
      <c r="K19" s="691" t="s">
        <v>9</v>
      </c>
      <c r="L19" s="692" t="s">
        <v>503</v>
      </c>
      <c r="M19" s="663" t="s">
        <v>498</v>
      </c>
      <c r="N19" s="664" t="s">
        <v>217</v>
      </c>
      <c r="O19" s="688" t="s">
        <v>218</v>
      </c>
      <c r="P19" s="689">
        <v>3525</v>
      </c>
      <c r="Q19" s="690">
        <v>1910</v>
      </c>
      <c r="R19" s="669">
        <v>986</v>
      </c>
      <c r="S19" s="691" t="s">
        <v>515</v>
      </c>
      <c r="T19" s="692" t="s">
        <v>499</v>
      </c>
      <c r="U19" s="681"/>
    </row>
    <row r="20" spans="2:21" ht="27" customHeight="1" thickBot="1">
      <c r="B20" s="714"/>
      <c r="E20" s="663" t="s">
        <v>500</v>
      </c>
      <c r="F20" s="664" t="s">
        <v>217</v>
      </c>
      <c r="G20" s="688" t="s">
        <v>218</v>
      </c>
      <c r="H20" s="689">
        <v>2035</v>
      </c>
      <c r="I20" s="690">
        <v>1998</v>
      </c>
      <c r="J20" s="669">
        <v>483</v>
      </c>
      <c r="K20" s="691" t="s">
        <v>9</v>
      </c>
      <c r="L20" s="692" t="s">
        <v>501</v>
      </c>
      <c r="M20" s="663" t="s">
        <v>518</v>
      </c>
      <c r="N20" s="664" t="s">
        <v>217</v>
      </c>
      <c r="O20" s="688" t="s">
        <v>218</v>
      </c>
      <c r="P20" s="689">
        <v>3545</v>
      </c>
      <c r="Q20" s="690">
        <v>2007</v>
      </c>
      <c r="R20" s="669">
        <v>1238</v>
      </c>
      <c r="S20" s="691" t="s">
        <v>515</v>
      </c>
      <c r="T20" s="692" t="s">
        <v>519</v>
      </c>
      <c r="U20" s="681"/>
    </row>
    <row r="21" spans="2:21" ht="34.049999999999997" customHeight="1" thickTop="1" thickBot="1">
      <c r="B21" s="716" t="s">
        <v>153</v>
      </c>
      <c r="C21" s="717" t="s">
        <v>591</v>
      </c>
      <c r="E21" s="1099" t="s">
        <v>502</v>
      </c>
      <c r="F21" s="1100"/>
      <c r="G21" s="1100"/>
      <c r="H21" s="694">
        <f>AVERAGE(H16:H20)</f>
        <v>1946.8</v>
      </c>
      <c r="I21" s="695"/>
      <c r="J21" s="696">
        <f>AVERAGE(J16:J20)</f>
        <v>581.4</v>
      </c>
      <c r="K21" s="697"/>
      <c r="L21" s="698"/>
      <c r="M21" s="1099" t="s">
        <v>516</v>
      </c>
      <c r="N21" s="1100"/>
      <c r="O21" s="1100"/>
      <c r="P21" s="694">
        <f>AVERAGE(P16:P20)</f>
        <v>3416.2</v>
      </c>
      <c r="Q21" s="695"/>
      <c r="R21" s="696">
        <f>AVERAGE(R16:R20)</f>
        <v>1155.4000000000001</v>
      </c>
      <c r="S21" s="697"/>
      <c r="T21" s="698"/>
      <c r="U21" s="681"/>
    </row>
    <row r="22" spans="2:21" ht="27" customHeight="1" thickTop="1">
      <c r="B22" s="721" t="s">
        <v>159</v>
      </c>
      <c r="C22" s="722">
        <v>3.28</v>
      </c>
      <c r="E22" s="693" t="s">
        <v>498</v>
      </c>
      <c r="F22" s="705" t="s">
        <v>217</v>
      </c>
      <c r="G22" s="706" t="s">
        <v>218</v>
      </c>
      <c r="H22" s="707">
        <v>2295</v>
      </c>
      <c r="I22" s="708">
        <v>1910</v>
      </c>
      <c r="J22" s="709">
        <v>714</v>
      </c>
      <c r="K22" s="710" t="s">
        <v>509</v>
      </c>
      <c r="L22" s="699" t="s">
        <v>499</v>
      </c>
      <c r="M22" s="663" t="s">
        <v>520</v>
      </c>
      <c r="N22" s="664" t="s">
        <v>217</v>
      </c>
      <c r="O22" s="688" t="s">
        <v>218</v>
      </c>
      <c r="P22" s="689">
        <v>5049</v>
      </c>
      <c r="Q22" s="690">
        <v>2022</v>
      </c>
      <c r="R22" s="669">
        <v>1274</v>
      </c>
      <c r="S22" s="691" t="s">
        <v>522</v>
      </c>
      <c r="T22" s="692" t="s">
        <v>521</v>
      </c>
      <c r="U22" s="681"/>
    </row>
    <row r="23" spans="2:21" ht="27" customHeight="1">
      <c r="B23" s="723" t="s">
        <v>160</v>
      </c>
      <c r="C23" s="724">
        <v>3.63</v>
      </c>
      <c r="E23" s="693" t="s">
        <v>500</v>
      </c>
      <c r="F23" s="705" t="s">
        <v>217</v>
      </c>
      <c r="G23" s="706" t="s">
        <v>218</v>
      </c>
      <c r="H23" s="707">
        <v>2300</v>
      </c>
      <c r="I23" s="708">
        <v>1998</v>
      </c>
      <c r="J23" s="709">
        <v>732</v>
      </c>
      <c r="K23" s="691" t="s">
        <v>509</v>
      </c>
      <c r="L23" s="692" t="s">
        <v>501</v>
      </c>
      <c r="M23" s="663" t="s">
        <v>524</v>
      </c>
      <c r="N23" s="664" t="s">
        <v>217</v>
      </c>
      <c r="O23" s="688" t="s">
        <v>218</v>
      </c>
      <c r="P23" s="689">
        <v>5168</v>
      </c>
      <c r="Q23" s="690">
        <v>2022</v>
      </c>
      <c r="R23" s="669">
        <v>1345</v>
      </c>
      <c r="S23" s="691" t="s">
        <v>522</v>
      </c>
      <c r="T23" s="692" t="s">
        <v>523</v>
      </c>
      <c r="U23" s="681"/>
    </row>
    <row r="24" spans="2:21" ht="27" customHeight="1">
      <c r="B24" s="723" t="s">
        <v>155</v>
      </c>
      <c r="C24" s="725">
        <v>2302</v>
      </c>
      <c r="E24" s="663" t="s">
        <v>510</v>
      </c>
      <c r="F24" s="664" t="s">
        <v>217</v>
      </c>
      <c r="G24" s="688" t="s">
        <v>218</v>
      </c>
      <c r="H24" s="689">
        <v>2525</v>
      </c>
      <c r="I24" s="690">
        <v>2018</v>
      </c>
      <c r="J24" s="669">
        <v>851</v>
      </c>
      <c r="K24" s="691" t="s">
        <v>509</v>
      </c>
      <c r="L24" s="692" t="s">
        <v>511</v>
      </c>
      <c r="M24" s="663" t="s">
        <v>525</v>
      </c>
      <c r="N24" s="664" t="s">
        <v>217</v>
      </c>
      <c r="O24" s="688" t="s">
        <v>218</v>
      </c>
      <c r="P24" s="689">
        <v>4339</v>
      </c>
      <c r="Q24" s="690">
        <v>2020</v>
      </c>
      <c r="R24" s="669">
        <v>1207</v>
      </c>
      <c r="S24" s="691" t="s">
        <v>522</v>
      </c>
      <c r="T24" s="692" t="s">
        <v>526</v>
      </c>
      <c r="U24" s="681"/>
    </row>
    <row r="25" spans="2:21" ht="27" customHeight="1">
      <c r="B25" s="723" t="s">
        <v>156</v>
      </c>
      <c r="C25" s="725">
        <v>2622</v>
      </c>
      <c r="E25" s="663" t="s">
        <v>512</v>
      </c>
      <c r="F25" s="664" t="s">
        <v>217</v>
      </c>
      <c r="G25" s="688" t="s">
        <v>218</v>
      </c>
      <c r="H25" s="689">
        <v>2260</v>
      </c>
      <c r="I25" s="690">
        <v>2019</v>
      </c>
      <c r="J25" s="669">
        <v>813</v>
      </c>
      <c r="K25" s="691" t="s">
        <v>509</v>
      </c>
      <c r="L25" s="692" t="s">
        <v>513</v>
      </c>
      <c r="M25" s="663" t="s">
        <v>527</v>
      </c>
      <c r="N25" s="664" t="s">
        <v>217</v>
      </c>
      <c r="O25" s="688" t="s">
        <v>218</v>
      </c>
      <c r="P25" s="689">
        <v>4328</v>
      </c>
      <c r="Q25" s="690">
        <v>2002</v>
      </c>
      <c r="R25" s="669">
        <v>1423</v>
      </c>
      <c r="S25" s="691" t="s">
        <v>522</v>
      </c>
      <c r="T25" s="692" t="s">
        <v>528</v>
      </c>
      <c r="U25" s="681"/>
    </row>
    <row r="26" spans="2:21" ht="27" customHeight="1">
      <c r="B26" s="723" t="s">
        <v>154</v>
      </c>
      <c r="C26" s="726">
        <v>5.6000000000000001E-2</v>
      </c>
      <c r="E26" s="663" t="s">
        <v>494</v>
      </c>
      <c r="F26" s="664" t="s">
        <v>217</v>
      </c>
      <c r="G26" s="688" t="s">
        <v>218</v>
      </c>
      <c r="H26" s="689">
        <v>2430</v>
      </c>
      <c r="I26" s="690">
        <v>2018</v>
      </c>
      <c r="J26" s="669">
        <v>723</v>
      </c>
      <c r="K26" s="691" t="s">
        <v>509</v>
      </c>
      <c r="L26" s="692" t="s">
        <v>497</v>
      </c>
      <c r="M26" s="663" t="s">
        <v>529</v>
      </c>
      <c r="N26" s="664" t="s">
        <v>217</v>
      </c>
      <c r="O26" s="688" t="s">
        <v>218</v>
      </c>
      <c r="P26" s="689">
        <v>4417</v>
      </c>
      <c r="Q26" s="690">
        <v>1962</v>
      </c>
      <c r="R26" s="669">
        <v>1383</v>
      </c>
      <c r="S26" s="691" t="s">
        <v>522</v>
      </c>
      <c r="T26" s="692" t="s">
        <v>530</v>
      </c>
      <c r="U26" s="681"/>
    </row>
    <row r="27" spans="2:21" ht="34.049999999999997" customHeight="1" thickBot="1">
      <c r="B27" s="719" t="s">
        <v>176</v>
      </c>
      <c r="C27" s="720" t="s">
        <v>174</v>
      </c>
      <c r="D27" s="728"/>
      <c r="E27" s="1099" t="s">
        <v>514</v>
      </c>
      <c r="F27" s="1100"/>
      <c r="G27" s="1100"/>
      <c r="H27" s="694">
        <f>AVERAGE(H22:H26)</f>
        <v>2362</v>
      </c>
      <c r="I27" s="695"/>
      <c r="J27" s="696">
        <f>AVERAGE(J22:J26)</f>
        <v>766.6</v>
      </c>
      <c r="K27" s="697"/>
      <c r="L27" s="698"/>
      <c r="M27" s="1099" t="s">
        <v>517</v>
      </c>
      <c r="N27" s="1100"/>
      <c r="O27" s="1100"/>
      <c r="P27" s="694">
        <f>AVERAGE(P22:P26)</f>
        <v>4660.2</v>
      </c>
      <c r="Q27" s="695"/>
      <c r="R27" s="696">
        <f>AVERAGE(R22:R26)</f>
        <v>1326.4</v>
      </c>
      <c r="S27" s="697"/>
      <c r="T27" s="698"/>
      <c r="U27" s="681"/>
    </row>
    <row r="28" spans="2:21" ht="16.2" thickTop="1" thickBot="1">
      <c r="Q28" s="681"/>
      <c r="R28" s="681"/>
      <c r="S28" s="681"/>
      <c r="T28" s="681"/>
      <c r="U28" s="681"/>
    </row>
    <row r="29" spans="2:21" ht="36.6" thickTop="1" thickBot="1">
      <c r="B29" s="1092" t="s">
        <v>592</v>
      </c>
      <c r="C29" s="1093"/>
      <c r="D29" s="1093"/>
      <c r="E29" s="1093"/>
      <c r="F29" s="1093"/>
      <c r="G29" s="1093"/>
      <c r="H29" s="1093"/>
      <c r="I29" s="1093"/>
      <c r="J29" s="1093"/>
      <c r="K29" s="1093"/>
      <c r="L29" s="1093"/>
      <c r="M29" s="1093"/>
      <c r="N29" s="1093"/>
      <c r="O29" s="1093"/>
      <c r="P29" s="1093"/>
      <c r="Q29" s="1093"/>
      <c r="R29" s="1093"/>
      <c r="S29" s="1093"/>
      <c r="T29" s="1094"/>
    </row>
    <row r="30" spans="2:21" ht="16.2" thickTop="1" thickBot="1">
      <c r="B30" s="1095" t="s">
        <v>597</v>
      </c>
      <c r="C30" s="1096"/>
      <c r="E30" s="743" t="s">
        <v>291</v>
      </c>
      <c r="F30" s="1098" t="s">
        <v>113</v>
      </c>
      <c r="G30" s="1098"/>
      <c r="H30" s="1098" t="s">
        <v>301</v>
      </c>
      <c r="I30" s="1098"/>
      <c r="J30" s="744" t="s">
        <v>292</v>
      </c>
      <c r="K30" s="745" t="s">
        <v>505</v>
      </c>
      <c r="L30" s="746" t="s">
        <v>506</v>
      </c>
      <c r="T30" s="727"/>
    </row>
    <row r="31" spans="2:21" ht="15.6" thickBot="1">
      <c r="B31" s="1052"/>
      <c r="C31" s="1053"/>
      <c r="E31" s="732" t="s">
        <v>293</v>
      </c>
      <c r="F31" s="1097" t="s">
        <v>294</v>
      </c>
      <c r="G31" s="1097"/>
      <c r="H31" s="1097" t="s">
        <v>302</v>
      </c>
      <c r="I31" s="1097"/>
      <c r="J31" s="733" t="s">
        <v>9</v>
      </c>
      <c r="K31" s="734">
        <v>654</v>
      </c>
      <c r="L31" s="735">
        <v>1044</v>
      </c>
      <c r="T31" s="727"/>
    </row>
    <row r="32" spans="2:21" ht="15.6" thickTop="1">
      <c r="B32" s="711" t="s">
        <v>593</v>
      </c>
      <c r="C32" s="718">
        <v>1350</v>
      </c>
      <c r="E32" s="739" t="s">
        <v>295</v>
      </c>
      <c r="F32" s="1083" t="s">
        <v>296</v>
      </c>
      <c r="G32" s="1083"/>
      <c r="H32" s="1083" t="s">
        <v>303</v>
      </c>
      <c r="I32" s="1083"/>
      <c r="J32" s="740" t="s">
        <v>9</v>
      </c>
      <c r="K32" s="741">
        <v>734</v>
      </c>
      <c r="L32" s="742">
        <v>857</v>
      </c>
      <c r="T32" s="727"/>
    </row>
    <row r="33" spans="2:20">
      <c r="B33" s="711" t="s">
        <v>594</v>
      </c>
      <c r="C33" s="718">
        <v>1300</v>
      </c>
      <c r="E33" s="739" t="s">
        <v>297</v>
      </c>
      <c r="F33" s="1083" t="s">
        <v>298</v>
      </c>
      <c r="G33" s="1083"/>
      <c r="H33" s="1083" t="s">
        <v>304</v>
      </c>
      <c r="I33" s="1083"/>
      <c r="J33" s="740" t="s">
        <v>9</v>
      </c>
      <c r="K33" s="741">
        <v>848</v>
      </c>
      <c r="L33" s="742">
        <v>848</v>
      </c>
      <c r="T33" s="727"/>
    </row>
    <row r="34" spans="2:20">
      <c r="B34" s="711" t="s">
        <v>595</v>
      </c>
      <c r="C34" s="718">
        <v>1250</v>
      </c>
      <c r="E34" s="730" t="s">
        <v>299</v>
      </c>
      <c r="F34" s="1084" t="s">
        <v>300</v>
      </c>
      <c r="G34" s="1084"/>
      <c r="H34" s="1084" t="s">
        <v>305</v>
      </c>
      <c r="I34" s="1084"/>
      <c r="J34" s="146" t="s">
        <v>9</v>
      </c>
      <c r="K34" s="147">
        <v>771</v>
      </c>
      <c r="L34" s="731">
        <v>1316</v>
      </c>
      <c r="T34" s="727"/>
    </row>
    <row r="35" spans="2:20" ht="15.6" thickBot="1">
      <c r="B35" s="711" t="s">
        <v>596</v>
      </c>
      <c r="C35" s="718">
        <v>1200</v>
      </c>
      <c r="E35" s="736"/>
      <c r="F35" s="1091"/>
      <c r="G35" s="1091"/>
      <c r="H35" s="1085"/>
      <c r="I35" s="1085"/>
      <c r="J35" s="470"/>
      <c r="K35" s="471">
        <f>MIN(K31:K34)</f>
        <v>654</v>
      </c>
      <c r="L35" s="737">
        <f>MAX(L31:L34)</f>
        <v>1316</v>
      </c>
      <c r="T35" s="727"/>
    </row>
    <row r="36" spans="2:20" ht="15.6" thickBot="1">
      <c r="B36" s="714" t="s">
        <v>589</v>
      </c>
      <c r="C36" s="715" t="s">
        <v>590</v>
      </c>
      <c r="E36" s="750" t="s">
        <v>293</v>
      </c>
      <c r="F36" s="1086" t="s">
        <v>294</v>
      </c>
      <c r="G36" s="1086"/>
      <c r="H36" s="1086" t="s">
        <v>302</v>
      </c>
      <c r="I36" s="1086"/>
      <c r="J36" s="751" t="s">
        <v>10</v>
      </c>
      <c r="K36" s="752">
        <v>621</v>
      </c>
      <c r="L36" s="753">
        <v>822</v>
      </c>
      <c r="T36" s="727"/>
    </row>
    <row r="37" spans="2:20" ht="15.6" thickTop="1">
      <c r="B37" s="711"/>
      <c r="E37" s="739" t="s">
        <v>295</v>
      </c>
      <c r="F37" s="1083" t="s">
        <v>296</v>
      </c>
      <c r="G37" s="1083"/>
      <c r="H37" s="1083" t="s">
        <v>303</v>
      </c>
      <c r="I37" s="1083"/>
      <c r="J37" s="740" t="s">
        <v>10</v>
      </c>
      <c r="K37" s="741">
        <v>774</v>
      </c>
      <c r="L37" s="742">
        <v>1204</v>
      </c>
      <c r="T37" s="727"/>
    </row>
    <row r="38" spans="2:20">
      <c r="B38" s="711"/>
      <c r="E38" s="739" t="s">
        <v>297</v>
      </c>
      <c r="F38" s="1083" t="s">
        <v>298</v>
      </c>
      <c r="G38" s="1083"/>
      <c r="H38" s="1083" t="s">
        <v>304</v>
      </c>
      <c r="I38" s="1083"/>
      <c r="J38" s="740" t="s">
        <v>10</v>
      </c>
      <c r="K38" s="741">
        <v>793</v>
      </c>
      <c r="L38" s="742">
        <v>1339</v>
      </c>
      <c r="T38" s="727"/>
    </row>
    <row r="39" spans="2:20">
      <c r="B39" s="711"/>
      <c r="E39" s="739" t="s">
        <v>299</v>
      </c>
      <c r="F39" s="1083" t="s">
        <v>300</v>
      </c>
      <c r="G39" s="1083"/>
      <c r="H39" s="1083" t="s">
        <v>305</v>
      </c>
      <c r="I39" s="1083"/>
      <c r="J39" s="740" t="s">
        <v>10</v>
      </c>
      <c r="K39" s="741">
        <v>622</v>
      </c>
      <c r="L39" s="742">
        <v>993</v>
      </c>
      <c r="T39" s="727"/>
    </row>
    <row r="40" spans="2:20" ht="15.6" thickBot="1">
      <c r="B40" s="711"/>
      <c r="E40" s="754"/>
      <c r="F40" s="1088"/>
      <c r="G40" s="1088"/>
      <c r="H40" s="1087"/>
      <c r="I40" s="1087"/>
      <c r="J40" s="729"/>
      <c r="K40" s="755">
        <f>MIN(K36:K39)</f>
        <v>621</v>
      </c>
      <c r="L40" s="756">
        <f>MAX(L36:L39)</f>
        <v>1339</v>
      </c>
      <c r="T40" s="727"/>
    </row>
    <row r="41" spans="2:20">
      <c r="B41" s="711"/>
      <c r="E41" s="750" t="s">
        <v>293</v>
      </c>
      <c r="F41" s="1086" t="s">
        <v>294</v>
      </c>
      <c r="G41" s="1086"/>
      <c r="H41" s="1086" t="s">
        <v>302</v>
      </c>
      <c r="I41" s="1086"/>
      <c r="J41" s="751" t="s">
        <v>11</v>
      </c>
      <c r="K41" s="752">
        <v>788</v>
      </c>
      <c r="L41" s="753">
        <v>978</v>
      </c>
      <c r="T41" s="727"/>
    </row>
    <row r="42" spans="2:20">
      <c r="B42" s="711"/>
      <c r="E42" s="739" t="s">
        <v>295</v>
      </c>
      <c r="F42" s="1083" t="s">
        <v>296</v>
      </c>
      <c r="G42" s="1083"/>
      <c r="H42" s="1083" t="s">
        <v>303</v>
      </c>
      <c r="I42" s="1083"/>
      <c r="J42" s="740" t="s">
        <v>11</v>
      </c>
      <c r="K42" s="741">
        <v>742</v>
      </c>
      <c r="L42" s="742">
        <v>1784</v>
      </c>
      <c r="T42" s="727"/>
    </row>
    <row r="43" spans="2:20">
      <c r="B43" s="711"/>
      <c r="E43" s="739" t="s">
        <v>297</v>
      </c>
      <c r="F43" s="1083" t="s">
        <v>298</v>
      </c>
      <c r="G43" s="1083"/>
      <c r="H43" s="1083" t="s">
        <v>304</v>
      </c>
      <c r="I43" s="1083"/>
      <c r="J43" s="740" t="s">
        <v>11</v>
      </c>
      <c r="K43" s="741">
        <v>903</v>
      </c>
      <c r="L43" s="742">
        <v>1906</v>
      </c>
      <c r="T43" s="727"/>
    </row>
    <row r="44" spans="2:20">
      <c r="B44" s="711"/>
      <c r="E44" s="739" t="s">
        <v>299</v>
      </c>
      <c r="F44" s="1083" t="s">
        <v>300</v>
      </c>
      <c r="G44" s="1083"/>
      <c r="H44" s="1083" t="s">
        <v>305</v>
      </c>
      <c r="I44" s="1083"/>
      <c r="J44" s="740" t="s">
        <v>11</v>
      </c>
      <c r="K44" s="741">
        <v>861</v>
      </c>
      <c r="L44" s="742">
        <v>1006</v>
      </c>
      <c r="T44" s="727"/>
    </row>
    <row r="45" spans="2:20" ht="15.6" thickBot="1">
      <c r="B45" s="711"/>
      <c r="E45" s="754"/>
      <c r="F45" s="1088"/>
      <c r="G45" s="1088"/>
      <c r="H45" s="1087"/>
      <c r="I45" s="1087"/>
      <c r="J45" s="729"/>
      <c r="K45" s="755">
        <f>MIN(K41:K44)</f>
        <v>742</v>
      </c>
      <c r="L45" s="756">
        <f>MAX(L41:L44)</f>
        <v>1906</v>
      </c>
      <c r="T45" s="727"/>
    </row>
    <row r="46" spans="2:20">
      <c r="B46" s="711"/>
      <c r="E46" s="750" t="s">
        <v>295</v>
      </c>
      <c r="F46" s="1086" t="s">
        <v>296</v>
      </c>
      <c r="G46" s="1086"/>
      <c r="H46" s="1086" t="s">
        <v>303</v>
      </c>
      <c r="I46" s="1086"/>
      <c r="J46" s="751" t="s">
        <v>12</v>
      </c>
      <c r="K46" s="752">
        <v>1298</v>
      </c>
      <c r="L46" s="753">
        <v>1298</v>
      </c>
      <c r="T46" s="727"/>
    </row>
    <row r="47" spans="2:20">
      <c r="B47" s="711"/>
      <c r="E47" s="739" t="s">
        <v>297</v>
      </c>
      <c r="F47" s="1083" t="s">
        <v>298</v>
      </c>
      <c r="G47" s="1083"/>
      <c r="H47" s="1083" t="s">
        <v>304</v>
      </c>
      <c r="I47" s="1083"/>
      <c r="J47" s="740" t="s">
        <v>12</v>
      </c>
      <c r="K47" s="741">
        <v>1892</v>
      </c>
      <c r="L47" s="742">
        <v>2061</v>
      </c>
      <c r="T47" s="727"/>
    </row>
    <row r="48" spans="2:20" ht="15.6" thickBot="1">
      <c r="B48" s="714"/>
      <c r="C48" s="728"/>
      <c r="D48" s="728"/>
      <c r="E48" s="747"/>
      <c r="F48" s="1089"/>
      <c r="G48" s="1089"/>
      <c r="H48" s="1090"/>
      <c r="I48" s="1090"/>
      <c r="J48" s="738"/>
      <c r="K48" s="748">
        <f>MIN(K46:K47)</f>
        <v>1298</v>
      </c>
      <c r="L48" s="749">
        <f>MAX(L46:L47)</f>
        <v>2061</v>
      </c>
      <c r="M48" s="728"/>
      <c r="N48" s="728"/>
      <c r="O48" s="728"/>
      <c r="P48" s="728"/>
      <c r="Q48" s="757"/>
      <c r="R48" s="757"/>
      <c r="S48" s="757"/>
      <c r="T48" s="758"/>
    </row>
    <row r="49" spans="2:20" ht="16.2" thickTop="1" thickBot="1"/>
    <row r="50" spans="2:20" ht="36.6" thickTop="1" thickBot="1">
      <c r="B50" s="1010" t="s">
        <v>599</v>
      </c>
      <c r="C50" s="1011"/>
      <c r="D50" s="1011"/>
      <c r="E50" s="1011"/>
      <c r="F50" s="1011"/>
      <c r="G50" s="1011"/>
      <c r="H50" s="1011"/>
      <c r="I50" s="1011"/>
      <c r="J50" s="1011"/>
      <c r="K50" s="1011"/>
      <c r="L50" s="1011"/>
      <c r="M50" s="1011"/>
      <c r="N50" s="1011"/>
      <c r="O50" s="1011"/>
      <c r="P50" s="1011"/>
      <c r="Q50" s="1011"/>
      <c r="R50" s="1011"/>
      <c r="S50" s="1011"/>
      <c r="T50" s="1012"/>
    </row>
    <row r="51" spans="2:20" ht="32.4" thickTop="1" thickBot="1">
      <c r="B51" s="1051" t="s">
        <v>602</v>
      </c>
      <c r="C51" s="1043"/>
      <c r="E51" s="660" t="s">
        <v>113</v>
      </c>
      <c r="F51" s="661" t="s">
        <v>114</v>
      </c>
      <c r="G51" s="661" t="s">
        <v>115</v>
      </c>
      <c r="H51" s="661" t="s">
        <v>116</v>
      </c>
      <c r="I51" s="661" t="s">
        <v>117</v>
      </c>
      <c r="J51" s="861" t="s">
        <v>212</v>
      </c>
      <c r="K51" s="662" t="s">
        <v>216</v>
      </c>
      <c r="L51" s="661" t="s">
        <v>226</v>
      </c>
      <c r="M51" s="862" t="s">
        <v>213</v>
      </c>
      <c r="N51" s="1015" t="s">
        <v>214</v>
      </c>
      <c r="O51" s="1015"/>
      <c r="P51" s="1015"/>
      <c r="Q51" s="1015"/>
      <c r="R51" s="1015"/>
      <c r="S51" s="1015"/>
      <c r="T51" s="1053"/>
    </row>
    <row r="52" spans="2:20" ht="31.2" thickTop="1" thickBot="1">
      <c r="B52" s="1052"/>
      <c r="C52" s="1053"/>
      <c r="E52" s="682" t="s">
        <v>215</v>
      </c>
      <c r="F52" s="683" t="s">
        <v>217</v>
      </c>
      <c r="G52" s="683" t="s">
        <v>218</v>
      </c>
      <c r="H52" s="770">
        <v>45180</v>
      </c>
      <c r="I52" s="771">
        <v>6400000</v>
      </c>
      <c r="J52" s="772">
        <v>0.39</v>
      </c>
      <c r="K52" s="773" t="s">
        <v>221</v>
      </c>
      <c r="L52" s="774" t="s">
        <v>219</v>
      </c>
      <c r="M52" s="775">
        <f t="shared" ref="M52:M61" si="1">I52/J52</f>
        <v>16410256.41025641</v>
      </c>
      <c r="N52" s="1062" t="s">
        <v>227</v>
      </c>
      <c r="O52" s="1062"/>
      <c r="P52" s="1062"/>
      <c r="Q52" s="1062"/>
      <c r="R52" s="1062"/>
      <c r="S52" s="1062"/>
      <c r="T52" s="1063"/>
    </row>
    <row r="53" spans="2:20" ht="16.2" thickTop="1">
      <c r="B53" s="866" t="s">
        <v>601</v>
      </c>
      <c r="C53" s="867">
        <v>45000000</v>
      </c>
      <c r="E53" s="663" t="s">
        <v>220</v>
      </c>
      <c r="F53" s="664" t="s">
        <v>217</v>
      </c>
      <c r="G53" s="664" t="s">
        <v>218</v>
      </c>
      <c r="H53" s="665">
        <v>45107</v>
      </c>
      <c r="I53" s="666">
        <v>9100000</v>
      </c>
      <c r="J53" s="759">
        <v>0.31</v>
      </c>
      <c r="K53" s="667" t="s">
        <v>222</v>
      </c>
      <c r="L53" s="668" t="s">
        <v>223</v>
      </c>
      <c r="M53" s="760">
        <f t="shared" si="1"/>
        <v>29354838.709677421</v>
      </c>
      <c r="N53" s="1064" t="s">
        <v>224</v>
      </c>
      <c r="O53" s="1064"/>
      <c r="P53" s="1064"/>
      <c r="Q53" s="1064"/>
      <c r="R53" s="1064"/>
      <c r="S53" s="1064"/>
      <c r="T53" s="1065"/>
    </row>
    <row r="54" spans="2:20" ht="30">
      <c r="B54" s="863" t="s">
        <v>603</v>
      </c>
      <c r="C54" s="868">
        <f>C53*0.25</f>
        <v>11250000</v>
      </c>
      <c r="E54" s="663" t="s">
        <v>228</v>
      </c>
      <c r="F54" s="664" t="s">
        <v>217</v>
      </c>
      <c r="G54" s="664" t="s">
        <v>218</v>
      </c>
      <c r="H54" s="665">
        <v>44873</v>
      </c>
      <c r="I54" s="666">
        <v>6800000</v>
      </c>
      <c r="J54" s="759">
        <v>0.27</v>
      </c>
      <c r="K54" s="667" t="s">
        <v>229</v>
      </c>
      <c r="L54" s="668" t="s">
        <v>90</v>
      </c>
      <c r="M54" s="760">
        <f t="shared" si="1"/>
        <v>25185185.185185183</v>
      </c>
      <c r="N54" s="1064" t="s">
        <v>230</v>
      </c>
      <c r="O54" s="1064"/>
      <c r="P54" s="1064"/>
      <c r="Q54" s="1064"/>
      <c r="R54" s="1064"/>
      <c r="S54" s="1064"/>
      <c r="T54" s="1065"/>
    </row>
    <row r="55" spans="2:20" ht="30.6" thickBot="1">
      <c r="B55" s="1079" t="s">
        <v>604</v>
      </c>
      <c r="C55" s="1080"/>
      <c r="E55" s="663" t="s">
        <v>231</v>
      </c>
      <c r="F55" s="664" t="s">
        <v>217</v>
      </c>
      <c r="G55" s="664" t="s">
        <v>218</v>
      </c>
      <c r="H55" s="665">
        <v>44820</v>
      </c>
      <c r="I55" s="666">
        <v>42000000</v>
      </c>
      <c r="J55" s="759">
        <v>0.63</v>
      </c>
      <c r="K55" s="667" t="s">
        <v>232</v>
      </c>
      <c r="L55" s="668" t="s">
        <v>129</v>
      </c>
      <c r="M55" s="760">
        <f t="shared" si="1"/>
        <v>66666666.666666664</v>
      </c>
      <c r="N55" s="1064" t="s">
        <v>157</v>
      </c>
      <c r="O55" s="1064"/>
      <c r="P55" s="1064"/>
      <c r="Q55" s="1064"/>
      <c r="R55" s="1064"/>
      <c r="S55" s="1064"/>
      <c r="T55" s="1065"/>
    </row>
    <row r="56" spans="2:20" ht="30.6" thickTop="1">
      <c r="B56" s="711"/>
      <c r="E56" s="663" t="s">
        <v>233</v>
      </c>
      <c r="F56" s="664" t="s">
        <v>217</v>
      </c>
      <c r="G56" s="664" t="s">
        <v>218</v>
      </c>
      <c r="H56" s="665">
        <v>44811</v>
      </c>
      <c r="I56" s="666">
        <v>5100000</v>
      </c>
      <c r="J56" s="759">
        <f>13939/43560</f>
        <v>0.31999540863177228</v>
      </c>
      <c r="K56" s="667" t="s">
        <v>236</v>
      </c>
      <c r="L56" s="668" t="s">
        <v>234</v>
      </c>
      <c r="M56" s="760">
        <f t="shared" si="1"/>
        <v>15937728.674940813</v>
      </c>
      <c r="N56" s="1064" t="s">
        <v>235</v>
      </c>
      <c r="O56" s="1064"/>
      <c r="P56" s="1064"/>
      <c r="Q56" s="1064"/>
      <c r="R56" s="1064"/>
      <c r="S56" s="1064"/>
      <c r="T56" s="1065"/>
    </row>
    <row r="57" spans="2:20" ht="30">
      <c r="B57" s="711"/>
      <c r="E57" s="663" t="s">
        <v>237</v>
      </c>
      <c r="F57" s="664" t="s">
        <v>217</v>
      </c>
      <c r="G57" s="664" t="s">
        <v>218</v>
      </c>
      <c r="H57" s="665">
        <v>44791</v>
      </c>
      <c r="I57" s="666">
        <v>17500000</v>
      </c>
      <c r="J57" s="759">
        <v>0.61</v>
      </c>
      <c r="K57" s="667" t="s">
        <v>238</v>
      </c>
      <c r="L57" s="668" t="s">
        <v>219</v>
      </c>
      <c r="M57" s="760">
        <f t="shared" si="1"/>
        <v>28688524.590163935</v>
      </c>
      <c r="N57" s="1064" t="s">
        <v>239</v>
      </c>
      <c r="O57" s="1064"/>
      <c r="P57" s="1064"/>
      <c r="Q57" s="1064"/>
      <c r="R57" s="1064"/>
      <c r="S57" s="1064"/>
      <c r="T57" s="1065"/>
    </row>
    <row r="58" spans="2:20" ht="31.2">
      <c r="B58" s="711"/>
      <c r="E58" s="761" t="s">
        <v>240</v>
      </c>
      <c r="F58" s="762" t="s">
        <v>217</v>
      </c>
      <c r="G58" s="762" t="s">
        <v>218</v>
      </c>
      <c r="H58" s="763">
        <v>44726</v>
      </c>
      <c r="I58" s="764">
        <v>22500000</v>
      </c>
      <c r="J58" s="765">
        <v>1.8107</v>
      </c>
      <c r="K58" s="766" t="s">
        <v>225</v>
      </c>
      <c r="L58" s="767" t="s">
        <v>219</v>
      </c>
      <c r="M58" s="768">
        <f t="shared" si="1"/>
        <v>12426133.539515104</v>
      </c>
      <c r="N58" s="1081" t="s">
        <v>600</v>
      </c>
      <c r="O58" s="1081"/>
      <c r="P58" s="1081"/>
      <c r="Q58" s="1081"/>
      <c r="R58" s="1081"/>
      <c r="S58" s="1081"/>
      <c r="T58" s="1082"/>
    </row>
    <row r="59" spans="2:20" ht="70.05" customHeight="1">
      <c r="B59" s="711"/>
      <c r="E59" s="663" t="s">
        <v>241</v>
      </c>
      <c r="F59" s="664" t="s">
        <v>217</v>
      </c>
      <c r="G59" s="664" t="s">
        <v>218</v>
      </c>
      <c r="H59" s="665">
        <v>44713</v>
      </c>
      <c r="I59" s="666">
        <v>29000000</v>
      </c>
      <c r="J59" s="759">
        <f>19105/43560</f>
        <v>0.4385904499540863</v>
      </c>
      <c r="K59" s="667" t="s">
        <v>243</v>
      </c>
      <c r="L59" s="668" t="s">
        <v>219</v>
      </c>
      <c r="M59" s="760">
        <f t="shared" si="1"/>
        <v>66120910.756346509</v>
      </c>
      <c r="N59" s="1064" t="s">
        <v>242</v>
      </c>
      <c r="O59" s="1064"/>
      <c r="P59" s="1064"/>
      <c r="Q59" s="1064"/>
      <c r="R59" s="1064"/>
      <c r="S59" s="1064"/>
      <c r="T59" s="1065"/>
    </row>
    <row r="60" spans="2:20" ht="33" customHeight="1">
      <c r="B60" s="711"/>
      <c r="E60" s="663" t="s">
        <v>244</v>
      </c>
      <c r="F60" s="664" t="s">
        <v>217</v>
      </c>
      <c r="G60" s="664" t="s">
        <v>218</v>
      </c>
      <c r="H60" s="665">
        <v>44670</v>
      </c>
      <c r="I60" s="666">
        <v>6600000</v>
      </c>
      <c r="J60" s="759">
        <v>0.6</v>
      </c>
      <c r="K60" s="667" t="s">
        <v>225</v>
      </c>
      <c r="L60" s="668" t="s">
        <v>129</v>
      </c>
      <c r="M60" s="760">
        <f t="shared" si="1"/>
        <v>11000000</v>
      </c>
      <c r="N60" s="1064" t="s">
        <v>157</v>
      </c>
      <c r="O60" s="1064"/>
      <c r="P60" s="1064"/>
      <c r="Q60" s="1064"/>
      <c r="R60" s="1064"/>
      <c r="S60" s="1064"/>
      <c r="T60" s="1065"/>
    </row>
    <row r="61" spans="2:20" ht="66" customHeight="1" thickBot="1">
      <c r="B61" s="711"/>
      <c r="E61" s="783" t="s">
        <v>247</v>
      </c>
      <c r="F61" s="704" t="s">
        <v>217</v>
      </c>
      <c r="G61" s="704" t="s">
        <v>218</v>
      </c>
      <c r="H61" s="784">
        <v>44606</v>
      </c>
      <c r="I61" s="785">
        <v>5560000</v>
      </c>
      <c r="J61" s="786">
        <v>0.25</v>
      </c>
      <c r="K61" s="787" t="s">
        <v>246</v>
      </c>
      <c r="L61" s="788" t="s">
        <v>219</v>
      </c>
      <c r="M61" s="789">
        <f t="shared" si="1"/>
        <v>22240000</v>
      </c>
      <c r="N61" s="1044" t="s">
        <v>245</v>
      </c>
      <c r="O61" s="1044"/>
      <c r="P61" s="1044"/>
      <c r="Q61" s="1044"/>
      <c r="R61" s="1044"/>
      <c r="S61" s="1044"/>
      <c r="T61" s="1045"/>
    </row>
    <row r="62" spans="2:20" ht="52.05" customHeight="1" thickTop="1" thickBot="1">
      <c r="B62" s="714"/>
      <c r="C62" s="728"/>
      <c r="D62" s="728"/>
      <c r="E62" s="776" t="s">
        <v>248</v>
      </c>
      <c r="F62" s="769"/>
      <c r="G62" s="769"/>
      <c r="H62" s="777"/>
      <c r="I62" s="778">
        <f>AVERAGE(I52:I61)</f>
        <v>15056000</v>
      </c>
      <c r="J62" s="779">
        <f>AVERAGE(J52:J61)</f>
        <v>0.56292858585858574</v>
      </c>
      <c r="K62" s="780"/>
      <c r="L62" s="781"/>
      <c r="M62" s="782">
        <f>SUMPRODUCT(M52:M61,I52:I61)/SUM(I52:I61)</f>
        <v>41977247.248181261</v>
      </c>
      <c r="N62" s="1077"/>
      <c r="O62" s="1077"/>
      <c r="P62" s="1077"/>
      <c r="Q62" s="1077"/>
      <c r="R62" s="1077"/>
      <c r="S62" s="1077"/>
      <c r="T62" s="1078"/>
    </row>
    <row r="63" spans="2:20" ht="16.2" thickTop="1" thickBot="1"/>
    <row r="64" spans="2:20" ht="36.6" thickTop="1" thickBot="1">
      <c r="B64" s="1010" t="s">
        <v>620</v>
      </c>
      <c r="C64" s="1011"/>
      <c r="D64" s="1011"/>
      <c r="E64" s="1011"/>
      <c r="F64" s="1011"/>
      <c r="G64" s="1011"/>
      <c r="H64" s="1011"/>
      <c r="I64" s="1011"/>
      <c r="J64" s="1011"/>
      <c r="K64" s="1011"/>
      <c r="L64" s="1011"/>
      <c r="M64" s="1011"/>
      <c r="N64" s="1011"/>
      <c r="O64" s="1011"/>
      <c r="P64" s="1011"/>
      <c r="Q64" s="1011"/>
      <c r="R64" s="1011"/>
      <c r="S64" s="1011"/>
      <c r="T64" s="1012"/>
    </row>
    <row r="65" spans="2:20" ht="28.05" customHeight="1" thickTop="1">
      <c r="B65" s="1051" t="s">
        <v>627</v>
      </c>
      <c r="C65" s="1043"/>
      <c r="E65" s="1072" t="s">
        <v>466</v>
      </c>
      <c r="F65" s="1073"/>
      <c r="G65" s="1073"/>
      <c r="H65" s="1073"/>
      <c r="I65" s="1073"/>
      <c r="J65" s="1073"/>
      <c r="K65" s="1073"/>
      <c r="L65" s="1073"/>
      <c r="M65" s="1073"/>
      <c r="N65" s="1073"/>
      <c r="O65" s="1073"/>
      <c r="P65" s="1073"/>
      <c r="Q65" s="1073"/>
      <c r="R65" s="1073"/>
      <c r="S65" s="1073"/>
      <c r="T65" s="1076"/>
    </row>
    <row r="66" spans="2:20" ht="31.8" thickBot="1">
      <c r="B66" s="1052"/>
      <c r="C66" s="1053"/>
      <c r="E66" s="837" t="s">
        <v>113</v>
      </c>
      <c r="F66" s="835" t="s">
        <v>114</v>
      </c>
      <c r="G66" s="835" t="s">
        <v>115</v>
      </c>
      <c r="H66" s="835" t="s">
        <v>116</v>
      </c>
      <c r="I66" s="835" t="s">
        <v>117</v>
      </c>
      <c r="J66" s="836" t="s">
        <v>93</v>
      </c>
      <c r="K66" s="835" t="s">
        <v>118</v>
      </c>
      <c r="L66" s="835" t="s">
        <v>119</v>
      </c>
      <c r="M66" s="836" t="s">
        <v>120</v>
      </c>
      <c r="N66" s="836" t="s">
        <v>121</v>
      </c>
      <c r="O66" s="1042" t="s">
        <v>214</v>
      </c>
      <c r="P66" s="1042"/>
      <c r="Q66" s="1042"/>
      <c r="R66" s="1042"/>
      <c r="S66" s="1042"/>
      <c r="T66" s="1043"/>
    </row>
    <row r="67" spans="2:20" ht="37.049999999999997" customHeight="1" thickTop="1">
      <c r="B67" s="863" t="s">
        <v>622</v>
      </c>
      <c r="C67" s="864">
        <v>4.7500000000000001E-2</v>
      </c>
      <c r="E67" s="682" t="s">
        <v>267</v>
      </c>
      <c r="F67" s="683" t="s">
        <v>217</v>
      </c>
      <c r="G67" s="683" t="s">
        <v>218</v>
      </c>
      <c r="H67" s="770">
        <v>44949</v>
      </c>
      <c r="I67" s="771">
        <v>2528000</v>
      </c>
      <c r="J67" s="773">
        <f>I67/L67</f>
        <v>457.97101449275362</v>
      </c>
      <c r="K67" s="774" t="s">
        <v>157</v>
      </c>
      <c r="L67" s="848">
        <v>5520</v>
      </c>
      <c r="M67" s="773" t="s">
        <v>157</v>
      </c>
      <c r="N67" s="683">
        <v>1948</v>
      </c>
      <c r="O67" s="1062" t="s">
        <v>480</v>
      </c>
      <c r="P67" s="1062"/>
      <c r="Q67" s="1062"/>
      <c r="R67" s="1062"/>
      <c r="S67" s="1062"/>
      <c r="T67" s="1063"/>
    </row>
    <row r="68" spans="2:20" ht="37.049999999999997" customHeight="1" thickBot="1">
      <c r="B68" s="863" t="s">
        <v>623</v>
      </c>
      <c r="C68" s="865">
        <v>45</v>
      </c>
      <c r="E68" s="663" t="s">
        <v>268</v>
      </c>
      <c r="F68" s="664" t="s">
        <v>217</v>
      </c>
      <c r="G68" s="664" t="s">
        <v>218</v>
      </c>
      <c r="H68" s="665">
        <v>44762</v>
      </c>
      <c r="I68" s="666">
        <v>10600000</v>
      </c>
      <c r="J68" s="667">
        <f>I68/L68</f>
        <v>486.19392716264565</v>
      </c>
      <c r="K68" s="668" t="s">
        <v>157</v>
      </c>
      <c r="L68" s="669">
        <v>21802</v>
      </c>
      <c r="M68" s="667" t="s">
        <v>157</v>
      </c>
      <c r="N68" s="664">
        <v>1928</v>
      </c>
      <c r="O68" s="1064" t="s">
        <v>481</v>
      </c>
      <c r="P68" s="1064"/>
      <c r="Q68" s="1064"/>
      <c r="R68" s="1064"/>
      <c r="S68" s="1064"/>
      <c r="T68" s="1065"/>
    </row>
    <row r="69" spans="2:20" ht="37.049999999999997" customHeight="1" thickTop="1" thickBot="1">
      <c r="B69" s="790"/>
      <c r="C69" s="851"/>
      <c r="E69" s="663" t="s">
        <v>269</v>
      </c>
      <c r="F69" s="664" t="s">
        <v>217</v>
      </c>
      <c r="G69" s="664" t="s">
        <v>218</v>
      </c>
      <c r="H69" s="665">
        <v>44721</v>
      </c>
      <c r="I69" s="666">
        <f>75000000/0.49</f>
        <v>153061224.48979592</v>
      </c>
      <c r="J69" s="667">
        <f>I69/L69</f>
        <v>278.29313543599261</v>
      </c>
      <c r="K69" s="668" t="s">
        <v>157</v>
      </c>
      <c r="L69" s="669">
        <v>550000</v>
      </c>
      <c r="M69" s="667" t="s">
        <v>157</v>
      </c>
      <c r="N69" s="664">
        <v>2001</v>
      </c>
      <c r="O69" s="1064" t="s">
        <v>157</v>
      </c>
      <c r="P69" s="1064"/>
      <c r="Q69" s="1064"/>
      <c r="R69" s="1064"/>
      <c r="S69" s="1064"/>
      <c r="T69" s="1065"/>
    </row>
    <row r="70" spans="2:20" ht="73.05" customHeight="1">
      <c r="B70" s="854" t="s">
        <v>172</v>
      </c>
      <c r="C70" s="852" t="s">
        <v>624</v>
      </c>
      <c r="E70" s="663" t="s">
        <v>270</v>
      </c>
      <c r="F70" s="664" t="s">
        <v>217</v>
      </c>
      <c r="G70" s="664" t="s">
        <v>218</v>
      </c>
      <c r="H70" s="665">
        <v>44698</v>
      </c>
      <c r="I70" s="666">
        <v>730000000</v>
      </c>
      <c r="J70" s="667">
        <f>I70/L70</f>
        <v>959.30068294323962</v>
      </c>
      <c r="K70" s="668">
        <v>4.2999999999999997E-2</v>
      </c>
      <c r="L70" s="669">
        <v>760971</v>
      </c>
      <c r="M70" s="667">
        <f>(K70*I70)/L70</f>
        <v>41.2499293665593</v>
      </c>
      <c r="N70" s="664">
        <v>2017</v>
      </c>
      <c r="O70" s="1064" t="s">
        <v>482</v>
      </c>
      <c r="P70" s="1064"/>
      <c r="Q70" s="1064"/>
      <c r="R70" s="1064"/>
      <c r="S70" s="1064"/>
      <c r="T70" s="1065"/>
    </row>
    <row r="71" spans="2:20" ht="73.05" customHeight="1" thickBot="1">
      <c r="B71" s="855" t="s">
        <v>158</v>
      </c>
      <c r="C71" s="79">
        <v>49.28</v>
      </c>
      <c r="E71" s="783" t="s">
        <v>271</v>
      </c>
      <c r="F71" s="704" t="s">
        <v>217</v>
      </c>
      <c r="G71" s="704" t="s">
        <v>218</v>
      </c>
      <c r="H71" s="784">
        <v>44588</v>
      </c>
      <c r="I71" s="785">
        <v>382000000</v>
      </c>
      <c r="J71" s="787">
        <f>I71/L71</f>
        <v>608.62236257004338</v>
      </c>
      <c r="K71" s="788">
        <v>4.4999999999999998E-2</v>
      </c>
      <c r="L71" s="841">
        <f>542848+84799</f>
        <v>627647</v>
      </c>
      <c r="M71" s="787">
        <f>(K71*I71)/L71</f>
        <v>27.38800631565195</v>
      </c>
      <c r="N71" s="704">
        <v>1991</v>
      </c>
      <c r="O71" s="1044" t="s">
        <v>483</v>
      </c>
      <c r="P71" s="1044"/>
      <c r="Q71" s="1044"/>
      <c r="R71" s="1044"/>
      <c r="S71" s="1044"/>
      <c r="T71" s="1045"/>
    </row>
    <row r="72" spans="2:20" ht="37.049999999999997" customHeight="1" thickTop="1" thickBot="1">
      <c r="B72" s="856" t="s">
        <v>161</v>
      </c>
      <c r="C72" s="80">
        <v>53</v>
      </c>
      <c r="E72" s="1038" t="s">
        <v>125</v>
      </c>
      <c r="F72" s="1039"/>
      <c r="G72" s="1039"/>
      <c r="H72" s="677"/>
      <c r="I72" s="678">
        <f>SUM(I67:I71)</f>
        <v>1278189224.4897959</v>
      </c>
      <c r="J72" s="678">
        <f>SUMPRODUCT(J67:J71,I67:I71)/I72</f>
        <v>768.03224176113213</v>
      </c>
      <c r="K72" s="679">
        <f>AVERAGE(K67:K71)</f>
        <v>4.3999999999999997E-2</v>
      </c>
      <c r="L72" s="680"/>
      <c r="M72" s="680"/>
      <c r="N72" s="680"/>
      <c r="O72" s="680"/>
      <c r="P72" s="838"/>
      <c r="Q72" s="838"/>
      <c r="R72" s="838"/>
      <c r="S72" s="838"/>
      <c r="T72" s="839"/>
    </row>
    <row r="73" spans="2:20" ht="40.049999999999997" customHeight="1" thickTop="1" thickBot="1">
      <c r="B73" s="856" t="s">
        <v>162</v>
      </c>
      <c r="C73" s="80">
        <v>49.68</v>
      </c>
      <c r="Q73" s="681"/>
      <c r="R73" s="681"/>
      <c r="S73" s="681"/>
      <c r="T73" s="713"/>
    </row>
    <row r="74" spans="2:20" ht="31.95" customHeight="1" thickTop="1">
      <c r="B74" s="857" t="s">
        <v>163</v>
      </c>
      <c r="C74" s="81">
        <v>47.74</v>
      </c>
      <c r="E74" s="1048" t="s">
        <v>465</v>
      </c>
      <c r="F74" s="1049"/>
      <c r="G74" s="1049"/>
      <c r="H74" s="1049"/>
      <c r="I74" s="1049"/>
      <c r="J74" s="1049"/>
      <c r="K74" s="1049"/>
      <c r="L74" s="1049"/>
      <c r="M74" s="1049"/>
      <c r="N74" s="1049"/>
      <c r="O74" s="1049"/>
      <c r="P74" s="1049"/>
      <c r="Q74" s="1049"/>
      <c r="R74" s="1049"/>
      <c r="S74" s="1049"/>
      <c r="T74" s="1050"/>
    </row>
    <row r="75" spans="2:20" ht="31.95" customHeight="1" thickBot="1">
      <c r="B75" s="858" t="s">
        <v>625</v>
      </c>
      <c r="C75" s="853" t="s">
        <v>168</v>
      </c>
      <c r="E75" s="1072" t="s">
        <v>113</v>
      </c>
      <c r="F75" s="1073"/>
      <c r="G75" s="835" t="s">
        <v>114</v>
      </c>
      <c r="H75" s="835" t="s">
        <v>115</v>
      </c>
      <c r="I75" s="836" t="s">
        <v>468</v>
      </c>
      <c r="J75" s="835" t="s">
        <v>122</v>
      </c>
      <c r="K75" s="836" t="s">
        <v>119</v>
      </c>
      <c r="L75" s="1042" t="s">
        <v>123</v>
      </c>
      <c r="M75" s="1042"/>
      <c r="N75" s="1042"/>
      <c r="O75" s="1042"/>
      <c r="P75" s="1042" t="s">
        <v>124</v>
      </c>
      <c r="Q75" s="1042"/>
      <c r="R75" s="1042"/>
      <c r="S75" s="1042"/>
      <c r="T75" s="1043"/>
    </row>
    <row r="76" spans="2:20" ht="37.049999999999997" customHeight="1" thickTop="1">
      <c r="B76" s="855" t="s">
        <v>164</v>
      </c>
      <c r="C76" s="82">
        <v>0.309</v>
      </c>
      <c r="E76" s="1074" t="s">
        <v>467</v>
      </c>
      <c r="F76" s="1062"/>
      <c r="G76" s="683" t="s">
        <v>217</v>
      </c>
      <c r="H76" s="684" t="s">
        <v>218</v>
      </c>
      <c r="I76" s="684">
        <v>45383</v>
      </c>
      <c r="J76" s="847">
        <v>40</v>
      </c>
      <c r="K76" s="848">
        <v>15317</v>
      </c>
      <c r="L76" s="1069" t="s">
        <v>469</v>
      </c>
      <c r="M76" s="1069"/>
      <c r="N76" s="1069"/>
      <c r="O76" s="1069"/>
      <c r="P76" s="1040" t="s">
        <v>470</v>
      </c>
      <c r="Q76" s="1040"/>
      <c r="R76" s="1040"/>
      <c r="S76" s="1040"/>
      <c r="T76" s="1041"/>
    </row>
    <row r="77" spans="2:20" ht="37.049999999999997" customHeight="1">
      <c r="B77" s="856" t="s">
        <v>165</v>
      </c>
      <c r="C77" s="83">
        <v>0.34399999999999997</v>
      </c>
      <c r="E77" s="1075" t="s">
        <v>477</v>
      </c>
      <c r="F77" s="1064"/>
      <c r="G77" s="664" t="s">
        <v>217</v>
      </c>
      <c r="H77" s="688" t="s">
        <v>218</v>
      </c>
      <c r="I77" s="688">
        <v>45292</v>
      </c>
      <c r="J77" s="840">
        <v>44</v>
      </c>
      <c r="K77" s="669">
        <v>21824</v>
      </c>
      <c r="L77" s="1070" t="s">
        <v>478</v>
      </c>
      <c r="M77" s="1070"/>
      <c r="N77" s="1070"/>
      <c r="O77" s="1070"/>
      <c r="P77" s="1034" t="s">
        <v>479</v>
      </c>
      <c r="Q77" s="1034"/>
      <c r="R77" s="1034"/>
      <c r="S77" s="1034" t="s">
        <v>479</v>
      </c>
      <c r="T77" s="1035"/>
    </row>
    <row r="78" spans="2:20" ht="37.049999999999997" customHeight="1">
      <c r="B78" s="856" t="s">
        <v>167</v>
      </c>
      <c r="C78" s="83">
        <v>0.26900000000000002</v>
      </c>
      <c r="E78" s="1075" t="s">
        <v>471</v>
      </c>
      <c r="F78" s="1064"/>
      <c r="G78" s="664" t="s">
        <v>217</v>
      </c>
      <c r="H78" s="688" t="s">
        <v>218</v>
      </c>
      <c r="I78" s="688">
        <v>45200</v>
      </c>
      <c r="J78" s="840">
        <v>36</v>
      </c>
      <c r="K78" s="669">
        <v>3119</v>
      </c>
      <c r="L78" s="1070" t="s">
        <v>157</v>
      </c>
      <c r="M78" s="1070"/>
      <c r="N78" s="1070"/>
      <c r="O78" s="1070"/>
      <c r="P78" s="1034" t="s">
        <v>157</v>
      </c>
      <c r="Q78" s="1034"/>
      <c r="R78" s="1034"/>
      <c r="S78" s="1034" t="s">
        <v>157</v>
      </c>
      <c r="T78" s="1035"/>
    </row>
    <row r="79" spans="2:20" ht="37.049999999999997" customHeight="1">
      <c r="B79" s="857" t="s">
        <v>166</v>
      </c>
      <c r="C79" s="84">
        <v>0.217</v>
      </c>
      <c r="E79" s="1075" t="s">
        <v>472</v>
      </c>
      <c r="F79" s="1064"/>
      <c r="G79" s="664" t="s">
        <v>217</v>
      </c>
      <c r="H79" s="688" t="s">
        <v>218</v>
      </c>
      <c r="I79" s="688">
        <v>45170</v>
      </c>
      <c r="J79" s="840">
        <v>45</v>
      </c>
      <c r="K79" s="669">
        <v>20473</v>
      </c>
      <c r="L79" s="1070" t="s">
        <v>157</v>
      </c>
      <c r="M79" s="1070"/>
      <c r="N79" s="1070"/>
      <c r="O79" s="1070"/>
      <c r="P79" s="1034" t="s">
        <v>157</v>
      </c>
      <c r="Q79" s="1034"/>
      <c r="R79" s="1034"/>
      <c r="S79" s="1034" t="s">
        <v>157</v>
      </c>
      <c r="T79" s="1035"/>
    </row>
    <row r="80" spans="2:20" ht="37.049999999999997" customHeight="1">
      <c r="B80" s="858" t="s">
        <v>170</v>
      </c>
      <c r="C80" s="853" t="s">
        <v>171</v>
      </c>
      <c r="E80" s="1075" t="s">
        <v>473</v>
      </c>
      <c r="F80" s="1064"/>
      <c r="G80" s="664" t="s">
        <v>217</v>
      </c>
      <c r="H80" s="688" t="s">
        <v>218</v>
      </c>
      <c r="I80" s="688">
        <v>45139</v>
      </c>
      <c r="J80" s="840">
        <v>33</v>
      </c>
      <c r="K80" s="669">
        <v>2315</v>
      </c>
      <c r="L80" s="1070" t="s">
        <v>157</v>
      </c>
      <c r="M80" s="1070"/>
      <c r="N80" s="1070"/>
      <c r="O80" s="1070"/>
      <c r="P80" s="1034" t="s">
        <v>157</v>
      </c>
      <c r="Q80" s="1034"/>
      <c r="R80" s="1034"/>
      <c r="S80" s="1034" t="s">
        <v>157</v>
      </c>
      <c r="T80" s="1035"/>
    </row>
    <row r="81" spans="2:20" ht="37.049999999999997" customHeight="1">
      <c r="B81" s="855" t="s">
        <v>164</v>
      </c>
      <c r="C81" s="85">
        <v>-413765</v>
      </c>
      <c r="E81" s="1075" t="s">
        <v>474</v>
      </c>
      <c r="F81" s="1064"/>
      <c r="G81" s="664" t="s">
        <v>217</v>
      </c>
      <c r="H81" s="688" t="s">
        <v>218</v>
      </c>
      <c r="I81" s="688">
        <v>45078</v>
      </c>
      <c r="J81" s="840">
        <v>43</v>
      </c>
      <c r="K81" s="669">
        <v>19064</v>
      </c>
      <c r="L81" s="1070" t="s">
        <v>475</v>
      </c>
      <c r="M81" s="1070"/>
      <c r="N81" s="1070"/>
      <c r="O81" s="1070"/>
      <c r="P81" s="1034" t="s">
        <v>621</v>
      </c>
      <c r="Q81" s="1034"/>
      <c r="R81" s="1034"/>
      <c r="S81" s="1034" t="s">
        <v>476</v>
      </c>
      <c r="T81" s="1035"/>
    </row>
    <row r="82" spans="2:20" ht="37.049999999999997" customHeight="1">
      <c r="B82" s="856" t="s">
        <v>165</v>
      </c>
      <c r="C82" s="86">
        <v>-21382</v>
      </c>
      <c r="E82" s="1075" t="s">
        <v>473</v>
      </c>
      <c r="F82" s="1064"/>
      <c r="G82" s="664" t="s">
        <v>217</v>
      </c>
      <c r="H82" s="688" t="s">
        <v>218</v>
      </c>
      <c r="I82" s="688">
        <v>44986</v>
      </c>
      <c r="J82" s="840">
        <v>43</v>
      </c>
      <c r="K82" s="669">
        <v>9146</v>
      </c>
      <c r="L82" s="1070" t="s">
        <v>157</v>
      </c>
      <c r="M82" s="1070"/>
      <c r="N82" s="1070"/>
      <c r="O82" s="1070"/>
      <c r="P82" s="1034" t="s">
        <v>157</v>
      </c>
      <c r="Q82" s="1034"/>
      <c r="R82" s="1034"/>
      <c r="S82" s="1034" t="s">
        <v>157</v>
      </c>
      <c r="T82" s="1035"/>
    </row>
    <row r="83" spans="2:20" ht="37.049999999999997" customHeight="1" thickBot="1">
      <c r="B83" s="856" t="s">
        <v>167</v>
      </c>
      <c r="C83" s="86">
        <v>-559903</v>
      </c>
      <c r="E83" s="1068" t="s">
        <v>471</v>
      </c>
      <c r="F83" s="1044"/>
      <c r="G83" s="704" t="s">
        <v>217</v>
      </c>
      <c r="H83" s="849" t="s">
        <v>218</v>
      </c>
      <c r="I83" s="849">
        <v>44958</v>
      </c>
      <c r="J83" s="850">
        <v>37</v>
      </c>
      <c r="K83" s="841">
        <v>3846</v>
      </c>
      <c r="L83" s="1071" t="s">
        <v>157</v>
      </c>
      <c r="M83" s="1071"/>
      <c r="N83" s="1071"/>
      <c r="O83" s="1071"/>
      <c r="P83" s="1036" t="s">
        <v>157</v>
      </c>
      <c r="Q83" s="1036"/>
      <c r="R83" s="1036"/>
      <c r="S83" s="1036" t="s">
        <v>157</v>
      </c>
      <c r="T83" s="1037"/>
    </row>
    <row r="84" spans="2:20" ht="39" customHeight="1" thickTop="1" thickBot="1">
      <c r="B84" s="857" t="s">
        <v>166</v>
      </c>
      <c r="C84" s="87">
        <v>-522033</v>
      </c>
      <c r="E84" s="1038" t="s">
        <v>125</v>
      </c>
      <c r="F84" s="1039"/>
      <c r="G84" s="1039"/>
      <c r="H84" s="1039"/>
      <c r="I84" s="677"/>
      <c r="J84" s="842">
        <f>SUMPRODUCT(J76:J83,K76:K83)/K84</f>
        <v>42.461221399730825</v>
      </c>
      <c r="K84" s="843">
        <f>SUM(K76:K83)</f>
        <v>95104</v>
      </c>
      <c r="L84" s="844"/>
      <c r="M84" s="845"/>
      <c r="N84" s="845"/>
      <c r="O84" s="846"/>
      <c r="P84" s="1066"/>
      <c r="Q84" s="1066"/>
      <c r="R84" s="1066"/>
      <c r="S84" s="1066"/>
      <c r="T84" s="1067"/>
    </row>
    <row r="85" spans="2:20" ht="28.95" customHeight="1" thickTop="1">
      <c r="B85" s="858" t="s">
        <v>173</v>
      </c>
      <c r="C85" s="853" t="s">
        <v>175</v>
      </c>
      <c r="T85" s="727"/>
    </row>
    <row r="86" spans="2:20" ht="28.95" customHeight="1" thickBot="1">
      <c r="B86" s="859" t="s">
        <v>178</v>
      </c>
      <c r="C86" s="860" t="s">
        <v>177</v>
      </c>
      <c r="D86" s="728"/>
      <c r="E86" s="728"/>
      <c r="F86" s="728"/>
      <c r="G86" s="728"/>
      <c r="H86" s="728"/>
      <c r="I86" s="728"/>
      <c r="J86" s="728"/>
      <c r="K86" s="728"/>
      <c r="L86" s="728"/>
      <c r="M86" s="728"/>
      <c r="N86" s="728"/>
      <c r="O86" s="728"/>
      <c r="P86" s="728"/>
      <c r="Q86" s="757"/>
      <c r="R86" s="757"/>
      <c r="S86" s="757"/>
      <c r="T86" s="758"/>
    </row>
    <row r="87" spans="2:20" ht="16.2" thickTop="1" thickBot="1"/>
    <row r="88" spans="2:20" ht="36.6" thickTop="1" thickBot="1">
      <c r="B88" s="1010" t="s">
        <v>626</v>
      </c>
      <c r="C88" s="1011"/>
      <c r="D88" s="1011"/>
      <c r="E88" s="1011"/>
      <c r="F88" s="1011"/>
      <c r="G88" s="1011"/>
      <c r="H88" s="1011"/>
      <c r="I88" s="1011"/>
      <c r="J88" s="1011"/>
      <c r="K88" s="1011"/>
      <c r="L88" s="1011"/>
      <c r="M88" s="1011"/>
      <c r="N88" s="1011"/>
      <c r="O88" s="1011"/>
      <c r="P88" s="1011"/>
      <c r="Q88" s="1011"/>
      <c r="R88" s="1011"/>
      <c r="S88" s="1011"/>
      <c r="T88" s="1012"/>
    </row>
    <row r="89" spans="2:20" ht="16.2" thickTop="1">
      <c r="B89" s="1051" t="s">
        <v>628</v>
      </c>
      <c r="C89" s="1043"/>
      <c r="E89" s="1048" t="s">
        <v>458</v>
      </c>
      <c r="F89" s="1049"/>
      <c r="G89" s="1049"/>
      <c r="H89" s="1049"/>
      <c r="I89" s="1049"/>
      <c r="J89" s="1049"/>
      <c r="K89" s="1049"/>
      <c r="L89" s="1049"/>
      <c r="M89" s="1049"/>
      <c r="N89" s="1049"/>
      <c r="O89" s="1049"/>
      <c r="P89" s="1049"/>
      <c r="Q89" s="1049"/>
      <c r="R89" s="1049"/>
      <c r="S89" s="1049"/>
      <c r="T89" s="1050"/>
    </row>
    <row r="90" spans="2:20" ht="31.8" thickBot="1">
      <c r="B90" s="1052"/>
      <c r="C90" s="1053"/>
      <c r="E90" s="660" t="s">
        <v>113</v>
      </c>
      <c r="F90" s="661" t="s">
        <v>114</v>
      </c>
      <c r="G90" s="661" t="s">
        <v>115</v>
      </c>
      <c r="H90" s="661" t="s">
        <v>116</v>
      </c>
      <c r="I90" s="661" t="s">
        <v>117</v>
      </c>
      <c r="J90" s="662" t="s">
        <v>93</v>
      </c>
      <c r="K90" s="661" t="s">
        <v>118</v>
      </c>
      <c r="L90" s="661" t="s">
        <v>119</v>
      </c>
      <c r="M90" s="662" t="s">
        <v>120</v>
      </c>
      <c r="N90" s="662" t="s">
        <v>121</v>
      </c>
      <c r="O90" s="1042" t="s">
        <v>214</v>
      </c>
      <c r="P90" s="1042"/>
      <c r="Q90" s="1042"/>
      <c r="R90" s="1042"/>
      <c r="S90" s="1042"/>
      <c r="T90" s="1043"/>
    </row>
    <row r="91" spans="2:20" ht="79.95" customHeight="1" thickTop="1">
      <c r="B91" s="866" t="s">
        <v>622</v>
      </c>
      <c r="C91" s="871">
        <v>4.2500000000000003E-2</v>
      </c>
      <c r="E91" s="663" t="s">
        <v>257</v>
      </c>
      <c r="F91" s="664" t="s">
        <v>217</v>
      </c>
      <c r="G91" s="664" t="s">
        <v>218</v>
      </c>
      <c r="H91" s="665">
        <v>45055</v>
      </c>
      <c r="I91" s="666">
        <v>5000000</v>
      </c>
      <c r="J91" s="666">
        <f t="shared" ref="J91:J97" si="2">I91/L91</f>
        <v>252.52525252525251</v>
      </c>
      <c r="K91" s="668" t="s">
        <v>157</v>
      </c>
      <c r="L91" s="669">
        <v>19800</v>
      </c>
      <c r="M91" s="667" t="s">
        <v>157</v>
      </c>
      <c r="N91" s="664">
        <v>1962</v>
      </c>
      <c r="O91" s="1062" t="s">
        <v>464</v>
      </c>
      <c r="P91" s="1062"/>
      <c r="Q91" s="1062"/>
      <c r="R91" s="1062"/>
      <c r="S91" s="1062"/>
      <c r="T91" s="1063"/>
    </row>
    <row r="92" spans="2:20" ht="58.95" customHeight="1" thickBot="1">
      <c r="B92" s="872" t="s">
        <v>623</v>
      </c>
      <c r="C92" s="873">
        <v>35</v>
      </c>
      <c r="E92" s="663" t="s">
        <v>258</v>
      </c>
      <c r="F92" s="664" t="s">
        <v>217</v>
      </c>
      <c r="G92" s="664" t="s">
        <v>218</v>
      </c>
      <c r="H92" s="665">
        <v>44895</v>
      </c>
      <c r="I92" s="666">
        <v>900000</v>
      </c>
      <c r="J92" s="666">
        <f t="shared" si="2"/>
        <v>209.88805970149255</v>
      </c>
      <c r="K92" s="668" t="s">
        <v>157</v>
      </c>
      <c r="L92" s="669">
        <v>4288</v>
      </c>
      <c r="M92" s="667" t="s">
        <v>157</v>
      </c>
      <c r="N92" s="664">
        <v>1975</v>
      </c>
      <c r="O92" s="1064" t="s">
        <v>463</v>
      </c>
      <c r="P92" s="1064"/>
      <c r="Q92" s="1064"/>
      <c r="R92" s="1064"/>
      <c r="S92" s="1064"/>
      <c r="T92" s="1065"/>
    </row>
    <row r="93" spans="2:20" ht="36" customHeight="1" thickTop="1" thickBot="1">
      <c r="B93" s="711"/>
      <c r="E93" s="663" t="s">
        <v>259</v>
      </c>
      <c r="F93" s="664" t="s">
        <v>217</v>
      </c>
      <c r="G93" s="664" t="s">
        <v>218</v>
      </c>
      <c r="H93" s="665">
        <v>44788</v>
      </c>
      <c r="I93" s="666">
        <v>3500000</v>
      </c>
      <c r="J93" s="666">
        <f t="shared" si="2"/>
        <v>309.46065428824051</v>
      </c>
      <c r="K93" s="668" t="s">
        <v>157</v>
      </c>
      <c r="L93" s="669">
        <v>11310</v>
      </c>
      <c r="M93" s="667" t="s">
        <v>157</v>
      </c>
      <c r="N93" s="664">
        <v>1920</v>
      </c>
      <c r="O93" s="1064" t="s">
        <v>462</v>
      </c>
      <c r="P93" s="1064"/>
      <c r="Q93" s="1064"/>
      <c r="R93" s="1064"/>
      <c r="S93" s="1064"/>
      <c r="T93" s="1065"/>
    </row>
    <row r="94" spans="2:20" ht="36" customHeight="1">
      <c r="B94" s="854" t="s">
        <v>172</v>
      </c>
      <c r="C94" s="852" t="s">
        <v>183</v>
      </c>
      <c r="E94" s="663" t="s">
        <v>260</v>
      </c>
      <c r="F94" s="664" t="s">
        <v>217</v>
      </c>
      <c r="G94" s="664" t="s">
        <v>218</v>
      </c>
      <c r="H94" s="665">
        <v>44719</v>
      </c>
      <c r="I94" s="666">
        <v>5000000</v>
      </c>
      <c r="J94" s="666">
        <f t="shared" si="2"/>
        <v>534.3022013250694</v>
      </c>
      <c r="K94" s="668">
        <v>0.04</v>
      </c>
      <c r="L94" s="669">
        <v>9358</v>
      </c>
      <c r="M94" s="667">
        <f>(K94*I94)/L94</f>
        <v>21.372088053002777</v>
      </c>
      <c r="N94" s="664" t="s">
        <v>261</v>
      </c>
      <c r="O94" s="1064" t="s">
        <v>461</v>
      </c>
      <c r="P94" s="1064"/>
      <c r="Q94" s="1064"/>
      <c r="R94" s="1064"/>
      <c r="S94" s="1064"/>
      <c r="T94" s="1065"/>
    </row>
    <row r="95" spans="2:20" ht="36" customHeight="1">
      <c r="B95" s="1054" t="s">
        <v>181</v>
      </c>
      <c r="C95" s="1060">
        <v>28.4</v>
      </c>
      <c r="E95" s="663" t="s">
        <v>262</v>
      </c>
      <c r="F95" s="664" t="s">
        <v>217</v>
      </c>
      <c r="G95" s="664" t="s">
        <v>218</v>
      </c>
      <c r="H95" s="665">
        <v>44677</v>
      </c>
      <c r="I95" s="666">
        <v>1530000</v>
      </c>
      <c r="J95" s="666">
        <f t="shared" si="2"/>
        <v>591.64733178654296</v>
      </c>
      <c r="K95" s="668">
        <v>0.05</v>
      </c>
      <c r="L95" s="669">
        <v>2586</v>
      </c>
      <c r="M95" s="667">
        <f>(K95*I95)/L95</f>
        <v>29.582366589327147</v>
      </c>
      <c r="N95" s="664">
        <v>1980</v>
      </c>
      <c r="O95" s="1064" t="s">
        <v>461</v>
      </c>
      <c r="P95" s="1064"/>
      <c r="Q95" s="1064"/>
      <c r="R95" s="1064"/>
      <c r="S95" s="1064"/>
      <c r="T95" s="1065"/>
    </row>
    <row r="96" spans="2:20" ht="36" customHeight="1">
      <c r="B96" s="1055"/>
      <c r="C96" s="1061"/>
      <c r="E96" s="663" t="s">
        <v>263</v>
      </c>
      <c r="F96" s="664" t="s">
        <v>217</v>
      </c>
      <c r="G96" s="664" t="s">
        <v>218</v>
      </c>
      <c r="H96" s="665">
        <v>44652</v>
      </c>
      <c r="I96" s="666">
        <v>4765000</v>
      </c>
      <c r="J96" s="666">
        <f t="shared" si="2"/>
        <v>311.19383490073147</v>
      </c>
      <c r="K96" s="668" t="s">
        <v>157</v>
      </c>
      <c r="L96" s="669">
        <v>15312</v>
      </c>
      <c r="M96" s="667" t="s">
        <v>157</v>
      </c>
      <c r="N96" s="664" t="s">
        <v>264</v>
      </c>
      <c r="O96" s="1064" t="s">
        <v>461</v>
      </c>
      <c r="P96" s="1064"/>
      <c r="Q96" s="1064"/>
      <c r="R96" s="1064"/>
      <c r="S96" s="1064"/>
      <c r="T96" s="1065"/>
    </row>
    <row r="97" spans="2:20" ht="36" customHeight="1" thickBot="1">
      <c r="B97" s="1056" t="s">
        <v>182</v>
      </c>
      <c r="C97" s="1058">
        <v>27.9</v>
      </c>
      <c r="E97" s="663" t="s">
        <v>265</v>
      </c>
      <c r="F97" s="664" t="s">
        <v>217</v>
      </c>
      <c r="G97" s="664" t="s">
        <v>218</v>
      </c>
      <c r="H97" s="665">
        <v>44582</v>
      </c>
      <c r="I97" s="666">
        <v>14400000</v>
      </c>
      <c r="J97" s="666">
        <f t="shared" si="2"/>
        <v>1698.1132075471698</v>
      </c>
      <c r="K97" s="668">
        <v>3.7999999999999999E-2</v>
      </c>
      <c r="L97" s="669">
        <v>8480</v>
      </c>
      <c r="M97" s="667">
        <f>(K97*I97)/L97</f>
        <v>64.528301886792448</v>
      </c>
      <c r="N97" s="664" t="s">
        <v>266</v>
      </c>
      <c r="O97" s="1044" t="s">
        <v>460</v>
      </c>
      <c r="P97" s="1044"/>
      <c r="Q97" s="1044"/>
      <c r="R97" s="1044"/>
      <c r="S97" s="1044"/>
      <c r="T97" s="1045"/>
    </row>
    <row r="98" spans="2:20" ht="33" customHeight="1" thickTop="1" thickBot="1">
      <c r="B98" s="1057"/>
      <c r="C98" s="1059"/>
      <c r="E98" s="1038" t="s">
        <v>125</v>
      </c>
      <c r="F98" s="1039"/>
      <c r="G98" s="1039"/>
      <c r="H98" s="677"/>
      <c r="I98" s="678">
        <f>SUM(I91:I97)</f>
        <v>35095000</v>
      </c>
      <c r="J98" s="678">
        <f>SUMPRODUCT(J91:J97,I91:I97)/I98</f>
        <v>913.1511053599213</v>
      </c>
      <c r="K98" s="679">
        <f>AVERAGE(K91:K97)</f>
        <v>4.2666666666666665E-2</v>
      </c>
      <c r="L98" s="680"/>
      <c r="M98" s="680"/>
      <c r="N98" s="845"/>
      <c r="O98" s="1046"/>
      <c r="P98" s="1046"/>
      <c r="Q98" s="1046"/>
      <c r="R98" s="1046"/>
      <c r="S98" s="1046"/>
      <c r="T98" s="1047"/>
    </row>
    <row r="99" spans="2:20" ht="16.8" thickTop="1" thickBot="1">
      <c r="B99" s="858" t="s">
        <v>169</v>
      </c>
      <c r="C99" s="853" t="s">
        <v>184</v>
      </c>
      <c r="T99" s="727"/>
    </row>
    <row r="100" spans="2:20" ht="25.95" customHeight="1" thickTop="1">
      <c r="B100" s="875" t="s">
        <v>179</v>
      </c>
      <c r="C100" s="874">
        <v>5.2999999999999999E-2</v>
      </c>
      <c r="E100" s="1048" t="s">
        <v>459</v>
      </c>
      <c r="F100" s="1049"/>
      <c r="G100" s="1049"/>
      <c r="H100" s="1049"/>
      <c r="I100" s="1049"/>
      <c r="J100" s="1049"/>
      <c r="K100" s="1049"/>
      <c r="L100" s="1049"/>
      <c r="M100" s="1049"/>
      <c r="N100" s="1049"/>
      <c r="O100" s="1049"/>
      <c r="P100" s="1049"/>
      <c r="Q100" s="1049"/>
      <c r="R100" s="1049"/>
      <c r="S100" s="1049"/>
      <c r="T100" s="1050"/>
    </row>
    <row r="101" spans="2:20" ht="25.95" customHeight="1" thickBot="1">
      <c r="B101" s="876" t="s">
        <v>180</v>
      </c>
      <c r="C101" s="874">
        <v>6.0999999999999999E-2</v>
      </c>
      <c r="E101" s="660" t="s">
        <v>113</v>
      </c>
      <c r="F101" s="661" t="s">
        <v>114</v>
      </c>
      <c r="G101" s="661" t="s">
        <v>115</v>
      </c>
      <c r="H101" s="662" t="s">
        <v>468</v>
      </c>
      <c r="I101" s="661" t="s">
        <v>122</v>
      </c>
      <c r="J101" s="662" t="s">
        <v>119</v>
      </c>
      <c r="K101" s="1015" t="s">
        <v>123</v>
      </c>
      <c r="L101" s="1015"/>
      <c r="M101" s="1015"/>
      <c r="N101" s="1042" t="s">
        <v>124</v>
      </c>
      <c r="O101" s="1042"/>
      <c r="P101" s="1042"/>
      <c r="Q101" s="1042"/>
      <c r="R101" s="1042"/>
      <c r="S101" s="1042"/>
      <c r="T101" s="1043"/>
    </row>
    <row r="102" spans="2:20" ht="40.950000000000003" customHeight="1" thickTop="1">
      <c r="B102" s="858" t="s">
        <v>185</v>
      </c>
      <c r="C102" s="853" t="s">
        <v>186</v>
      </c>
      <c r="E102" s="682" t="s">
        <v>448</v>
      </c>
      <c r="F102" s="683" t="s">
        <v>217</v>
      </c>
      <c r="G102" s="684" t="s">
        <v>218</v>
      </c>
      <c r="H102" s="869">
        <v>45292</v>
      </c>
      <c r="I102" s="773">
        <v>28.8</v>
      </c>
      <c r="J102" s="848">
        <v>1250</v>
      </c>
      <c r="K102" s="1040" t="s">
        <v>449</v>
      </c>
      <c r="L102" s="1040"/>
      <c r="M102" s="1040"/>
      <c r="N102" s="1040" t="s">
        <v>450</v>
      </c>
      <c r="O102" s="1040"/>
      <c r="P102" s="1040"/>
      <c r="Q102" s="1040"/>
      <c r="R102" s="1040"/>
      <c r="S102" s="1040"/>
      <c r="T102" s="1041"/>
    </row>
    <row r="103" spans="2:20" ht="40.950000000000003" customHeight="1">
      <c r="B103" s="855" t="s">
        <v>179</v>
      </c>
      <c r="C103" s="85" t="e">
        <f>C105*#REF!</f>
        <v>#REF!</v>
      </c>
      <c r="E103" s="663" t="s">
        <v>451</v>
      </c>
      <c r="F103" s="664" t="s">
        <v>217</v>
      </c>
      <c r="G103" s="688" t="s">
        <v>218</v>
      </c>
      <c r="H103" s="870">
        <v>45292</v>
      </c>
      <c r="I103" s="840">
        <v>28</v>
      </c>
      <c r="J103" s="669">
        <v>1971</v>
      </c>
      <c r="K103" s="1034" t="s">
        <v>157</v>
      </c>
      <c r="L103" s="1034"/>
      <c r="M103" s="1034"/>
      <c r="N103" s="1034" t="s">
        <v>157</v>
      </c>
      <c r="O103" s="1034"/>
      <c r="P103" s="1034"/>
      <c r="Q103" s="1034"/>
      <c r="R103" s="1034"/>
      <c r="S103" s="1034"/>
      <c r="T103" s="1035"/>
    </row>
    <row r="104" spans="2:20" ht="40.950000000000003" customHeight="1">
      <c r="B104" s="856" t="s">
        <v>180</v>
      </c>
      <c r="C104" s="86" t="e">
        <f>C105*#REF!</f>
        <v>#REF!</v>
      </c>
      <c r="E104" s="663" t="s">
        <v>263</v>
      </c>
      <c r="F104" s="664" t="s">
        <v>217</v>
      </c>
      <c r="G104" s="688" t="s">
        <v>218</v>
      </c>
      <c r="H104" s="870">
        <v>45108</v>
      </c>
      <c r="I104" s="840">
        <v>28</v>
      </c>
      <c r="J104" s="669">
        <v>2843</v>
      </c>
      <c r="K104" s="1034" t="s">
        <v>157</v>
      </c>
      <c r="L104" s="1034"/>
      <c r="M104" s="1034"/>
      <c r="N104" s="1034" t="s">
        <v>157</v>
      </c>
      <c r="O104" s="1034"/>
      <c r="P104" s="1034"/>
      <c r="Q104" s="1034"/>
      <c r="R104" s="1034"/>
      <c r="S104" s="1034"/>
      <c r="T104" s="1035"/>
    </row>
    <row r="105" spans="2:20" ht="40.950000000000003" customHeight="1">
      <c r="B105" s="877" t="s">
        <v>187</v>
      </c>
      <c r="C105" s="90">
        <v>27854000</v>
      </c>
      <c r="E105" s="693" t="s">
        <v>452</v>
      </c>
      <c r="F105" s="705" t="s">
        <v>217</v>
      </c>
      <c r="G105" s="706" t="s">
        <v>218</v>
      </c>
      <c r="H105" s="878">
        <v>45108</v>
      </c>
      <c r="I105" s="879">
        <v>28</v>
      </c>
      <c r="J105" s="669">
        <v>1849</v>
      </c>
      <c r="K105" s="1034" t="s">
        <v>453</v>
      </c>
      <c r="L105" s="1034"/>
      <c r="M105" s="1034"/>
      <c r="N105" s="1034" t="s">
        <v>454</v>
      </c>
      <c r="O105" s="1034"/>
      <c r="P105" s="1034"/>
      <c r="Q105" s="1034"/>
      <c r="R105" s="1034"/>
      <c r="S105" s="1034"/>
      <c r="T105" s="1035"/>
    </row>
    <row r="106" spans="2:20" ht="40.950000000000003" customHeight="1">
      <c r="B106" s="858" t="s">
        <v>173</v>
      </c>
      <c r="C106" s="853" t="s">
        <v>188</v>
      </c>
      <c r="E106" s="663" t="s">
        <v>455</v>
      </c>
      <c r="F106" s="664" t="s">
        <v>217</v>
      </c>
      <c r="G106" s="688" t="s">
        <v>218</v>
      </c>
      <c r="H106" s="870">
        <v>45078</v>
      </c>
      <c r="I106" s="840">
        <v>30</v>
      </c>
      <c r="J106" s="669">
        <v>1826</v>
      </c>
      <c r="K106" s="1034" t="s">
        <v>157</v>
      </c>
      <c r="L106" s="1034"/>
      <c r="M106" s="1034"/>
      <c r="N106" s="1034" t="s">
        <v>157</v>
      </c>
      <c r="O106" s="1034"/>
      <c r="P106" s="1034"/>
      <c r="Q106" s="1034"/>
      <c r="R106" s="1034"/>
      <c r="S106" s="1034"/>
      <c r="T106" s="1035"/>
    </row>
    <row r="107" spans="2:20" ht="40.950000000000003" customHeight="1">
      <c r="B107" s="855" t="s">
        <v>179</v>
      </c>
      <c r="C107" s="89">
        <v>6.7500000000000004E-2</v>
      </c>
      <c r="E107" s="663" t="s">
        <v>456</v>
      </c>
      <c r="F107" s="664" t="s">
        <v>217</v>
      </c>
      <c r="G107" s="688" t="s">
        <v>218</v>
      </c>
      <c r="H107" s="870">
        <v>45017</v>
      </c>
      <c r="I107" s="840">
        <v>40</v>
      </c>
      <c r="J107" s="669">
        <v>1343</v>
      </c>
      <c r="K107" s="1034" t="s">
        <v>157</v>
      </c>
      <c r="L107" s="1034"/>
      <c r="M107" s="1034"/>
      <c r="N107" s="1034" t="s">
        <v>157</v>
      </c>
      <c r="O107" s="1034"/>
      <c r="P107" s="1034"/>
      <c r="Q107" s="1034"/>
      <c r="R107" s="1034"/>
      <c r="S107" s="1034"/>
      <c r="T107" s="1035"/>
    </row>
    <row r="108" spans="2:20" ht="40.950000000000003" customHeight="1" thickBot="1">
      <c r="B108" s="880" t="s">
        <v>180</v>
      </c>
      <c r="C108" s="88">
        <v>7.0000000000000007E-2</v>
      </c>
      <c r="E108" s="663" t="s">
        <v>457</v>
      </c>
      <c r="F108" s="664" t="s">
        <v>217</v>
      </c>
      <c r="G108" s="688" t="s">
        <v>218</v>
      </c>
      <c r="H108" s="870">
        <v>44986</v>
      </c>
      <c r="I108" s="840">
        <v>35</v>
      </c>
      <c r="J108" s="669">
        <v>1540</v>
      </c>
      <c r="K108" s="1036" t="s">
        <v>157</v>
      </c>
      <c r="L108" s="1036"/>
      <c r="M108" s="1036"/>
      <c r="N108" s="1036" t="s">
        <v>157</v>
      </c>
      <c r="O108" s="1036"/>
      <c r="P108" s="1036"/>
      <c r="Q108" s="1036"/>
      <c r="R108" s="1036"/>
      <c r="S108" s="1036"/>
      <c r="T108" s="1037"/>
    </row>
    <row r="109" spans="2:20" ht="40.950000000000003" customHeight="1" thickTop="1" thickBot="1">
      <c r="B109" s="714"/>
      <c r="C109" s="728"/>
      <c r="D109" s="728"/>
      <c r="E109" s="1038" t="s">
        <v>125</v>
      </c>
      <c r="F109" s="1039"/>
      <c r="G109" s="1039"/>
      <c r="H109" s="677"/>
      <c r="I109" s="842">
        <f>SUMPRODUCT(I102:I108,J102:J108)/J109</f>
        <v>30.499445412771351</v>
      </c>
      <c r="J109" s="843">
        <f>SUM(J102:J108)</f>
        <v>12622</v>
      </c>
      <c r="K109" s="844"/>
      <c r="L109" s="680"/>
      <c r="M109" s="680"/>
      <c r="N109" s="1013"/>
      <c r="O109" s="1013"/>
      <c r="P109" s="1013"/>
      <c r="Q109" s="1013"/>
      <c r="R109" s="1013"/>
      <c r="S109" s="1013"/>
      <c r="T109" s="1014"/>
    </row>
    <row r="110" spans="2:20" ht="15.6" thickTop="1"/>
    <row r="112" spans="2:20" ht="15.6" thickBot="1">
      <c r="B112" s="78"/>
      <c r="C112" s="78"/>
      <c r="D112" s="78"/>
      <c r="E112" s="78"/>
      <c r="F112" s="78"/>
      <c r="I112" s="78"/>
      <c r="J112" s="78"/>
      <c r="K112" s="78"/>
      <c r="L112" s="78"/>
      <c r="M112" s="78"/>
    </row>
    <row r="113" spans="2:20" ht="36.6" thickTop="1" thickBot="1">
      <c r="B113" s="1010" t="s">
        <v>632</v>
      </c>
      <c r="C113" s="1011"/>
      <c r="D113" s="1011"/>
      <c r="E113" s="1011"/>
      <c r="F113" s="1011"/>
      <c r="G113" s="1011"/>
      <c r="H113" s="1011"/>
      <c r="I113" s="1011"/>
      <c r="J113" s="1011"/>
      <c r="K113" s="1011"/>
      <c r="L113" s="1011"/>
      <c r="M113" s="1011"/>
      <c r="N113" s="1011"/>
      <c r="O113" s="1011"/>
      <c r="P113" s="1011"/>
      <c r="Q113" s="1011"/>
      <c r="R113" s="1011"/>
      <c r="S113" s="1011"/>
      <c r="T113" s="1012"/>
    </row>
    <row r="114" spans="2:20" ht="16.2" thickTop="1">
      <c r="B114" s="1016" t="s">
        <v>629</v>
      </c>
      <c r="C114" s="1017"/>
      <c r="D114" s="1017"/>
      <c r="E114" s="1017"/>
      <c r="F114" s="1017"/>
      <c r="G114" s="1017"/>
      <c r="H114" s="1018"/>
      <c r="I114" s="78"/>
      <c r="J114" s="1028" t="s">
        <v>143</v>
      </c>
      <c r="K114" s="1029"/>
      <c r="L114" s="1023" t="s">
        <v>630</v>
      </c>
      <c r="M114" s="1024"/>
      <c r="N114" s="1025"/>
      <c r="T114" s="727"/>
    </row>
    <row r="115" spans="2:20" ht="16.2" thickBot="1">
      <c r="B115" s="881"/>
      <c r="C115" s="882"/>
      <c r="D115" s="883" t="s">
        <v>347</v>
      </c>
      <c r="E115" s="883" t="s">
        <v>348</v>
      </c>
      <c r="F115" s="883" t="s">
        <v>350</v>
      </c>
      <c r="G115" s="883" t="s">
        <v>349</v>
      </c>
      <c r="H115" s="884" t="s">
        <v>362</v>
      </c>
      <c r="I115" s="78"/>
      <c r="J115" s="1026" t="s">
        <v>2</v>
      </c>
      <c r="K115" s="1027"/>
      <c r="L115" s="912" t="s">
        <v>4</v>
      </c>
      <c r="M115" s="912" t="s">
        <v>142</v>
      </c>
      <c r="N115" s="913" t="s">
        <v>3</v>
      </c>
      <c r="T115" s="727"/>
    </row>
    <row r="116" spans="2:20" ht="16.2" thickTop="1">
      <c r="B116" s="885" t="s">
        <v>352</v>
      </c>
      <c r="C116" s="264" t="s">
        <v>346</v>
      </c>
      <c r="D116" s="466">
        <v>310</v>
      </c>
      <c r="E116" s="467">
        <v>380</v>
      </c>
      <c r="F116" s="265">
        <f t="shared" ref="F116:F135" si="3">D116/$D$137</f>
        <v>231.34328358208953</v>
      </c>
      <c r="G116" s="265">
        <f t="shared" ref="G116:G135" si="4">E116/$D$137</f>
        <v>283.58208955223881</v>
      </c>
      <c r="H116" s="886">
        <v>260</v>
      </c>
      <c r="I116" s="78"/>
      <c r="J116" s="1030" t="s">
        <v>5</v>
      </c>
      <c r="K116" s="1031"/>
      <c r="L116" s="909"/>
      <c r="M116" s="910"/>
      <c r="N116" s="911"/>
      <c r="T116" s="727"/>
    </row>
    <row r="117" spans="2:20">
      <c r="B117" s="887"/>
      <c r="C117" s="888" t="s">
        <v>351</v>
      </c>
      <c r="D117" s="468">
        <v>330</v>
      </c>
      <c r="E117" s="889">
        <v>400</v>
      </c>
      <c r="F117" s="890">
        <f t="shared" si="3"/>
        <v>246.26865671641789</v>
      </c>
      <c r="G117" s="890">
        <f t="shared" si="4"/>
        <v>298.50746268656712</v>
      </c>
      <c r="H117" s="891">
        <v>275</v>
      </c>
      <c r="I117" s="78"/>
      <c r="J117" s="1006" t="s">
        <v>144</v>
      </c>
      <c r="K117" s="1007"/>
      <c r="L117" s="72">
        <v>290</v>
      </c>
      <c r="M117" s="73">
        <v>385</v>
      </c>
      <c r="N117" s="903">
        <v>570</v>
      </c>
      <c r="T117" s="727"/>
    </row>
    <row r="118" spans="2:20">
      <c r="B118" s="887"/>
      <c r="C118" s="888" t="s">
        <v>353</v>
      </c>
      <c r="D118" s="468">
        <v>340</v>
      </c>
      <c r="E118" s="889">
        <v>420</v>
      </c>
      <c r="F118" s="890">
        <f t="shared" si="3"/>
        <v>253.73134328358208</v>
      </c>
      <c r="G118" s="890">
        <f t="shared" si="4"/>
        <v>313.43283582089549</v>
      </c>
      <c r="H118" s="891">
        <v>295</v>
      </c>
      <c r="I118" s="78"/>
      <c r="J118" s="1032" t="s">
        <v>145</v>
      </c>
      <c r="K118" s="1033"/>
      <c r="L118" s="74">
        <v>390</v>
      </c>
      <c r="M118" s="75">
        <v>535</v>
      </c>
      <c r="N118" s="904">
        <v>830</v>
      </c>
      <c r="T118" s="727"/>
    </row>
    <row r="119" spans="2:20" ht="15.6">
      <c r="B119" s="892"/>
      <c r="C119" s="893" t="s">
        <v>354</v>
      </c>
      <c r="D119" s="469">
        <v>365</v>
      </c>
      <c r="E119" s="894">
        <v>460</v>
      </c>
      <c r="F119" s="895">
        <f t="shared" si="3"/>
        <v>272.38805970149252</v>
      </c>
      <c r="G119" s="895">
        <f t="shared" si="4"/>
        <v>343.28358208955223</v>
      </c>
      <c r="H119" s="896">
        <v>305</v>
      </c>
      <c r="I119" s="78"/>
      <c r="J119" s="1004" t="s">
        <v>149</v>
      </c>
      <c r="K119" s="1005"/>
      <c r="L119" s="76"/>
      <c r="M119" s="77"/>
      <c r="N119" s="905"/>
      <c r="T119" s="727"/>
    </row>
    <row r="120" spans="2:20">
      <c r="B120" s="885" t="s">
        <v>355</v>
      </c>
      <c r="C120" s="264" t="s">
        <v>357</v>
      </c>
      <c r="D120" s="466">
        <v>290</v>
      </c>
      <c r="E120" s="467">
        <v>375</v>
      </c>
      <c r="F120" s="265">
        <f t="shared" si="3"/>
        <v>216.41791044776119</v>
      </c>
      <c r="G120" s="265">
        <f t="shared" si="4"/>
        <v>279.85074626865668</v>
      </c>
      <c r="H120" s="886">
        <v>255</v>
      </c>
      <c r="I120" s="78"/>
      <c r="J120" s="1006" t="s">
        <v>146</v>
      </c>
      <c r="K120" s="1007"/>
      <c r="L120" s="72">
        <v>270</v>
      </c>
      <c r="M120" s="73">
        <v>335</v>
      </c>
      <c r="N120" s="903">
        <v>480</v>
      </c>
      <c r="T120" s="727"/>
    </row>
    <row r="121" spans="2:20">
      <c r="B121" s="887"/>
      <c r="C121" s="888" t="s">
        <v>356</v>
      </c>
      <c r="D121" s="468">
        <v>290</v>
      </c>
      <c r="E121" s="889">
        <v>370</v>
      </c>
      <c r="F121" s="890">
        <f t="shared" si="3"/>
        <v>216.41791044776119</v>
      </c>
      <c r="G121" s="890">
        <f t="shared" si="4"/>
        <v>276.1194029850746</v>
      </c>
      <c r="H121" s="891">
        <v>245</v>
      </c>
      <c r="I121" s="78"/>
      <c r="J121" s="1006" t="s">
        <v>147</v>
      </c>
      <c r="K121" s="1007"/>
      <c r="L121" s="72">
        <v>160</v>
      </c>
      <c r="M121" s="73">
        <v>265</v>
      </c>
      <c r="N121" s="903">
        <v>460</v>
      </c>
      <c r="T121" s="727"/>
    </row>
    <row r="122" spans="2:20">
      <c r="B122" s="887"/>
      <c r="C122" s="888" t="s">
        <v>358</v>
      </c>
      <c r="D122" s="468">
        <v>295</v>
      </c>
      <c r="E122" s="889">
        <v>380</v>
      </c>
      <c r="F122" s="890">
        <f t="shared" si="3"/>
        <v>220.14925373134326</v>
      </c>
      <c r="G122" s="890">
        <f t="shared" si="4"/>
        <v>283.58208955223881</v>
      </c>
      <c r="H122" s="891">
        <v>255</v>
      </c>
      <c r="I122" s="78"/>
      <c r="J122" s="1032" t="s">
        <v>148</v>
      </c>
      <c r="K122" s="1033"/>
      <c r="L122" s="74">
        <v>500</v>
      </c>
      <c r="M122" s="75">
        <v>860</v>
      </c>
      <c r="N122" s="904">
        <v>1520</v>
      </c>
      <c r="T122" s="727"/>
    </row>
    <row r="123" spans="2:20" ht="15.6">
      <c r="B123" s="887"/>
      <c r="C123" s="888" t="s">
        <v>359</v>
      </c>
      <c r="D123" s="468">
        <v>320</v>
      </c>
      <c r="E123" s="889">
        <v>450</v>
      </c>
      <c r="F123" s="890">
        <f t="shared" si="3"/>
        <v>238.80597014925371</v>
      </c>
      <c r="G123" s="890">
        <f t="shared" si="4"/>
        <v>335.82089552238801</v>
      </c>
      <c r="H123" s="891">
        <v>290</v>
      </c>
      <c r="I123" s="78"/>
      <c r="J123" s="1004" t="s">
        <v>7</v>
      </c>
      <c r="K123" s="1005"/>
      <c r="L123" s="76"/>
      <c r="M123" s="77"/>
      <c r="N123" s="905"/>
      <c r="T123" s="727"/>
    </row>
    <row r="124" spans="2:20">
      <c r="B124" s="887"/>
      <c r="C124" s="888" t="s">
        <v>360</v>
      </c>
      <c r="D124" s="468">
        <v>85</v>
      </c>
      <c r="E124" s="889">
        <v>150</v>
      </c>
      <c r="F124" s="890">
        <f t="shared" si="3"/>
        <v>63.432835820895519</v>
      </c>
      <c r="G124" s="890">
        <f t="shared" si="4"/>
        <v>111.94029850746269</v>
      </c>
      <c r="H124" s="891">
        <v>85</v>
      </c>
      <c r="I124" s="78"/>
      <c r="J124" s="1002" t="s">
        <v>150</v>
      </c>
      <c r="K124" s="1003"/>
      <c r="L124" s="74">
        <v>330</v>
      </c>
      <c r="M124" s="75">
        <v>505</v>
      </c>
      <c r="N124" s="904">
        <v>830</v>
      </c>
      <c r="T124" s="727"/>
    </row>
    <row r="125" spans="2:20" ht="15.6">
      <c r="B125" s="892"/>
      <c r="C125" s="893" t="s">
        <v>361</v>
      </c>
      <c r="D125" s="469">
        <v>130</v>
      </c>
      <c r="E125" s="894">
        <v>250</v>
      </c>
      <c r="F125" s="895">
        <f t="shared" si="3"/>
        <v>97.014925373134318</v>
      </c>
      <c r="G125" s="895">
        <f t="shared" si="4"/>
        <v>186.56716417910448</v>
      </c>
      <c r="H125" s="896">
        <v>140</v>
      </c>
      <c r="I125" s="78"/>
      <c r="J125" s="1004" t="s">
        <v>8</v>
      </c>
      <c r="K125" s="1005"/>
      <c r="L125" s="76"/>
      <c r="M125" s="77"/>
      <c r="N125" s="905"/>
      <c r="T125" s="727"/>
    </row>
    <row r="126" spans="2:20">
      <c r="B126" s="885" t="s">
        <v>633</v>
      </c>
      <c r="C126" s="264" t="s">
        <v>363</v>
      </c>
      <c r="D126" s="466">
        <v>200</v>
      </c>
      <c r="E126" s="467">
        <v>275</v>
      </c>
      <c r="F126" s="265">
        <f t="shared" si="3"/>
        <v>149.25373134328356</v>
      </c>
      <c r="G126" s="265">
        <f t="shared" si="4"/>
        <v>205.22388059701493</v>
      </c>
      <c r="H126" s="886" t="s">
        <v>157</v>
      </c>
      <c r="I126" s="78"/>
      <c r="J126" s="1006" t="s">
        <v>151</v>
      </c>
      <c r="K126" s="1007"/>
      <c r="L126" s="72">
        <v>25000</v>
      </c>
      <c r="M126" s="73">
        <v>36000</v>
      </c>
      <c r="N126" s="903">
        <v>57000</v>
      </c>
      <c r="T126" s="727"/>
    </row>
    <row r="127" spans="2:20" ht="15.6" thickBot="1">
      <c r="B127" s="887"/>
      <c r="C127" s="888" t="s">
        <v>364</v>
      </c>
      <c r="D127" s="468">
        <v>210</v>
      </c>
      <c r="E127" s="889">
        <v>265</v>
      </c>
      <c r="F127" s="890">
        <f t="shared" si="3"/>
        <v>156.71641791044775</v>
      </c>
      <c r="G127" s="890">
        <f t="shared" si="4"/>
        <v>197.76119402985074</v>
      </c>
      <c r="H127" s="891" t="s">
        <v>157</v>
      </c>
      <c r="I127" s="78"/>
      <c r="J127" s="1008" t="s">
        <v>152</v>
      </c>
      <c r="K127" s="1009"/>
      <c r="L127" s="906">
        <v>76000</v>
      </c>
      <c r="M127" s="907">
        <v>103000</v>
      </c>
      <c r="N127" s="908">
        <v>158000</v>
      </c>
      <c r="T127" s="727"/>
    </row>
    <row r="128" spans="2:20" ht="15.6" thickTop="1">
      <c r="B128" s="887"/>
      <c r="C128" s="888" t="s">
        <v>365</v>
      </c>
      <c r="D128" s="468">
        <v>200</v>
      </c>
      <c r="E128" s="889">
        <v>265</v>
      </c>
      <c r="F128" s="890">
        <f t="shared" si="3"/>
        <v>149.25373134328356</v>
      </c>
      <c r="G128" s="890">
        <f t="shared" si="4"/>
        <v>197.76119402985074</v>
      </c>
      <c r="H128" s="891" t="s">
        <v>157</v>
      </c>
      <c r="I128" s="78"/>
      <c r="J128" s="78"/>
      <c r="K128" s="78"/>
      <c r="L128" s="78"/>
      <c r="M128" s="78"/>
      <c r="T128" s="727"/>
    </row>
    <row r="129" spans="2:20">
      <c r="B129" s="892"/>
      <c r="C129" s="893" t="s">
        <v>366</v>
      </c>
      <c r="D129" s="469">
        <v>300</v>
      </c>
      <c r="E129" s="894">
        <v>405</v>
      </c>
      <c r="F129" s="895">
        <f t="shared" si="3"/>
        <v>223.88059701492537</v>
      </c>
      <c r="G129" s="895">
        <f t="shared" si="4"/>
        <v>302.23880597014926</v>
      </c>
      <c r="H129" s="896" t="s">
        <v>157</v>
      </c>
      <c r="I129" s="78"/>
      <c r="J129" s="78"/>
      <c r="K129" s="78"/>
      <c r="L129" s="78"/>
      <c r="M129" s="78"/>
      <c r="T129" s="727"/>
    </row>
    <row r="130" spans="2:20">
      <c r="B130" s="885" t="s">
        <v>367</v>
      </c>
      <c r="C130" s="264" t="s">
        <v>368</v>
      </c>
      <c r="D130" s="466">
        <v>210</v>
      </c>
      <c r="E130" s="467">
        <v>270</v>
      </c>
      <c r="F130" s="265">
        <f t="shared" si="3"/>
        <v>156.71641791044775</v>
      </c>
      <c r="G130" s="265">
        <f t="shared" si="4"/>
        <v>201.49253731343282</v>
      </c>
      <c r="H130" s="886" t="s">
        <v>157</v>
      </c>
      <c r="I130" s="78"/>
      <c r="J130" s="78"/>
      <c r="K130" s="78"/>
      <c r="L130" s="78"/>
      <c r="M130" s="78"/>
      <c r="T130" s="727"/>
    </row>
    <row r="131" spans="2:20">
      <c r="B131" s="887"/>
      <c r="C131" s="888" t="s">
        <v>369</v>
      </c>
      <c r="D131" s="468">
        <v>335</v>
      </c>
      <c r="E131" s="889">
        <v>405</v>
      </c>
      <c r="F131" s="890">
        <f t="shared" si="3"/>
        <v>249.99999999999997</v>
      </c>
      <c r="G131" s="890">
        <f t="shared" si="4"/>
        <v>302.23880597014926</v>
      </c>
      <c r="H131" s="891" t="s">
        <v>157</v>
      </c>
      <c r="I131" s="78"/>
      <c r="J131" s="78"/>
      <c r="K131" s="78"/>
      <c r="L131" s="78"/>
      <c r="M131" s="78"/>
      <c r="T131" s="727"/>
    </row>
    <row r="132" spans="2:20">
      <c r="B132" s="892"/>
      <c r="C132" s="893" t="s">
        <v>370</v>
      </c>
      <c r="D132" s="469">
        <v>355</v>
      </c>
      <c r="E132" s="894">
        <v>470</v>
      </c>
      <c r="F132" s="895">
        <f t="shared" si="3"/>
        <v>264.92537313432837</v>
      </c>
      <c r="G132" s="895">
        <f t="shared" si="4"/>
        <v>350.74626865671638</v>
      </c>
      <c r="H132" s="896" t="s">
        <v>157</v>
      </c>
      <c r="I132" s="78"/>
      <c r="J132" s="78"/>
      <c r="K132" s="78"/>
      <c r="L132" s="78"/>
      <c r="M132" s="78"/>
      <c r="T132" s="727"/>
    </row>
    <row r="133" spans="2:20">
      <c r="B133" s="885" t="s">
        <v>371</v>
      </c>
      <c r="C133" s="264" t="s">
        <v>372</v>
      </c>
      <c r="D133" s="466">
        <v>10</v>
      </c>
      <c r="E133" s="467">
        <v>25</v>
      </c>
      <c r="F133" s="265">
        <f t="shared" si="3"/>
        <v>7.4626865671641784</v>
      </c>
      <c r="G133" s="265">
        <f t="shared" si="4"/>
        <v>18.656716417910445</v>
      </c>
      <c r="H133" s="886">
        <v>15</v>
      </c>
      <c r="I133" s="78"/>
      <c r="J133" s="78"/>
      <c r="K133" s="78"/>
      <c r="L133" s="78"/>
      <c r="M133" s="78"/>
      <c r="T133" s="727"/>
    </row>
    <row r="134" spans="2:20">
      <c r="B134" s="887"/>
      <c r="C134" s="888" t="s">
        <v>631</v>
      </c>
      <c r="D134" s="468">
        <v>120</v>
      </c>
      <c r="E134" s="889">
        <v>200</v>
      </c>
      <c r="F134" s="890">
        <f t="shared" si="3"/>
        <v>89.552238805970148</v>
      </c>
      <c r="G134" s="890">
        <f t="shared" si="4"/>
        <v>149.25373134328356</v>
      </c>
      <c r="H134" s="891">
        <v>120</v>
      </c>
      <c r="I134" s="78"/>
      <c r="J134" s="78"/>
      <c r="K134" s="78"/>
      <c r="L134" s="78"/>
      <c r="M134" s="78"/>
      <c r="T134" s="727"/>
    </row>
    <row r="135" spans="2:20" ht="15.6" thickBot="1">
      <c r="B135" s="897"/>
      <c r="C135" s="898" t="s">
        <v>373</v>
      </c>
      <c r="D135" s="899">
        <v>120</v>
      </c>
      <c r="E135" s="900">
        <v>230</v>
      </c>
      <c r="F135" s="901">
        <f t="shared" si="3"/>
        <v>89.552238805970148</v>
      </c>
      <c r="G135" s="901">
        <f t="shared" si="4"/>
        <v>171.64179104477611</v>
      </c>
      <c r="H135" s="902">
        <v>130</v>
      </c>
      <c r="I135" s="78"/>
      <c r="T135" s="727"/>
    </row>
    <row r="136" spans="2:20" ht="16.2" thickTop="1">
      <c r="B136" s="914" t="s">
        <v>634</v>
      </c>
      <c r="T136" s="727"/>
    </row>
    <row r="137" spans="2:20" ht="16.2" thickBot="1">
      <c r="B137" s="1019" t="s">
        <v>211</v>
      </c>
      <c r="C137" s="1020"/>
      <c r="D137" s="1021">
        <v>1.34</v>
      </c>
      <c r="E137" s="1022"/>
      <c r="F137" s="728"/>
      <c r="G137" s="728"/>
      <c r="H137" s="728"/>
      <c r="I137" s="728"/>
      <c r="J137" s="728"/>
      <c r="K137" s="728"/>
      <c r="L137" s="728"/>
      <c r="M137" s="728"/>
      <c r="N137" s="728"/>
      <c r="O137" s="728"/>
      <c r="P137" s="728"/>
      <c r="Q137" s="757"/>
      <c r="R137" s="757"/>
      <c r="S137" s="757"/>
      <c r="T137" s="758"/>
    </row>
    <row r="138" spans="2:20" ht="15.6" thickTop="1"/>
  </sheetData>
  <mergeCells count="168">
    <mergeCell ref="B2:T2"/>
    <mergeCell ref="B29:T29"/>
    <mergeCell ref="B30:C31"/>
    <mergeCell ref="F31:G31"/>
    <mergeCell ref="F30:G30"/>
    <mergeCell ref="H30:I30"/>
    <mergeCell ref="H31:I31"/>
    <mergeCell ref="M21:O21"/>
    <mergeCell ref="M27:O27"/>
    <mergeCell ref="E21:G21"/>
    <mergeCell ref="E27:G27"/>
    <mergeCell ref="O4:T4"/>
    <mergeCell ref="E3:T3"/>
    <mergeCell ref="O5:T5"/>
    <mergeCell ref="O6:T6"/>
    <mergeCell ref="O7:T7"/>
    <mergeCell ref="O8:T8"/>
    <mergeCell ref="E12:G12"/>
    <mergeCell ref="B3:C4"/>
    <mergeCell ref="E14:T14"/>
    <mergeCell ref="O9:T9"/>
    <mergeCell ref="O10:T10"/>
    <mergeCell ref="O11:T11"/>
    <mergeCell ref="O12:T12"/>
    <mergeCell ref="H46:I46"/>
    <mergeCell ref="H44:I44"/>
    <mergeCell ref="H45:I45"/>
    <mergeCell ref="F43:G43"/>
    <mergeCell ref="F32:G32"/>
    <mergeCell ref="F33:G33"/>
    <mergeCell ref="F34:G34"/>
    <mergeCell ref="F35:G35"/>
    <mergeCell ref="F36:G36"/>
    <mergeCell ref="F37:G37"/>
    <mergeCell ref="F38:G38"/>
    <mergeCell ref="F39:G39"/>
    <mergeCell ref="F40:G40"/>
    <mergeCell ref="F41:G41"/>
    <mergeCell ref="F42:G42"/>
    <mergeCell ref="B50:T50"/>
    <mergeCell ref="N51:T51"/>
    <mergeCell ref="N52:T52"/>
    <mergeCell ref="N53:T53"/>
    <mergeCell ref="N54:T54"/>
    <mergeCell ref="H43:I43"/>
    <mergeCell ref="H32:I32"/>
    <mergeCell ref="H33:I33"/>
    <mergeCell ref="H34:I34"/>
    <mergeCell ref="H35:I35"/>
    <mergeCell ref="H36:I36"/>
    <mergeCell ref="H37:I37"/>
    <mergeCell ref="H38:I38"/>
    <mergeCell ref="H39:I39"/>
    <mergeCell ref="H40:I40"/>
    <mergeCell ref="H41:I41"/>
    <mergeCell ref="H42:I42"/>
    <mergeCell ref="F44:G44"/>
    <mergeCell ref="F45:G45"/>
    <mergeCell ref="F46:G46"/>
    <mergeCell ref="F47:G47"/>
    <mergeCell ref="F48:G48"/>
    <mergeCell ref="H48:I48"/>
    <mergeCell ref="H47:I47"/>
    <mergeCell ref="N62:T62"/>
    <mergeCell ref="B51:C52"/>
    <mergeCell ref="B55:C55"/>
    <mergeCell ref="N56:T56"/>
    <mergeCell ref="N57:T57"/>
    <mergeCell ref="N58:T58"/>
    <mergeCell ref="N59:T59"/>
    <mergeCell ref="N60:T60"/>
    <mergeCell ref="N61:T61"/>
    <mergeCell ref="N55:T55"/>
    <mergeCell ref="E80:F80"/>
    <mergeCell ref="E81:F81"/>
    <mergeCell ref="E82:F82"/>
    <mergeCell ref="P80:T80"/>
    <mergeCell ref="P81:T81"/>
    <mergeCell ref="P82:T82"/>
    <mergeCell ref="P83:T83"/>
    <mergeCell ref="B64:T64"/>
    <mergeCell ref="E72:G72"/>
    <mergeCell ref="O66:T66"/>
    <mergeCell ref="O67:T67"/>
    <mergeCell ref="O68:T68"/>
    <mergeCell ref="O69:T69"/>
    <mergeCell ref="O70:T70"/>
    <mergeCell ref="O71:T71"/>
    <mergeCell ref="E65:T65"/>
    <mergeCell ref="P84:T84"/>
    <mergeCell ref="E74:T74"/>
    <mergeCell ref="B65:C66"/>
    <mergeCell ref="P76:T76"/>
    <mergeCell ref="P75:T75"/>
    <mergeCell ref="P77:T77"/>
    <mergeCell ref="P78:T78"/>
    <mergeCell ref="P79:T79"/>
    <mergeCell ref="E83:F83"/>
    <mergeCell ref="E84:H84"/>
    <mergeCell ref="L75:O75"/>
    <mergeCell ref="L76:O76"/>
    <mergeCell ref="L77:O77"/>
    <mergeCell ref="L78:O78"/>
    <mergeCell ref="L79:O79"/>
    <mergeCell ref="L80:O80"/>
    <mergeCell ref="L81:O81"/>
    <mergeCell ref="L82:O82"/>
    <mergeCell ref="L83:O83"/>
    <mergeCell ref="E75:F75"/>
    <mergeCell ref="E76:F76"/>
    <mergeCell ref="E77:F77"/>
    <mergeCell ref="E78:F78"/>
    <mergeCell ref="E79:F79"/>
    <mergeCell ref="N101:T101"/>
    <mergeCell ref="O97:T97"/>
    <mergeCell ref="O98:T98"/>
    <mergeCell ref="K103:M103"/>
    <mergeCell ref="K102:M102"/>
    <mergeCell ref="E100:T100"/>
    <mergeCell ref="N103:T103"/>
    <mergeCell ref="B88:T88"/>
    <mergeCell ref="B89:C90"/>
    <mergeCell ref="B95:B96"/>
    <mergeCell ref="B97:B98"/>
    <mergeCell ref="C97:C98"/>
    <mergeCell ref="C95:C96"/>
    <mergeCell ref="E98:G98"/>
    <mergeCell ref="O90:T90"/>
    <mergeCell ref="E89:T89"/>
    <mergeCell ref="O91:T91"/>
    <mergeCell ref="O92:T92"/>
    <mergeCell ref="O93:T93"/>
    <mergeCell ref="O94:T94"/>
    <mergeCell ref="O95:T95"/>
    <mergeCell ref="O96:T96"/>
    <mergeCell ref="N107:T107"/>
    <mergeCell ref="N108:T108"/>
    <mergeCell ref="E109:G109"/>
    <mergeCell ref="K108:M108"/>
    <mergeCell ref="K106:M106"/>
    <mergeCell ref="K107:M107"/>
    <mergeCell ref="K105:M105"/>
    <mergeCell ref="K104:M104"/>
    <mergeCell ref="N102:T102"/>
    <mergeCell ref="J124:K124"/>
    <mergeCell ref="J125:K125"/>
    <mergeCell ref="J126:K126"/>
    <mergeCell ref="J127:K127"/>
    <mergeCell ref="B113:T113"/>
    <mergeCell ref="N109:T109"/>
    <mergeCell ref="K101:M101"/>
    <mergeCell ref="B114:H114"/>
    <mergeCell ref="B137:C137"/>
    <mergeCell ref="D137:E137"/>
    <mergeCell ref="L114:N114"/>
    <mergeCell ref="J115:K115"/>
    <mergeCell ref="J114:K114"/>
    <mergeCell ref="J116:K116"/>
    <mergeCell ref="J117:K117"/>
    <mergeCell ref="J118:K118"/>
    <mergeCell ref="J119:K119"/>
    <mergeCell ref="J120:K120"/>
    <mergeCell ref="J121:K121"/>
    <mergeCell ref="J122:K122"/>
    <mergeCell ref="J123:K123"/>
    <mergeCell ref="N104:T104"/>
    <mergeCell ref="N105:T105"/>
    <mergeCell ref="N106:T106"/>
  </mergeCells>
  <pageMargins left="0.7" right="0.7" top="0.75" bottom="0.75" header="0.3" footer="0.3"/>
  <pageSetup orientation="portrait" horizontalDpi="0" verticalDpi="0"/>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830E0E-9308-B044-9177-B50CF8953988}">
  <sheetPr>
    <tabColor rgb="FFFFFF00"/>
    <pageSetUpPr fitToPage="1"/>
  </sheetPr>
  <dimension ref="C1:M41"/>
  <sheetViews>
    <sheetView view="pageBreakPreview" topLeftCell="A6" zoomScale="25" zoomScaleNormal="25" zoomScaleSheetLayoutView="25" workbookViewId="0">
      <selection activeCell="L18" sqref="L18:M18"/>
    </sheetView>
  </sheetViews>
  <sheetFormatPr defaultColWidth="9.109375" defaultRowHeight="13.8"/>
  <cols>
    <col min="1" max="1" width="9.109375" style="1"/>
    <col min="2" max="2" width="14.33203125" style="1" customWidth="1"/>
    <col min="3" max="3" width="82.33203125" style="1" customWidth="1"/>
    <col min="4" max="12" width="50" style="1" customWidth="1"/>
    <col min="13" max="13" width="206.109375" style="1" customWidth="1"/>
    <col min="14" max="14" width="14.33203125" style="1" customWidth="1"/>
    <col min="15" max="16384" width="9.109375" style="1"/>
  </cols>
  <sheetData>
    <row r="1" spans="3:13" ht="46.5" customHeight="1"/>
    <row r="2" spans="3:13" ht="75" customHeight="1" thickBot="1">
      <c r="M2" s="2"/>
    </row>
    <row r="3" spans="3:13" s="7" customFormat="1" ht="150.75" customHeight="1" thickTop="1" thickBot="1">
      <c r="C3" s="3" t="s">
        <v>113</v>
      </c>
      <c r="D3" s="4" t="s">
        <v>114</v>
      </c>
      <c r="E3" s="4" t="s">
        <v>115</v>
      </c>
      <c r="F3" s="4" t="s">
        <v>116</v>
      </c>
      <c r="G3" s="4" t="s">
        <v>117</v>
      </c>
      <c r="H3" s="5" t="s">
        <v>276</v>
      </c>
      <c r="I3" s="4" t="s">
        <v>118</v>
      </c>
      <c r="J3" s="4" t="s">
        <v>274</v>
      </c>
      <c r="K3" s="5" t="s">
        <v>275</v>
      </c>
      <c r="L3" s="5" t="s">
        <v>121</v>
      </c>
      <c r="M3" s="6" t="s">
        <v>214</v>
      </c>
    </row>
    <row r="4" spans="3:13" ht="150.75" customHeight="1" thickTop="1">
      <c r="C4" s="8" t="s">
        <v>273</v>
      </c>
      <c r="D4" s="9" t="s">
        <v>217</v>
      </c>
      <c r="E4" s="9" t="s">
        <v>218</v>
      </c>
      <c r="F4" s="10">
        <v>45082</v>
      </c>
      <c r="G4" s="11">
        <v>33700000</v>
      </c>
      <c r="H4" s="11">
        <f t="shared" ref="H4:H7" si="0">G4/J4</f>
        <v>269600</v>
      </c>
      <c r="I4" s="12">
        <v>2.3699999999999999E-2</v>
      </c>
      <c r="J4" s="13">
        <v>125</v>
      </c>
      <c r="K4" s="11">
        <f t="shared" ref="K4:K7" si="1">(I4*G4)/J4</f>
        <v>6389.52</v>
      </c>
      <c r="L4" s="9" t="s">
        <v>277</v>
      </c>
      <c r="M4" s="14" t="s">
        <v>272</v>
      </c>
    </row>
    <row r="5" spans="3:13" ht="328.95" customHeight="1">
      <c r="C5" s="8" t="s">
        <v>278</v>
      </c>
      <c r="D5" s="9" t="s">
        <v>217</v>
      </c>
      <c r="E5" s="9" t="s">
        <v>218</v>
      </c>
      <c r="F5" s="10">
        <v>45055</v>
      </c>
      <c r="G5" s="11">
        <v>63250000</v>
      </c>
      <c r="H5" s="11">
        <f t="shared" si="0"/>
        <v>334656.08465608465</v>
      </c>
      <c r="I5" s="12">
        <v>2.53E-2</v>
      </c>
      <c r="J5" s="13">
        <v>189</v>
      </c>
      <c r="K5" s="11">
        <f t="shared" si="1"/>
        <v>8466.7989417989411</v>
      </c>
      <c r="L5" s="9">
        <v>1969</v>
      </c>
      <c r="M5" s="14" t="s">
        <v>279</v>
      </c>
    </row>
    <row r="6" spans="3:13" ht="361.05" customHeight="1">
      <c r="C6" s="8" t="s">
        <v>280</v>
      </c>
      <c r="D6" s="9" t="s">
        <v>217</v>
      </c>
      <c r="E6" s="9" t="s">
        <v>218</v>
      </c>
      <c r="F6" s="10">
        <v>44858</v>
      </c>
      <c r="G6" s="11">
        <v>107797000</v>
      </c>
      <c r="H6" s="11">
        <f t="shared" si="0"/>
        <v>470729.2576419214</v>
      </c>
      <c r="I6" s="12" t="s">
        <v>157</v>
      </c>
      <c r="J6" s="13">
        <v>229</v>
      </c>
      <c r="K6" s="11" t="s">
        <v>157</v>
      </c>
      <c r="L6" s="9">
        <v>2018</v>
      </c>
      <c r="M6" s="14" t="s">
        <v>281</v>
      </c>
    </row>
    <row r="7" spans="3:13" ht="150.75" customHeight="1">
      <c r="C7" s="8" t="s">
        <v>282</v>
      </c>
      <c r="D7" s="9" t="s">
        <v>217</v>
      </c>
      <c r="E7" s="9" t="s">
        <v>218</v>
      </c>
      <c r="F7" s="10">
        <v>44853</v>
      </c>
      <c r="G7" s="11">
        <v>69615000</v>
      </c>
      <c r="H7" s="11">
        <f t="shared" si="0"/>
        <v>455000</v>
      </c>
      <c r="I7" s="12">
        <v>2.9000000000000001E-2</v>
      </c>
      <c r="J7" s="13">
        <v>153</v>
      </c>
      <c r="K7" s="11">
        <f t="shared" si="1"/>
        <v>13195</v>
      </c>
      <c r="L7" s="9" t="s">
        <v>283</v>
      </c>
      <c r="M7" s="14" t="s">
        <v>284</v>
      </c>
    </row>
    <row r="8" spans="3:13" ht="150.75" customHeight="1">
      <c r="C8" s="8" t="s">
        <v>285</v>
      </c>
      <c r="D8" s="9" t="s">
        <v>217</v>
      </c>
      <c r="E8" s="9" t="s">
        <v>218</v>
      </c>
      <c r="F8" s="10">
        <v>44764</v>
      </c>
      <c r="G8" s="11">
        <v>30320000</v>
      </c>
      <c r="H8" s="11">
        <f t="shared" ref="H8:H9" si="2">G8/J8</f>
        <v>252666.66666666666</v>
      </c>
      <c r="I8" s="12" t="s">
        <v>157</v>
      </c>
      <c r="J8" s="13">
        <v>120</v>
      </c>
      <c r="K8" s="11" t="s">
        <v>157</v>
      </c>
      <c r="L8" s="9" t="s">
        <v>286</v>
      </c>
      <c r="M8" s="14" t="s">
        <v>287</v>
      </c>
    </row>
    <row r="9" spans="3:13" ht="150.75" customHeight="1" thickBot="1">
      <c r="C9" s="8" t="s">
        <v>288</v>
      </c>
      <c r="D9" s="9" t="s">
        <v>217</v>
      </c>
      <c r="E9" s="9" t="s">
        <v>218</v>
      </c>
      <c r="F9" s="10">
        <v>44736</v>
      </c>
      <c r="G9" s="11">
        <v>59944432</v>
      </c>
      <c r="H9" s="11">
        <f t="shared" si="2"/>
        <v>307407.3435897436</v>
      </c>
      <c r="I9" s="12" t="s">
        <v>157</v>
      </c>
      <c r="J9" s="13">
        <v>195</v>
      </c>
      <c r="K9" s="11" t="s">
        <v>157</v>
      </c>
      <c r="L9" s="9" t="s">
        <v>289</v>
      </c>
      <c r="M9" s="14" t="s">
        <v>290</v>
      </c>
    </row>
    <row r="10" spans="3:13" s="7" customFormat="1" ht="150.75" customHeight="1" thickTop="1" thickBot="1">
      <c r="C10" s="3" t="s">
        <v>113</v>
      </c>
      <c r="D10" s="4" t="s">
        <v>114</v>
      </c>
      <c r="E10" s="4" t="s">
        <v>115</v>
      </c>
      <c r="F10" s="5" t="s">
        <v>468</v>
      </c>
      <c r="G10" s="4" t="s">
        <v>122</v>
      </c>
      <c r="H10" s="5" t="s">
        <v>121</v>
      </c>
      <c r="I10" s="5" t="s">
        <v>119</v>
      </c>
      <c r="J10" s="1230" t="s">
        <v>123</v>
      </c>
      <c r="K10" s="1230"/>
      <c r="L10" s="1230" t="s">
        <v>124</v>
      </c>
      <c r="M10" s="1231"/>
    </row>
    <row r="11" spans="3:13" ht="150" customHeight="1" thickTop="1">
      <c r="C11" s="18"/>
      <c r="D11" s="19"/>
      <c r="E11" s="20"/>
      <c r="F11" s="20"/>
      <c r="G11" s="21"/>
      <c r="H11" s="19"/>
      <c r="I11" s="22"/>
      <c r="J11" s="1232"/>
      <c r="K11" s="1232"/>
      <c r="L11" s="1232"/>
      <c r="M11" s="1233"/>
    </row>
    <row r="12" spans="3:13" ht="150" customHeight="1">
      <c r="C12" s="8"/>
      <c r="D12" s="9"/>
      <c r="E12" s="23"/>
      <c r="F12" s="23"/>
      <c r="G12" s="24"/>
      <c r="H12" s="25"/>
      <c r="I12" s="13"/>
      <c r="J12" s="1225"/>
      <c r="K12" s="1225"/>
      <c r="L12" s="1225"/>
      <c r="M12" s="1226"/>
    </row>
    <row r="13" spans="3:13" ht="150" customHeight="1">
      <c r="C13" s="8"/>
      <c r="D13" s="9"/>
      <c r="E13" s="23"/>
      <c r="F13" s="23"/>
      <c r="G13" s="24"/>
      <c r="H13" s="25"/>
      <c r="I13" s="13"/>
      <c r="J13" s="1225"/>
      <c r="K13" s="1225"/>
      <c r="L13" s="1225"/>
      <c r="M13" s="1226"/>
    </row>
    <row r="14" spans="3:13" ht="150" customHeight="1">
      <c r="C14" s="26"/>
      <c r="D14" s="27"/>
      <c r="E14" s="28"/>
      <c r="F14" s="28"/>
      <c r="G14" s="29"/>
      <c r="H14" s="30"/>
      <c r="I14" s="31"/>
      <c r="J14" s="1225"/>
      <c r="K14" s="1225"/>
      <c r="L14" s="1227"/>
      <c r="M14" s="1226"/>
    </row>
    <row r="15" spans="3:13" ht="150" customHeight="1">
      <c r="C15" s="8"/>
      <c r="D15" s="9"/>
      <c r="E15" s="23"/>
      <c r="F15" s="23"/>
      <c r="G15" s="24"/>
      <c r="H15" s="25"/>
      <c r="I15" s="13"/>
      <c r="J15" s="1225"/>
      <c r="K15" s="1225"/>
      <c r="L15" s="1225"/>
      <c r="M15" s="1226"/>
    </row>
    <row r="16" spans="3:13" ht="150" customHeight="1">
      <c r="C16" s="8"/>
      <c r="D16" s="9"/>
      <c r="E16" s="23"/>
      <c r="F16" s="23"/>
      <c r="G16" s="24"/>
      <c r="H16" s="25"/>
      <c r="I16" s="13"/>
      <c r="J16" s="1225"/>
      <c r="K16" s="1225"/>
      <c r="L16" s="1225"/>
      <c r="M16" s="1226"/>
    </row>
    <row r="17" spans="3:13" ht="150" customHeight="1">
      <c r="C17" s="8"/>
      <c r="D17" s="9"/>
      <c r="E17" s="23"/>
      <c r="F17" s="23"/>
      <c r="G17" s="24"/>
      <c r="H17" s="25"/>
      <c r="I17" s="13"/>
      <c r="J17" s="1225"/>
      <c r="K17" s="1225"/>
      <c r="L17" s="1225"/>
      <c r="M17" s="1226"/>
    </row>
    <row r="18" spans="3:13" ht="150" customHeight="1">
      <c r="C18" s="26"/>
      <c r="D18" s="27"/>
      <c r="E18" s="28"/>
      <c r="F18" s="28"/>
      <c r="G18" s="29"/>
      <c r="H18" s="30"/>
      <c r="I18" s="31"/>
      <c r="J18" s="1225"/>
      <c r="K18" s="1225"/>
      <c r="L18" s="1227"/>
      <c r="M18" s="1226"/>
    </row>
    <row r="19" spans="3:13" ht="150" customHeight="1">
      <c r="C19" s="8"/>
      <c r="D19" s="9"/>
      <c r="E19" s="23"/>
      <c r="F19" s="23"/>
      <c r="G19" s="24"/>
      <c r="H19" s="25"/>
      <c r="I19" s="13"/>
      <c r="J19" s="1225"/>
      <c r="K19" s="1225"/>
      <c r="L19" s="1225"/>
      <c r="M19" s="1226"/>
    </row>
    <row r="20" spans="3:13" ht="150" customHeight="1">
      <c r="C20" s="8"/>
      <c r="D20" s="9"/>
      <c r="E20" s="23"/>
      <c r="F20" s="23"/>
      <c r="G20" s="24"/>
      <c r="H20" s="25"/>
      <c r="I20" s="13"/>
      <c r="J20" s="1225"/>
      <c r="K20" s="1225"/>
      <c r="L20" s="1225"/>
      <c r="M20" s="1226"/>
    </row>
    <row r="21" spans="3:13" ht="150" customHeight="1">
      <c r="C21" s="8"/>
      <c r="D21" s="9"/>
      <c r="E21" s="23"/>
      <c r="F21" s="23"/>
      <c r="G21" s="24"/>
      <c r="H21" s="25"/>
      <c r="I21" s="13"/>
      <c r="J21" s="1225"/>
      <c r="K21" s="1225"/>
      <c r="L21" s="1225"/>
      <c r="M21" s="1226"/>
    </row>
    <row r="22" spans="3:13" ht="150" customHeight="1">
      <c r="C22" s="26"/>
      <c r="D22" s="27"/>
      <c r="E22" s="28"/>
      <c r="F22" s="28"/>
      <c r="G22" s="29"/>
      <c r="H22" s="30"/>
      <c r="I22" s="31"/>
      <c r="J22" s="1225"/>
      <c r="K22" s="1225"/>
      <c r="L22" s="1227"/>
      <c r="M22" s="1226"/>
    </row>
    <row r="23" spans="3:13" ht="150" customHeight="1">
      <c r="C23" s="8"/>
      <c r="D23" s="9"/>
      <c r="E23" s="23"/>
      <c r="F23" s="23"/>
      <c r="G23" s="24"/>
      <c r="H23" s="25"/>
      <c r="I23" s="13"/>
      <c r="J23" s="1225"/>
      <c r="K23" s="1225"/>
      <c r="L23" s="1225"/>
      <c r="M23" s="1226"/>
    </row>
    <row r="24" spans="3:13" ht="150" customHeight="1" thickBot="1">
      <c r="C24" s="15"/>
      <c r="D24" s="16"/>
      <c r="E24" s="32"/>
      <c r="F24" s="32"/>
      <c r="G24" s="33"/>
      <c r="H24" s="34"/>
      <c r="I24" s="17"/>
      <c r="J24" s="1228"/>
      <c r="K24" s="1228"/>
      <c r="L24" s="1228"/>
      <c r="M24" s="1229"/>
    </row>
    <row r="25" spans="3:13" ht="148.5" customHeight="1" thickTop="1" thickBot="1">
      <c r="C25" s="1222" t="s">
        <v>125</v>
      </c>
      <c r="D25" s="1223"/>
      <c r="E25" s="1223"/>
      <c r="F25" s="35"/>
      <c r="G25" s="36" t="e">
        <f>SUMPRODUCT(I11:I24,G11:G24)/I25</f>
        <v>#DIV/0!</v>
      </c>
      <c r="H25" s="37"/>
      <c r="I25" s="38">
        <f>SUM(I11:I24)</f>
        <v>0</v>
      </c>
      <c r="J25" s="39"/>
      <c r="K25" s="39"/>
      <c r="L25" s="39"/>
      <c r="M25" s="40"/>
    </row>
    <row r="26" spans="3:13" ht="75" customHeight="1" thickTop="1"/>
    <row r="31" spans="3:13">
      <c r="G31" s="1224"/>
      <c r="H31" s="1224"/>
    </row>
    <row r="32" spans="3:13">
      <c r="G32" s="1224"/>
      <c r="H32" s="1224"/>
    </row>
    <row r="33" spans="7:8">
      <c r="G33" s="1224"/>
      <c r="H33" s="1224"/>
    </row>
    <row r="34" spans="7:8">
      <c r="G34" s="1224"/>
      <c r="H34" s="1224"/>
    </row>
    <row r="35" spans="7:8">
      <c r="G35" s="1224"/>
      <c r="H35" s="1224"/>
    </row>
    <row r="36" spans="7:8" ht="44.4">
      <c r="G36" s="41"/>
      <c r="H36" s="42"/>
    </row>
    <row r="37" spans="7:8" ht="44.4">
      <c r="G37" s="41"/>
      <c r="H37" s="42"/>
    </row>
    <row r="38" spans="7:8" ht="44.4">
      <c r="G38" s="41"/>
      <c r="H38" s="42"/>
    </row>
    <row r="39" spans="7:8" ht="44.4">
      <c r="G39" s="41"/>
      <c r="H39" s="42"/>
    </row>
    <row r="40" spans="7:8" ht="44.4">
      <c r="G40" s="41"/>
      <c r="H40" s="42"/>
    </row>
    <row r="41" spans="7:8" ht="45">
      <c r="G41" s="43"/>
      <c r="H41" s="42"/>
    </row>
  </sheetData>
  <mergeCells count="32">
    <mergeCell ref="J16:K16"/>
    <mergeCell ref="L16:M16"/>
    <mergeCell ref="J13:K13"/>
    <mergeCell ref="L13:M13"/>
    <mergeCell ref="J14:K14"/>
    <mergeCell ref="L14:M14"/>
    <mergeCell ref="J15:K15"/>
    <mergeCell ref="L15:M15"/>
    <mergeCell ref="J10:K10"/>
    <mergeCell ref="L10:M10"/>
    <mergeCell ref="J11:K11"/>
    <mergeCell ref="L11:M11"/>
    <mergeCell ref="J12:K12"/>
    <mergeCell ref="L12:M12"/>
    <mergeCell ref="J17:K17"/>
    <mergeCell ref="L17:M17"/>
    <mergeCell ref="J18:K18"/>
    <mergeCell ref="L18:M18"/>
    <mergeCell ref="J19:K19"/>
    <mergeCell ref="L19:M19"/>
    <mergeCell ref="C25:E25"/>
    <mergeCell ref="G31:H35"/>
    <mergeCell ref="J20:K20"/>
    <mergeCell ref="L20:M20"/>
    <mergeCell ref="J21:K21"/>
    <mergeCell ref="L21:M21"/>
    <mergeCell ref="J22:K22"/>
    <mergeCell ref="L22:M22"/>
    <mergeCell ref="J23:K23"/>
    <mergeCell ref="L23:M23"/>
    <mergeCell ref="J24:K24"/>
    <mergeCell ref="L24:M24"/>
  </mergeCells>
  <printOptions horizontalCentered="1" verticalCentered="1"/>
  <pageMargins left="0.70866141732283472" right="0.70866141732283472" top="0.74803149606299213" bottom="0.74803149606299213" header="0.31496062992125984" footer="0.31496062992125984"/>
  <pageSetup scale="13"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9AE8C2-2257-4B43-A4EE-DA28C5CEE083}">
  <sheetPr>
    <tabColor theme="2" tint="-0.249977111117893"/>
  </sheetPr>
  <dimension ref="B1:G12"/>
  <sheetViews>
    <sheetView zoomScale="113" zoomScaleNormal="75" workbookViewId="0">
      <selection activeCell="F9" sqref="F9"/>
    </sheetView>
  </sheetViews>
  <sheetFormatPr defaultColWidth="8.77734375" defaultRowHeight="14.4"/>
  <cols>
    <col min="1" max="1" width="6.33203125" style="133" customWidth="1"/>
    <col min="2" max="2" width="22.77734375" style="133" customWidth="1"/>
    <col min="3" max="3" width="33.6640625" style="133" customWidth="1"/>
    <col min="4" max="4" width="22.77734375" style="133" customWidth="1"/>
    <col min="5" max="5" width="22.44140625" style="133" customWidth="1"/>
    <col min="6" max="6" width="19.77734375" style="133" customWidth="1"/>
    <col min="7" max="7" width="19.44140625" style="133" customWidth="1"/>
    <col min="8" max="16384" width="8.77734375" style="133"/>
  </cols>
  <sheetData>
    <row r="1" spans="2:7" ht="15" thickBot="1"/>
    <row r="2" spans="2:7" ht="15" thickBot="1">
      <c r="B2" s="1234" t="s">
        <v>130</v>
      </c>
      <c r="C2" s="1235"/>
      <c r="D2" s="1235"/>
      <c r="E2" s="1235"/>
      <c r="F2" s="1235"/>
      <c r="G2" s="1236"/>
    </row>
    <row r="3" spans="2:7" ht="42" thickBot="1">
      <c r="B3" s="139" t="s">
        <v>47</v>
      </c>
      <c r="C3" s="51" t="s">
        <v>207</v>
      </c>
      <c r="D3" s="51" t="s">
        <v>208</v>
      </c>
      <c r="E3" s="51" t="s">
        <v>48</v>
      </c>
      <c r="F3" s="50" t="s">
        <v>209</v>
      </c>
      <c r="G3" s="140" t="s">
        <v>210</v>
      </c>
    </row>
    <row r="4" spans="2:7" ht="45" customHeight="1">
      <c r="B4" s="641" t="s">
        <v>49</v>
      </c>
      <c r="C4" s="642" t="s">
        <v>50</v>
      </c>
      <c r="D4" s="643" t="s">
        <v>51</v>
      </c>
      <c r="E4" s="643" t="s">
        <v>52</v>
      </c>
      <c r="F4" s="644">
        <v>0.3</v>
      </c>
      <c r="G4" s="645" t="s">
        <v>53</v>
      </c>
    </row>
    <row r="5" spans="2:7" ht="45" customHeight="1">
      <c r="B5" s="646" t="s">
        <v>54</v>
      </c>
      <c r="C5" s="647" t="s">
        <v>55</v>
      </c>
      <c r="D5" s="647" t="s">
        <v>56</v>
      </c>
      <c r="E5" s="648" t="s">
        <v>57</v>
      </c>
      <c r="F5" s="649">
        <v>0.2</v>
      </c>
      <c r="G5" s="650" t="s">
        <v>58</v>
      </c>
    </row>
    <row r="6" spans="2:7" ht="64.8" customHeight="1">
      <c r="B6" s="646" t="s">
        <v>59</v>
      </c>
      <c r="C6" s="647" t="s">
        <v>60</v>
      </c>
      <c r="D6" s="647" t="s">
        <v>61</v>
      </c>
      <c r="E6" s="648" t="s">
        <v>0</v>
      </c>
      <c r="F6" s="649">
        <v>0.3</v>
      </c>
      <c r="G6" s="650" t="s">
        <v>53</v>
      </c>
    </row>
    <row r="7" spans="2:7" ht="45" customHeight="1">
      <c r="B7" s="646" t="s">
        <v>62</v>
      </c>
      <c r="C7" s="647" t="s">
        <v>60</v>
      </c>
      <c r="D7" s="647" t="s">
        <v>56</v>
      </c>
      <c r="E7" s="647" t="s">
        <v>63</v>
      </c>
      <c r="F7" s="651" t="s">
        <v>64</v>
      </c>
      <c r="G7" s="652" t="s">
        <v>65</v>
      </c>
    </row>
    <row r="8" spans="2:7" ht="45" customHeight="1">
      <c r="B8" s="646" t="s">
        <v>66</v>
      </c>
      <c r="C8" s="647" t="s">
        <v>67</v>
      </c>
      <c r="D8" s="647" t="s">
        <v>56</v>
      </c>
      <c r="E8" s="648" t="s">
        <v>68</v>
      </c>
      <c r="F8" s="651" t="s">
        <v>69</v>
      </c>
      <c r="G8" s="653" t="s">
        <v>70</v>
      </c>
    </row>
    <row r="9" spans="2:7" ht="45" customHeight="1">
      <c r="B9" s="646" t="s">
        <v>71</v>
      </c>
      <c r="C9" s="648" t="s">
        <v>72</v>
      </c>
      <c r="D9" s="647" t="s">
        <v>56</v>
      </c>
      <c r="E9" s="648" t="s">
        <v>73</v>
      </c>
      <c r="F9" s="649">
        <v>0.3</v>
      </c>
      <c r="G9" s="650" t="s">
        <v>53</v>
      </c>
    </row>
    <row r="10" spans="2:7" ht="45" customHeight="1">
      <c r="B10" s="646" t="s">
        <v>74</v>
      </c>
      <c r="C10" s="647" t="s">
        <v>67</v>
      </c>
      <c r="D10" s="647" t="s">
        <v>56</v>
      </c>
      <c r="E10" s="648" t="s">
        <v>75</v>
      </c>
      <c r="F10" s="649">
        <v>0.3</v>
      </c>
      <c r="G10" s="650" t="s">
        <v>53</v>
      </c>
    </row>
    <row r="11" spans="2:7" ht="37.5" customHeight="1">
      <c r="B11" s="654" t="s">
        <v>76</v>
      </c>
      <c r="C11" s="647" t="s">
        <v>77</v>
      </c>
      <c r="D11" s="647" t="s">
        <v>61</v>
      </c>
      <c r="E11" s="648" t="s">
        <v>78</v>
      </c>
      <c r="F11" s="649">
        <v>0.3</v>
      </c>
      <c r="G11" s="650" t="s">
        <v>53</v>
      </c>
    </row>
    <row r="12" spans="2:7" ht="63" customHeight="1" thickBot="1">
      <c r="B12" s="655" t="s">
        <v>79</v>
      </c>
      <c r="C12" s="656" t="s">
        <v>80</v>
      </c>
      <c r="D12" s="656" t="s">
        <v>81</v>
      </c>
      <c r="E12" s="657" t="s">
        <v>82</v>
      </c>
      <c r="F12" s="658" t="s">
        <v>83</v>
      </c>
      <c r="G12" s="659" t="s">
        <v>65</v>
      </c>
    </row>
  </sheetData>
  <mergeCells count="1">
    <mergeCell ref="B2:G2"/>
  </mergeCells>
  <pageMargins left="0.7" right="0.7" top="0.75" bottom="0.75" header="0.3" footer="0.3"/>
  <pageSetup orientation="portrait" horizontalDpi="360" verticalDpi="36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18FE95-4ED2-40C2-A093-ADB7D34F28F5}">
  <sheetPr>
    <tabColor rgb="FF00B0F0"/>
  </sheetPr>
  <dimension ref="B2:J38"/>
  <sheetViews>
    <sheetView tabSelected="1" zoomScaleNormal="100" zoomScaleSheetLayoutView="125" workbookViewId="0">
      <selection activeCell="B3" sqref="B3"/>
    </sheetView>
  </sheetViews>
  <sheetFormatPr defaultColWidth="12.109375" defaultRowHeight="13.2"/>
  <cols>
    <col min="1" max="1" width="3.33203125" style="44" customWidth="1"/>
    <col min="2" max="2" width="31" style="44" customWidth="1"/>
    <col min="3" max="3" width="15.6640625" style="44" bestFit="1" customWidth="1"/>
    <col min="4" max="4" width="24.109375" style="44" bestFit="1" customWidth="1"/>
    <col min="5" max="5" width="38.109375" style="44" customWidth="1"/>
    <col min="6" max="6" width="29.33203125" style="44" customWidth="1"/>
    <col min="7" max="7" width="33.109375" style="44" customWidth="1"/>
    <col min="8" max="9" width="29.33203125" style="44" customWidth="1"/>
    <col min="10" max="10" width="12.109375" style="44"/>
    <col min="11" max="11" width="36" style="44" bestFit="1" customWidth="1"/>
    <col min="12" max="12" width="21.77734375" style="44" bestFit="1" customWidth="1"/>
    <col min="13" max="13" width="12.109375" style="44"/>
    <col min="14" max="14" width="18.44140625" style="44" bestFit="1" customWidth="1"/>
    <col min="15" max="16384" width="12.109375" style="44"/>
  </cols>
  <sheetData>
    <row r="2" spans="2:10">
      <c r="B2" s="91" t="s">
        <v>678</v>
      </c>
      <c r="D2" s="481"/>
      <c r="E2" s="481"/>
    </row>
    <row r="3" spans="2:10" ht="13.8" thickBot="1">
      <c r="C3" s="45"/>
      <c r="D3" s="46"/>
      <c r="E3" s="46"/>
      <c r="F3" s="46"/>
      <c r="G3" s="46"/>
    </row>
    <row r="4" spans="2:10" ht="27" customHeight="1" thickBot="1">
      <c r="B4" s="1125" t="s">
        <v>126</v>
      </c>
      <c r="C4" s="1126"/>
      <c r="D4" s="1126"/>
      <c r="E4" s="1126"/>
      <c r="F4" s="1126"/>
      <c r="G4" s="1126"/>
      <c r="H4" s="1126"/>
      <c r="I4" s="1127"/>
      <c r="J4" s="46"/>
    </row>
    <row r="5" spans="2:10" ht="16.05" customHeight="1">
      <c r="B5" s="1123" t="s">
        <v>13</v>
      </c>
      <c r="C5" s="1130"/>
      <c r="D5" s="1124"/>
      <c r="E5" s="1120" t="s">
        <v>330</v>
      </c>
      <c r="F5" s="1121"/>
      <c r="G5" s="1122"/>
      <c r="H5" s="1123" t="s">
        <v>409</v>
      </c>
      <c r="I5" s="1124"/>
    </row>
    <row r="6" spans="2:10" ht="13.8" thickBot="1">
      <c r="B6" s="635" t="s">
        <v>292</v>
      </c>
      <c r="C6" s="376" t="s">
        <v>196</v>
      </c>
      <c r="D6" s="377" t="s">
        <v>507</v>
      </c>
      <c r="E6" s="142" t="s">
        <v>331</v>
      </c>
      <c r="F6" s="143" t="s">
        <v>1</v>
      </c>
      <c r="G6" s="198" t="s">
        <v>0</v>
      </c>
      <c r="H6" s="627" t="s">
        <v>14</v>
      </c>
      <c r="I6" s="628">
        <f>'Market Research'!C6</f>
        <v>4.7500000000000001E-2</v>
      </c>
    </row>
    <row r="7" spans="2:10">
      <c r="B7" s="636" t="s">
        <v>203</v>
      </c>
      <c r="C7" s="372">
        <v>450</v>
      </c>
      <c r="D7" s="378">
        <v>2000</v>
      </c>
      <c r="E7" s="208" t="s">
        <v>332</v>
      </c>
      <c r="F7" s="203">
        <v>35</v>
      </c>
      <c r="G7" s="204">
        <v>45</v>
      </c>
      <c r="H7" s="627" t="s">
        <v>15</v>
      </c>
      <c r="I7" s="628">
        <f>'Market Research'!C5</f>
        <v>4.4999999999999998E-2</v>
      </c>
    </row>
    <row r="8" spans="2:10">
      <c r="B8" s="637" t="s">
        <v>204</v>
      </c>
      <c r="C8" s="373">
        <v>450</v>
      </c>
      <c r="D8" s="370">
        <v>1350</v>
      </c>
      <c r="E8" s="209" t="s">
        <v>327</v>
      </c>
      <c r="F8" s="210">
        <v>0.75</v>
      </c>
      <c r="G8" s="211">
        <v>0.75</v>
      </c>
      <c r="H8" s="627" t="s">
        <v>0</v>
      </c>
      <c r="I8" s="628">
        <f>'Market Research'!C67</f>
        <v>4.7500000000000001E-2</v>
      </c>
    </row>
    <row r="9" spans="2:10" ht="13.8" thickBot="1">
      <c r="B9" s="637" t="s">
        <v>197</v>
      </c>
      <c r="C9" s="374">
        <v>650</v>
      </c>
      <c r="D9" s="370">
        <v>2400</v>
      </c>
      <c r="E9" s="209" t="s">
        <v>322</v>
      </c>
      <c r="F9" s="187">
        <v>6</v>
      </c>
      <c r="G9" s="212">
        <v>6</v>
      </c>
      <c r="H9" s="627" t="s">
        <v>1</v>
      </c>
      <c r="I9" s="628">
        <f>'Market Research'!C91</f>
        <v>4.2500000000000003E-2</v>
      </c>
      <c r="J9" s="47"/>
    </row>
    <row r="10" spans="2:10">
      <c r="B10" s="637" t="s">
        <v>198</v>
      </c>
      <c r="C10" s="373">
        <v>650</v>
      </c>
      <c r="D10" s="370">
        <v>1300</v>
      </c>
      <c r="E10" s="209" t="s">
        <v>323</v>
      </c>
      <c r="F10" s="195">
        <v>20</v>
      </c>
      <c r="G10" s="196">
        <v>10</v>
      </c>
      <c r="H10" s="1123" t="s">
        <v>420</v>
      </c>
      <c r="I10" s="1124"/>
      <c r="J10" s="48"/>
    </row>
    <row r="11" spans="2:10">
      <c r="B11" s="637" t="s">
        <v>199</v>
      </c>
      <c r="C11" s="374">
        <v>1000</v>
      </c>
      <c r="D11" s="370">
        <v>3400</v>
      </c>
      <c r="E11" s="209" t="s">
        <v>324</v>
      </c>
      <c r="F11" s="195">
        <v>10</v>
      </c>
      <c r="G11" s="196">
        <v>5</v>
      </c>
      <c r="H11" s="411" t="s">
        <v>418</v>
      </c>
      <c r="I11" s="427">
        <v>0.6</v>
      </c>
    </row>
    <row r="12" spans="2:10">
      <c r="B12" s="637" t="s">
        <v>200</v>
      </c>
      <c r="C12" s="373">
        <v>1000</v>
      </c>
      <c r="D12" s="477">
        <v>1250</v>
      </c>
      <c r="E12" s="209" t="s">
        <v>325</v>
      </c>
      <c r="F12" s="294">
        <v>0.05</v>
      </c>
      <c r="G12" s="295">
        <v>0.05</v>
      </c>
      <c r="H12" s="411" t="s">
        <v>419</v>
      </c>
      <c r="I12" s="427">
        <f>1-I11</f>
        <v>0.4</v>
      </c>
    </row>
    <row r="13" spans="2:10">
      <c r="B13" s="637" t="s">
        <v>201</v>
      </c>
      <c r="C13" s="374">
        <v>1200</v>
      </c>
      <c r="D13" s="370">
        <v>4600</v>
      </c>
      <c r="E13" s="209" t="s">
        <v>326</v>
      </c>
      <c r="F13" s="294">
        <v>2.5000000000000001E-2</v>
      </c>
      <c r="G13" s="295">
        <v>2.5000000000000001E-2</v>
      </c>
      <c r="H13" s="411" t="s">
        <v>421</v>
      </c>
      <c r="I13" s="428">
        <v>4.4999999999999998E-2</v>
      </c>
    </row>
    <row r="14" spans="2:10" ht="22.05" customHeight="1" thickBot="1">
      <c r="B14" s="638" t="s">
        <v>202</v>
      </c>
      <c r="C14" s="375">
        <v>1200</v>
      </c>
      <c r="D14" s="371">
        <v>1200</v>
      </c>
      <c r="E14" s="206" t="s">
        <v>635</v>
      </c>
      <c r="F14" s="207">
        <v>0.03</v>
      </c>
      <c r="G14" s="213">
        <f>F14</f>
        <v>0.03</v>
      </c>
      <c r="H14" s="429" t="s">
        <v>610</v>
      </c>
      <c r="I14" s="430" t="s">
        <v>611</v>
      </c>
    </row>
    <row r="15" spans="2:10" ht="16.05" customHeight="1" thickBot="1">
      <c r="B15" s="1136"/>
      <c r="C15" s="1137"/>
      <c r="D15" s="1137"/>
      <c r="E15" s="1137"/>
      <c r="F15" s="1137"/>
      <c r="G15" s="1137"/>
      <c r="H15" s="1137"/>
      <c r="I15" s="1138"/>
    </row>
    <row r="16" spans="2:10" ht="28.95" customHeight="1">
      <c r="B16" s="1139" t="s">
        <v>16</v>
      </c>
      <c r="C16" s="1140"/>
      <c r="D16" s="1140"/>
      <c r="E16" s="1141"/>
      <c r="F16" s="1133" t="s">
        <v>127</v>
      </c>
      <c r="G16" s="1134"/>
      <c r="H16" s="1134"/>
      <c r="I16" s="1135"/>
    </row>
    <row r="17" spans="2:9" ht="13.05" customHeight="1">
      <c r="B17" s="1131" t="s">
        <v>532</v>
      </c>
      <c r="C17" s="1132"/>
      <c r="D17" s="1144">
        <f>'Site 1 - Financial'!C26+'Site 2 - Financial'!C20+'Site 3 - Financial'!C27+'Site 4 - Financial'!C20+'Site 5 - Financial'!C20+'Site 6 - Financial'!C20</f>
        <v>765</v>
      </c>
      <c r="E17" s="1145"/>
      <c r="F17" s="1128" t="s">
        <v>17</v>
      </c>
      <c r="G17" s="1129"/>
      <c r="H17" s="1146" t="s">
        <v>18</v>
      </c>
      <c r="I17" s="1147"/>
    </row>
    <row r="18" spans="2:9" ht="28.05" customHeight="1">
      <c r="B18" s="1148" t="s">
        <v>531</v>
      </c>
      <c r="C18" s="1149"/>
      <c r="D18" s="1142">
        <f>'Site 1 - Financial'!C27+'Site 2 - Financial'!C21+'Site 3 - Financial'!C28+'Site 4 - Financial'!C21+'Site 5 - Financial'!C21+'Site 6 - Financial'!C21</f>
        <v>665</v>
      </c>
      <c r="E18" s="1143"/>
      <c r="F18" s="1156" t="s">
        <v>309</v>
      </c>
      <c r="G18" s="1157"/>
      <c r="H18" s="1150" t="s">
        <v>565</v>
      </c>
      <c r="I18" s="1151"/>
    </row>
    <row r="19" spans="2:9">
      <c r="B19" s="1103" t="s">
        <v>533</v>
      </c>
      <c r="C19" s="1104"/>
      <c r="D19" s="1152">
        <v>330</v>
      </c>
      <c r="E19" s="1153"/>
      <c r="F19" s="1109" t="s">
        <v>308</v>
      </c>
      <c r="G19" s="1110"/>
      <c r="H19" s="1114" t="s">
        <v>567</v>
      </c>
      <c r="I19" s="1115"/>
    </row>
    <row r="20" spans="2:9" ht="13.05" customHeight="1">
      <c r="B20" s="1103" t="s">
        <v>582</v>
      </c>
      <c r="C20" s="1104"/>
      <c r="D20" s="1154">
        <v>250</v>
      </c>
      <c r="E20" s="1155"/>
      <c r="F20" s="1109" t="s">
        <v>310</v>
      </c>
      <c r="G20" s="1110"/>
      <c r="H20" s="1114" t="s">
        <v>566</v>
      </c>
      <c r="I20" s="1115"/>
    </row>
    <row r="21" spans="2:9" ht="13.05" customHeight="1">
      <c r="B21" s="1105" t="s">
        <v>583</v>
      </c>
      <c r="C21" s="1106"/>
      <c r="D21" s="1154">
        <v>350</v>
      </c>
      <c r="E21" s="1155"/>
      <c r="F21" s="1109" t="s">
        <v>19</v>
      </c>
      <c r="G21" s="1110"/>
      <c r="H21" s="1114" t="s">
        <v>568</v>
      </c>
      <c r="I21" s="1115"/>
    </row>
    <row r="22" spans="2:9" ht="13.05" customHeight="1" thickBot="1">
      <c r="B22" s="1107" t="s">
        <v>584</v>
      </c>
      <c r="C22" s="1108"/>
      <c r="D22" s="1154">
        <v>150</v>
      </c>
      <c r="E22" s="1155"/>
      <c r="F22" s="1109" t="s">
        <v>20</v>
      </c>
      <c r="G22" s="1110"/>
      <c r="H22" s="1114" t="s">
        <v>569</v>
      </c>
      <c r="I22" s="1115"/>
    </row>
    <row r="23" spans="2:9" ht="13.05" customHeight="1">
      <c r="B23" s="1111" t="s">
        <v>320</v>
      </c>
      <c r="C23" s="1112"/>
      <c r="D23" s="1112"/>
      <c r="E23" s="1113"/>
      <c r="F23" s="1109" t="s">
        <v>21</v>
      </c>
      <c r="G23" s="1110"/>
      <c r="H23" s="1114" t="s">
        <v>570</v>
      </c>
      <c r="I23" s="1115"/>
    </row>
    <row r="24" spans="2:9" ht="13.05" customHeight="1">
      <c r="B24" s="150" t="s">
        <v>313</v>
      </c>
      <c r="C24" s="148" t="s">
        <v>314</v>
      </c>
      <c r="D24" s="148" t="s">
        <v>319</v>
      </c>
      <c r="E24" s="120" t="s">
        <v>329</v>
      </c>
      <c r="F24" s="1109" t="s">
        <v>22</v>
      </c>
      <c r="G24" s="1110"/>
      <c r="H24" s="1114" t="s">
        <v>571</v>
      </c>
      <c r="I24" s="1115"/>
    </row>
    <row r="25" spans="2:9" ht="13.05" customHeight="1">
      <c r="B25" s="180" t="s">
        <v>315</v>
      </c>
      <c r="C25" s="199" t="s">
        <v>316</v>
      </c>
      <c r="D25" s="200">
        <v>0.15</v>
      </c>
      <c r="E25" s="202" t="s">
        <v>225</v>
      </c>
      <c r="F25" s="1109" t="s">
        <v>23</v>
      </c>
      <c r="G25" s="1110"/>
      <c r="H25" s="1114" t="s">
        <v>572</v>
      </c>
      <c r="I25" s="1115"/>
    </row>
    <row r="26" spans="2:9" ht="13.05" customHeight="1">
      <c r="B26" s="180" t="s">
        <v>29</v>
      </c>
      <c r="C26" s="199" t="s">
        <v>316</v>
      </c>
      <c r="D26" s="200">
        <v>0.25</v>
      </c>
      <c r="E26" s="202" t="s">
        <v>316</v>
      </c>
      <c r="F26" s="1109" t="s">
        <v>25</v>
      </c>
      <c r="G26" s="1110"/>
      <c r="H26" s="1114" t="s">
        <v>573</v>
      </c>
      <c r="I26" s="1115"/>
    </row>
    <row r="27" spans="2:9" ht="13.05" customHeight="1">
      <c r="B27" s="149" t="s">
        <v>99</v>
      </c>
      <c r="C27" s="133" t="s">
        <v>316</v>
      </c>
      <c r="D27" s="201">
        <v>2.5</v>
      </c>
      <c r="E27" s="202" t="s">
        <v>316</v>
      </c>
      <c r="F27" s="1109" t="s">
        <v>26</v>
      </c>
      <c r="G27" s="1110"/>
      <c r="H27" s="1114" t="s">
        <v>574</v>
      </c>
      <c r="I27" s="1115"/>
    </row>
    <row r="28" spans="2:9" ht="13.05" customHeight="1">
      <c r="B28" s="149" t="s">
        <v>317</v>
      </c>
      <c r="C28" s="133" t="s">
        <v>316</v>
      </c>
      <c r="D28" s="201">
        <v>1.5</v>
      </c>
      <c r="E28" s="202" t="s">
        <v>225</v>
      </c>
      <c r="F28" s="1109" t="s">
        <v>27</v>
      </c>
      <c r="G28" s="1110"/>
      <c r="H28" s="1114" t="s">
        <v>575</v>
      </c>
      <c r="I28" s="1115"/>
    </row>
    <row r="29" spans="2:9" ht="13.05" customHeight="1" thickBot="1">
      <c r="B29" s="181" t="s">
        <v>379</v>
      </c>
      <c r="C29" s="182" t="s">
        <v>316</v>
      </c>
      <c r="D29" s="183">
        <v>0.5</v>
      </c>
      <c r="E29" s="202" t="s">
        <v>225</v>
      </c>
      <c r="F29" s="1109" t="s">
        <v>28</v>
      </c>
      <c r="G29" s="1110"/>
      <c r="H29" s="1114" t="s">
        <v>576</v>
      </c>
      <c r="I29" s="1115"/>
    </row>
    <row r="30" spans="2:9" ht="13.05" customHeight="1" thickBot="1">
      <c r="B30" s="629" t="s">
        <v>318</v>
      </c>
      <c r="C30" s="630"/>
      <c r="D30" s="631">
        <f>SUM(D25:D29)</f>
        <v>4.9000000000000004</v>
      </c>
      <c r="E30" s="632"/>
      <c r="F30" s="1109" t="s">
        <v>577</v>
      </c>
      <c r="G30" s="1110"/>
      <c r="H30" s="1114" t="s">
        <v>375</v>
      </c>
      <c r="I30" s="1115"/>
    </row>
    <row r="31" spans="2:9" ht="13.05" customHeight="1">
      <c r="B31" s="1111" t="s">
        <v>407</v>
      </c>
      <c r="C31" s="1112"/>
      <c r="D31" s="1112"/>
      <c r="E31" s="1113"/>
      <c r="F31" s="1109" t="s">
        <v>29</v>
      </c>
      <c r="G31" s="1110"/>
      <c r="H31" s="1114" t="s">
        <v>578</v>
      </c>
      <c r="I31" s="1115"/>
    </row>
    <row r="32" spans="2:9" ht="13.95" customHeight="1">
      <c r="B32" s="150" t="s">
        <v>313</v>
      </c>
      <c r="C32" s="148" t="s">
        <v>314</v>
      </c>
      <c r="D32" s="148" t="s">
        <v>319</v>
      </c>
      <c r="E32" s="120" t="s">
        <v>329</v>
      </c>
      <c r="F32" s="1109" t="s">
        <v>30</v>
      </c>
      <c r="G32" s="1110"/>
      <c r="H32" s="1114" t="s">
        <v>572</v>
      </c>
      <c r="I32" s="1115"/>
    </row>
    <row r="33" spans="2:9" ht="13.05" customHeight="1">
      <c r="B33" s="180" t="s">
        <v>315</v>
      </c>
      <c r="C33" s="199" t="s">
        <v>609</v>
      </c>
      <c r="D33" s="200">
        <v>0.75</v>
      </c>
      <c r="E33" s="202" t="s">
        <v>225</v>
      </c>
      <c r="F33" s="1109" t="s">
        <v>31</v>
      </c>
      <c r="G33" s="1110"/>
      <c r="H33" s="1114" t="s">
        <v>571</v>
      </c>
      <c r="I33" s="1115"/>
    </row>
    <row r="34" spans="2:9" ht="13.05" customHeight="1">
      <c r="B34" s="180" t="s">
        <v>29</v>
      </c>
      <c r="C34" s="199" t="s">
        <v>225</v>
      </c>
      <c r="D34" s="200">
        <v>0.75</v>
      </c>
      <c r="E34" s="202" t="s">
        <v>316</v>
      </c>
      <c r="F34" s="1109" t="s">
        <v>32</v>
      </c>
      <c r="G34" s="1110"/>
      <c r="H34" s="1114" t="s">
        <v>579</v>
      </c>
      <c r="I34" s="1115"/>
    </row>
    <row r="35" spans="2:9" ht="13.05" customHeight="1">
      <c r="B35" s="149" t="s">
        <v>99</v>
      </c>
      <c r="C35" s="133" t="s">
        <v>316</v>
      </c>
      <c r="D35" s="201">
        <v>5</v>
      </c>
      <c r="E35" s="202" t="s">
        <v>316</v>
      </c>
      <c r="F35" s="1109" t="s">
        <v>563</v>
      </c>
      <c r="G35" s="1110"/>
      <c r="H35" s="1114" t="s">
        <v>564</v>
      </c>
      <c r="I35" s="1115"/>
    </row>
    <row r="36" spans="2:9" ht="13.05" customHeight="1">
      <c r="B36" s="149" t="s">
        <v>317</v>
      </c>
      <c r="C36" s="133" t="s">
        <v>225</v>
      </c>
      <c r="D36" s="201">
        <v>2</v>
      </c>
      <c r="E36" s="202" t="s">
        <v>225</v>
      </c>
      <c r="F36" s="1109" t="s">
        <v>33</v>
      </c>
      <c r="G36" s="1110"/>
      <c r="H36" s="1114" t="s">
        <v>580</v>
      </c>
      <c r="I36" s="1115"/>
    </row>
    <row r="37" spans="2:9" ht="13.05" customHeight="1" thickBot="1">
      <c r="B37" s="181" t="s">
        <v>379</v>
      </c>
      <c r="C37" s="182" t="s">
        <v>316</v>
      </c>
      <c r="D37" s="183">
        <v>1.5</v>
      </c>
      <c r="E37" s="202" t="s">
        <v>225</v>
      </c>
      <c r="F37" s="1116" t="s">
        <v>34</v>
      </c>
      <c r="G37" s="1117"/>
      <c r="H37" s="1118" t="s">
        <v>581</v>
      </c>
      <c r="I37" s="1119"/>
    </row>
    <row r="38" spans="2:9" ht="13.05" customHeight="1" thickBot="1">
      <c r="B38" s="629" t="s">
        <v>318</v>
      </c>
      <c r="C38" s="630"/>
      <c r="D38" s="631">
        <f>SUM(D33:D37)</f>
        <v>10</v>
      </c>
      <c r="E38" s="632"/>
      <c r="F38" s="633"/>
      <c r="G38" s="633"/>
      <c r="H38" s="633"/>
      <c r="I38" s="634"/>
    </row>
  </sheetData>
  <mergeCells count="64">
    <mergeCell ref="H24:I24"/>
    <mergeCell ref="H25:I25"/>
    <mergeCell ref="D22:E22"/>
    <mergeCell ref="H21:I21"/>
    <mergeCell ref="H22:I22"/>
    <mergeCell ref="F22:G22"/>
    <mergeCell ref="F19:G19"/>
    <mergeCell ref="F20:G20"/>
    <mergeCell ref="H19:I19"/>
    <mergeCell ref="H20:I20"/>
    <mergeCell ref="H23:I23"/>
    <mergeCell ref="D18:E18"/>
    <mergeCell ref="D17:E17"/>
    <mergeCell ref="H17:I17"/>
    <mergeCell ref="B18:C18"/>
    <mergeCell ref="H18:I18"/>
    <mergeCell ref="F18:G18"/>
    <mergeCell ref="E5:G5"/>
    <mergeCell ref="H10:I10"/>
    <mergeCell ref="B4:I4"/>
    <mergeCell ref="H5:I5"/>
    <mergeCell ref="F17:G17"/>
    <mergeCell ref="B5:D5"/>
    <mergeCell ref="B17:C17"/>
    <mergeCell ref="F16:I16"/>
    <mergeCell ref="B15:I15"/>
    <mergeCell ref="B16:E16"/>
    <mergeCell ref="F30:G30"/>
    <mergeCell ref="H26:I26"/>
    <mergeCell ref="H27:I27"/>
    <mergeCell ref="H28:I28"/>
    <mergeCell ref="H29:I29"/>
    <mergeCell ref="H30:I30"/>
    <mergeCell ref="B31:E31"/>
    <mergeCell ref="H35:I35"/>
    <mergeCell ref="F37:G37"/>
    <mergeCell ref="F36:G36"/>
    <mergeCell ref="F35:G35"/>
    <mergeCell ref="F34:G34"/>
    <mergeCell ref="F33:G33"/>
    <mergeCell ref="F32:G32"/>
    <mergeCell ref="F31:G31"/>
    <mergeCell ref="H31:I31"/>
    <mergeCell ref="H32:I32"/>
    <mergeCell ref="H33:I33"/>
    <mergeCell ref="H34:I34"/>
    <mergeCell ref="H36:I36"/>
    <mergeCell ref="H37:I37"/>
    <mergeCell ref="B19:C19"/>
    <mergeCell ref="B20:C20"/>
    <mergeCell ref="B21:C21"/>
    <mergeCell ref="B22:C22"/>
    <mergeCell ref="F29:G29"/>
    <mergeCell ref="F28:G28"/>
    <mergeCell ref="F27:G27"/>
    <mergeCell ref="F26:G26"/>
    <mergeCell ref="F25:G25"/>
    <mergeCell ref="F24:G24"/>
    <mergeCell ref="F23:G23"/>
    <mergeCell ref="B23:E23"/>
    <mergeCell ref="D19:E19"/>
    <mergeCell ref="D20:E20"/>
    <mergeCell ref="D21:E21"/>
    <mergeCell ref="F21:G21"/>
  </mergeCells>
  <pageMargins left="0.7" right="0.7" top="0.75" bottom="0.75" header="0.3" footer="0.3"/>
  <pageSetup scale="54" pageOrder="overThenDown"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672F2C-E2E0-4252-85C5-77BC5457C24C}">
  <sheetPr>
    <tabColor rgb="FF00B0F0"/>
  </sheetPr>
  <dimension ref="B1:AO24"/>
  <sheetViews>
    <sheetView zoomScale="91" zoomScaleNormal="100" zoomScalePageLayoutView="125" workbookViewId="0">
      <selection activeCell="J14" sqref="J14"/>
    </sheetView>
  </sheetViews>
  <sheetFormatPr defaultColWidth="8.77734375" defaultRowHeight="14.4"/>
  <cols>
    <col min="1" max="1" width="8.77734375" style="47"/>
    <col min="2" max="2" width="35.44140625" style="47" customWidth="1"/>
    <col min="3" max="3" width="14.44140625" style="47" customWidth="1"/>
    <col min="4" max="14" width="13.77734375" style="47" customWidth="1"/>
    <col min="15" max="37" width="17" style="133" customWidth="1"/>
    <col min="38" max="38" width="16.44140625" style="133" customWidth="1"/>
    <col min="39" max="39" width="15" style="133" customWidth="1"/>
    <col min="40" max="40" width="17.77734375" style="133" bestFit="1" customWidth="1"/>
    <col min="41" max="41" width="9.44140625" style="133" bestFit="1" customWidth="1"/>
    <col min="42" max="42" width="11.77734375" style="47" bestFit="1" customWidth="1"/>
    <col min="43" max="44" width="9.44140625" style="47" bestFit="1" customWidth="1"/>
    <col min="45" max="16384" width="8.77734375" style="47"/>
  </cols>
  <sheetData>
    <row r="1" spans="2:41" ht="15" thickBot="1"/>
    <row r="2" spans="2:41">
      <c r="B2" s="1120" t="s">
        <v>559</v>
      </c>
      <c r="C2" s="1159" t="s">
        <v>104</v>
      </c>
      <c r="D2" s="136" t="s">
        <v>548</v>
      </c>
      <c r="E2" s="137" t="s">
        <v>549</v>
      </c>
      <c r="F2" s="137" t="s">
        <v>550</v>
      </c>
      <c r="G2" s="137" t="s">
        <v>551</v>
      </c>
      <c r="H2" s="137" t="s">
        <v>552</v>
      </c>
      <c r="I2" s="137" t="s">
        <v>553</v>
      </c>
      <c r="J2" s="137" t="s">
        <v>554</v>
      </c>
      <c r="K2" s="137" t="s">
        <v>555</v>
      </c>
      <c r="L2" s="137" t="s">
        <v>556</v>
      </c>
      <c r="M2" s="137" t="s">
        <v>557</v>
      </c>
      <c r="N2" s="261" t="s">
        <v>558</v>
      </c>
    </row>
    <row r="3" spans="2:41" ht="15" thickBot="1">
      <c r="B3" s="1158"/>
      <c r="C3" s="1160"/>
      <c r="D3" s="138">
        <v>45778</v>
      </c>
      <c r="E3" s="135">
        <f>EDATE(D3,12)</f>
        <v>46143</v>
      </c>
      <c r="F3" s="135">
        <f t="shared" ref="F3:N3" si="0">EDATE(E3,12)</f>
        <v>46508</v>
      </c>
      <c r="G3" s="135">
        <f t="shared" si="0"/>
        <v>46874</v>
      </c>
      <c r="H3" s="135">
        <f t="shared" si="0"/>
        <v>47239</v>
      </c>
      <c r="I3" s="135">
        <f t="shared" si="0"/>
        <v>47604</v>
      </c>
      <c r="J3" s="135">
        <f t="shared" si="0"/>
        <v>47969</v>
      </c>
      <c r="K3" s="135">
        <f t="shared" si="0"/>
        <v>48335</v>
      </c>
      <c r="L3" s="135">
        <f t="shared" si="0"/>
        <v>48700</v>
      </c>
      <c r="M3" s="135">
        <f t="shared" si="0"/>
        <v>49065</v>
      </c>
      <c r="N3" s="600">
        <f t="shared" si="0"/>
        <v>49430</v>
      </c>
    </row>
    <row r="4" spans="2:41" s="125" customFormat="1">
      <c r="B4" s="609" t="s">
        <v>561</v>
      </c>
      <c r="C4" s="605">
        <f>SUM(D4:N4)</f>
        <v>538407483.27905142</v>
      </c>
      <c r="D4" s="915">
        <f>'Site 1 - Draw'!D59+'Site 2 - Draw'!D58+'Site 3 - Draw'!D66+'Site 4 - Draw'!D57+'Site 5 - Draw'!D58+'Site 6 - Draw'!D58+'Site 7 - Draw'!D58</f>
        <v>-202801438.07434908</v>
      </c>
      <c r="E4" s="916">
        <f>'Site 1 - Draw'!E59+'Site 2 - Draw'!E58+'Site 3 - Draw'!E66+'Site 4 - Draw'!E57+'Site 5 - Draw'!E58+'Site 6 - Draw'!E58+'Site 7 - Draw'!E58</f>
        <v>-254797564.12103146</v>
      </c>
      <c r="F4" s="916">
        <f>'Site 1 - Draw'!F59+'Site 2 - Draw'!F58+'Site 3 - Draw'!F66+'Site 4 - Draw'!F57+'Site 5 - Draw'!F58+'Site 6 - Draw'!F58+'Site 7 - Draw'!F58</f>
        <v>-32607371.285177927</v>
      </c>
      <c r="G4" s="916">
        <f>'Site 1 - Draw'!G59+'Site 2 - Draw'!G58+'Site 3 - Draw'!G66+'Site 4 - Draw'!G57+'Site 5 - Draw'!G58+'Site 6 - Draw'!G58+'Site 7 - Draw'!G58</f>
        <v>579306308.80248749</v>
      </c>
      <c r="H4" s="916">
        <f>'Site 1 - Draw'!H59+'Site 2 - Draw'!H58+'Site 3 - Draw'!H66+'Site 4 - Draw'!H57+'Site 5 - Draw'!H58+'Site 6 - Draw'!H58+'Site 7 - Draw'!H58</f>
        <v>85865203.97127974</v>
      </c>
      <c r="I4" s="916">
        <f>'Site 1 - Draw'!I59+'Site 2 - Draw'!I58+'Site 3 - Draw'!I66+'Site 4 - Draw'!I57+'Site 5 - Draw'!I58+'Site 6 - Draw'!I58+'Site 7 - Draw'!I58</f>
        <v>-1047577.0195250362</v>
      </c>
      <c r="J4" s="916">
        <f>'Site 1 - Draw'!J59+'Site 2 - Draw'!J58+'Site 3 - Draw'!J66+'Site 4 - Draw'!J57+'Site 5 - Draw'!J58+'Site 6 - Draw'!J58+'Site 7 - Draw'!J58</f>
        <v>-15540063.760872424</v>
      </c>
      <c r="K4" s="916">
        <f>'Site 1 - Draw'!K59+'Site 2 - Draw'!K58+'Site 3 - Draw'!K66+'Site 4 - Draw'!K57+'Site 5 - Draw'!K58+'Site 6 - Draw'!K58+'Site 7 - Draw'!K58</f>
        <v>-84018469.664109215</v>
      </c>
      <c r="L4" s="916">
        <f>'Site 1 - Draw'!L59+'Site 2 - Draw'!L58+'Site 3 - Draw'!L66+'Site 4 - Draw'!L57+'Site 5 - Draw'!L58+'Site 6 - Draw'!L58+'Site 7 - Draw'!L58</f>
        <v>464048454.43034935</v>
      </c>
      <c r="M4" s="916">
        <f>'Site 1 - Draw'!M59+'Site 2 - Draw'!M58+'Site 3 - Draw'!M66+'Site 4 - Draw'!M57+'Site 5 - Draw'!M58+'Site 6 - Draw'!M58+'Site 7 - Draw'!M58</f>
        <v>0</v>
      </c>
      <c r="N4" s="917">
        <f>'Site 1 - Draw'!N59+'Site 2 - Draw'!N58+'Site 3 - Draw'!N66+'Site 4 - Draw'!N57+'Site 5 - Draw'!N58+'Site 6 - Draw'!N58+'Site 7 - Draw'!N58</f>
        <v>0</v>
      </c>
      <c r="O4" s="918"/>
      <c r="P4" s="918"/>
      <c r="Q4" s="918"/>
      <c r="R4" s="918"/>
      <c r="S4" s="918"/>
      <c r="T4" s="918"/>
      <c r="U4" s="918"/>
      <c r="V4" s="918"/>
      <c r="W4" s="918"/>
      <c r="X4" s="918"/>
      <c r="Y4" s="918"/>
      <c r="Z4" s="918"/>
      <c r="AA4" s="918"/>
      <c r="AB4" s="918"/>
      <c r="AC4" s="918"/>
      <c r="AD4" s="918"/>
      <c r="AE4" s="918"/>
      <c r="AF4" s="918"/>
      <c r="AG4" s="918"/>
      <c r="AH4" s="918"/>
      <c r="AI4" s="918"/>
      <c r="AJ4" s="918"/>
      <c r="AK4" s="918"/>
      <c r="AL4" s="918"/>
      <c r="AM4" s="918"/>
      <c r="AN4" s="918"/>
      <c r="AO4" s="918"/>
    </row>
    <row r="5" spans="2:41" s="132" customFormat="1">
      <c r="B5" s="611" t="str">
        <f>'Development Program'!B5</f>
        <v>King's Court</v>
      </c>
      <c r="C5" s="612">
        <f t="shared" ref="C5:C11" si="1">SUM(D5:N5)</f>
        <v>169846958.85569686</v>
      </c>
      <c r="D5" s="615">
        <f>'Site 1 - Draw'!D59</f>
        <v>-77853061.825326651</v>
      </c>
      <c r="E5" s="616">
        <f>'Site 1 - Draw'!E59</f>
        <v>-122663054.88164306</v>
      </c>
      <c r="F5" s="616">
        <f>'Site 1 - Draw'!F59</f>
        <v>-40352022.488859698</v>
      </c>
      <c r="G5" s="616">
        <f>'Site 1 - Draw'!G59</f>
        <v>410715098.05152625</v>
      </c>
      <c r="H5" s="616">
        <f>'Site 1 - Draw'!H59</f>
        <v>0</v>
      </c>
      <c r="I5" s="616">
        <f>'Site 1 - Draw'!I59</f>
        <v>0</v>
      </c>
      <c r="J5" s="616">
        <f>'Site 1 - Draw'!J59</f>
        <v>0</v>
      </c>
      <c r="K5" s="616">
        <f>'Site 1 - Draw'!K59</f>
        <v>0</v>
      </c>
      <c r="L5" s="616">
        <f>'Site 1 - Draw'!L59</f>
        <v>0</v>
      </c>
      <c r="M5" s="616">
        <f>'Site 1 - Draw'!M59</f>
        <v>0</v>
      </c>
      <c r="N5" s="511">
        <f>'Site 1 - Draw'!N59</f>
        <v>0</v>
      </c>
      <c r="O5" s="134"/>
      <c r="P5" s="134"/>
      <c r="Q5" s="134"/>
      <c r="R5" s="134"/>
      <c r="S5" s="134"/>
      <c r="T5" s="134"/>
      <c r="U5" s="134"/>
      <c r="V5" s="134"/>
      <c r="W5" s="134"/>
      <c r="X5" s="134"/>
      <c r="Y5" s="134"/>
      <c r="Z5" s="134"/>
      <c r="AA5" s="134"/>
      <c r="AB5" s="134"/>
      <c r="AC5" s="134"/>
      <c r="AD5" s="134"/>
      <c r="AE5" s="134"/>
      <c r="AF5" s="134"/>
      <c r="AG5" s="134"/>
      <c r="AH5" s="134"/>
      <c r="AI5" s="134"/>
      <c r="AJ5" s="134"/>
      <c r="AK5" s="134"/>
      <c r="AL5" s="134"/>
      <c r="AM5" s="134"/>
      <c r="AN5" s="134"/>
      <c r="AO5" s="134"/>
    </row>
    <row r="6" spans="2:41" s="132" customFormat="1">
      <c r="B6" s="608" t="str">
        <f>'Development Program'!B6</f>
        <v>Hawk's Nest</v>
      </c>
      <c r="C6" s="606">
        <f t="shared" si="1"/>
        <v>122476355.88751793</v>
      </c>
      <c r="D6" s="251">
        <f>'Site 2 - Draw'!D58</f>
        <v>0</v>
      </c>
      <c r="E6" s="243">
        <f>'Site 2 - Draw'!E58</f>
        <v>0</v>
      </c>
      <c r="F6" s="243">
        <f>'Site 2 - Draw'!F58</f>
        <v>0</v>
      </c>
      <c r="G6" s="243">
        <f>'Site 2 - Draw'!G58</f>
        <v>0</v>
      </c>
      <c r="H6" s="243">
        <f>'Site 2 - Draw'!H58</f>
        <v>-118702219.98692326</v>
      </c>
      <c r="I6" s="243">
        <f>'Site 2 - Draw'!I58</f>
        <v>-55095994.140111968</v>
      </c>
      <c r="J6" s="243">
        <f>'Site 2 - Draw'!J58</f>
        <v>-83755414.75168696</v>
      </c>
      <c r="K6" s="243">
        <f>'Site 2 - Draw'!K58</f>
        <v>-84018469.664109215</v>
      </c>
      <c r="L6" s="243">
        <f>'Site 2 - Draw'!L58</f>
        <v>464048454.43034935</v>
      </c>
      <c r="M6" s="243">
        <f>'Site 2 - Draw'!M58</f>
        <v>0</v>
      </c>
      <c r="N6" s="244">
        <f>'Site 2 - Draw'!N58</f>
        <v>0</v>
      </c>
      <c r="O6" s="134"/>
      <c r="P6" s="134"/>
      <c r="Q6" s="134"/>
      <c r="R6" s="134"/>
      <c r="S6" s="134"/>
      <c r="T6" s="134"/>
      <c r="U6" s="134"/>
      <c r="V6" s="134"/>
      <c r="W6" s="134"/>
      <c r="X6" s="134"/>
      <c r="Y6" s="134"/>
      <c r="Z6" s="134"/>
      <c r="AA6" s="134"/>
      <c r="AB6" s="134"/>
      <c r="AC6" s="134"/>
      <c r="AD6" s="134"/>
      <c r="AE6" s="134"/>
      <c r="AF6" s="134"/>
      <c r="AG6" s="134"/>
      <c r="AH6" s="134"/>
      <c r="AI6" s="134"/>
      <c r="AJ6" s="134"/>
      <c r="AK6" s="134"/>
      <c r="AL6" s="134"/>
      <c r="AM6" s="134"/>
      <c r="AN6" s="134"/>
      <c r="AO6" s="134"/>
    </row>
    <row r="7" spans="2:41" s="132" customFormat="1">
      <c r="B7" s="608" t="str">
        <f>'Development Program'!B7</f>
        <v>Chinook</v>
      </c>
      <c r="C7" s="606">
        <f t="shared" si="1"/>
        <v>107567248.83273807</v>
      </c>
      <c r="D7" s="251">
        <f>'Site 3 - Draw'!D66</f>
        <v>-44630937.02500236</v>
      </c>
      <c r="E7" s="243">
        <f>'Site 3 - Draw'!E66</f>
        <v>-50568964.590085007</v>
      </c>
      <c r="F7" s="243">
        <f>'Site 3 - Draw'!F66</f>
        <v>-50804091.147585005</v>
      </c>
      <c r="G7" s="243">
        <f>'Site 3 - Draw'!G66</f>
        <v>253571241.59541044</v>
      </c>
      <c r="H7" s="243">
        <f>'Site 3 - Draw'!H66</f>
        <v>0</v>
      </c>
      <c r="I7" s="243">
        <f>'Site 3 - Draw'!I66</f>
        <v>0</v>
      </c>
      <c r="J7" s="243">
        <f>'Site 3 - Draw'!J66</f>
        <v>0</v>
      </c>
      <c r="K7" s="243">
        <f>'Site 3 - Draw'!K66</f>
        <v>0</v>
      </c>
      <c r="L7" s="243">
        <f>'Site 3 - Draw'!L66</f>
        <v>0</v>
      </c>
      <c r="M7" s="243">
        <f>'Site 3 - Draw'!M66</f>
        <v>0</v>
      </c>
      <c r="N7" s="244">
        <f>'Site 3 - Draw'!N66</f>
        <v>0</v>
      </c>
      <c r="O7" s="134"/>
      <c r="P7" s="134"/>
      <c r="Q7" s="134"/>
      <c r="R7" s="134"/>
      <c r="S7" s="134"/>
      <c r="T7" s="134"/>
      <c r="U7" s="134"/>
      <c r="V7" s="134"/>
      <c r="W7" s="134"/>
      <c r="X7" s="134"/>
      <c r="Y7" s="134"/>
      <c r="Z7" s="134"/>
      <c r="AA7" s="134"/>
      <c r="AB7" s="134"/>
      <c r="AC7" s="134"/>
      <c r="AD7" s="134"/>
      <c r="AE7" s="134"/>
      <c r="AF7" s="134"/>
      <c r="AG7" s="134"/>
      <c r="AH7" s="134"/>
      <c r="AI7" s="134"/>
      <c r="AJ7" s="134"/>
      <c r="AK7" s="134"/>
      <c r="AL7" s="134"/>
      <c r="AM7" s="134"/>
      <c r="AN7" s="134"/>
      <c r="AO7" s="134"/>
    </row>
    <row r="8" spans="2:41" s="132" customFormat="1">
      <c r="B8" s="608" t="str">
        <f>'Development Program'!B8</f>
        <v>County Center</v>
      </c>
      <c r="C8" s="606">
        <f t="shared" si="1"/>
        <v>35991192.952993169</v>
      </c>
      <c r="D8" s="251">
        <f>'Site 4 - Draw'!D57</f>
        <v>-80317439.224020064</v>
      </c>
      <c r="E8" s="243">
        <f>'Site 4 - Draw'!E57</f>
        <v>-17032752.914102715</v>
      </c>
      <c r="F8" s="243">
        <f>'Site 4 - Draw'!F57</f>
        <v>133341385.09111595</v>
      </c>
      <c r="G8" s="243">
        <f>'Site 4 - Draw'!G57</f>
        <v>0</v>
      </c>
      <c r="H8" s="243">
        <f>'Site 4 - Draw'!H57</f>
        <v>0</v>
      </c>
      <c r="I8" s="243">
        <f>'Site 4 - Draw'!I57</f>
        <v>0</v>
      </c>
      <c r="J8" s="243">
        <f>'Site 4 - Draw'!J57</f>
        <v>0</v>
      </c>
      <c r="K8" s="243">
        <f>'Site 4 - Draw'!K57</f>
        <v>0</v>
      </c>
      <c r="L8" s="243">
        <f>'Site 4 - Draw'!L57</f>
        <v>0</v>
      </c>
      <c r="M8" s="243">
        <f>'Site 4 - Draw'!M57</f>
        <v>0</v>
      </c>
      <c r="N8" s="244">
        <f>'Site 4 - Draw'!N57</f>
        <v>0</v>
      </c>
      <c r="O8" s="134"/>
      <c r="P8" s="134"/>
      <c r="Q8" s="134"/>
      <c r="R8" s="134"/>
      <c r="S8" s="134"/>
      <c r="T8" s="134"/>
      <c r="U8" s="134"/>
      <c r="V8" s="134"/>
      <c r="W8" s="134"/>
      <c r="X8" s="134"/>
      <c r="Y8" s="134"/>
      <c r="Z8" s="134"/>
      <c r="AA8" s="134"/>
      <c r="AB8" s="134"/>
      <c r="AC8" s="134"/>
      <c r="AD8" s="134"/>
      <c r="AE8" s="134"/>
      <c r="AF8" s="134"/>
      <c r="AG8" s="134"/>
      <c r="AH8" s="134"/>
      <c r="AI8" s="134"/>
      <c r="AJ8" s="134"/>
      <c r="AK8" s="134"/>
      <c r="AL8" s="134"/>
      <c r="AM8" s="134"/>
      <c r="AN8" s="134"/>
      <c r="AO8" s="134"/>
    </row>
    <row r="9" spans="2:41" s="132" customFormat="1">
      <c r="B9" s="608" t="str">
        <f>'Development Program'!B9</f>
        <v>Goat Hill</v>
      </c>
      <c r="C9" s="606">
        <f t="shared" si="1"/>
        <v>66997893.3491427</v>
      </c>
      <c r="D9" s="251">
        <f>'Site 5 - Draw'!D58</f>
        <v>0</v>
      </c>
      <c r="E9" s="243">
        <f>'Site 5 - Draw'!E58</f>
        <v>-64532791.735200718</v>
      </c>
      <c r="F9" s="243">
        <f>'Site 5 - Draw'!F58</f>
        <v>-61110802.014126331</v>
      </c>
      <c r="G9" s="243">
        <f>'Site 5 - Draw'!G58</f>
        <v>-61353863.339126334</v>
      </c>
      <c r="H9" s="243">
        <f>'Site 5 - Draw'!H58</f>
        <v>253995350.43759608</v>
      </c>
      <c r="I9" s="243">
        <f>'Site 5 - Draw'!I58</f>
        <v>0</v>
      </c>
      <c r="J9" s="243">
        <f>'Site 5 - Draw'!J58</f>
        <v>0</v>
      </c>
      <c r="K9" s="243">
        <f>'Site 5 - Draw'!K58</f>
        <v>0</v>
      </c>
      <c r="L9" s="243">
        <f>'Site 5 - Draw'!L58</f>
        <v>0</v>
      </c>
      <c r="M9" s="243">
        <f>'Site 5 - Draw'!M58</f>
        <v>0</v>
      </c>
      <c r="N9" s="244">
        <f>'Site 5 - Draw'!N58</f>
        <v>0</v>
      </c>
      <c r="O9" s="134"/>
      <c r="P9" s="134"/>
      <c r="Q9" s="134"/>
      <c r="R9" s="134"/>
      <c r="S9" s="134"/>
      <c r="T9" s="134"/>
      <c r="U9" s="134"/>
      <c r="V9" s="134"/>
      <c r="W9" s="134"/>
      <c r="X9" s="134"/>
      <c r="Y9" s="134"/>
      <c r="Z9" s="134"/>
      <c r="AA9" s="134"/>
      <c r="AB9" s="134"/>
      <c r="AC9" s="134"/>
      <c r="AD9" s="134"/>
      <c r="AE9" s="134"/>
      <c r="AF9" s="134"/>
      <c r="AG9" s="134"/>
      <c r="AH9" s="134"/>
      <c r="AI9" s="134"/>
      <c r="AJ9" s="134"/>
      <c r="AK9" s="134"/>
      <c r="AL9" s="134"/>
      <c r="AM9" s="134"/>
      <c r="AN9" s="134"/>
      <c r="AO9" s="134"/>
    </row>
    <row r="10" spans="2:41" s="132" customFormat="1">
      <c r="B10" s="608" t="str">
        <f>'Development Program'!B10</f>
        <v>The Argyle</v>
      </c>
      <c r="C10" s="606">
        <f t="shared" si="1"/>
        <v>18055380.916810974</v>
      </c>
      <c r="D10" s="251">
        <f>'Site 6 - Draw'!D58</f>
        <v>0</v>
      </c>
      <c r="E10" s="243">
        <f>'Site 6 - Draw'!E58</f>
        <v>0</v>
      </c>
      <c r="F10" s="243">
        <f>'Site 6 - Draw'!F58</f>
        <v>-13681840.725722846</v>
      </c>
      <c r="G10" s="243">
        <f>'Site 6 - Draw'!G58</f>
        <v>-11607182.980901908</v>
      </c>
      <c r="H10" s="243">
        <f>'Site 6 - Draw'!H58</f>
        <v>-12326526.293401908</v>
      </c>
      <c r="I10" s="243">
        <f>'Site 6 - Draw'!I58</f>
        <v>-12544420.073976908</v>
      </c>
      <c r="J10" s="243">
        <f>'Site 6 - Draw'!J58</f>
        <v>68215350.990814537</v>
      </c>
      <c r="K10" s="243">
        <f>'Site 6 - Draw'!K58</f>
        <v>0</v>
      </c>
      <c r="L10" s="243">
        <f>'Site 6 - Draw'!L58</f>
        <v>0</v>
      </c>
      <c r="M10" s="243">
        <f>'Site 6 - Draw'!M58</f>
        <v>0</v>
      </c>
      <c r="N10" s="244">
        <f>'Site 6 - Draw'!N58</f>
        <v>0</v>
      </c>
      <c r="O10" s="134"/>
      <c r="P10" s="134"/>
      <c r="Q10" s="134"/>
      <c r="R10" s="134"/>
      <c r="S10" s="134"/>
      <c r="T10" s="134"/>
      <c r="U10" s="134"/>
      <c r="V10" s="134"/>
      <c r="W10" s="134"/>
      <c r="X10" s="134"/>
      <c r="Y10" s="134"/>
      <c r="Z10" s="134"/>
      <c r="AA10" s="134"/>
      <c r="AB10" s="134"/>
      <c r="AC10" s="134"/>
      <c r="AD10" s="134"/>
      <c r="AE10" s="134"/>
      <c r="AF10" s="134"/>
      <c r="AG10" s="134"/>
      <c r="AH10" s="134"/>
      <c r="AI10" s="134"/>
      <c r="AJ10" s="134"/>
      <c r="AK10" s="134"/>
      <c r="AL10" s="134"/>
      <c r="AM10" s="134"/>
      <c r="AN10" s="134"/>
      <c r="AO10" s="134"/>
    </row>
    <row r="11" spans="2:41" s="132" customFormat="1">
      <c r="B11" s="613" t="str">
        <f>'Development Program'!B11</f>
        <v>The Yesler</v>
      </c>
      <c r="C11" s="614">
        <f t="shared" si="1"/>
        <v>13559897.461051278</v>
      </c>
      <c r="D11" s="617">
        <f>'Site 7 - Draw'!D64</f>
        <v>0</v>
      </c>
      <c r="E11" s="618">
        <f>'Site 7 - Draw'!E64</f>
        <v>0</v>
      </c>
      <c r="F11" s="618">
        <f>'Site 7 - Draw'!F64</f>
        <v>0</v>
      </c>
      <c r="G11" s="618">
        <f>'Site 7 - Draw'!G64</f>
        <v>-6616939.5331498776</v>
      </c>
      <c r="H11" s="618">
        <f>'Site 7 - Draw'!H64</f>
        <v>-16649905.797777977</v>
      </c>
      <c r="I11" s="618">
        <f>'Site 7 - Draw'!I64</f>
        <v>36826742.791979134</v>
      </c>
      <c r="J11" s="618">
        <f>'Site 7 - Draw'!J64</f>
        <v>0</v>
      </c>
      <c r="K11" s="618">
        <f>'Site 7 - Draw'!K64</f>
        <v>0</v>
      </c>
      <c r="L11" s="618">
        <f>'Site 7 - Draw'!L64</f>
        <v>0</v>
      </c>
      <c r="M11" s="618">
        <f>'Site 7 - Draw'!M64</f>
        <v>0</v>
      </c>
      <c r="N11" s="550">
        <f>'Site 7 - Draw'!N64</f>
        <v>0</v>
      </c>
      <c r="O11" s="134"/>
      <c r="P11" s="134"/>
      <c r="Q11" s="134"/>
      <c r="R11" s="134"/>
      <c r="S11" s="134"/>
      <c r="T11" s="134"/>
      <c r="U11" s="134"/>
      <c r="V11" s="134"/>
      <c r="W11" s="134"/>
      <c r="X11" s="134"/>
      <c r="Y11" s="134"/>
      <c r="Z11" s="134"/>
      <c r="AA11" s="134"/>
      <c r="AB11" s="134"/>
      <c r="AC11" s="134"/>
      <c r="AD11" s="134"/>
      <c r="AE11" s="134"/>
      <c r="AF11" s="134"/>
      <c r="AG11" s="134"/>
      <c r="AH11" s="134"/>
      <c r="AI11" s="134"/>
      <c r="AJ11" s="134"/>
      <c r="AK11" s="134"/>
      <c r="AL11" s="134"/>
      <c r="AM11" s="134"/>
      <c r="AN11" s="134"/>
      <c r="AO11" s="134"/>
    </row>
    <row r="12" spans="2:41" s="132" customFormat="1" ht="15" thickBot="1">
      <c r="B12" s="610" t="s">
        <v>136</v>
      </c>
      <c r="C12" s="607">
        <f>IRR(D4:N4)</f>
        <v>0.21399341717929743</v>
      </c>
      <c r="D12" s="252" t="s">
        <v>205</v>
      </c>
      <c r="E12" s="245" t="s">
        <v>205</v>
      </c>
      <c r="F12" s="245" t="s">
        <v>205</v>
      </c>
      <c r="G12" s="245" t="s">
        <v>205</v>
      </c>
      <c r="H12" s="245" t="s">
        <v>205</v>
      </c>
      <c r="I12" s="599" t="s">
        <v>205</v>
      </c>
      <c r="J12" s="245" t="s">
        <v>205</v>
      </c>
      <c r="K12" s="245" t="s">
        <v>205</v>
      </c>
      <c r="L12" s="245" t="s">
        <v>205</v>
      </c>
      <c r="M12" s="245" t="s">
        <v>205</v>
      </c>
      <c r="N12" s="246" t="s">
        <v>205</v>
      </c>
      <c r="O12" s="134"/>
      <c r="P12" s="134"/>
      <c r="Q12" s="134"/>
      <c r="R12" s="134"/>
      <c r="S12" s="134"/>
      <c r="T12" s="134"/>
      <c r="U12" s="134"/>
      <c r="V12" s="134"/>
      <c r="W12" s="134"/>
      <c r="X12" s="134"/>
      <c r="Y12" s="134"/>
      <c r="Z12" s="134"/>
      <c r="AA12" s="134"/>
      <c r="AB12" s="134"/>
      <c r="AC12" s="134"/>
      <c r="AD12" s="134"/>
      <c r="AE12" s="134"/>
      <c r="AF12" s="134"/>
      <c r="AG12" s="134"/>
      <c r="AH12" s="134"/>
      <c r="AI12" s="134"/>
      <c r="AJ12" s="134"/>
      <c r="AK12" s="134"/>
      <c r="AL12" s="134"/>
      <c r="AM12" s="134"/>
      <c r="AN12" s="134"/>
      <c r="AO12" s="134"/>
    </row>
    <row r="13" spans="2:41" s="125" customFormat="1">
      <c r="B13" s="609" t="s">
        <v>636</v>
      </c>
      <c r="C13" s="605">
        <f>SUM(D13:N13)</f>
        <v>549648783.26469254</v>
      </c>
      <c r="D13" s="915">
        <f>'Site 1 - Draw'!D65+'Site 2 - Draw'!D64+'Site 3 - Draw'!D72+'Site 4 - Draw'!D63+'Site 5 - Draw'!D64+'Site 6 - Draw'!D64+'Site 7 - Draw'!D64</f>
        <v>-98956868.581985608</v>
      </c>
      <c r="E13" s="916">
        <f>'Site 1 - Draw'!E65+'Site 2 - Draw'!E64+'Site 3 - Draw'!E72+'Site 4 - Draw'!E63+'Site 5 - Draw'!E64+'Site 6 - Draw'!E64+'Site 7 - Draw'!E64</f>
        <v>-126643356.44704473</v>
      </c>
      <c r="F13" s="916">
        <f>'Site 1 - Draw'!F65+'Site 2 - Draw'!F64+'Site 3 - Draw'!F72+'Site 4 - Draw'!F63+'Site 5 - Draw'!F64+'Site 6 - Draw'!F64+'Site 7 - Draw'!F64</f>
        <v>-15016714.473498663</v>
      </c>
      <c r="G13" s="916">
        <f>'Site 1 - Draw'!G65+'Site 2 - Draw'!G64+'Site 3 - Draw'!G72+'Site 4 - Draw'!G63+'Site 5 - Draw'!G64+'Site 6 - Draw'!G64+'Site 7 - Draw'!G64</f>
        <v>524039722.490964</v>
      </c>
      <c r="H13" s="916">
        <f>'Site 1 - Draw'!H65+'Site 2 - Draw'!H64+'Site 3 - Draw'!H72+'Site 4 - Draw'!H63+'Site 5 - Draw'!H64+'Site 6 - Draw'!H64+'Site 7 - Draw'!H64</f>
        <v>59286060.185067818</v>
      </c>
      <c r="I13" s="916">
        <f>'Site 1 - Draw'!I65+'Site 2 - Draw'!I64+'Site 3 - Draw'!I72+'Site 4 - Draw'!I63+'Site 5 - Draw'!I64+'Site 6 - Draw'!I64+'Site 7 - Draw'!I64</f>
        <v>-4658844.5531538427</v>
      </c>
      <c r="J13" s="916">
        <f>'Site 1 - Draw'!J65+'Site 2 - Draw'!J64+'Site 3 - Draw'!J72+'Site 4 - Draw'!J63+'Site 5 - Draw'!J64+'Site 6 - Draw'!J64+'Site 7 - Draw'!J64</f>
        <v>-7113410.3838296682</v>
      </c>
      <c r="K13" s="916">
        <f>'Site 1 - Draw'!K65+'Site 2 - Draw'!K64+'Site 3 - Draw'!K72+'Site 4 - Draw'!K63+'Site 5 - Draw'!K64+'Site 6 - Draw'!K64+'Site 7 - Draw'!K64</f>
        <v>-46189170.752085954</v>
      </c>
      <c r="L13" s="916">
        <f>'Site 1 - Draw'!L65+'Site 2 - Draw'!L64+'Site 3 - Draw'!L72+'Site 4 - Draw'!L63+'Site 5 - Draw'!L64+'Site 6 - Draw'!L64+'Site 7 - Draw'!L64</f>
        <v>264901365.78025913</v>
      </c>
      <c r="M13" s="916">
        <f>'Site 1 - Draw'!M65+'Site 2 - Draw'!M64+'Site 3 - Draw'!M72+'Site 4 - Draw'!M63+'Site 5 - Draw'!M64+'Site 6 - Draw'!M64+'Site 7 - Draw'!M64</f>
        <v>0</v>
      </c>
      <c r="N13" s="917">
        <f>'Site 1 - Draw'!N65+'Site 2 - Draw'!N64+'Site 3 - Draw'!N72+'Site 4 - Draw'!N63+'Site 5 - Draw'!N64+'Site 6 - Draw'!N64+'Site 7 - Draw'!N64</f>
        <v>0</v>
      </c>
      <c r="O13" s="918"/>
      <c r="P13" s="918"/>
      <c r="Q13" s="918"/>
      <c r="R13" s="918"/>
      <c r="S13" s="918"/>
      <c r="T13" s="918"/>
      <c r="U13" s="918"/>
      <c r="V13" s="918"/>
      <c r="W13" s="918"/>
      <c r="X13" s="918"/>
      <c r="Y13" s="918"/>
      <c r="Z13" s="918"/>
      <c r="AA13" s="918"/>
      <c r="AB13" s="918"/>
      <c r="AC13" s="918"/>
      <c r="AD13" s="918"/>
      <c r="AE13" s="918"/>
      <c r="AF13" s="918"/>
      <c r="AG13" s="918"/>
      <c r="AH13" s="918"/>
      <c r="AI13" s="918"/>
      <c r="AJ13" s="918"/>
      <c r="AK13" s="918"/>
      <c r="AL13" s="918"/>
      <c r="AM13" s="918"/>
      <c r="AN13" s="918"/>
      <c r="AO13" s="918"/>
    </row>
    <row r="14" spans="2:41" s="132" customFormat="1">
      <c r="B14" s="611" t="str">
        <f>B5</f>
        <v>King's Court</v>
      </c>
      <c r="C14" s="612">
        <f t="shared" ref="C14:C20" si="2">SUM(D14:N14)</f>
        <v>278878402.28658551</v>
      </c>
      <c r="D14" s="615">
        <f>'Site 1 - Draw'!D65</f>
        <v>-40013584.751782909</v>
      </c>
      <c r="E14" s="616">
        <f>'Site 1 - Draw'!E65</f>
        <v>-57937581.974309474</v>
      </c>
      <c r="F14" s="616">
        <f>'Site 1 - Draw'!F65</f>
        <v>-25013169.017196126</v>
      </c>
      <c r="G14" s="616">
        <f>'Site 1 - Draw'!G65</f>
        <v>401842738.02987403</v>
      </c>
      <c r="H14" s="616">
        <f>'Site 1 - Draw'!H65</f>
        <v>0</v>
      </c>
      <c r="I14" s="616">
        <f>'Site 1 - Draw'!I65</f>
        <v>0</v>
      </c>
      <c r="J14" s="616">
        <f>'Site 1 - Draw'!J65</f>
        <v>0</v>
      </c>
      <c r="K14" s="616">
        <f>'Site 1 - Draw'!K65</f>
        <v>0</v>
      </c>
      <c r="L14" s="616">
        <f>'Site 1 - Draw'!L65</f>
        <v>0</v>
      </c>
      <c r="M14" s="616">
        <f>'Site 1 - Draw'!M65</f>
        <v>0</v>
      </c>
      <c r="N14" s="511">
        <f>'Site 1 - Draw'!N65</f>
        <v>0</v>
      </c>
      <c r="O14" s="134"/>
      <c r="P14" s="134"/>
      <c r="Q14" s="134"/>
      <c r="R14" s="134"/>
      <c r="S14" s="134"/>
      <c r="T14" s="134"/>
      <c r="U14" s="134"/>
      <c r="V14" s="134"/>
      <c r="W14" s="134"/>
      <c r="X14" s="134"/>
      <c r="Y14" s="134"/>
      <c r="Z14" s="134"/>
      <c r="AA14" s="134"/>
      <c r="AB14" s="134"/>
      <c r="AC14" s="134"/>
      <c r="AD14" s="134"/>
      <c r="AE14" s="134"/>
      <c r="AF14" s="134"/>
      <c r="AG14" s="134"/>
      <c r="AH14" s="134"/>
      <c r="AI14" s="134"/>
      <c r="AJ14" s="134"/>
      <c r="AK14" s="134"/>
      <c r="AL14" s="134"/>
      <c r="AM14" s="134"/>
      <c r="AN14" s="134"/>
      <c r="AO14" s="134"/>
    </row>
    <row r="15" spans="2:41" s="132" customFormat="1">
      <c r="B15" s="608" t="str">
        <f t="shared" ref="B15:B20" si="3">B6</f>
        <v>Hawk's Nest</v>
      </c>
      <c r="C15" s="606">
        <f t="shared" si="2"/>
        <v>77945394.81735751</v>
      </c>
      <c r="D15" s="251">
        <f>'Site 2 - Draw'!D64</f>
        <v>0</v>
      </c>
      <c r="E15" s="243">
        <f>'Site 2 - Draw'!E64</f>
        <v>0</v>
      </c>
      <c r="F15" s="243">
        <f>'Site 2 - Draw'!F64</f>
        <v>0</v>
      </c>
      <c r="G15" s="243">
        <f>'Site 2 - Draw'!G64</f>
        <v>0</v>
      </c>
      <c r="H15" s="243">
        <f>'Site 2 - Draw'!H64</f>
        <v>-60062670.881211571</v>
      </c>
      <c r="I15" s="243">
        <f>'Site 2 - Draw'!I64</f>
        <v>-34620180.542487055</v>
      </c>
      <c r="J15" s="243">
        <f>'Site 2 - Draw'!J64</f>
        <v>-46083948.787117049</v>
      </c>
      <c r="K15" s="243">
        <f>'Site 2 - Draw'!K64</f>
        <v>-46189170.752085954</v>
      </c>
      <c r="L15" s="243">
        <f>'Site 2 - Draw'!L64</f>
        <v>264901365.78025913</v>
      </c>
      <c r="M15" s="243">
        <f>'Site 2 - Draw'!M64</f>
        <v>0</v>
      </c>
      <c r="N15" s="244">
        <f>'Site 2 - Draw'!N64</f>
        <v>0</v>
      </c>
      <c r="O15" s="134"/>
      <c r="P15" s="134"/>
      <c r="Q15" s="134"/>
      <c r="R15" s="134"/>
      <c r="S15" s="134"/>
      <c r="T15" s="134"/>
      <c r="U15" s="134"/>
      <c r="V15" s="134"/>
      <c r="W15" s="134"/>
      <c r="X15" s="134"/>
      <c r="Y15" s="134"/>
      <c r="Z15" s="134"/>
      <c r="AA15" s="134"/>
      <c r="AB15" s="134"/>
      <c r="AC15" s="134"/>
      <c r="AD15" s="134"/>
      <c r="AE15" s="134"/>
      <c r="AF15" s="134"/>
      <c r="AG15" s="134"/>
      <c r="AH15" s="134"/>
      <c r="AI15" s="134"/>
      <c r="AJ15" s="134"/>
      <c r="AK15" s="134"/>
      <c r="AL15" s="134"/>
      <c r="AM15" s="134"/>
      <c r="AN15" s="134"/>
      <c r="AO15" s="134"/>
    </row>
    <row r="16" spans="2:41" s="132" customFormat="1">
      <c r="B16" s="608" t="str">
        <f t="shared" si="3"/>
        <v>Chinook</v>
      </c>
      <c r="C16" s="606">
        <f t="shared" si="2"/>
        <v>92198282.940895557</v>
      </c>
      <c r="D16" s="251">
        <f>'Site 3 - Draw'!D72</f>
        <v>-23230421.041910261</v>
      </c>
      <c r="E16" s="243">
        <f>'Site 3 - Draw'!E72</f>
        <v>-25605632.06794332</v>
      </c>
      <c r="F16" s="243">
        <f>'Site 3 - Draw'!F72</f>
        <v>-25699682.690943316</v>
      </c>
      <c r="G16" s="243">
        <f>'Site 3 - Draw'!G72</f>
        <v>166734018.74169245</v>
      </c>
      <c r="H16" s="243">
        <f>'Site 3 - Draw'!H72</f>
        <v>0</v>
      </c>
      <c r="I16" s="243">
        <f>'Site 3 - Draw'!I72</f>
        <v>0</v>
      </c>
      <c r="J16" s="243">
        <f>'Site 3 - Draw'!J72</f>
        <v>0</v>
      </c>
      <c r="K16" s="243">
        <f>'Site 3 - Draw'!K72</f>
        <v>0</v>
      </c>
      <c r="L16" s="243">
        <f>'Site 3 - Draw'!L72</f>
        <v>0</v>
      </c>
      <c r="M16" s="243">
        <f>'Site 3 - Draw'!M72</f>
        <v>0</v>
      </c>
      <c r="N16" s="244">
        <f>'Site 3 - Draw'!N72</f>
        <v>0</v>
      </c>
      <c r="O16" s="134"/>
      <c r="P16" s="134"/>
      <c r="Q16" s="134"/>
      <c r="R16" s="134"/>
      <c r="S16" s="134"/>
      <c r="T16" s="134"/>
      <c r="U16" s="134"/>
      <c r="V16" s="134"/>
      <c r="W16" s="134"/>
      <c r="X16" s="134"/>
      <c r="Y16" s="134"/>
      <c r="Z16" s="134"/>
      <c r="AA16" s="134"/>
      <c r="AB16" s="134"/>
      <c r="AC16" s="134"/>
      <c r="AD16" s="134"/>
      <c r="AE16" s="134"/>
      <c r="AF16" s="134"/>
      <c r="AG16" s="134"/>
      <c r="AH16" s="134"/>
      <c r="AI16" s="134"/>
      <c r="AJ16" s="134"/>
      <c r="AK16" s="134"/>
      <c r="AL16" s="134"/>
      <c r="AM16" s="134"/>
      <c r="AN16" s="134"/>
      <c r="AO16" s="134"/>
    </row>
    <row r="17" spans="2:41" s="132" customFormat="1">
      <c r="B17" s="608" t="str">
        <f t="shared" si="3"/>
        <v>County Center</v>
      </c>
      <c r="C17" s="606">
        <f t="shared" si="2"/>
        <v>28237019.49740383</v>
      </c>
      <c r="D17" s="251">
        <f>'Site 4 - Draw'!D63</f>
        <v>-35712862.788292438</v>
      </c>
      <c r="E17" s="243">
        <f>'Site 4 - Draw'!E63</f>
        <v>-10398988.264325498</v>
      </c>
      <c r="F17" s="243">
        <f>'Site 4 - Draw'!F63</f>
        <v>74348870.550021768</v>
      </c>
      <c r="G17" s="243">
        <f>'Site 4 - Draw'!G63</f>
        <v>0</v>
      </c>
      <c r="H17" s="243">
        <f>'Site 4 - Draw'!H63</f>
        <v>0</v>
      </c>
      <c r="I17" s="243">
        <f>'Site 4 - Draw'!I63</f>
        <v>0</v>
      </c>
      <c r="J17" s="243">
        <f>'Site 4 - Draw'!J63</f>
        <v>0</v>
      </c>
      <c r="K17" s="243">
        <f>'Site 4 - Draw'!K63</f>
        <v>0</v>
      </c>
      <c r="L17" s="243">
        <f>'Site 4 - Draw'!L63</f>
        <v>0</v>
      </c>
      <c r="M17" s="243">
        <f>'Site 4 - Draw'!M63</f>
        <v>0</v>
      </c>
      <c r="N17" s="244">
        <f>'Site 4 - Draw'!N63</f>
        <v>0</v>
      </c>
      <c r="O17" s="134"/>
      <c r="P17" s="134"/>
      <c r="Q17" s="134"/>
      <c r="R17" s="134"/>
      <c r="S17" s="134"/>
      <c r="T17" s="134"/>
      <c r="U17" s="134"/>
      <c r="V17" s="134"/>
      <c r="W17" s="134"/>
      <c r="X17" s="134"/>
      <c r="Y17" s="134"/>
      <c r="Z17" s="134"/>
      <c r="AA17" s="134"/>
      <c r="AB17" s="134"/>
      <c r="AC17" s="134"/>
      <c r="AD17" s="134"/>
      <c r="AE17" s="134"/>
      <c r="AF17" s="134"/>
      <c r="AG17" s="134"/>
      <c r="AH17" s="134"/>
      <c r="AI17" s="134"/>
      <c r="AJ17" s="134"/>
      <c r="AK17" s="134"/>
      <c r="AL17" s="134"/>
      <c r="AM17" s="134"/>
      <c r="AN17" s="134"/>
      <c r="AO17" s="134"/>
    </row>
    <row r="18" spans="2:41" s="132" customFormat="1">
      <c r="B18" s="608" t="str">
        <f t="shared" si="3"/>
        <v>Goat Hill</v>
      </c>
      <c r="C18" s="606">
        <f t="shared" si="2"/>
        <v>47313790.979933485</v>
      </c>
      <c r="D18" s="251">
        <f>'Site 5 - Draw'!D64</f>
        <v>0</v>
      </c>
      <c r="E18" s="243">
        <f>'Site 5 - Draw'!E64</f>
        <v>-32701154.140466444</v>
      </c>
      <c r="F18" s="243">
        <f>'Site 5 - Draw'!F64</f>
        <v>-31332358.252036687</v>
      </c>
      <c r="G18" s="243">
        <f>'Site 5 - Draw'!G64</f>
        <v>-31429582.782036688</v>
      </c>
      <c r="H18" s="243">
        <f>'Site 5 - Draw'!H64</f>
        <v>142776886.1544733</v>
      </c>
      <c r="I18" s="243">
        <f>'Site 5 - Draw'!I64</f>
        <v>0</v>
      </c>
      <c r="J18" s="243">
        <f>'Site 5 - Draw'!J64</f>
        <v>0</v>
      </c>
      <c r="K18" s="243">
        <f>'Site 5 - Draw'!K64</f>
        <v>0</v>
      </c>
      <c r="L18" s="243">
        <f>'Site 5 - Draw'!L64</f>
        <v>0</v>
      </c>
      <c r="M18" s="243">
        <f>'Site 5 - Draw'!M64</f>
        <v>0</v>
      </c>
      <c r="N18" s="244">
        <f>'Site 5 - Draw'!N64</f>
        <v>0</v>
      </c>
      <c r="O18" s="134"/>
      <c r="P18" s="134"/>
      <c r="Q18" s="134"/>
      <c r="R18" s="134"/>
      <c r="S18" s="134"/>
      <c r="T18" s="134"/>
      <c r="U18" s="134"/>
      <c r="V18" s="134"/>
      <c r="W18" s="134"/>
      <c r="X18" s="134"/>
      <c r="Y18" s="134"/>
      <c r="Z18" s="134"/>
      <c r="AA18" s="134"/>
      <c r="AB18" s="134"/>
      <c r="AC18" s="134"/>
      <c r="AD18" s="134"/>
      <c r="AE18" s="134"/>
      <c r="AF18" s="134"/>
      <c r="AG18" s="134"/>
      <c r="AH18" s="134"/>
      <c r="AI18" s="134"/>
      <c r="AJ18" s="134"/>
      <c r="AK18" s="134"/>
      <c r="AL18" s="134"/>
      <c r="AM18" s="134"/>
      <c r="AN18" s="134"/>
      <c r="AO18" s="134"/>
    </row>
    <row r="19" spans="2:41" s="132" customFormat="1">
      <c r="B19" s="608" t="str">
        <f t="shared" si="3"/>
        <v>The Argyle</v>
      </c>
      <c r="C19" s="606">
        <f t="shared" si="2"/>
        <v>11515995.281465303</v>
      </c>
      <c r="D19" s="251">
        <f>'Site 6 - Draw'!D64</f>
        <v>0</v>
      </c>
      <c r="E19" s="243">
        <f>'Site 6 - Draw'!E64</f>
        <v>0</v>
      </c>
      <c r="F19" s="243">
        <f>'Site 6 - Draw'!F64</f>
        <v>-7320375.0633443017</v>
      </c>
      <c r="G19" s="243">
        <f>'Site 6 - Draw'!G64</f>
        <v>-6490511.9654159267</v>
      </c>
      <c r="H19" s="243">
        <f>'Site 6 - Draw'!H64</f>
        <v>-6778249.2904159259</v>
      </c>
      <c r="I19" s="243">
        <f>'Site 6 - Draw'!I64</f>
        <v>-6865406.8026459254</v>
      </c>
      <c r="J19" s="243">
        <f>'Site 6 - Draw'!J64</f>
        <v>38970538.403287381</v>
      </c>
      <c r="K19" s="243">
        <f>'Site 6 - Draw'!K64</f>
        <v>0</v>
      </c>
      <c r="L19" s="243">
        <f>'Site 6 - Draw'!L64</f>
        <v>0</v>
      </c>
      <c r="M19" s="243">
        <f>'Site 6 - Draw'!M64</f>
        <v>0</v>
      </c>
      <c r="N19" s="244">
        <f>'Site 6 - Draw'!N64</f>
        <v>0</v>
      </c>
      <c r="O19" s="134"/>
      <c r="P19" s="134"/>
      <c r="Q19" s="134"/>
      <c r="R19" s="134"/>
      <c r="S19" s="134"/>
      <c r="T19" s="134"/>
      <c r="U19" s="134"/>
      <c r="V19" s="134"/>
      <c r="W19" s="134"/>
      <c r="X19" s="134"/>
      <c r="Y19" s="134"/>
      <c r="Z19" s="134"/>
      <c r="AA19" s="134"/>
      <c r="AB19" s="134"/>
      <c r="AC19" s="134"/>
      <c r="AD19" s="134"/>
      <c r="AE19" s="134"/>
      <c r="AF19" s="134"/>
      <c r="AG19" s="134"/>
      <c r="AH19" s="134"/>
      <c r="AI19" s="134"/>
      <c r="AJ19" s="134"/>
      <c r="AK19" s="134"/>
      <c r="AL19" s="134"/>
      <c r="AM19" s="134"/>
      <c r="AN19" s="134"/>
      <c r="AO19" s="134"/>
    </row>
    <row r="20" spans="2:41" s="132" customFormat="1">
      <c r="B20" s="608" t="str">
        <f t="shared" si="3"/>
        <v>The Yesler</v>
      </c>
      <c r="C20" s="606">
        <f t="shared" si="2"/>
        <v>13559897.461051278</v>
      </c>
      <c r="D20" s="251">
        <f>'Site 7 - Draw'!D64</f>
        <v>0</v>
      </c>
      <c r="E20" s="243">
        <f>'Site 7 - Draw'!E64</f>
        <v>0</v>
      </c>
      <c r="F20" s="243">
        <f>'Site 7 - Draw'!F64</f>
        <v>0</v>
      </c>
      <c r="G20" s="243">
        <f>'Site 7 - Draw'!G64</f>
        <v>-6616939.5331498776</v>
      </c>
      <c r="H20" s="243">
        <f>'Site 7 - Draw'!H64</f>
        <v>-16649905.797777977</v>
      </c>
      <c r="I20" s="243">
        <f>'Site 7 - Draw'!I64</f>
        <v>36826742.791979134</v>
      </c>
      <c r="J20" s="243">
        <f>'Site 7 - Draw'!J64</f>
        <v>0</v>
      </c>
      <c r="K20" s="243">
        <f>'Site 7 - Draw'!K64</f>
        <v>0</v>
      </c>
      <c r="L20" s="243">
        <f>'Site 7 - Draw'!L64</f>
        <v>0</v>
      </c>
      <c r="M20" s="243">
        <f>'Site 7 - Draw'!M64</f>
        <v>0</v>
      </c>
      <c r="N20" s="244">
        <f>'Site 7 - Draw'!N64</f>
        <v>0</v>
      </c>
      <c r="O20" s="134"/>
      <c r="P20" s="134"/>
      <c r="Q20" s="134"/>
      <c r="R20" s="134"/>
      <c r="S20" s="134"/>
      <c r="T20" s="134"/>
      <c r="U20" s="134"/>
      <c r="V20" s="134"/>
      <c r="W20" s="134"/>
      <c r="X20" s="134"/>
      <c r="Y20" s="134"/>
      <c r="Z20" s="134"/>
      <c r="AA20" s="134"/>
      <c r="AB20" s="134"/>
      <c r="AC20" s="134"/>
      <c r="AD20" s="134"/>
      <c r="AE20" s="134"/>
      <c r="AF20" s="134"/>
      <c r="AG20" s="134"/>
      <c r="AH20" s="134"/>
      <c r="AI20" s="134"/>
      <c r="AJ20" s="134"/>
      <c r="AK20" s="134"/>
      <c r="AL20" s="134"/>
      <c r="AM20" s="134"/>
      <c r="AN20" s="134"/>
      <c r="AO20" s="134"/>
    </row>
    <row r="21" spans="2:41" s="132" customFormat="1" ht="15" thickBot="1">
      <c r="B21" s="619" t="s">
        <v>41</v>
      </c>
      <c r="C21" s="620">
        <f>IRR(D13:N13)</f>
        <v>0.45134315014296522</v>
      </c>
      <c r="D21" s="621" t="s">
        <v>205</v>
      </c>
      <c r="E21" s="622" t="s">
        <v>205</v>
      </c>
      <c r="F21" s="622" t="s">
        <v>205</v>
      </c>
      <c r="G21" s="622" t="s">
        <v>205</v>
      </c>
      <c r="H21" s="622" t="s">
        <v>205</v>
      </c>
      <c r="I21" s="623" t="s">
        <v>205</v>
      </c>
      <c r="J21" s="622" t="s">
        <v>205</v>
      </c>
      <c r="K21" s="622" t="s">
        <v>205</v>
      </c>
      <c r="L21" s="622" t="s">
        <v>205</v>
      </c>
      <c r="M21" s="622" t="s">
        <v>205</v>
      </c>
      <c r="N21" s="624" t="s">
        <v>205</v>
      </c>
      <c r="O21" s="134"/>
      <c r="P21" s="134"/>
      <c r="Q21" s="134"/>
      <c r="R21" s="134"/>
      <c r="S21" s="134"/>
      <c r="T21" s="134"/>
      <c r="U21" s="134"/>
      <c r="V21" s="134"/>
      <c r="W21" s="134"/>
      <c r="X21" s="134"/>
      <c r="Y21" s="134"/>
      <c r="Z21" s="134"/>
      <c r="AA21" s="134"/>
      <c r="AB21" s="134"/>
      <c r="AC21" s="134"/>
      <c r="AD21" s="134"/>
      <c r="AE21" s="134"/>
      <c r="AF21" s="134"/>
      <c r="AG21" s="134"/>
      <c r="AH21" s="134"/>
      <c r="AI21" s="134"/>
      <c r="AJ21" s="134"/>
      <c r="AK21" s="134"/>
      <c r="AL21" s="134"/>
      <c r="AM21" s="134"/>
      <c r="AN21" s="134"/>
      <c r="AO21" s="134"/>
    </row>
    <row r="22" spans="2:41">
      <c r="B22" s="601" t="s">
        <v>336</v>
      </c>
      <c r="C22" s="605">
        <f>'Development Program'!J12</f>
        <v>1589058525.2551548</v>
      </c>
    </row>
    <row r="23" spans="2:41">
      <c r="B23" s="602" t="s">
        <v>45</v>
      </c>
      <c r="C23" s="606">
        <f>'Development Program'!K12</f>
        <v>1163918234.512325</v>
      </c>
      <c r="E23" s="604"/>
    </row>
    <row r="24" spans="2:41" ht="15" thickBot="1">
      <c r="B24" s="603" t="s">
        <v>560</v>
      </c>
      <c r="C24" s="607">
        <f>(C22/C23)-1</f>
        <v>0.36526645784612266</v>
      </c>
      <c r="E24" s="604"/>
    </row>
  </sheetData>
  <mergeCells count="2">
    <mergeCell ref="B2:B3"/>
    <mergeCell ref="C2:C3"/>
  </mergeCells>
  <conditionalFormatting sqref="E3:N3">
    <cfRule type="cellIs" dxfId="43" priority="1" operator="equal">
      <formula>#REF!</formula>
    </cfRule>
    <cfRule type="cellIs" dxfId="42" priority="2" operator="equal">
      <formula>#REF!</formula>
    </cfRule>
    <cfRule type="cellIs" dxfId="41" priority="3" operator="equal">
      <formula>#REF!</formula>
    </cfRule>
    <cfRule type="cellIs" dxfId="40" priority="4" operator="equal">
      <formula>#REF!</formula>
    </cfRule>
  </conditionalFormatting>
  <conditionalFormatting sqref="H3:N3">
    <cfRule type="cellIs" dxfId="39" priority="5" operator="equal">
      <formula>#REF!</formula>
    </cfRule>
    <cfRule type="cellIs" dxfId="38" priority="6" operator="equal">
      <formula>#REF!</formula>
    </cfRule>
    <cfRule type="cellIs" dxfId="37" priority="7" operator="equal">
      <formula>#REF!</formula>
    </cfRule>
    <cfRule type="cellIs" dxfId="36" priority="8" operator="equal">
      <formula>#REF!</formula>
    </cfRule>
  </conditionalFormatting>
  <pageMargins left="0.7" right="0.7" top="0.75" bottom="0.75" header="0.3" footer="0.3"/>
  <pageSetup orientation="portrait" horizontalDpi="1200" verticalDpi="1200" r:id="rId1"/>
  <headerFooter>
    <oddHeader>&amp;C&amp;"Calibri,Regular"&amp;K000000OVERALL DRAW</oddHeader>
    <oddFooter>&amp;C&amp;"Calibri,Regular"&amp;K000000PAGE &amp;P OF &amp;N</oddFooter>
  </headerFooter>
  <ignoredErrors>
    <ignoredError sqref="C12:C13"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55CF0B-3E8F-2C4B-9517-7C3689FD89AA}">
  <sheetPr>
    <tabColor rgb="FF00B0F0"/>
  </sheetPr>
  <dimension ref="B3:D22"/>
  <sheetViews>
    <sheetView workbookViewId="0">
      <selection activeCell="H29" sqref="H29"/>
    </sheetView>
  </sheetViews>
  <sheetFormatPr defaultColWidth="10.77734375" defaultRowHeight="14.4"/>
  <cols>
    <col min="1" max="1" width="10.77734375" style="940"/>
    <col min="2" max="2" width="17.109375" style="940" bestFit="1" customWidth="1"/>
    <col min="3" max="3" width="16.77734375" style="940" bestFit="1" customWidth="1"/>
    <col min="4" max="16384" width="10.77734375" style="940"/>
  </cols>
  <sheetData>
    <row r="3" spans="2:4">
      <c r="B3" s="1161" t="s">
        <v>664</v>
      </c>
      <c r="C3" s="1161"/>
      <c r="D3" s="1161"/>
    </row>
    <row r="4" spans="2:4">
      <c r="B4" s="940" t="s">
        <v>665</v>
      </c>
      <c r="C4" s="944">
        <f>'Development Program'!M12</f>
        <v>667243340.70739484</v>
      </c>
      <c r="D4" s="942">
        <f>C4/$C$7</f>
        <v>0.57327338031349429</v>
      </c>
    </row>
    <row r="5" spans="2:4">
      <c r="B5" s="940" t="s">
        <v>666</v>
      </c>
      <c r="C5" s="944">
        <f>'Development Program'!L12</f>
        <v>444828893.80492997</v>
      </c>
      <c r="D5" s="942">
        <f t="shared" ref="D5:D7" si="0">C5/$C$7</f>
        <v>0.3821822535423296</v>
      </c>
    </row>
    <row r="6" spans="2:4">
      <c r="B6" s="940" t="s">
        <v>667</v>
      </c>
      <c r="C6" s="944">
        <f>'Development Program'!N12</f>
        <v>51846000</v>
      </c>
      <c r="D6" s="942">
        <f t="shared" si="0"/>
        <v>4.4544366144176083E-2</v>
      </c>
    </row>
    <row r="7" spans="2:4">
      <c r="B7" s="945" t="s">
        <v>104</v>
      </c>
      <c r="C7" s="946">
        <f>SUM(C4:C6)</f>
        <v>1163918234.5123248</v>
      </c>
      <c r="D7" s="947">
        <f t="shared" si="0"/>
        <v>1</v>
      </c>
    </row>
    <row r="9" spans="2:4">
      <c r="B9" s="1161" t="s">
        <v>668</v>
      </c>
      <c r="C9" s="1161"/>
      <c r="D9" s="1161"/>
    </row>
    <row r="10" spans="2:4">
      <c r="B10" s="940" t="s">
        <v>312</v>
      </c>
      <c r="C10" s="943">
        <f>'Site 1 - Financial'!I10+'Site 2 - Financial'!I10+'Site 3 - Financial'!I10+'Site 4 - Financial'!I10+'Site 5 - Financial'!I10+'Site 6 - Financial'!I10+'Site 7 - Financial'!I10+'Development Program'!D22</f>
        <v>352991317.14876038</v>
      </c>
      <c r="D10" s="942">
        <f>C10/$C$14</f>
        <v>0.30327844919163216</v>
      </c>
    </row>
    <row r="11" spans="2:4">
      <c r="B11" s="940" t="s">
        <v>669</v>
      </c>
      <c r="C11" s="944">
        <f>'Development Program'!K12-C10-C13-C12</f>
        <v>746666917.36356473</v>
      </c>
      <c r="D11" s="942">
        <f t="shared" ref="D11:D14" si="1">C11/$C$14</f>
        <v>0.6415114869958316</v>
      </c>
    </row>
    <row r="12" spans="2:4">
      <c r="B12" s="940" t="s">
        <v>670</v>
      </c>
      <c r="C12" s="943">
        <f>'Development Program'!E22</f>
        <v>17500000</v>
      </c>
      <c r="D12" s="942">
        <f t="shared" si="1"/>
        <v>1.5035420428250613E-2</v>
      </c>
    </row>
    <row r="13" spans="2:4">
      <c r="B13" s="940" t="s">
        <v>671</v>
      </c>
      <c r="C13" s="943">
        <f>'Site 1 - Financial'!I25+'Site 2 - Financial'!I25+'Site 3 - Financial'!I25+'Site 4 - Financial'!I25+'Site 5 - Financial'!I25+'Site 6 - Financial'!I25+'Site 7 - Financial'!I25</f>
        <v>46760000</v>
      </c>
      <c r="D13" s="942">
        <f t="shared" si="1"/>
        <v>4.0174643384285641E-2</v>
      </c>
    </row>
    <row r="14" spans="2:4">
      <c r="B14" s="945" t="s">
        <v>104</v>
      </c>
      <c r="C14" s="948">
        <f>SUM(C10:C13)</f>
        <v>1163918234.512325</v>
      </c>
      <c r="D14" s="947">
        <f t="shared" si="1"/>
        <v>1</v>
      </c>
    </row>
    <row r="15" spans="2:4">
      <c r="C15" s="943"/>
    </row>
    <row r="16" spans="2:4">
      <c r="B16" s="1161" t="s">
        <v>672</v>
      </c>
      <c r="C16" s="1161"/>
      <c r="D16" s="1161"/>
    </row>
    <row r="17" spans="2:4">
      <c r="B17" s="940" t="s">
        <v>673</v>
      </c>
      <c r="C17" s="941">
        <f>'Site 1 - Financial'!D17+'Site 2 - Financial'!D11+'Site 3 - Financial'!D18+'Site 4 - Financial'!D11+'Site 5 - Financial'!D11+'Site 6 - Financial'!D11+'Site 7 - Financial'!D11</f>
        <v>533768</v>
      </c>
      <c r="D17" s="942">
        <f>C17/$C$22</f>
        <v>0.28838248141582784</v>
      </c>
    </row>
    <row r="18" spans="2:4">
      <c r="B18" s="940" t="s">
        <v>674</v>
      </c>
      <c r="C18" s="941">
        <f>'Development Program'!H12-C17</f>
        <v>410935</v>
      </c>
      <c r="D18" s="942">
        <f t="shared" ref="D18:D22" si="2">C18/$C$22</f>
        <v>0.22201865791994502</v>
      </c>
    </row>
    <row r="19" spans="2:4">
      <c r="B19" s="940" t="s">
        <v>675</v>
      </c>
      <c r="C19" s="941">
        <f>'Site 1 - Financial'!D15+'Site 2 - Financial'!D8+'Site 3 - Financial'!D15+'Site 5 - Financial'!D8+'Site 6 - Financial'!D8+'Site 7 - Financial'!D8</f>
        <v>592000</v>
      </c>
      <c r="D19" s="942">
        <f t="shared" si="2"/>
        <v>0.31984388160805832</v>
      </c>
    </row>
    <row r="20" spans="2:4">
      <c r="B20" s="940" t="s">
        <v>676</v>
      </c>
      <c r="C20" s="941">
        <f>'Site 3 - Financial'!D8</f>
        <v>140200</v>
      </c>
      <c r="D20" s="942">
        <f t="shared" si="2"/>
        <v>7.5746811151097604E-2</v>
      </c>
    </row>
    <row r="21" spans="2:4">
      <c r="B21" s="940" t="s">
        <v>677</v>
      </c>
      <c r="C21" s="941">
        <f>'Site 1 - Financial'!D8</f>
        <v>174000</v>
      </c>
      <c r="D21" s="942">
        <f t="shared" si="2"/>
        <v>9.4008167905071202E-2</v>
      </c>
    </row>
    <row r="22" spans="2:4">
      <c r="B22" s="945" t="s">
        <v>104</v>
      </c>
      <c r="C22" s="949">
        <f>SUM(C17:C21)</f>
        <v>1850903</v>
      </c>
      <c r="D22" s="947">
        <f t="shared" si="2"/>
        <v>1</v>
      </c>
    </row>
  </sheetData>
  <mergeCells count="3">
    <mergeCell ref="B16:D16"/>
    <mergeCell ref="B9:D9"/>
    <mergeCell ref="B3:D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7861AA-4A9E-E344-8CDE-DBAE1BFC2204}">
  <sheetPr>
    <tabColor rgb="FF00B050"/>
    <pageSetUpPr fitToPage="1"/>
  </sheetPr>
  <dimension ref="B1:L89"/>
  <sheetViews>
    <sheetView showGridLines="0" zoomScale="86" zoomScaleNormal="110" zoomScaleSheetLayoutView="90" workbookViewId="0">
      <selection activeCell="I24" sqref="I24"/>
    </sheetView>
  </sheetViews>
  <sheetFormatPr defaultColWidth="8.77734375" defaultRowHeight="23.25" customHeight="1"/>
  <cols>
    <col min="1" max="1" width="2" style="48" customWidth="1"/>
    <col min="2" max="2" width="36.44140625" style="48" bestFit="1" customWidth="1"/>
    <col min="3" max="3" width="32.109375" style="48" bestFit="1" customWidth="1"/>
    <col min="4" max="4" width="22.44140625" style="48" bestFit="1" customWidth="1"/>
    <col min="5" max="5" width="18.44140625" style="48" customWidth="1"/>
    <col min="6" max="6" width="18.109375" style="48" bestFit="1" customWidth="1"/>
    <col min="7" max="7" width="44.77734375" style="48" customWidth="1"/>
    <col min="8" max="11" width="26.109375" style="48" customWidth="1"/>
    <col min="12" max="12" width="13.109375" style="48" bestFit="1" customWidth="1"/>
    <col min="13" max="13" width="24.44140625" style="48" customWidth="1"/>
    <col min="14" max="14" width="32.44140625" style="48" customWidth="1"/>
    <col min="15" max="15" width="20.109375" style="48" customWidth="1"/>
    <col min="16" max="16384" width="8.77734375" style="48"/>
  </cols>
  <sheetData>
    <row r="1" spans="2:10" ht="12" customHeight="1" thickBot="1">
      <c r="B1" s="121"/>
      <c r="C1" s="121"/>
      <c r="D1" s="119"/>
      <c r="E1" s="122"/>
    </row>
    <row r="2" spans="2:10" ht="21" customHeight="1">
      <c r="B2" s="1197" t="str">
        <f>'Development Program'!B5</f>
        <v>King's Court</v>
      </c>
      <c r="C2" s="1198"/>
      <c r="D2" s="1198"/>
      <c r="E2" s="1198"/>
      <c r="F2" s="1199"/>
      <c r="G2" s="1162" t="s">
        <v>101</v>
      </c>
      <c r="H2" s="1164" t="s">
        <v>18</v>
      </c>
      <c r="I2" s="1164" t="s">
        <v>97</v>
      </c>
      <c r="J2" s="1166" t="s">
        <v>91</v>
      </c>
    </row>
    <row r="3" spans="2:10" ht="21" customHeight="1" thickBot="1">
      <c r="B3" s="93" t="s">
        <v>189</v>
      </c>
      <c r="C3" s="327" t="s">
        <v>84</v>
      </c>
      <c r="D3" s="328" t="s">
        <v>193</v>
      </c>
      <c r="E3" s="327" t="s">
        <v>194</v>
      </c>
      <c r="F3" s="120" t="s">
        <v>195</v>
      </c>
      <c r="G3" s="1163"/>
      <c r="H3" s="1165"/>
      <c r="I3" s="1165"/>
      <c r="J3" s="1167"/>
    </row>
    <row r="4" spans="2:10" ht="21" customHeight="1">
      <c r="B4" s="154" t="s">
        <v>86</v>
      </c>
      <c r="C4" s="155">
        <f>110-18</f>
        <v>92</v>
      </c>
      <c r="D4" s="156">
        <f>Assumptions!C7*C4</f>
        <v>41400</v>
      </c>
      <c r="E4" s="157">
        <f>Assumptions!D8</f>
        <v>1350</v>
      </c>
      <c r="F4" s="158">
        <f>E4*D4</f>
        <v>55890000</v>
      </c>
      <c r="G4" s="126" t="str">
        <f>Assumptions!F19</f>
        <v>Residential Condominium Hard Costs for Construction</v>
      </c>
      <c r="H4" s="284">
        <f>'Market Research'!H116</f>
        <v>260</v>
      </c>
      <c r="I4" s="285">
        <f>H4*D8</f>
        <v>45240000</v>
      </c>
      <c r="J4" s="306">
        <f t="shared" ref="J4:J9" si="0">I4/($C$19+$C$8+$C$15)</f>
        <v>130374.63976945245</v>
      </c>
    </row>
    <row r="5" spans="2:10" ht="21" customHeight="1">
      <c r="B5" s="159" t="s">
        <v>190</v>
      </c>
      <c r="C5" s="160">
        <f>155-31</f>
        <v>124</v>
      </c>
      <c r="D5" s="161">
        <f>Assumptions!C9*C5</f>
        <v>80600</v>
      </c>
      <c r="E5" s="162">
        <f>Assumptions!D10</f>
        <v>1300</v>
      </c>
      <c r="F5" s="163">
        <f>E5*D5</f>
        <v>104780000</v>
      </c>
      <c r="G5" s="126" t="s">
        <v>309</v>
      </c>
      <c r="H5" s="286">
        <f>'Market Research'!H122</f>
        <v>255</v>
      </c>
      <c r="I5" s="285">
        <f>H5*D18</f>
        <v>21211665</v>
      </c>
      <c r="J5" s="306">
        <f t="shared" si="0"/>
        <v>61128.717579250719</v>
      </c>
    </row>
    <row r="6" spans="2:10" ht="21" customHeight="1">
      <c r="B6" s="159" t="s">
        <v>191</v>
      </c>
      <c r="C6" s="160">
        <f>65-13</f>
        <v>52</v>
      </c>
      <c r="D6" s="161">
        <f>Assumptions!C11*C6</f>
        <v>52000</v>
      </c>
      <c r="E6" s="162">
        <f>Assumptions!D12</f>
        <v>1250</v>
      </c>
      <c r="F6" s="163">
        <f>E6*D6</f>
        <v>65000000</v>
      </c>
      <c r="G6" s="126" t="s">
        <v>310</v>
      </c>
      <c r="H6" s="286">
        <f>'Market Research'!H122</f>
        <v>255</v>
      </c>
      <c r="I6" s="285">
        <f>H5*D17</f>
        <v>25852410</v>
      </c>
      <c r="J6" s="306">
        <f t="shared" si="0"/>
        <v>74502.622478386169</v>
      </c>
    </row>
    <row r="7" spans="2:10" ht="21" customHeight="1" thickBot="1">
      <c r="B7" s="164" t="s">
        <v>192</v>
      </c>
      <c r="C7" s="165">
        <v>0</v>
      </c>
      <c r="D7" s="166">
        <f>Assumptions!C13*C7</f>
        <v>0</v>
      </c>
      <c r="E7" s="167">
        <f>Assumptions!D14</f>
        <v>1200</v>
      </c>
      <c r="F7" s="168">
        <f>E7*D7</f>
        <v>0</v>
      </c>
      <c r="G7" s="126" t="s">
        <v>98</v>
      </c>
      <c r="H7" s="287" t="s">
        <v>157</v>
      </c>
      <c r="I7" s="285">
        <v>0</v>
      </c>
      <c r="J7" s="306">
        <f t="shared" si="0"/>
        <v>0</v>
      </c>
    </row>
    <row r="8" spans="2:10" ht="21" customHeight="1">
      <c r="B8" s="1200" t="s">
        <v>87</v>
      </c>
      <c r="C8" s="1202">
        <f>SUM(C4:C7)</f>
        <v>268</v>
      </c>
      <c r="D8" s="1204">
        <f>SUM(D4:D7)</f>
        <v>174000</v>
      </c>
      <c r="E8" s="1206">
        <f>F8/D8</f>
        <v>1296.9540229885058</v>
      </c>
      <c r="F8" s="1168">
        <f>SUM(F4:F7)</f>
        <v>225670000</v>
      </c>
      <c r="G8" s="126" t="s">
        <v>20</v>
      </c>
      <c r="H8" s="288">
        <v>0.1</v>
      </c>
      <c r="I8" s="285">
        <f>H8*SUM(I4:I7)</f>
        <v>9230407.5</v>
      </c>
      <c r="J8" s="306">
        <f t="shared" si="0"/>
        <v>26600.597982708932</v>
      </c>
    </row>
    <row r="9" spans="2:10" ht="21" customHeight="1">
      <c r="B9" s="1201"/>
      <c r="C9" s="1203"/>
      <c r="D9" s="1205"/>
      <c r="E9" s="1207"/>
      <c r="F9" s="1169"/>
      <c r="G9" s="126" t="s">
        <v>6</v>
      </c>
      <c r="H9" s="289" t="s">
        <v>157</v>
      </c>
      <c r="I9" s="285">
        <v>0</v>
      </c>
      <c r="J9" s="306">
        <f t="shared" si="0"/>
        <v>0</v>
      </c>
    </row>
    <row r="10" spans="2:10" ht="21" customHeight="1" thickBot="1">
      <c r="B10" s="93" t="s">
        <v>605</v>
      </c>
      <c r="C10" s="327" t="s">
        <v>84</v>
      </c>
      <c r="D10" s="328" t="s">
        <v>402</v>
      </c>
      <c r="E10" s="327" t="s">
        <v>606</v>
      </c>
      <c r="F10" s="120" t="s">
        <v>404</v>
      </c>
      <c r="G10" s="126" t="s">
        <v>312</v>
      </c>
      <c r="H10" s="290">
        <f>'Market Research'!C53</f>
        <v>45000000</v>
      </c>
      <c r="I10" s="285">
        <f>H10*C23</f>
        <v>58995867.76859504</v>
      </c>
      <c r="J10" s="306">
        <f t="shared" ref="J10:J26" si="1">I10/($C$19+$C$8+$C$15)</f>
        <v>170016.90999595114</v>
      </c>
    </row>
    <row r="11" spans="2:10" ht="21" customHeight="1">
      <c r="B11" s="154" t="s">
        <v>86</v>
      </c>
      <c r="C11" s="791">
        <v>18</v>
      </c>
      <c r="D11" s="156">
        <f>Assumptions!C7*C11</f>
        <v>8100</v>
      </c>
      <c r="E11" s="792">
        <v>1768</v>
      </c>
      <c r="F11" s="793">
        <f>E11*C11*12</f>
        <v>381888</v>
      </c>
      <c r="G11" s="520" t="s">
        <v>21</v>
      </c>
      <c r="H11" s="625" t="s">
        <v>380</v>
      </c>
      <c r="I11" s="285">
        <v>450000</v>
      </c>
      <c r="J11" s="306">
        <f t="shared" si="1"/>
        <v>1296.8299711815562</v>
      </c>
    </row>
    <row r="12" spans="2:10" ht="21" customHeight="1">
      <c r="B12" s="159" t="s">
        <v>190</v>
      </c>
      <c r="C12" s="794">
        <v>31</v>
      </c>
      <c r="D12" s="161">
        <f>Assumptions!C9*C12</f>
        <v>20150</v>
      </c>
      <c r="E12" s="795">
        <v>1895</v>
      </c>
      <c r="F12" s="380">
        <f t="shared" ref="F12:F14" si="2">E12*C12*12</f>
        <v>704940</v>
      </c>
      <c r="G12" s="520" t="s">
        <v>43</v>
      </c>
      <c r="H12" s="280" t="s">
        <v>381</v>
      </c>
      <c r="I12" s="285">
        <f>'Development Program'!G22</f>
        <v>20062099.321133409</v>
      </c>
      <c r="J12" s="306">
        <f t="shared" si="1"/>
        <v>57815.848187704345</v>
      </c>
    </row>
    <row r="13" spans="2:10" ht="21" customHeight="1">
      <c r="B13" s="159" t="s">
        <v>191</v>
      </c>
      <c r="C13" s="794">
        <v>13</v>
      </c>
      <c r="D13" s="161">
        <f>Assumptions!C11*C13</f>
        <v>13000</v>
      </c>
      <c r="E13" s="795">
        <v>2274</v>
      </c>
      <c r="F13" s="380">
        <f t="shared" si="2"/>
        <v>354744</v>
      </c>
      <c r="G13" s="626" t="s">
        <v>23</v>
      </c>
      <c r="H13" s="276" t="s">
        <v>24</v>
      </c>
      <c r="I13" s="277">
        <v>400000</v>
      </c>
      <c r="J13" s="306">
        <f t="shared" si="1"/>
        <v>1152.7377521613832</v>
      </c>
    </row>
    <row r="14" spans="2:10" ht="21" customHeight="1" thickBot="1">
      <c r="B14" s="164" t="s">
        <v>192</v>
      </c>
      <c r="C14" s="796">
        <v>0</v>
      </c>
      <c r="D14" s="166">
        <f>Assumptions!C13*C14</f>
        <v>0</v>
      </c>
      <c r="E14" s="797">
        <v>2628</v>
      </c>
      <c r="F14" s="798">
        <f t="shared" si="2"/>
        <v>0</v>
      </c>
      <c r="G14" s="124" t="s">
        <v>374</v>
      </c>
      <c r="H14" s="302">
        <v>0.02</v>
      </c>
      <c r="I14" s="277">
        <f>H14*I10</f>
        <v>1179917.3553719008</v>
      </c>
      <c r="J14" s="306">
        <f t="shared" si="1"/>
        <v>3400.3381999190224</v>
      </c>
    </row>
    <row r="15" spans="2:10" ht="21" customHeight="1">
      <c r="B15" s="1200" t="s">
        <v>87</v>
      </c>
      <c r="C15" s="1202">
        <f>SUM(C11:C14)</f>
        <v>62</v>
      </c>
      <c r="D15" s="1204">
        <f>SUM(D11:D14)</f>
        <v>41250</v>
      </c>
      <c r="E15" s="1206">
        <f>F15/12/C15</f>
        <v>1937.5967741935483</v>
      </c>
      <c r="F15" s="1168">
        <f>SUM(F11:F14)</f>
        <v>1441572</v>
      </c>
      <c r="G15" s="124" t="s">
        <v>26</v>
      </c>
      <c r="H15" s="278">
        <v>0.04</v>
      </c>
      <c r="I15" s="277">
        <f>H15*SUM(I4:I7)</f>
        <v>3692163</v>
      </c>
      <c r="J15" s="306">
        <f t="shared" si="1"/>
        <v>10640.239193083573</v>
      </c>
    </row>
    <row r="16" spans="2:10" ht="21" customHeight="1" thickBot="1">
      <c r="B16" s="1201"/>
      <c r="C16" s="1203"/>
      <c r="D16" s="1205"/>
      <c r="E16" s="1207"/>
      <c r="F16" s="1169"/>
      <c r="G16" s="124" t="s">
        <v>27</v>
      </c>
      <c r="H16" s="279">
        <v>0.03</v>
      </c>
      <c r="I16" s="277">
        <f>H16*SUM(I4:I15)</f>
        <v>5589435.8983530095</v>
      </c>
      <c r="J16" s="306">
        <f t="shared" si="1"/>
        <v>16107.884433293975</v>
      </c>
    </row>
    <row r="17" spans="2:12" ht="21" customHeight="1">
      <c r="B17" s="169" t="s">
        <v>1</v>
      </c>
      <c r="C17" s="170">
        <v>12</v>
      </c>
      <c r="D17" s="171">
        <v>101382</v>
      </c>
      <c r="E17" s="172">
        <f>Assumptions!F7</f>
        <v>35</v>
      </c>
      <c r="F17" s="173">
        <f>D17*E17</f>
        <v>3548370</v>
      </c>
      <c r="G17" s="124" t="s">
        <v>28</v>
      </c>
      <c r="H17" s="278">
        <v>0.02</v>
      </c>
      <c r="I17" s="277">
        <f>H17*SUM(I4:I7)</f>
        <v>1846081.5</v>
      </c>
      <c r="J17" s="306">
        <f t="shared" si="1"/>
        <v>5320.1195965417864</v>
      </c>
    </row>
    <row r="18" spans="2:12" ht="21" customHeight="1" thickBot="1">
      <c r="B18" s="174" t="s">
        <v>0</v>
      </c>
      <c r="C18" s="175">
        <v>5</v>
      </c>
      <c r="D18" s="176">
        <v>83183</v>
      </c>
      <c r="E18" s="177">
        <f>Assumptions!G7</f>
        <v>45</v>
      </c>
      <c r="F18" s="178">
        <f>D18*E18</f>
        <v>3743235</v>
      </c>
      <c r="G18" s="531" t="s">
        <v>99</v>
      </c>
      <c r="H18" s="805">
        <v>8.8293999999999994E-3</v>
      </c>
      <c r="I18" s="277">
        <f>H18*I10</f>
        <v>520898.11487603298</v>
      </c>
      <c r="J18" s="306">
        <f t="shared" si="1"/>
        <v>1501.1473051182506</v>
      </c>
    </row>
    <row r="19" spans="2:12" ht="21" customHeight="1">
      <c r="B19" s="1200" t="s">
        <v>87</v>
      </c>
      <c r="C19" s="1202">
        <f>SUM(C17:C18)</f>
        <v>17</v>
      </c>
      <c r="D19" s="1209">
        <f>SUM(D17:D18)</f>
        <v>184565</v>
      </c>
      <c r="E19" s="1211">
        <f>IF(D19=0,0,F19/D19)</f>
        <v>39.506975862162385</v>
      </c>
      <c r="F19" s="1168">
        <f>SUM(F17:F18)</f>
        <v>7291605</v>
      </c>
      <c r="G19" s="124" t="s">
        <v>29</v>
      </c>
      <c r="H19" s="280">
        <v>6000</v>
      </c>
      <c r="I19" s="277">
        <f>H19*(C8+C19)</f>
        <v>1710000</v>
      </c>
      <c r="J19" s="306">
        <f t="shared" si="1"/>
        <v>4927.9538904899136</v>
      </c>
    </row>
    <row r="20" spans="2:12" ht="21" customHeight="1" thickBot="1">
      <c r="B20" s="1208"/>
      <c r="C20" s="1203"/>
      <c r="D20" s="1210"/>
      <c r="E20" s="1212"/>
      <c r="F20" s="1188"/>
      <c r="G20" s="124" t="s">
        <v>30</v>
      </c>
      <c r="H20" s="276" t="s">
        <v>24</v>
      </c>
      <c r="I20" s="277">
        <v>400000</v>
      </c>
      <c r="J20" s="306">
        <f t="shared" si="1"/>
        <v>1152.7377521613832</v>
      </c>
    </row>
    <row r="21" spans="2:12" ht="21" customHeight="1">
      <c r="B21" s="1120" t="s">
        <v>384</v>
      </c>
      <c r="C21" s="1122"/>
      <c r="D21" s="1194" t="s">
        <v>206</v>
      </c>
      <c r="E21" s="1195"/>
      <c r="F21" s="1196"/>
      <c r="G21" s="124" t="s">
        <v>31</v>
      </c>
      <c r="H21" s="281" t="s">
        <v>376</v>
      </c>
      <c r="I21" s="277">
        <f>-SUM('Site 1 - Draw'!D37:F37,'Site 1 - Draw'!D46:F46,'Site 1 - Draw'!D55:F55)</f>
        <v>1260612.2375</v>
      </c>
      <c r="J21" s="306">
        <f t="shared" si="1"/>
        <v>3632.8882925072048</v>
      </c>
    </row>
    <row r="22" spans="2:12" ht="21" customHeight="1" thickBot="1">
      <c r="B22" s="142" t="s">
        <v>331</v>
      </c>
      <c r="C22" s="198" t="s">
        <v>388</v>
      </c>
      <c r="D22" s="142" t="s">
        <v>331</v>
      </c>
      <c r="E22" s="143" t="s">
        <v>104</v>
      </c>
      <c r="F22" s="198" t="s">
        <v>91</v>
      </c>
      <c r="G22" s="124" t="s">
        <v>377</v>
      </c>
      <c r="H22" s="282">
        <f>'Market Research'!H125</f>
        <v>140</v>
      </c>
      <c r="I22" s="277">
        <f>H22*D19</f>
        <v>25839100</v>
      </c>
      <c r="J22" s="306">
        <f t="shared" si="1"/>
        <v>74464.265129683001</v>
      </c>
      <c r="K22" s="179">
        <f>59976000+62244000+88746800+86553600+2520000+4473000+29736000+6994000</f>
        <v>341243400</v>
      </c>
      <c r="L22" s="48" t="s">
        <v>616</v>
      </c>
    </row>
    <row r="23" spans="2:12" ht="21" customHeight="1">
      <c r="B23" s="310" t="s">
        <v>385</v>
      </c>
      <c r="C23" s="311">
        <f>57108/43560</f>
        <v>1.3110192837465564</v>
      </c>
      <c r="D23" s="320">
        <f>Assumptions!I11</f>
        <v>0.6</v>
      </c>
      <c r="E23" s="321">
        <f>D23*I$27</f>
        <v>144520883.51749763</v>
      </c>
      <c r="F23" s="322">
        <f>E23/($C$8+$C$19)</f>
        <v>507090.81935964082</v>
      </c>
      <c r="G23" s="124" t="s">
        <v>378</v>
      </c>
      <c r="H23" s="283">
        <v>0.06</v>
      </c>
      <c r="I23" s="277">
        <f>H23*('Site 1 - Draw'!G40+'Site 1 - Draw'!G49)*5</f>
        <v>2187481.5</v>
      </c>
      <c r="J23" s="306">
        <f t="shared" si="1"/>
        <v>6303.9812680115274</v>
      </c>
      <c r="K23" s="309">
        <f>I10+'Site 2 - Financial'!I10+'Site 3 - Financial'!I10+'Site 4 - Financial'!I10+'Site 5 - Financial'!I10+'Site 6 - Financial'!I10+'Site 7 - Financial'!I10</f>
        <v>323679752.06611574</v>
      </c>
      <c r="L23" s="48" t="s">
        <v>117</v>
      </c>
    </row>
    <row r="24" spans="2:12" ht="21" customHeight="1">
      <c r="B24" s="312" t="s">
        <v>386</v>
      </c>
      <c r="C24" s="417">
        <f>209710+215250</f>
        <v>424960</v>
      </c>
      <c r="D24" s="323">
        <f>1-D23</f>
        <v>0.4</v>
      </c>
      <c r="E24" s="318">
        <f>D24*I$27</f>
        <v>96347255.678331763</v>
      </c>
      <c r="F24" s="319">
        <f>E24/($C$8+$C$19)</f>
        <v>338060.54623976059</v>
      </c>
      <c r="G24" s="531" t="s">
        <v>33</v>
      </c>
      <c r="H24" s="532">
        <v>0.01</v>
      </c>
      <c r="I24" s="277">
        <v>1400000</v>
      </c>
      <c r="J24" s="306">
        <f t="shared" si="1"/>
        <v>4034.5821325648417</v>
      </c>
    </row>
    <row r="25" spans="2:12" ht="21" customHeight="1">
      <c r="B25" s="312" t="s">
        <v>387</v>
      </c>
      <c r="C25" s="313">
        <f>D8+D19</f>
        <v>358565</v>
      </c>
      <c r="D25" s="312" t="s">
        <v>395</v>
      </c>
      <c r="E25" s="329">
        <v>0</v>
      </c>
      <c r="F25" s="330">
        <f>E25/($C$8+$C$19)</f>
        <v>0</v>
      </c>
      <c r="G25" s="533" t="s">
        <v>34</v>
      </c>
      <c r="H25" s="532">
        <v>7.0000000000000007E-2</v>
      </c>
      <c r="I25" s="277">
        <f>I24*7</f>
        <v>9800000</v>
      </c>
      <c r="J25" s="306">
        <f t="shared" si="1"/>
        <v>28242.07492795389</v>
      </c>
    </row>
    <row r="26" spans="2:12" ht="21" customHeight="1" thickBot="1">
      <c r="B26" s="312" t="s">
        <v>389</v>
      </c>
      <c r="C26" s="314">
        <v>0</v>
      </c>
      <c r="D26" s="312" t="s">
        <v>396</v>
      </c>
      <c r="E26" s="324">
        <f>SUM(E23:E25)</f>
        <v>240868139.19582939</v>
      </c>
      <c r="F26" s="325">
        <f>SUM(F23:F25)</f>
        <v>845151.36559940141</v>
      </c>
      <c r="G26" s="127" t="s">
        <v>100</v>
      </c>
      <c r="H26" s="274" t="s">
        <v>24</v>
      </c>
      <c r="I26" s="275">
        <v>4000000</v>
      </c>
      <c r="J26" s="306">
        <f t="shared" si="1"/>
        <v>11527.377521613833</v>
      </c>
    </row>
    <row r="27" spans="2:12" ht="21" customHeight="1" thickBot="1">
      <c r="B27" s="312" t="s">
        <v>390</v>
      </c>
      <c r="C27" s="314">
        <v>0</v>
      </c>
      <c r="D27" s="316"/>
      <c r="E27" s="326"/>
      <c r="F27" s="317"/>
      <c r="G27" s="128" t="s">
        <v>101</v>
      </c>
      <c r="H27" s="340" t="s">
        <v>205</v>
      </c>
      <c r="I27" s="341">
        <f>SUM(I4:I26)</f>
        <v>240868139.19582939</v>
      </c>
      <c r="J27" s="342">
        <f t="shared" ref="J27:J28" si="3">I27/($C$19+$C$8)</f>
        <v>845151.36559940141</v>
      </c>
    </row>
    <row r="28" spans="2:12" ht="21" customHeight="1">
      <c r="B28" s="315" t="s">
        <v>438</v>
      </c>
      <c r="C28" s="314">
        <v>0</v>
      </c>
      <c r="D28" s="1172" t="s">
        <v>105</v>
      </c>
      <c r="E28" s="1174">
        <f>E23+E24</f>
        <v>240868139.19582939</v>
      </c>
      <c r="F28" s="1191">
        <f>ROUND((F24+F23),-3)</f>
        <v>845000</v>
      </c>
      <c r="G28" s="129" t="s">
        <v>336</v>
      </c>
      <c r="H28" s="343" t="s">
        <v>205</v>
      </c>
      <c r="I28" s="344">
        <f>'Site 1 - Draw'!G58+'Site 1 - Draw'!G47+'Site 1 - Draw'!G56+'Site 1 - Draw'!G38</f>
        <v>402640403.12739003</v>
      </c>
      <c r="J28" s="345">
        <f t="shared" si="3"/>
        <v>1412773.3443066317</v>
      </c>
    </row>
    <row r="29" spans="2:12" ht="21" customHeight="1" thickBot="1">
      <c r="B29" s="448" t="s">
        <v>437</v>
      </c>
      <c r="C29" s="447">
        <f>C24/(C23*43560)</f>
        <v>7.4413392169223229</v>
      </c>
      <c r="D29" s="1173"/>
      <c r="E29" s="1175"/>
      <c r="F29" s="1192"/>
      <c r="G29" s="129" t="s">
        <v>102</v>
      </c>
      <c r="H29" s="343" t="s">
        <v>205</v>
      </c>
      <c r="I29" s="259" t="s">
        <v>337</v>
      </c>
      <c r="J29" s="346" t="s">
        <v>205</v>
      </c>
    </row>
    <row r="30" spans="2:12" ht="21" customHeight="1" thickBot="1">
      <c r="B30" s="416">
        <v>12</v>
      </c>
      <c r="C30" s="417">
        <f>C24/B30</f>
        <v>35413.333333333336</v>
      </c>
      <c r="D30" s="1189" t="s">
        <v>414</v>
      </c>
      <c r="E30" s="1190"/>
      <c r="F30" s="260" t="s">
        <v>383</v>
      </c>
      <c r="G30" s="129" t="s">
        <v>103</v>
      </c>
      <c r="H30" s="343" t="s">
        <v>205</v>
      </c>
      <c r="I30" s="552">
        <f>I28/I27-1</f>
        <v>0.67162167844887688</v>
      </c>
      <c r="J30" s="347" t="s">
        <v>205</v>
      </c>
      <c r="K30" s="266"/>
    </row>
    <row r="31" spans="2:12" ht="21" customHeight="1" thickBot="1">
      <c r="B31" s="316" t="s">
        <v>393</v>
      </c>
      <c r="C31" s="317" t="s">
        <v>394</v>
      </c>
      <c r="D31" s="1182" t="s">
        <v>333</v>
      </c>
      <c r="E31" s="1183"/>
      <c r="F31" s="331">
        <f>'Site 1 - Draw'!G58+'Site 1 - Draw'!G38</f>
        <v>246595213.36359459</v>
      </c>
      <c r="G31" s="130">
        <v>0.5</v>
      </c>
      <c r="H31" s="348" t="s">
        <v>205</v>
      </c>
      <c r="I31" s="349">
        <f>I28/(1+G31)</f>
        <v>268426935.41826001</v>
      </c>
      <c r="J31" s="345">
        <f>I31/($C$19+$C$8)</f>
        <v>941848.89620442106</v>
      </c>
      <c r="K31" s="266"/>
    </row>
    <row r="32" spans="2:12" ht="21" customHeight="1" thickBot="1">
      <c r="B32" s="1189" t="s">
        <v>413</v>
      </c>
      <c r="C32" s="1193"/>
      <c r="D32" s="1184" t="s">
        <v>391</v>
      </c>
      <c r="E32" s="1185"/>
      <c r="F32" s="380">
        <f>F8/C8</f>
        <v>842052.23880597018</v>
      </c>
      <c r="G32" s="131">
        <v>0.3</v>
      </c>
      <c r="H32" s="350" t="s">
        <v>205</v>
      </c>
      <c r="I32" s="351">
        <f>ROUND((I28/(1+G32))-I27,-3)</f>
        <v>68855000</v>
      </c>
      <c r="J32" s="369">
        <f>I32/($C$19+$C$8)</f>
        <v>241596.49122807017</v>
      </c>
    </row>
    <row r="33" spans="2:11" ht="21" customHeight="1">
      <c r="B33" s="303" t="s">
        <v>311</v>
      </c>
      <c r="C33" s="338">
        <f>(F38+E24)/E24</f>
        <v>2.6790541961221921</v>
      </c>
      <c r="D33" s="1184" t="s">
        <v>392</v>
      </c>
      <c r="E33" s="1185"/>
      <c r="F33" s="332">
        <f>F32*0.98</f>
        <v>825211.19402985077</v>
      </c>
      <c r="G33" s="806"/>
      <c r="H33" s="806"/>
      <c r="I33" s="806"/>
      <c r="J33" s="806"/>
      <c r="K33" s="266"/>
    </row>
    <row r="34" spans="2:11" ht="21" customHeight="1">
      <c r="B34" s="304" t="s">
        <v>136</v>
      </c>
      <c r="C34" s="431">
        <f>'Site 1 - Draw'!C59</f>
        <v>0.27294837085437251</v>
      </c>
      <c r="D34" s="1170" t="s">
        <v>334</v>
      </c>
      <c r="E34" s="1171"/>
      <c r="F34" s="333">
        <f>'Site 1 - Draw'!G56+'Site 1 - Draw'!G47</f>
        <v>156045189.76379541</v>
      </c>
      <c r="G34" s="806"/>
      <c r="H34" s="806"/>
      <c r="I34" s="806"/>
      <c r="J34" s="806"/>
    </row>
    <row r="35" spans="2:11" ht="21" customHeight="1">
      <c r="B35" s="304" t="s">
        <v>41</v>
      </c>
      <c r="C35" s="431">
        <f>'Site 1 - Draw'!C65</f>
        <v>0.69169644968421573</v>
      </c>
      <c r="D35" s="1186" t="s">
        <v>335</v>
      </c>
      <c r="E35" s="1187"/>
      <c r="F35" s="334">
        <f>F31+F34</f>
        <v>402640403.12739003</v>
      </c>
      <c r="G35" s="806"/>
      <c r="H35" s="806"/>
      <c r="I35" s="806"/>
      <c r="J35" s="806"/>
    </row>
    <row r="36" spans="2:11" ht="21" customHeight="1">
      <c r="B36" s="304" t="s">
        <v>111</v>
      </c>
      <c r="C36" s="337" t="s">
        <v>337</v>
      </c>
      <c r="D36" s="1178" t="s">
        <v>537</v>
      </c>
      <c r="E36" s="1179"/>
      <c r="F36" s="333">
        <f>E23</f>
        <v>144520883.51749763</v>
      </c>
      <c r="G36" s="806"/>
      <c r="H36" s="806"/>
      <c r="I36" s="806"/>
      <c r="J36" s="806"/>
    </row>
    <row r="37" spans="2:11" ht="21" customHeight="1">
      <c r="B37" s="304" t="s">
        <v>397</v>
      </c>
      <c r="C37" s="336">
        <f>Assumptions!I9</f>
        <v>4.2500000000000003E-2</v>
      </c>
      <c r="D37" s="1178" t="s">
        <v>538</v>
      </c>
      <c r="E37" s="1179"/>
      <c r="F37" s="333">
        <f>E24</f>
        <v>96347255.678331763</v>
      </c>
      <c r="G37" s="806"/>
      <c r="H37" s="806"/>
      <c r="I37" s="806"/>
      <c r="J37" s="806"/>
    </row>
    <row r="38" spans="2:11" ht="21" customHeight="1" thickBot="1">
      <c r="B38" s="305" t="s">
        <v>398</v>
      </c>
      <c r="C38" s="339">
        <f>Assumptions!I8</f>
        <v>4.7500000000000001E-2</v>
      </c>
      <c r="D38" s="1180" t="s">
        <v>109</v>
      </c>
      <c r="E38" s="1181"/>
      <c r="F38" s="335">
        <f>F35-F36-F37</f>
        <v>161772263.93156064</v>
      </c>
      <c r="G38" s="806"/>
      <c r="H38" s="806"/>
      <c r="I38" s="806"/>
      <c r="J38" s="806"/>
    </row>
    <row r="39" spans="2:11" ht="16.05" customHeight="1">
      <c r="G39" s="262"/>
      <c r="H39" s="186"/>
      <c r="I39" s="186"/>
      <c r="J39" s="186"/>
    </row>
    <row r="40" spans="2:11" ht="15" customHeight="1">
      <c r="D40" s="144"/>
      <c r="E40" s="144"/>
      <c r="F40" s="144"/>
      <c r="G40" s="187"/>
      <c r="H40" s="188"/>
      <c r="I40" s="189"/>
      <c r="J40" s="188"/>
    </row>
    <row r="41" spans="2:11" ht="15" customHeight="1">
      <c r="D41" s="132"/>
      <c r="G41" s="190"/>
      <c r="H41" s="1176"/>
      <c r="I41" s="1176"/>
      <c r="J41" s="188"/>
    </row>
    <row r="42" spans="2:11" ht="15" customHeight="1">
      <c r="D42" s="132"/>
      <c r="G42" s="191"/>
      <c r="H42" s="1177"/>
      <c r="I42" s="1177"/>
      <c r="J42" s="192"/>
    </row>
    <row r="43" spans="2:11" ht="13.2">
      <c r="D43" s="132"/>
    </row>
    <row r="44" spans="2:11" ht="13.2">
      <c r="D44" s="179"/>
    </row>
    <row r="45" spans="2:11" s="144" customFormat="1" ht="13.2">
      <c r="B45" s="48"/>
      <c r="C45" s="48"/>
      <c r="D45" s="179"/>
      <c r="E45" s="48"/>
      <c r="F45" s="48"/>
    </row>
    <row r="46" spans="2:11" ht="13.2">
      <c r="B46" s="144"/>
      <c r="C46" s="144"/>
    </row>
    <row r="47" spans="2:11" ht="13.05" customHeight="1">
      <c r="B47" s="132"/>
      <c r="C47" s="132"/>
    </row>
    <row r="48" spans="2:11" ht="13.2">
      <c r="B48" s="132"/>
      <c r="C48" s="132"/>
    </row>
    <row r="49" spans="2:10" s="144" customFormat="1" ht="13.2">
      <c r="B49" s="125"/>
      <c r="C49" s="125"/>
      <c r="D49" s="48"/>
      <c r="E49" s="48"/>
      <c r="F49" s="48"/>
    </row>
    <row r="50" spans="2:10" s="132" customFormat="1" ht="13.2">
      <c r="D50" s="48"/>
      <c r="E50" s="48"/>
      <c r="F50" s="48"/>
    </row>
    <row r="51" spans="2:10" s="132" customFormat="1" ht="13.2">
      <c r="D51" s="48"/>
      <c r="E51" s="48"/>
      <c r="F51" s="48"/>
    </row>
    <row r="52" spans="2:10" s="125" customFormat="1" ht="13.2">
      <c r="D52" s="48"/>
      <c r="E52" s="48"/>
      <c r="F52" s="48"/>
    </row>
    <row r="53" spans="2:10" s="132" customFormat="1" ht="13.2">
      <c r="D53" s="48"/>
      <c r="E53" s="48"/>
      <c r="F53" s="48"/>
    </row>
    <row r="54" spans="2:10" s="132" customFormat="1" ht="13.2">
      <c r="D54" s="48"/>
      <c r="E54" s="48"/>
      <c r="F54" s="48"/>
    </row>
    <row r="55" spans="2:10" s="125" customFormat="1" ht="13.2">
      <c r="B55" s="132"/>
      <c r="C55" s="132"/>
      <c r="D55" s="48"/>
      <c r="E55" s="48"/>
      <c r="F55" s="48"/>
    </row>
    <row r="56" spans="2:10" s="132" customFormat="1" ht="13.2">
      <c r="B56" s="48"/>
      <c r="C56" s="179"/>
      <c r="D56" s="48"/>
      <c r="E56" s="48"/>
      <c r="F56" s="48"/>
    </row>
    <row r="57" spans="2:10" s="132" customFormat="1" ht="13.2">
      <c r="B57" s="48"/>
      <c r="C57" s="179"/>
      <c r="D57" s="48"/>
      <c r="E57" s="48"/>
      <c r="F57" s="48"/>
    </row>
    <row r="58" spans="2:10" s="132" customFormat="1" ht="13.2">
      <c r="B58" s="48"/>
      <c r="C58" s="48"/>
      <c r="D58" s="48"/>
      <c r="E58" s="48"/>
      <c r="F58" s="48"/>
    </row>
    <row r="59" spans="2:10" ht="13.2">
      <c r="G59" s="179"/>
      <c r="H59" s="179"/>
      <c r="I59" s="179"/>
      <c r="J59" s="179"/>
    </row>
    <row r="60" spans="2:10" ht="13.2">
      <c r="G60" s="179"/>
      <c r="H60" s="179"/>
      <c r="I60" s="179"/>
      <c r="J60" s="179"/>
    </row>
    <row r="61" spans="2:10" ht="13.2"/>
    <row r="62" spans="2:10" ht="15" customHeight="1"/>
    <row r="63" spans="2:10" ht="13.2"/>
    <row r="64" spans="2:10" ht="13.2">
      <c r="G64" s="179"/>
    </row>
    <row r="65" spans="7:7" ht="13.2">
      <c r="G65" s="179"/>
    </row>
    <row r="66" spans="7:7" ht="13.2"/>
    <row r="67" spans="7:7" ht="13.2"/>
    <row r="68" spans="7:7" ht="13.2">
      <c r="G68" s="179"/>
    </row>
    <row r="69" spans="7:7" ht="15" customHeight="1"/>
    <row r="70" spans="7:7" ht="15" customHeight="1"/>
    <row r="71" spans="7:7" ht="13.2"/>
    <row r="72" spans="7:7" ht="13.2"/>
    <row r="73" spans="7:7" ht="13.2"/>
    <row r="74" spans="7:7" ht="13.2"/>
    <row r="75" spans="7:7" ht="13.2"/>
    <row r="76" spans="7:7" ht="13.2"/>
    <row r="77" spans="7:7" ht="13.2"/>
    <row r="78" spans="7:7" ht="13.2"/>
    <row r="79" spans="7:7" ht="13.2"/>
    <row r="80" spans="7:7" ht="13.2"/>
    <row r="81" ht="13.2"/>
    <row r="82" ht="13.2"/>
    <row r="83" ht="13.2"/>
    <row r="84" ht="13.2"/>
    <row r="85" ht="13.2"/>
    <row r="86" ht="13.2"/>
    <row r="87" ht="13.2"/>
    <row r="88" ht="13.2"/>
    <row r="89" ht="13.2"/>
  </sheetData>
  <mergeCells count="37">
    <mergeCell ref="F19:F20"/>
    <mergeCell ref="D30:E30"/>
    <mergeCell ref="F28:F29"/>
    <mergeCell ref="B32:C32"/>
    <mergeCell ref="D33:E33"/>
    <mergeCell ref="B21:C21"/>
    <mergeCell ref="D21:F21"/>
    <mergeCell ref="B19:B20"/>
    <mergeCell ref="C19:C20"/>
    <mergeCell ref="D19:D20"/>
    <mergeCell ref="E19:E20"/>
    <mergeCell ref="D34:E34"/>
    <mergeCell ref="D28:D29"/>
    <mergeCell ref="E28:E29"/>
    <mergeCell ref="H41:I41"/>
    <mergeCell ref="H42:I42"/>
    <mergeCell ref="D37:E37"/>
    <mergeCell ref="D38:E38"/>
    <mergeCell ref="D31:E31"/>
    <mergeCell ref="D32:E32"/>
    <mergeCell ref="D36:E36"/>
    <mergeCell ref="D35:E35"/>
    <mergeCell ref="G2:G3"/>
    <mergeCell ref="H2:H3"/>
    <mergeCell ref="I2:I3"/>
    <mergeCell ref="J2:J3"/>
    <mergeCell ref="F15:F16"/>
    <mergeCell ref="B2:F2"/>
    <mergeCell ref="B8:B9"/>
    <mergeCell ref="C8:C9"/>
    <mergeCell ref="D8:D9"/>
    <mergeCell ref="E8:E9"/>
    <mergeCell ref="F8:F9"/>
    <mergeCell ref="B15:B16"/>
    <mergeCell ref="C15:C16"/>
    <mergeCell ref="D15:D16"/>
    <mergeCell ref="E15:E16"/>
  </mergeCells>
  <printOptions horizontalCentered="1" verticalCentered="1"/>
  <pageMargins left="0.7" right="0.7" top="0.75" bottom="0.75" header="0.3" footer="0.3"/>
  <pageSetup scale="91" fitToHeight="0" orientation="landscape" horizontalDpi="4294967292" verticalDpi="4294967292" r:id="rId1"/>
  <headerFooter>
    <oddHeader>&amp;C&amp;"Times New Roman Bold,Bold"&amp;14&amp;K000000INVESTOR SHEET</oddHeader>
    <oddFooter>&amp;CPage &amp;P of &amp;N</oddFooter>
  </headerFooter>
  <ignoredErrors>
    <ignoredError sqref="E8" formula="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9D4F41-2CAA-704D-89F4-9225C2AB4000}">
  <sheetPr>
    <tabColor rgb="FF00B050"/>
  </sheetPr>
  <dimension ref="A1:AS70"/>
  <sheetViews>
    <sheetView topLeftCell="E1" zoomScaleNormal="100" zoomScalePageLayoutView="125" workbookViewId="0">
      <selection activeCell="P6" sqref="P6:P28"/>
    </sheetView>
  </sheetViews>
  <sheetFormatPr defaultColWidth="8.77734375" defaultRowHeight="14.4" outlineLevelRow="1"/>
  <cols>
    <col min="1" max="1" width="4" style="47" customWidth="1"/>
    <col min="2" max="2" width="49.109375" style="48" bestFit="1" customWidth="1"/>
    <col min="3" max="3" width="20.77734375" style="48" customWidth="1"/>
    <col min="4" max="15" width="15.109375" style="48" customWidth="1"/>
    <col min="16" max="38" width="17" style="48" customWidth="1"/>
    <col min="39" max="39" width="16.44140625" style="48" customWidth="1"/>
    <col min="40" max="40" width="15" style="95" customWidth="1"/>
    <col min="41" max="41" width="17.77734375" style="95" bestFit="1" customWidth="1"/>
    <col min="42" max="42" width="9.44140625" style="48" bestFit="1" customWidth="1"/>
    <col min="43" max="43" width="11.77734375" style="48" bestFit="1" customWidth="1"/>
    <col min="44" max="45" width="9.44140625" style="48" bestFit="1" customWidth="1"/>
    <col min="46" max="16384" width="8.77734375" style="48"/>
  </cols>
  <sheetData>
    <row r="1" spans="1:45" s="47" customFormat="1" ht="15" thickBot="1">
      <c r="AN1" s="133"/>
      <c r="AO1" s="133"/>
    </row>
    <row r="2" spans="1:45" s="95" customFormat="1" ht="15" thickBot="1">
      <c r="A2" s="133"/>
      <c r="B2" s="1213" t="str">
        <f>'Development Program'!G25</f>
        <v>King's Court</v>
      </c>
      <c r="C2" s="235" t="s">
        <v>343</v>
      </c>
      <c r="D2" s="123">
        <v>0</v>
      </c>
      <c r="E2" s="228">
        <f t="shared" ref="E2:O2" si="0">D2+1</f>
        <v>1</v>
      </c>
      <c r="F2" s="229">
        <f>E2+1</f>
        <v>2</v>
      </c>
      <c r="G2" s="398">
        <f t="shared" si="0"/>
        <v>3</v>
      </c>
      <c r="H2" s="137">
        <f t="shared" si="0"/>
        <v>4</v>
      </c>
      <c r="I2" s="137">
        <f t="shared" si="0"/>
        <v>5</v>
      </c>
      <c r="J2" s="137">
        <f t="shared" si="0"/>
        <v>6</v>
      </c>
      <c r="K2" s="137">
        <f t="shared" si="0"/>
        <v>7</v>
      </c>
      <c r="L2" s="137">
        <f>K2+1</f>
        <v>8</v>
      </c>
      <c r="M2" s="137">
        <f>L2+1</f>
        <v>9</v>
      </c>
      <c r="N2" s="137">
        <f t="shared" si="0"/>
        <v>10</v>
      </c>
      <c r="O2" s="261">
        <f t="shared" si="0"/>
        <v>11</v>
      </c>
      <c r="P2" s="48"/>
      <c r="Q2" s="48"/>
      <c r="R2" s="48"/>
      <c r="S2" s="48"/>
      <c r="T2" s="48"/>
      <c r="U2" s="48"/>
      <c r="V2" s="48"/>
      <c r="W2" s="48"/>
      <c r="X2" s="48"/>
      <c r="Y2" s="48"/>
      <c r="Z2" s="48"/>
      <c r="AA2" s="48"/>
      <c r="AB2" s="48"/>
      <c r="AC2" s="48"/>
      <c r="AD2" s="48"/>
      <c r="AE2" s="48"/>
      <c r="AF2" s="48"/>
      <c r="AG2" s="48"/>
      <c r="AH2" s="48"/>
      <c r="AI2" s="48"/>
      <c r="AJ2" s="48"/>
      <c r="AK2" s="48"/>
      <c r="AL2" s="48"/>
      <c r="AM2" s="48"/>
      <c r="AP2" s="48"/>
      <c r="AQ2" s="48"/>
      <c r="AR2" s="48"/>
      <c r="AS2" s="48"/>
    </row>
    <row r="3" spans="1:45" s="95" customFormat="1" ht="41.55" customHeight="1" thickBot="1">
      <c r="A3" s="133"/>
      <c r="B3" s="1158"/>
      <c r="C3" s="236" t="s">
        <v>104</v>
      </c>
      <c r="D3" s="291">
        <v>45413</v>
      </c>
      <c r="E3" s="292">
        <f>EDATE(D3,12)</f>
        <v>45778</v>
      </c>
      <c r="F3" s="293">
        <f>EDATE(E3,12)</f>
        <v>46143</v>
      </c>
      <c r="G3" s="399">
        <f>EDATE(F3,12)</f>
        <v>46508</v>
      </c>
      <c r="H3" s="225">
        <f t="shared" ref="H3:O3" si="1">EDATE(G3,12)</f>
        <v>46874</v>
      </c>
      <c r="I3" s="225">
        <f t="shared" si="1"/>
        <v>47239</v>
      </c>
      <c r="J3" s="225">
        <f t="shared" si="1"/>
        <v>47604</v>
      </c>
      <c r="K3" s="225">
        <f t="shared" si="1"/>
        <v>47969</v>
      </c>
      <c r="L3" s="225">
        <f>EDATE(J3,12)</f>
        <v>47969</v>
      </c>
      <c r="M3" s="225">
        <f>EDATE(K3,12)</f>
        <v>48335</v>
      </c>
      <c r="N3" s="225">
        <f t="shared" si="1"/>
        <v>48700</v>
      </c>
      <c r="O3" s="226">
        <f t="shared" si="1"/>
        <v>49065</v>
      </c>
      <c r="P3" s="48"/>
      <c r="Q3" s="48"/>
      <c r="R3" s="48"/>
      <c r="S3" s="48"/>
      <c r="T3" s="48"/>
      <c r="U3" s="48"/>
      <c r="V3" s="48"/>
      <c r="W3" s="48"/>
      <c r="X3" s="48"/>
      <c r="Y3" s="48"/>
      <c r="Z3" s="48"/>
      <c r="AA3" s="48"/>
      <c r="AB3" s="48"/>
      <c r="AC3" s="48"/>
      <c r="AD3" s="48"/>
      <c r="AE3" s="48"/>
      <c r="AF3" s="48"/>
      <c r="AG3" s="48"/>
      <c r="AH3" s="48"/>
      <c r="AI3" s="48"/>
      <c r="AJ3" s="48"/>
      <c r="AK3" s="48"/>
      <c r="AL3" s="48"/>
      <c r="AM3" s="48"/>
      <c r="AP3" s="48"/>
      <c r="AQ3" s="48"/>
      <c r="AR3" s="48"/>
      <c r="AS3" s="48"/>
    </row>
    <row r="4" spans="1:45" s="95" customFormat="1" ht="64.05" hidden="1" customHeight="1" thickBot="1">
      <c r="A4" s="133"/>
      <c r="B4" s="1214"/>
      <c r="C4" s="237" t="s">
        <v>46</v>
      </c>
      <c r="D4" s="214" t="e">
        <f>EOMONTH(#REF!,3)</f>
        <v>#REF!</v>
      </c>
      <c r="E4" s="215" t="e">
        <f t="shared" ref="E4:I4" si="2">EOMONTH(D4,3)</f>
        <v>#REF!</v>
      </c>
      <c r="F4" s="216" t="e">
        <f>EOMONTH(#REF!,3)</f>
        <v>#REF!</v>
      </c>
      <c r="G4" s="96" t="e">
        <f t="shared" si="2"/>
        <v>#REF!</v>
      </c>
      <c r="H4" s="97" t="e">
        <f t="shared" si="2"/>
        <v>#REF!</v>
      </c>
      <c r="I4" s="97" t="e">
        <f t="shared" si="2"/>
        <v>#REF!</v>
      </c>
      <c r="J4" s="97" t="e">
        <f>EOMONTH(#REF!,3)</f>
        <v>#REF!</v>
      </c>
      <c r="K4" s="97" t="e">
        <f t="shared" ref="K4" si="3">EOMONTH(J4,3)</f>
        <v>#REF!</v>
      </c>
      <c r="L4" s="97" t="e">
        <f>EOMONTH(J4,3)</f>
        <v>#REF!</v>
      </c>
      <c r="M4" s="97" t="e">
        <f>EOMONTH(K4,3)</f>
        <v>#REF!</v>
      </c>
      <c r="N4" s="97" t="e">
        <f t="shared" ref="N4" si="4">EOMONTH(M4,3)</f>
        <v>#REF!</v>
      </c>
      <c r="O4" s="104" t="e">
        <f>EOMONTH(I4,3)</f>
        <v>#REF!</v>
      </c>
      <c r="AP4" s="48"/>
      <c r="AQ4" s="48"/>
      <c r="AR4" s="48"/>
      <c r="AS4" s="48"/>
    </row>
    <row r="5" spans="1:45" s="95" customFormat="1">
      <c r="A5" s="133"/>
      <c r="B5" s="480" t="s">
        <v>112</v>
      </c>
      <c r="C5" s="575">
        <v>1</v>
      </c>
      <c r="D5" s="576">
        <f>D29/$C$29</f>
        <v>0.32321859622135807</v>
      </c>
      <c r="E5" s="571">
        <f>E29/$C$29</f>
        <v>0.50925396480900353</v>
      </c>
      <c r="F5" s="577">
        <f>F29/$C$29</f>
        <v>0.16752743896963848</v>
      </c>
      <c r="G5" s="578" t="s">
        <v>205</v>
      </c>
      <c r="H5" s="570" t="s">
        <v>205</v>
      </c>
      <c r="I5" s="570" t="s">
        <v>205</v>
      </c>
      <c r="J5" s="570" t="s">
        <v>205</v>
      </c>
      <c r="K5" s="570" t="s">
        <v>205</v>
      </c>
      <c r="L5" s="570" t="s">
        <v>205</v>
      </c>
      <c r="M5" s="570" t="s">
        <v>205</v>
      </c>
      <c r="N5" s="570" t="s">
        <v>205</v>
      </c>
      <c r="O5" s="573" t="s">
        <v>205</v>
      </c>
      <c r="AP5" s="48"/>
      <c r="AQ5" s="48"/>
      <c r="AR5" s="48"/>
      <c r="AS5" s="48"/>
    </row>
    <row r="6" spans="1:45" s="95" customFormat="1">
      <c r="A6" s="133"/>
      <c r="B6" s="209" t="str">
        <f>'Site 1 - Financial'!G4</f>
        <v>Residential Condominium Hard Costs for Construction</v>
      </c>
      <c r="C6" s="512">
        <f>'Site 1 - Financial'!I4</f>
        <v>45240000</v>
      </c>
      <c r="D6" s="528">
        <v>0</v>
      </c>
      <c r="E6" s="529">
        <f>0.9*C6</f>
        <v>40716000</v>
      </c>
      <c r="F6" s="564">
        <f>0.1*C6</f>
        <v>4524000</v>
      </c>
      <c r="G6" s="574" t="s">
        <v>205</v>
      </c>
      <c r="H6" s="557" t="s">
        <v>205</v>
      </c>
      <c r="I6" s="557" t="s">
        <v>205</v>
      </c>
      <c r="J6" s="557" t="s">
        <v>205</v>
      </c>
      <c r="K6" s="557" t="s">
        <v>205</v>
      </c>
      <c r="L6" s="557" t="s">
        <v>205</v>
      </c>
      <c r="M6" s="557" t="s">
        <v>205</v>
      </c>
      <c r="N6" s="557" t="s">
        <v>205</v>
      </c>
      <c r="O6" s="559" t="s">
        <v>205</v>
      </c>
      <c r="P6" s="929"/>
      <c r="AP6" s="48"/>
      <c r="AQ6" s="48"/>
      <c r="AR6" s="48"/>
      <c r="AS6" s="48"/>
    </row>
    <row r="7" spans="1:45" s="95" customFormat="1">
      <c r="A7" s="133"/>
      <c r="B7" s="273" t="str">
        <f>'Site 1 - Financial'!G5</f>
        <v>Office Shell &amp; Core Hard Costs for Construction</v>
      </c>
      <c r="C7" s="234">
        <f>'Site 1 - Financial'!I5</f>
        <v>21211665</v>
      </c>
      <c r="D7" s="217">
        <v>0</v>
      </c>
      <c r="E7" s="218">
        <f t="shared" ref="E7:E8" si="5">0.9*C7</f>
        <v>19090498.5</v>
      </c>
      <c r="F7" s="219">
        <f t="shared" ref="F7:F8" si="6">0.1*C7</f>
        <v>2121166.5</v>
      </c>
      <c r="G7" s="401" t="s">
        <v>205</v>
      </c>
      <c r="H7" s="268" t="s">
        <v>205</v>
      </c>
      <c r="I7" s="268" t="s">
        <v>205</v>
      </c>
      <c r="J7" s="268" t="s">
        <v>205</v>
      </c>
      <c r="K7" s="268" t="s">
        <v>205</v>
      </c>
      <c r="L7" s="268" t="s">
        <v>205</v>
      </c>
      <c r="M7" s="268" t="s">
        <v>205</v>
      </c>
      <c r="N7" s="268" t="s">
        <v>205</v>
      </c>
      <c r="O7" s="269" t="s">
        <v>205</v>
      </c>
      <c r="P7" s="929"/>
      <c r="AP7" s="48"/>
      <c r="AQ7" s="48"/>
      <c r="AR7" s="48"/>
      <c r="AS7" s="48"/>
    </row>
    <row r="8" spans="1:45" s="95" customFormat="1">
      <c r="A8" s="133"/>
      <c r="B8" s="273" t="str">
        <f>'Site 1 - Financial'!G6</f>
        <v>Retail Hard Costs for Construction</v>
      </c>
      <c r="C8" s="234">
        <f>'Site 1 - Financial'!I6</f>
        <v>25852410</v>
      </c>
      <c r="D8" s="217">
        <v>0</v>
      </c>
      <c r="E8" s="218">
        <f t="shared" si="5"/>
        <v>23267169</v>
      </c>
      <c r="F8" s="219">
        <f t="shared" si="6"/>
        <v>2585241</v>
      </c>
      <c r="G8" s="401" t="s">
        <v>205</v>
      </c>
      <c r="H8" s="268" t="s">
        <v>205</v>
      </c>
      <c r="I8" s="268" t="s">
        <v>205</v>
      </c>
      <c r="J8" s="268" t="s">
        <v>205</v>
      </c>
      <c r="K8" s="268" t="s">
        <v>205</v>
      </c>
      <c r="L8" s="268" t="s">
        <v>205</v>
      </c>
      <c r="M8" s="268" t="s">
        <v>205</v>
      </c>
      <c r="N8" s="268" t="s">
        <v>205</v>
      </c>
      <c r="O8" s="269" t="s">
        <v>205</v>
      </c>
      <c r="P8" s="929"/>
      <c r="AP8" s="48"/>
      <c r="AQ8" s="48"/>
      <c r="AR8" s="48"/>
      <c r="AS8" s="48"/>
    </row>
    <row r="9" spans="1:45" s="95" customFormat="1">
      <c r="A9" s="133"/>
      <c r="B9" s="273" t="str">
        <f>'Site 1 - Financial'!G7</f>
        <v>Parking stalls</v>
      </c>
      <c r="C9" s="234">
        <f>'Site 1 - Financial'!I7</f>
        <v>0</v>
      </c>
      <c r="D9" s="217">
        <v>0</v>
      </c>
      <c r="E9" s="218">
        <f>0.9*C9</f>
        <v>0</v>
      </c>
      <c r="F9" s="219">
        <f>0.1*C9</f>
        <v>0</v>
      </c>
      <c r="G9" s="401" t="s">
        <v>205</v>
      </c>
      <c r="H9" s="268" t="s">
        <v>205</v>
      </c>
      <c r="I9" s="268" t="s">
        <v>205</v>
      </c>
      <c r="J9" s="268" t="s">
        <v>205</v>
      </c>
      <c r="K9" s="268" t="s">
        <v>205</v>
      </c>
      <c r="L9" s="268" t="s">
        <v>205</v>
      </c>
      <c r="M9" s="268" t="s">
        <v>205</v>
      </c>
      <c r="N9" s="268" t="s">
        <v>205</v>
      </c>
      <c r="O9" s="269" t="s">
        <v>205</v>
      </c>
      <c r="P9" s="929"/>
      <c r="AP9" s="48"/>
      <c r="AQ9" s="48"/>
      <c r="AR9" s="48"/>
      <c r="AS9" s="48"/>
    </row>
    <row r="10" spans="1:45" s="95" customFormat="1">
      <c r="A10" s="133"/>
      <c r="B10" s="273" t="str">
        <f>'Site 1 - Financial'!G8</f>
        <v>Hard Cost Contingency</v>
      </c>
      <c r="C10" s="234">
        <f>'Site 1 - Financial'!I8</f>
        <v>9230407.5</v>
      </c>
      <c r="D10" s="217">
        <v>0</v>
      </c>
      <c r="E10" s="218">
        <v>0</v>
      </c>
      <c r="F10" s="219">
        <f>C10</f>
        <v>9230407.5</v>
      </c>
      <c r="G10" s="402" t="s">
        <v>205</v>
      </c>
      <c r="H10" s="271" t="s">
        <v>205</v>
      </c>
      <c r="I10" s="271" t="s">
        <v>205</v>
      </c>
      <c r="J10" s="271" t="s">
        <v>205</v>
      </c>
      <c r="K10" s="271" t="s">
        <v>205</v>
      </c>
      <c r="L10" s="271" t="s">
        <v>205</v>
      </c>
      <c r="M10" s="271" t="s">
        <v>205</v>
      </c>
      <c r="N10" s="271" t="s">
        <v>205</v>
      </c>
      <c r="O10" s="272" t="s">
        <v>205</v>
      </c>
      <c r="P10" s="929"/>
      <c r="AP10" s="48"/>
      <c r="AQ10" s="48"/>
      <c r="AR10" s="48"/>
      <c r="AS10" s="48"/>
    </row>
    <row r="11" spans="1:45" s="95" customFormat="1">
      <c r="A11" s="133"/>
      <c r="B11" s="273" t="str">
        <f>'Site 1 - Financial'!G9</f>
        <v>Demolition</v>
      </c>
      <c r="C11" s="234">
        <f>'Site 1 - Financial'!I9</f>
        <v>0</v>
      </c>
      <c r="D11" s="217">
        <v>0</v>
      </c>
      <c r="E11" s="218">
        <v>0</v>
      </c>
      <c r="F11" s="219">
        <v>0</v>
      </c>
      <c r="G11" s="402" t="s">
        <v>205</v>
      </c>
      <c r="H11" s="271" t="s">
        <v>205</v>
      </c>
      <c r="I11" s="271" t="s">
        <v>205</v>
      </c>
      <c r="J11" s="271" t="s">
        <v>205</v>
      </c>
      <c r="K11" s="271" t="s">
        <v>205</v>
      </c>
      <c r="L11" s="271" t="s">
        <v>205</v>
      </c>
      <c r="M11" s="271" t="s">
        <v>205</v>
      </c>
      <c r="N11" s="271" t="s">
        <v>205</v>
      </c>
      <c r="O11" s="272" t="s">
        <v>205</v>
      </c>
      <c r="P11" s="929"/>
      <c r="AP11" s="48"/>
      <c r="AQ11" s="48"/>
      <c r="AR11" s="48"/>
      <c r="AS11" s="48"/>
    </row>
    <row r="12" spans="1:45" s="95" customFormat="1" ht="19.05" customHeight="1">
      <c r="A12" s="133"/>
      <c r="B12" s="273" t="str">
        <f>'Site 1 - Financial'!G10</f>
        <v>Land</v>
      </c>
      <c r="C12" s="234">
        <f>'Site 1 - Financial'!I10</f>
        <v>58995867.76859504</v>
      </c>
      <c r="D12" s="217">
        <f>C12</f>
        <v>58995867.76859504</v>
      </c>
      <c r="E12" s="218">
        <v>0</v>
      </c>
      <c r="F12" s="219">
        <v>0</v>
      </c>
      <c r="G12" s="402" t="s">
        <v>205</v>
      </c>
      <c r="H12" s="271" t="s">
        <v>205</v>
      </c>
      <c r="I12" s="271" t="s">
        <v>205</v>
      </c>
      <c r="J12" s="271" t="s">
        <v>205</v>
      </c>
      <c r="K12" s="271" t="s">
        <v>205</v>
      </c>
      <c r="L12" s="271" t="s">
        <v>205</v>
      </c>
      <c r="M12" s="271" t="s">
        <v>205</v>
      </c>
      <c r="N12" s="268" t="s">
        <v>205</v>
      </c>
      <c r="O12" s="272" t="s">
        <v>205</v>
      </c>
      <c r="P12" s="929"/>
      <c r="AP12" s="48"/>
      <c r="AQ12" s="48"/>
      <c r="AR12" s="48"/>
      <c r="AS12" s="48"/>
    </row>
    <row r="13" spans="1:45" s="95" customFormat="1">
      <c r="A13" s="133"/>
      <c r="B13" s="273" t="str">
        <f>'Site 1 - Financial'!G11</f>
        <v>Municipal Fees and Allowances</v>
      </c>
      <c r="C13" s="234">
        <f>'Site 1 - Financial'!I11</f>
        <v>450000</v>
      </c>
      <c r="D13" s="217">
        <f>C13</f>
        <v>450000</v>
      </c>
      <c r="E13" s="218">
        <v>0</v>
      </c>
      <c r="F13" s="219">
        <v>0</v>
      </c>
      <c r="G13" s="402" t="s">
        <v>205</v>
      </c>
      <c r="H13" s="271" t="s">
        <v>205</v>
      </c>
      <c r="I13" s="271" t="s">
        <v>205</v>
      </c>
      <c r="J13" s="271" t="s">
        <v>205</v>
      </c>
      <c r="K13" s="271" t="s">
        <v>205</v>
      </c>
      <c r="L13" s="271" t="s">
        <v>205</v>
      </c>
      <c r="M13" s="271" t="s">
        <v>205</v>
      </c>
      <c r="N13" s="271" t="s">
        <v>205</v>
      </c>
      <c r="O13" s="272" t="s">
        <v>205</v>
      </c>
      <c r="P13" s="929"/>
      <c r="AP13" s="48"/>
      <c r="AQ13" s="48"/>
      <c r="AR13" s="48"/>
      <c r="AS13" s="48"/>
    </row>
    <row r="14" spans="1:45" s="95" customFormat="1">
      <c r="A14" s="133"/>
      <c r="B14" s="273" t="str">
        <f>'Site 1 - Financial'!G12</f>
        <v>Infrastructure Allocation</v>
      </c>
      <c r="C14" s="234">
        <f>'Site 1 - Financial'!I12</f>
        <v>20062099.321133409</v>
      </c>
      <c r="D14" s="217">
        <f>0.25*C14</f>
        <v>5015524.8302833522</v>
      </c>
      <c r="E14" s="218">
        <f>0.5*C14</f>
        <v>10031049.660566704</v>
      </c>
      <c r="F14" s="219">
        <f>0.25*C14</f>
        <v>5015524.8302833522</v>
      </c>
      <c r="G14" s="401" t="s">
        <v>205</v>
      </c>
      <c r="H14" s="268" t="s">
        <v>205</v>
      </c>
      <c r="I14" s="268" t="s">
        <v>205</v>
      </c>
      <c r="J14" s="268" t="s">
        <v>205</v>
      </c>
      <c r="K14" s="268" t="s">
        <v>205</v>
      </c>
      <c r="L14" s="268" t="s">
        <v>205</v>
      </c>
      <c r="M14" s="268" t="s">
        <v>205</v>
      </c>
      <c r="N14" s="268" t="s">
        <v>205</v>
      </c>
      <c r="O14" s="269" t="s">
        <v>205</v>
      </c>
      <c r="P14" s="929"/>
      <c r="AP14" s="48"/>
      <c r="AQ14" s="48"/>
      <c r="AR14" s="48"/>
      <c r="AS14" s="48"/>
    </row>
    <row r="15" spans="1:45" s="95" customFormat="1">
      <c r="A15" s="133"/>
      <c r="B15" s="273" t="str">
        <f>'Site 1 - Financial'!G13</f>
        <v>Legal</v>
      </c>
      <c r="C15" s="234">
        <f>'Site 1 - Financial'!I13</f>
        <v>400000</v>
      </c>
      <c r="D15" s="217">
        <f>1/2*C15</f>
        <v>200000</v>
      </c>
      <c r="E15" s="218">
        <v>0</v>
      </c>
      <c r="F15" s="219">
        <f>1/2*C15</f>
        <v>200000</v>
      </c>
      <c r="G15" s="401" t="s">
        <v>205</v>
      </c>
      <c r="H15" s="268" t="s">
        <v>205</v>
      </c>
      <c r="I15" s="268" t="s">
        <v>205</v>
      </c>
      <c r="J15" s="268" t="s">
        <v>205</v>
      </c>
      <c r="K15" s="268" t="s">
        <v>205</v>
      </c>
      <c r="L15" s="268" t="s">
        <v>205</v>
      </c>
      <c r="M15" s="268" t="s">
        <v>205</v>
      </c>
      <c r="N15" s="268" t="s">
        <v>205</v>
      </c>
      <c r="O15" s="269" t="s">
        <v>205</v>
      </c>
      <c r="P15" s="929"/>
      <c r="AP15" s="48"/>
      <c r="AQ15" s="48"/>
      <c r="AR15" s="48"/>
      <c r="AS15" s="48"/>
    </row>
    <row r="16" spans="1:45" s="95" customFormat="1">
      <c r="A16" s="133"/>
      <c r="B16" s="273" t="str">
        <f>'Site 1 - Financial'!G14</f>
        <v>Land Closing Costs/Commissions</v>
      </c>
      <c r="C16" s="234">
        <f>'Site 1 - Financial'!I14</f>
        <v>1179917.3553719008</v>
      </c>
      <c r="D16" s="217">
        <f>C16</f>
        <v>1179917.3553719008</v>
      </c>
      <c r="E16" s="218">
        <v>0</v>
      </c>
      <c r="F16" s="219">
        <v>0</v>
      </c>
      <c r="G16" s="402" t="s">
        <v>205</v>
      </c>
      <c r="H16" s="271" t="s">
        <v>205</v>
      </c>
      <c r="I16" s="271" t="s">
        <v>205</v>
      </c>
      <c r="J16" s="271" t="s">
        <v>205</v>
      </c>
      <c r="K16" s="271" t="s">
        <v>205</v>
      </c>
      <c r="L16" s="271" t="s">
        <v>205</v>
      </c>
      <c r="M16" s="271" t="s">
        <v>205</v>
      </c>
      <c r="N16" s="271" t="s">
        <v>205</v>
      </c>
      <c r="O16" s="272" t="s">
        <v>205</v>
      </c>
      <c r="P16" s="929"/>
      <c r="AP16" s="48"/>
      <c r="AQ16" s="48"/>
      <c r="AR16" s="48"/>
      <c r="AS16" s="48"/>
    </row>
    <row r="17" spans="1:45" s="95" customFormat="1">
      <c r="A17" s="133"/>
      <c r="B17" s="273" t="str">
        <f>'Site 1 - Financial'!G15</f>
        <v xml:space="preserve">Design </v>
      </c>
      <c r="C17" s="234">
        <f>'Site 1 - Financial'!I15</f>
        <v>3692163</v>
      </c>
      <c r="D17" s="217">
        <f>0.9*C17</f>
        <v>3322946.7</v>
      </c>
      <c r="E17" s="218">
        <f>0.1*C17</f>
        <v>369216.30000000005</v>
      </c>
      <c r="F17" s="219">
        <v>0</v>
      </c>
      <c r="G17" s="402" t="s">
        <v>205</v>
      </c>
      <c r="H17" s="271" t="s">
        <v>205</v>
      </c>
      <c r="I17" s="271" t="s">
        <v>205</v>
      </c>
      <c r="J17" s="271" t="s">
        <v>205</v>
      </c>
      <c r="K17" s="271" t="s">
        <v>205</v>
      </c>
      <c r="L17" s="271" t="s">
        <v>205</v>
      </c>
      <c r="M17" s="271" t="s">
        <v>205</v>
      </c>
      <c r="N17" s="271" t="s">
        <v>205</v>
      </c>
      <c r="O17" s="272" t="s">
        <v>205</v>
      </c>
      <c r="P17" s="929"/>
      <c r="AP17" s="48"/>
      <c r="AQ17" s="48"/>
      <c r="AR17" s="48"/>
      <c r="AS17" s="48"/>
    </row>
    <row r="18" spans="1:45" s="95" customFormat="1" ht="19.05" customHeight="1">
      <c r="A18" s="133"/>
      <c r="B18" s="273" t="str">
        <f>'Site 1 - Financial'!G16</f>
        <v>Developer Fee</v>
      </c>
      <c r="C18" s="234">
        <f>'Site 1 - Financial'!I16</f>
        <v>5589435.8983530095</v>
      </c>
      <c r="D18" s="217">
        <f>1/3*C18</f>
        <v>1863145.2994510031</v>
      </c>
      <c r="E18" s="218">
        <f>1/3*C18</f>
        <v>1863145.2994510031</v>
      </c>
      <c r="F18" s="219">
        <f>1/3*C18</f>
        <v>1863145.2994510031</v>
      </c>
      <c r="G18" s="402" t="s">
        <v>205</v>
      </c>
      <c r="H18" s="271" t="s">
        <v>205</v>
      </c>
      <c r="I18" s="271" t="s">
        <v>205</v>
      </c>
      <c r="J18" s="271" t="s">
        <v>205</v>
      </c>
      <c r="K18" s="271" t="s">
        <v>205</v>
      </c>
      <c r="L18" s="271" t="s">
        <v>205</v>
      </c>
      <c r="M18" s="271" t="s">
        <v>205</v>
      </c>
      <c r="N18" s="268" t="s">
        <v>205</v>
      </c>
      <c r="O18" s="272" t="s">
        <v>205</v>
      </c>
      <c r="P18" s="929"/>
      <c r="AP18" s="48"/>
      <c r="AQ18" s="48"/>
      <c r="AR18" s="48"/>
      <c r="AS18" s="48"/>
    </row>
    <row r="19" spans="1:45" s="95" customFormat="1">
      <c r="A19" s="133"/>
      <c r="B19" s="273" t="str">
        <f>'Site 1 - Financial'!G17</f>
        <v>Construction Management Fee</v>
      </c>
      <c r="C19" s="234">
        <f>'Site 1 - Financial'!I17</f>
        <v>1846081.5</v>
      </c>
      <c r="D19" s="217">
        <f>1/3*C19</f>
        <v>615360.5</v>
      </c>
      <c r="E19" s="218">
        <f>1/3*C19</f>
        <v>615360.5</v>
      </c>
      <c r="F19" s="219">
        <f>1/3*C19</f>
        <v>615360.5</v>
      </c>
      <c r="G19" s="402" t="s">
        <v>205</v>
      </c>
      <c r="H19" s="271" t="s">
        <v>205</v>
      </c>
      <c r="I19" s="271" t="s">
        <v>205</v>
      </c>
      <c r="J19" s="271" t="s">
        <v>205</v>
      </c>
      <c r="K19" s="271" t="s">
        <v>205</v>
      </c>
      <c r="L19" s="271" t="s">
        <v>205</v>
      </c>
      <c r="M19" s="271" t="s">
        <v>205</v>
      </c>
      <c r="N19" s="271" t="s">
        <v>205</v>
      </c>
      <c r="O19" s="272" t="s">
        <v>205</v>
      </c>
      <c r="P19" s="929"/>
      <c r="AP19" s="48"/>
      <c r="AQ19" s="48"/>
      <c r="AR19" s="48"/>
      <c r="AS19" s="48"/>
    </row>
    <row r="20" spans="1:45" s="95" customFormat="1">
      <c r="A20" s="133"/>
      <c r="B20" s="273" t="str">
        <f>'Site 1 - Financial'!G18</f>
        <v>Taxes</v>
      </c>
      <c r="C20" s="234">
        <f>'Site 1 - Financial'!I18</f>
        <v>520898.11487603298</v>
      </c>
      <c r="D20" s="217">
        <f>1/3*C20</f>
        <v>173632.70495867764</v>
      </c>
      <c r="E20" s="218">
        <f>D20</f>
        <v>173632.70495867764</v>
      </c>
      <c r="F20" s="219">
        <f>E20</f>
        <v>173632.70495867764</v>
      </c>
      <c r="G20" s="401" t="s">
        <v>205</v>
      </c>
      <c r="H20" s="268" t="s">
        <v>205</v>
      </c>
      <c r="I20" s="268" t="s">
        <v>205</v>
      </c>
      <c r="J20" s="268" t="s">
        <v>205</v>
      </c>
      <c r="K20" s="268" t="s">
        <v>205</v>
      </c>
      <c r="L20" s="268" t="s">
        <v>205</v>
      </c>
      <c r="M20" s="268" t="s">
        <v>205</v>
      </c>
      <c r="N20" s="268" t="s">
        <v>205</v>
      </c>
      <c r="O20" s="269" t="s">
        <v>205</v>
      </c>
      <c r="P20" s="929"/>
      <c r="AP20" s="48"/>
      <c r="AQ20" s="48"/>
      <c r="AR20" s="48"/>
      <c r="AS20" s="48"/>
    </row>
    <row r="21" spans="1:45" s="95" customFormat="1">
      <c r="A21" s="133"/>
      <c r="B21" s="273" t="str">
        <f>'Site 1 - Financial'!G19</f>
        <v>Insurance</v>
      </c>
      <c r="C21" s="234">
        <f>'Site 1 - Financial'!I19</f>
        <v>1710000</v>
      </c>
      <c r="D21" s="217">
        <f>1/3*C21</f>
        <v>570000</v>
      </c>
      <c r="E21" s="218">
        <f>1/3*C21</f>
        <v>570000</v>
      </c>
      <c r="F21" s="219">
        <f>1/3*C21</f>
        <v>570000</v>
      </c>
      <c r="G21" s="401" t="s">
        <v>205</v>
      </c>
      <c r="H21" s="268" t="s">
        <v>205</v>
      </c>
      <c r="I21" s="268" t="s">
        <v>205</v>
      </c>
      <c r="J21" s="268" t="s">
        <v>205</v>
      </c>
      <c r="K21" s="268" t="s">
        <v>205</v>
      </c>
      <c r="L21" s="268" t="s">
        <v>205</v>
      </c>
      <c r="M21" s="268" t="s">
        <v>205</v>
      </c>
      <c r="N21" s="268" t="s">
        <v>205</v>
      </c>
      <c r="O21" s="269" t="s">
        <v>205</v>
      </c>
      <c r="P21" s="929"/>
      <c r="AP21" s="48"/>
      <c r="AQ21" s="48"/>
      <c r="AR21" s="48"/>
      <c r="AS21" s="48"/>
    </row>
    <row r="22" spans="1:45" s="95" customFormat="1">
      <c r="A22" s="133"/>
      <c r="B22" s="273" t="str">
        <f>'Site 1 - Financial'!G20</f>
        <v>Marketing, FFE and Preleasing</v>
      </c>
      <c r="C22" s="234">
        <f>'Site 1 - Financial'!I20</f>
        <v>400000</v>
      </c>
      <c r="D22" s="217">
        <v>0</v>
      </c>
      <c r="E22" s="218">
        <f>0.75*C22</f>
        <v>300000</v>
      </c>
      <c r="F22" s="219">
        <f>0.25*C22</f>
        <v>100000</v>
      </c>
      <c r="G22" s="401" t="s">
        <v>205</v>
      </c>
      <c r="H22" s="268" t="s">
        <v>205</v>
      </c>
      <c r="I22" s="268" t="s">
        <v>205</v>
      </c>
      <c r="J22" s="268" t="s">
        <v>205</v>
      </c>
      <c r="K22" s="268" t="s">
        <v>205</v>
      </c>
      <c r="L22" s="268" t="s">
        <v>205</v>
      </c>
      <c r="M22" s="268" t="s">
        <v>205</v>
      </c>
      <c r="N22" s="268" t="s">
        <v>205</v>
      </c>
      <c r="O22" s="269" t="s">
        <v>205</v>
      </c>
      <c r="P22" s="929"/>
      <c r="AP22" s="48"/>
      <c r="AQ22" s="48"/>
      <c r="AR22" s="48"/>
      <c r="AS22" s="48"/>
    </row>
    <row r="23" spans="1:45" s="95" customFormat="1">
      <c r="A23" s="133"/>
      <c r="B23" s="273" t="str">
        <f>'Site 1 - Financial'!G21</f>
        <v>Operating Deficit</v>
      </c>
      <c r="C23" s="234">
        <f>'Site 1 - Financial'!I21</f>
        <v>1260612.2375</v>
      </c>
      <c r="D23" s="217">
        <f>-(D46+D55+D37)</f>
        <v>0</v>
      </c>
      <c r="E23" s="218">
        <f>-(E46+E55+E37)</f>
        <v>620991.25</v>
      </c>
      <c r="F23" s="219">
        <f>-(F46+F55+F37)</f>
        <v>639620.98750000005</v>
      </c>
      <c r="G23" s="401" t="s">
        <v>205</v>
      </c>
      <c r="H23" s="268" t="s">
        <v>205</v>
      </c>
      <c r="I23" s="268" t="s">
        <v>205</v>
      </c>
      <c r="J23" s="268" t="s">
        <v>205</v>
      </c>
      <c r="K23" s="268" t="s">
        <v>205</v>
      </c>
      <c r="L23" s="268" t="s">
        <v>205</v>
      </c>
      <c r="M23" s="268" t="s">
        <v>205</v>
      </c>
      <c r="N23" s="268" t="s">
        <v>205</v>
      </c>
      <c r="O23" s="269" t="s">
        <v>205</v>
      </c>
      <c r="P23" s="929"/>
      <c r="AP23" s="48"/>
      <c r="AQ23" s="48"/>
      <c r="AR23" s="48"/>
      <c r="AS23" s="48"/>
    </row>
    <row r="24" spans="1:45" s="95" customFormat="1">
      <c r="A24" s="133"/>
      <c r="B24" s="273" t="str">
        <f>'Site 1 - Financial'!G22</f>
        <v>Commercial Interior Fitout Cost</v>
      </c>
      <c r="C24" s="234">
        <f>'Site 1 - Financial'!I22</f>
        <v>25839100</v>
      </c>
      <c r="D24" s="217">
        <v>0</v>
      </c>
      <c r="E24" s="218">
        <f>0.75*C24</f>
        <v>19379325</v>
      </c>
      <c r="F24" s="219">
        <f>0.25*C24</f>
        <v>6459775</v>
      </c>
      <c r="G24" s="401" t="s">
        <v>205</v>
      </c>
      <c r="H24" s="268" t="s">
        <v>205</v>
      </c>
      <c r="I24" s="268" t="s">
        <v>205</v>
      </c>
      <c r="J24" s="268" t="s">
        <v>205</v>
      </c>
      <c r="K24" s="268" t="s">
        <v>205</v>
      </c>
      <c r="L24" s="268" t="s">
        <v>205</v>
      </c>
      <c r="M24" s="268" t="s">
        <v>205</v>
      </c>
      <c r="N24" s="268" t="s">
        <v>205</v>
      </c>
      <c r="O24" s="269" t="s">
        <v>205</v>
      </c>
      <c r="P24" s="929"/>
      <c r="AP24" s="48"/>
      <c r="AQ24" s="48"/>
      <c r="AR24" s="48"/>
      <c r="AS24" s="48"/>
    </row>
    <row r="25" spans="1:45" s="95" customFormat="1">
      <c r="A25" s="133"/>
      <c r="B25" s="273" t="str">
        <f>'Site 1 - Financial'!G23</f>
        <v>Commercial Brokerage Commission</v>
      </c>
      <c r="C25" s="234">
        <f>'Site 1 - Financial'!I23</f>
        <v>2187481.5</v>
      </c>
      <c r="D25" s="217">
        <v>0</v>
      </c>
      <c r="E25" s="218">
        <v>0</v>
      </c>
      <c r="F25" s="219">
        <f>C25</f>
        <v>2187481.5</v>
      </c>
      <c r="G25" s="401" t="s">
        <v>205</v>
      </c>
      <c r="H25" s="268" t="s">
        <v>205</v>
      </c>
      <c r="I25" s="268" t="s">
        <v>205</v>
      </c>
      <c r="J25" s="268" t="s">
        <v>205</v>
      </c>
      <c r="K25" s="268" t="s">
        <v>205</v>
      </c>
      <c r="L25" s="268" t="s">
        <v>205</v>
      </c>
      <c r="M25" s="268" t="s">
        <v>205</v>
      </c>
      <c r="N25" s="268" t="s">
        <v>205</v>
      </c>
      <c r="O25" s="269" t="s">
        <v>205</v>
      </c>
      <c r="P25" s="929"/>
      <c r="AP25" s="48"/>
      <c r="AQ25" s="48"/>
      <c r="AR25" s="48"/>
      <c r="AS25" s="48"/>
    </row>
    <row r="26" spans="1:45" s="95" customFormat="1">
      <c r="A26" s="133"/>
      <c r="B26" s="273" t="str">
        <f>'Site 1 - Financial'!G24</f>
        <v>Construction Loan Origination</v>
      </c>
      <c r="C26" s="234">
        <f>'Site 1 - Financial'!I24</f>
        <v>1400000</v>
      </c>
      <c r="D26" s="217">
        <f>C26</f>
        <v>1400000</v>
      </c>
      <c r="E26" s="218">
        <v>0</v>
      </c>
      <c r="F26" s="219">
        <v>0</v>
      </c>
      <c r="G26" s="401" t="s">
        <v>205</v>
      </c>
      <c r="H26" s="268" t="s">
        <v>205</v>
      </c>
      <c r="I26" s="268" t="s">
        <v>205</v>
      </c>
      <c r="J26" s="268" t="s">
        <v>205</v>
      </c>
      <c r="K26" s="268" t="s">
        <v>205</v>
      </c>
      <c r="L26" s="268" t="s">
        <v>205</v>
      </c>
      <c r="M26" s="268" t="s">
        <v>205</v>
      </c>
      <c r="N26" s="268" t="s">
        <v>205</v>
      </c>
      <c r="O26" s="269" t="s">
        <v>205</v>
      </c>
      <c r="P26" s="929"/>
      <c r="AP26" s="48"/>
      <c r="AQ26" s="48"/>
      <c r="AR26" s="48"/>
      <c r="AS26" s="48"/>
    </row>
    <row r="27" spans="1:45" s="95" customFormat="1">
      <c r="A27" s="133"/>
      <c r="B27" s="273" t="str">
        <f>'Site 1 - Financial'!G25</f>
        <v>Construction Interest</v>
      </c>
      <c r="C27" s="234">
        <f>'Site 1 - Financial'!I25</f>
        <v>9800000</v>
      </c>
      <c r="D27" s="217">
        <f>1/3*C27</f>
        <v>3266666.6666666665</v>
      </c>
      <c r="E27" s="218">
        <f>1/3*C27</f>
        <v>3266666.6666666665</v>
      </c>
      <c r="F27" s="219">
        <f>1/3*C27</f>
        <v>3266666.6666666665</v>
      </c>
      <c r="G27" s="401" t="s">
        <v>205</v>
      </c>
      <c r="H27" s="268" t="s">
        <v>205</v>
      </c>
      <c r="I27" s="268" t="s">
        <v>205</v>
      </c>
      <c r="J27" s="268" t="s">
        <v>205</v>
      </c>
      <c r="K27" s="268" t="s">
        <v>205</v>
      </c>
      <c r="L27" s="268" t="s">
        <v>205</v>
      </c>
      <c r="M27" s="268" t="s">
        <v>205</v>
      </c>
      <c r="N27" s="268" t="s">
        <v>205</v>
      </c>
      <c r="O27" s="269" t="s">
        <v>205</v>
      </c>
      <c r="P27" s="929"/>
      <c r="AP27" s="48"/>
      <c r="AQ27" s="48"/>
      <c r="AR27" s="48"/>
      <c r="AS27" s="48"/>
    </row>
    <row r="28" spans="1:45" s="95" customFormat="1" ht="15" thickBot="1">
      <c r="A28" s="133"/>
      <c r="B28" s="273" t="str">
        <f>'Site 1 - Financial'!G26</f>
        <v>Additional Contingency</v>
      </c>
      <c r="C28" s="234">
        <f>'Site 1 - Financial'!I26</f>
        <v>4000000</v>
      </c>
      <c r="D28" s="217">
        <f>1/5*C28</f>
        <v>800000</v>
      </c>
      <c r="E28" s="218">
        <f>3/5*C28</f>
        <v>2400000</v>
      </c>
      <c r="F28" s="219">
        <f>1/5*C28</f>
        <v>800000</v>
      </c>
      <c r="G28" s="401" t="s">
        <v>205</v>
      </c>
      <c r="H28" s="268" t="s">
        <v>205</v>
      </c>
      <c r="I28" s="268" t="s">
        <v>205</v>
      </c>
      <c r="J28" s="268" t="s">
        <v>205</v>
      </c>
      <c r="K28" s="268" t="s">
        <v>205</v>
      </c>
      <c r="L28" s="268" t="s">
        <v>205</v>
      </c>
      <c r="M28" s="268" t="s">
        <v>205</v>
      </c>
      <c r="N28" s="268" t="s">
        <v>205</v>
      </c>
      <c r="O28" s="269" t="s">
        <v>205</v>
      </c>
      <c r="P28" s="929"/>
      <c r="AP28" s="48"/>
      <c r="AQ28" s="48"/>
      <c r="AR28" s="48"/>
      <c r="AS28" s="48"/>
    </row>
    <row r="29" spans="1:45" s="95" customFormat="1" ht="15" thickBot="1">
      <c r="A29" s="133"/>
      <c r="B29" s="98" t="s">
        <v>39</v>
      </c>
      <c r="C29" s="254">
        <f t="shared" ref="C29:O29" si="7">SUM(C6:C28)</f>
        <v>240868139.19582939</v>
      </c>
      <c r="D29" s="255">
        <f t="shared" si="7"/>
        <v>77853061.825326651</v>
      </c>
      <c r="E29" s="256">
        <f t="shared" si="7"/>
        <v>122663054.88164306</v>
      </c>
      <c r="F29" s="386">
        <f t="shared" si="7"/>
        <v>40352022.488859698</v>
      </c>
      <c r="G29" s="255">
        <f t="shared" si="7"/>
        <v>0</v>
      </c>
      <c r="H29" s="256">
        <f t="shared" si="7"/>
        <v>0</v>
      </c>
      <c r="I29" s="256">
        <f t="shared" si="7"/>
        <v>0</v>
      </c>
      <c r="J29" s="256">
        <f t="shared" si="7"/>
        <v>0</v>
      </c>
      <c r="K29" s="256">
        <f t="shared" si="7"/>
        <v>0</v>
      </c>
      <c r="L29" s="256">
        <f t="shared" si="7"/>
        <v>0</v>
      </c>
      <c r="M29" s="256">
        <f t="shared" si="7"/>
        <v>0</v>
      </c>
      <c r="N29" s="256">
        <f t="shared" si="7"/>
        <v>0</v>
      </c>
      <c r="O29" s="257">
        <f t="shared" si="7"/>
        <v>0</v>
      </c>
      <c r="AP29" s="48"/>
      <c r="AQ29" s="48"/>
      <c r="AR29" s="48"/>
      <c r="AS29" s="48"/>
    </row>
    <row r="30" spans="1:45" s="133" customFormat="1">
      <c r="B30" s="193" t="s">
        <v>607</v>
      </c>
      <c r="C30" s="230"/>
      <c r="D30" s="250"/>
      <c r="E30" s="241"/>
      <c r="F30" s="387"/>
      <c r="G30" s="250"/>
      <c r="H30" s="241"/>
      <c r="I30" s="241"/>
      <c r="J30" s="241"/>
      <c r="K30" s="241"/>
      <c r="L30" s="241"/>
      <c r="M30" s="387"/>
      <c r="N30" s="250"/>
      <c r="O30" s="505"/>
      <c r="AO30" s="47"/>
      <c r="AP30" s="47"/>
      <c r="AQ30" s="47"/>
      <c r="AR30" s="47"/>
    </row>
    <row r="31" spans="1:45" s="133" customFormat="1">
      <c r="B31" s="194" t="s">
        <v>92</v>
      </c>
      <c r="C31" s="231" t="s">
        <v>205</v>
      </c>
      <c r="D31" s="251">
        <v>0</v>
      </c>
      <c r="E31" s="243">
        <v>0</v>
      </c>
      <c r="F31" s="388">
        <v>0</v>
      </c>
      <c r="G31" s="251">
        <f>'Site 1 - Financial'!F15</f>
        <v>1441572</v>
      </c>
      <c r="H31" s="243">
        <f>G31*(1+Assumptions!$F$14)</f>
        <v>1484819.1600000001</v>
      </c>
      <c r="I31" s="243" t="s">
        <v>205</v>
      </c>
      <c r="J31" s="243" t="s">
        <v>205</v>
      </c>
      <c r="K31" s="799" t="s">
        <v>205</v>
      </c>
      <c r="L31" s="243" t="s">
        <v>205</v>
      </c>
      <c r="M31" s="388" t="s">
        <v>205</v>
      </c>
      <c r="N31" s="251" t="s">
        <v>205</v>
      </c>
      <c r="O31" s="244" t="s">
        <v>205</v>
      </c>
      <c r="AO31" s="47"/>
      <c r="AP31" s="47"/>
      <c r="AQ31" s="47"/>
      <c r="AR31" s="47"/>
    </row>
    <row r="32" spans="1:45" s="133" customFormat="1">
      <c r="B32" s="194" t="s">
        <v>539</v>
      </c>
      <c r="C32" s="231" t="s">
        <v>205</v>
      </c>
      <c r="D32" s="251">
        <v>0</v>
      </c>
      <c r="E32" s="243">
        <v>0</v>
      </c>
      <c r="F32" s="388">
        <v>0</v>
      </c>
      <c r="G32" s="251">
        <v>0</v>
      </c>
      <c r="H32" s="243">
        <v>0</v>
      </c>
      <c r="I32" s="243" t="s">
        <v>205</v>
      </c>
      <c r="J32" s="243" t="s">
        <v>205</v>
      </c>
      <c r="K32" s="243" t="s">
        <v>205</v>
      </c>
      <c r="L32" s="243" t="s">
        <v>205</v>
      </c>
      <c r="M32" s="388" t="s">
        <v>205</v>
      </c>
      <c r="N32" s="251" t="s">
        <v>205</v>
      </c>
      <c r="O32" s="244" t="s">
        <v>205</v>
      </c>
      <c r="AO32" s="47"/>
      <c r="AP32" s="47"/>
      <c r="AQ32" s="47"/>
      <c r="AR32" s="47"/>
    </row>
    <row r="33" spans="2:45" s="133" customFormat="1">
      <c r="B33" s="205" t="s">
        <v>313</v>
      </c>
      <c r="C33" s="231" t="s">
        <v>205</v>
      </c>
      <c r="D33" s="251">
        <v>0</v>
      </c>
      <c r="E33" s="243">
        <v>0</v>
      </c>
      <c r="F33" s="388">
        <v>0</v>
      </c>
      <c r="G33" s="251">
        <f>(Assumptions!D35+Assumptions!D37)*'Site 1 - Financial'!D15*(1+Assumptions!F14)^G2</f>
        <v>292987.426875</v>
      </c>
      <c r="H33" s="243">
        <f>G33*(1+Assumptions!$F$14)</f>
        <v>301777.04968125001</v>
      </c>
      <c r="I33" s="243" t="s">
        <v>205</v>
      </c>
      <c r="J33" s="243" t="s">
        <v>205</v>
      </c>
      <c r="K33" s="243" t="s">
        <v>205</v>
      </c>
      <c r="L33" s="243" t="s">
        <v>205</v>
      </c>
      <c r="M33" s="388" t="s">
        <v>205</v>
      </c>
      <c r="N33" s="251" t="s">
        <v>205</v>
      </c>
      <c r="O33" s="244" t="s">
        <v>205</v>
      </c>
      <c r="AO33" s="47"/>
      <c r="AP33" s="47"/>
      <c r="AQ33" s="47"/>
      <c r="AR33" s="47"/>
    </row>
    <row r="34" spans="2:45" s="133" customFormat="1">
      <c r="B34" s="239" t="s">
        <v>94</v>
      </c>
      <c r="C34" s="240" t="s">
        <v>205</v>
      </c>
      <c r="D34" s="115">
        <f>SUM(D31:D33)</f>
        <v>0</v>
      </c>
      <c r="E34" s="107">
        <f t="shared" ref="E34:G34" si="8">SUM(E31:E33)</f>
        <v>0</v>
      </c>
      <c r="F34" s="389">
        <f t="shared" si="8"/>
        <v>0</v>
      </c>
      <c r="G34" s="115">
        <f t="shared" si="8"/>
        <v>1734559.4268749999</v>
      </c>
      <c r="H34" s="107">
        <f>SUM(H31:H33)</f>
        <v>1786596.2096812502</v>
      </c>
      <c r="I34" s="107" t="s">
        <v>205</v>
      </c>
      <c r="J34" s="107" t="s">
        <v>205</v>
      </c>
      <c r="K34" s="107" t="s">
        <v>205</v>
      </c>
      <c r="L34" s="107" t="s">
        <v>205</v>
      </c>
      <c r="M34" s="389" t="s">
        <v>205</v>
      </c>
      <c r="N34" s="115" t="s">
        <v>205</v>
      </c>
      <c r="O34" s="506" t="s">
        <v>205</v>
      </c>
      <c r="AO34" s="47"/>
      <c r="AP34" s="47"/>
      <c r="AQ34" s="47"/>
      <c r="AR34" s="47"/>
    </row>
    <row r="35" spans="2:45" s="133" customFormat="1">
      <c r="B35" s="205" t="s">
        <v>543</v>
      </c>
      <c r="C35" s="231" t="s">
        <v>205</v>
      </c>
      <c r="D35" s="251">
        <v>0</v>
      </c>
      <c r="E35" s="243">
        <f>-(Assumptions!$D$26+Assumptions!$D$27)*'Site 1 - Financial'!$D$15</f>
        <v>-113437.5</v>
      </c>
      <c r="F35" s="388">
        <f>E35*(1+Assumptions!$F$14)</f>
        <v>-116840.625</v>
      </c>
      <c r="G35" s="251">
        <f>-(Assumptions!$D$38)*('Site 1 - Financial'!$D$15)*(1+Assumptions!F14)^$G$2</f>
        <v>-450749.88750000001</v>
      </c>
      <c r="H35" s="243">
        <f>G35*(1+Assumptions!$F$14)</f>
        <v>-464272.38412500004</v>
      </c>
      <c r="I35" s="243" t="s">
        <v>205</v>
      </c>
      <c r="J35" s="243" t="s">
        <v>205</v>
      </c>
      <c r="K35" s="243" t="s">
        <v>205</v>
      </c>
      <c r="L35" s="243" t="s">
        <v>205</v>
      </c>
      <c r="M35" s="388" t="s">
        <v>205</v>
      </c>
      <c r="N35" s="251" t="s">
        <v>205</v>
      </c>
      <c r="O35" s="332" t="s">
        <v>205</v>
      </c>
      <c r="AO35" s="47"/>
      <c r="AP35" s="47"/>
      <c r="AQ35" s="47"/>
      <c r="AR35" s="47"/>
    </row>
    <row r="36" spans="2:45" s="133" customFormat="1">
      <c r="B36" s="205" t="s">
        <v>321</v>
      </c>
      <c r="C36" s="231" t="s">
        <v>205</v>
      </c>
      <c r="D36" s="251">
        <f t="shared" ref="D36:H36" si="9">-5%*D34</f>
        <v>0</v>
      </c>
      <c r="E36" s="243">
        <f t="shared" si="9"/>
        <v>0</v>
      </c>
      <c r="F36" s="388">
        <f t="shared" si="9"/>
        <v>0</v>
      </c>
      <c r="G36" s="251">
        <f t="shared" si="9"/>
        <v>-86727.971343750003</v>
      </c>
      <c r="H36" s="243">
        <f t="shared" si="9"/>
        <v>-89329.810484062516</v>
      </c>
      <c r="I36" s="243" t="s">
        <v>205</v>
      </c>
      <c r="J36" s="243" t="s">
        <v>205</v>
      </c>
      <c r="K36" s="243" t="s">
        <v>205</v>
      </c>
      <c r="L36" s="243" t="s">
        <v>205</v>
      </c>
      <c r="M36" s="388" t="s">
        <v>205</v>
      </c>
      <c r="N36" s="251" t="s">
        <v>205</v>
      </c>
      <c r="O36" s="332" t="s">
        <v>205</v>
      </c>
      <c r="AO36" s="47"/>
      <c r="AP36" s="47"/>
      <c r="AQ36" s="47"/>
      <c r="AR36" s="47"/>
    </row>
    <row r="37" spans="2:45" s="133" customFormat="1">
      <c r="B37" s="239" t="s">
        <v>95</v>
      </c>
      <c r="C37" s="240" t="s">
        <v>205</v>
      </c>
      <c r="D37" s="115">
        <f t="shared" ref="D37:E37" si="10">SUM(D34:D36)</f>
        <v>0</v>
      </c>
      <c r="E37" s="107">
        <f t="shared" si="10"/>
        <v>-113437.5</v>
      </c>
      <c r="F37" s="389">
        <f t="shared" ref="F37:H37" si="11">SUM(F34:F36)</f>
        <v>-116840.625</v>
      </c>
      <c r="G37" s="115">
        <f t="shared" si="11"/>
        <v>1197081.56803125</v>
      </c>
      <c r="H37" s="107">
        <f t="shared" si="11"/>
        <v>1232994.0150721876</v>
      </c>
      <c r="I37" s="107" t="s">
        <v>205</v>
      </c>
      <c r="J37" s="107" t="s">
        <v>205</v>
      </c>
      <c r="K37" s="107" t="s">
        <v>205</v>
      </c>
      <c r="L37" s="107" t="s">
        <v>205</v>
      </c>
      <c r="M37" s="389" t="s">
        <v>205</v>
      </c>
      <c r="N37" s="115" t="s">
        <v>205</v>
      </c>
      <c r="O37" s="506" t="s">
        <v>205</v>
      </c>
      <c r="AO37" s="47"/>
      <c r="AP37" s="47"/>
      <c r="AQ37" s="47"/>
      <c r="AR37" s="47"/>
    </row>
    <row r="38" spans="2:45" s="133" customFormat="1" ht="15" thickBot="1">
      <c r="B38" s="223" t="s">
        <v>328</v>
      </c>
      <c r="C38" s="232" t="s">
        <v>205</v>
      </c>
      <c r="D38" s="252">
        <v>0</v>
      </c>
      <c r="E38" s="245">
        <v>0</v>
      </c>
      <c r="F38" s="390">
        <v>0</v>
      </c>
      <c r="G38" s="252">
        <f>(H37/Assumptions!$I$6)*0.98</f>
        <v>25438613.363594607</v>
      </c>
      <c r="H38" s="245">
        <v>0</v>
      </c>
      <c r="I38" s="245" t="s">
        <v>205</v>
      </c>
      <c r="J38" s="245" t="s">
        <v>205</v>
      </c>
      <c r="K38" s="245" t="s">
        <v>205</v>
      </c>
      <c r="L38" s="245" t="s">
        <v>205</v>
      </c>
      <c r="M38" s="390" t="s">
        <v>205</v>
      </c>
      <c r="N38" s="252" t="s">
        <v>205</v>
      </c>
      <c r="O38" s="507" t="s">
        <v>205</v>
      </c>
      <c r="AO38" s="47"/>
      <c r="AP38" s="47"/>
      <c r="AQ38" s="47"/>
      <c r="AR38" s="47"/>
    </row>
    <row r="39" spans="2:45" s="133" customFormat="1">
      <c r="B39" s="193" t="s">
        <v>338</v>
      </c>
      <c r="C39" s="230"/>
      <c r="D39" s="250"/>
      <c r="E39" s="241"/>
      <c r="F39" s="242"/>
      <c r="G39" s="404"/>
      <c r="H39" s="241"/>
      <c r="I39" s="241"/>
      <c r="J39" s="241"/>
      <c r="K39" s="241"/>
      <c r="L39" s="241"/>
      <c r="M39" s="241"/>
      <c r="N39" s="241"/>
      <c r="O39" s="242"/>
      <c r="AP39" s="47"/>
      <c r="AQ39" s="47"/>
      <c r="AR39" s="47"/>
      <c r="AS39" s="47"/>
    </row>
    <row r="40" spans="2:45" s="133" customFormat="1">
      <c r="B40" s="194" t="s">
        <v>92</v>
      </c>
      <c r="C40" s="231" t="s">
        <v>205</v>
      </c>
      <c r="D40" s="251">
        <v>0</v>
      </c>
      <c r="E40" s="243">
        <v>0</v>
      </c>
      <c r="F40" s="244">
        <v>0</v>
      </c>
      <c r="G40" s="405">
        <f>'Site 1 - Financial'!D17*'Site 1 - Financial'!E17</f>
        <v>3548370</v>
      </c>
      <c r="H40" s="243">
        <f>G40*(1+Assumptions!$F$14)</f>
        <v>3654821.1</v>
      </c>
      <c r="I40" s="243" t="s">
        <v>205</v>
      </c>
      <c r="J40" s="243" t="s">
        <v>205</v>
      </c>
      <c r="K40" s="243" t="s">
        <v>205</v>
      </c>
      <c r="L40" s="243" t="s">
        <v>205</v>
      </c>
      <c r="M40" s="243" t="s">
        <v>205</v>
      </c>
      <c r="N40" s="243" t="s">
        <v>205</v>
      </c>
      <c r="O40" s="244" t="s">
        <v>205</v>
      </c>
      <c r="AP40" s="47"/>
      <c r="AQ40" s="47"/>
      <c r="AR40" s="47"/>
      <c r="AS40" s="47"/>
    </row>
    <row r="41" spans="2:45" s="133" customFormat="1">
      <c r="B41" s="194" t="s">
        <v>382</v>
      </c>
      <c r="C41" s="231" t="s">
        <v>205</v>
      </c>
      <c r="D41" s="251">
        <v>0</v>
      </c>
      <c r="E41" s="243">
        <v>0</v>
      </c>
      <c r="F41" s="244">
        <v>0</v>
      </c>
      <c r="G41" s="405">
        <v>0</v>
      </c>
      <c r="H41" s="243">
        <v>0</v>
      </c>
      <c r="I41" s="243" t="s">
        <v>205</v>
      </c>
      <c r="J41" s="243" t="s">
        <v>205</v>
      </c>
      <c r="K41" s="243" t="s">
        <v>205</v>
      </c>
      <c r="L41" s="243" t="s">
        <v>205</v>
      </c>
      <c r="M41" s="243" t="s">
        <v>205</v>
      </c>
      <c r="N41" s="243" t="s">
        <v>205</v>
      </c>
      <c r="O41" s="244" t="s">
        <v>205</v>
      </c>
      <c r="AP41" s="47"/>
      <c r="AQ41" s="47"/>
      <c r="AR41" s="47"/>
      <c r="AS41" s="47"/>
    </row>
    <row r="42" spans="2:45" s="133" customFormat="1">
      <c r="B42" s="205" t="s">
        <v>313</v>
      </c>
      <c r="C42" s="231" t="s">
        <v>205</v>
      </c>
      <c r="D42" s="251">
        <v>0</v>
      </c>
      <c r="E42" s="243">
        <v>0</v>
      </c>
      <c r="F42" s="244">
        <v>0</v>
      </c>
      <c r="G42" s="405">
        <f>(Assumptions!D30*'Site 1 - Financial'!D17)*(1+Assumptions!$F$14)^G2</f>
        <v>542835.95869860006</v>
      </c>
      <c r="H42" s="243">
        <f>G42*(1+Assumptions!$F$14)</f>
        <v>559121.03745955811</v>
      </c>
      <c r="I42" s="243" t="s">
        <v>205</v>
      </c>
      <c r="J42" s="243" t="s">
        <v>205</v>
      </c>
      <c r="K42" s="243" t="s">
        <v>205</v>
      </c>
      <c r="L42" s="243" t="s">
        <v>205</v>
      </c>
      <c r="M42" s="243" t="s">
        <v>205</v>
      </c>
      <c r="N42" s="243" t="s">
        <v>205</v>
      </c>
      <c r="O42" s="244" t="s">
        <v>205</v>
      </c>
      <c r="AP42" s="47"/>
      <c r="AQ42" s="47"/>
      <c r="AR42" s="47"/>
      <c r="AS42" s="47"/>
    </row>
    <row r="43" spans="2:45" s="133" customFormat="1">
      <c r="B43" s="239" t="s">
        <v>94</v>
      </c>
      <c r="C43" s="240" t="s">
        <v>205</v>
      </c>
      <c r="D43" s="115">
        <f t="shared" ref="D43:H43" si="12">SUM(D40:D42)</f>
        <v>0</v>
      </c>
      <c r="E43" s="107">
        <f t="shared" si="12"/>
        <v>0</v>
      </c>
      <c r="F43" s="116">
        <f t="shared" si="12"/>
        <v>0</v>
      </c>
      <c r="G43" s="108">
        <f t="shared" si="12"/>
        <v>4091205.9586986001</v>
      </c>
      <c r="H43" s="107">
        <f t="shared" si="12"/>
        <v>4213942.1374595584</v>
      </c>
      <c r="I43" s="107" t="s">
        <v>205</v>
      </c>
      <c r="J43" s="107" t="s">
        <v>205</v>
      </c>
      <c r="K43" s="107" t="s">
        <v>205</v>
      </c>
      <c r="L43" s="107" t="s">
        <v>205</v>
      </c>
      <c r="M43" s="107" t="s">
        <v>205</v>
      </c>
      <c r="N43" s="107" t="s">
        <v>205</v>
      </c>
      <c r="O43" s="116" t="s">
        <v>205</v>
      </c>
      <c r="AP43" s="47"/>
      <c r="AQ43" s="47"/>
      <c r="AR43" s="47"/>
      <c r="AS43" s="47"/>
    </row>
    <row r="44" spans="2:45" s="133" customFormat="1">
      <c r="B44" s="205" t="s">
        <v>543</v>
      </c>
      <c r="C44" s="231" t="s">
        <v>205</v>
      </c>
      <c r="D44" s="251">
        <v>0</v>
      </c>
      <c r="E44" s="243">
        <f>-(Assumptions!D26+Assumptions!D27)*'Site 1 - Financial'!D17</f>
        <v>-278800.5</v>
      </c>
      <c r="F44" s="244">
        <f>E44*(1+Assumptions!$F$14)</f>
        <v>-287164.51500000001</v>
      </c>
      <c r="G44" s="405">
        <f>-(Assumptions!D30*'Site 1 - Financial'!D17)*(1+Assumptions!$F$14)^G2</f>
        <v>-542835.95869860006</v>
      </c>
      <c r="H44" s="243">
        <f>G44*(1+Assumptions!$F$14)</f>
        <v>-559121.03745955811</v>
      </c>
      <c r="I44" s="243" t="s">
        <v>205</v>
      </c>
      <c r="J44" s="243" t="s">
        <v>205</v>
      </c>
      <c r="K44" s="243" t="s">
        <v>205</v>
      </c>
      <c r="L44" s="243" t="s">
        <v>205</v>
      </c>
      <c r="M44" s="243" t="s">
        <v>205</v>
      </c>
      <c r="N44" s="243" t="s">
        <v>205</v>
      </c>
      <c r="O44" s="244" t="s">
        <v>205</v>
      </c>
      <c r="AP44" s="47"/>
      <c r="AQ44" s="47"/>
      <c r="AR44" s="47"/>
      <c r="AS44" s="47"/>
    </row>
    <row r="45" spans="2:45" s="133" customFormat="1">
      <c r="B45" s="205" t="s">
        <v>321</v>
      </c>
      <c r="C45" s="231" t="s">
        <v>205</v>
      </c>
      <c r="D45" s="251">
        <f t="shared" ref="D45:H45" si="13">-5%*D43</f>
        <v>0</v>
      </c>
      <c r="E45" s="243">
        <f t="shared" si="13"/>
        <v>0</v>
      </c>
      <c r="F45" s="244">
        <f t="shared" si="13"/>
        <v>0</v>
      </c>
      <c r="G45" s="405">
        <f t="shared" si="13"/>
        <v>-204560.29793493001</v>
      </c>
      <c r="H45" s="243">
        <f t="shared" si="13"/>
        <v>-210697.10687297792</v>
      </c>
      <c r="I45" s="243" t="s">
        <v>205</v>
      </c>
      <c r="J45" s="243" t="s">
        <v>205</v>
      </c>
      <c r="K45" s="243" t="s">
        <v>205</v>
      </c>
      <c r="L45" s="243" t="s">
        <v>205</v>
      </c>
      <c r="M45" s="243" t="s">
        <v>205</v>
      </c>
      <c r="N45" s="243" t="s">
        <v>205</v>
      </c>
      <c r="O45" s="244" t="s">
        <v>205</v>
      </c>
      <c r="AP45" s="47"/>
      <c r="AQ45" s="47"/>
      <c r="AR45" s="47"/>
      <c r="AS45" s="47"/>
    </row>
    <row r="46" spans="2:45" s="133" customFormat="1">
      <c r="B46" s="239" t="s">
        <v>95</v>
      </c>
      <c r="C46" s="240" t="s">
        <v>205</v>
      </c>
      <c r="D46" s="115">
        <f t="shared" ref="D46:H46" si="14">SUM(D43:D45)</f>
        <v>0</v>
      </c>
      <c r="E46" s="107">
        <f t="shared" si="14"/>
        <v>-278800.5</v>
      </c>
      <c r="F46" s="116">
        <f t="shared" si="14"/>
        <v>-287164.51500000001</v>
      </c>
      <c r="G46" s="108">
        <f t="shared" si="14"/>
        <v>3343809.7020650702</v>
      </c>
      <c r="H46" s="107">
        <f t="shared" si="14"/>
        <v>3444123.9931270229</v>
      </c>
      <c r="I46" s="107" t="s">
        <v>205</v>
      </c>
      <c r="J46" s="107" t="s">
        <v>205</v>
      </c>
      <c r="K46" s="107" t="s">
        <v>205</v>
      </c>
      <c r="L46" s="107" t="s">
        <v>205</v>
      </c>
      <c r="M46" s="107" t="s">
        <v>205</v>
      </c>
      <c r="N46" s="107" t="s">
        <v>205</v>
      </c>
      <c r="O46" s="116" t="s">
        <v>205</v>
      </c>
      <c r="AP46" s="47"/>
      <c r="AQ46" s="47"/>
      <c r="AR46" s="47"/>
      <c r="AS46" s="47"/>
    </row>
    <row r="47" spans="2:45" s="133" customFormat="1" ht="15" thickBot="1">
      <c r="B47" s="223" t="s">
        <v>328</v>
      </c>
      <c r="C47" s="232" t="s">
        <v>205</v>
      </c>
      <c r="D47" s="252">
        <v>0</v>
      </c>
      <c r="E47" s="245">
        <v>0</v>
      </c>
      <c r="F47" s="246">
        <v>0</v>
      </c>
      <c r="G47" s="406">
        <f>(H46/Assumptions!I9)*0.98</f>
        <v>79417447.370928988</v>
      </c>
      <c r="H47" s="245">
        <v>0</v>
      </c>
      <c r="I47" s="245" t="s">
        <v>205</v>
      </c>
      <c r="J47" s="245" t="s">
        <v>205</v>
      </c>
      <c r="K47" s="245" t="s">
        <v>205</v>
      </c>
      <c r="L47" s="245" t="s">
        <v>205</v>
      </c>
      <c r="M47" s="245" t="s">
        <v>205</v>
      </c>
      <c r="N47" s="245" t="s">
        <v>205</v>
      </c>
      <c r="O47" s="246" t="s">
        <v>205</v>
      </c>
      <c r="AP47" s="47"/>
      <c r="AQ47" s="47"/>
      <c r="AR47" s="47"/>
      <c r="AS47" s="47"/>
    </row>
    <row r="48" spans="2:45" s="133" customFormat="1">
      <c r="B48" s="193" t="s">
        <v>406</v>
      </c>
      <c r="C48" s="230"/>
      <c r="D48" s="250"/>
      <c r="E48" s="241"/>
      <c r="F48" s="242"/>
      <c r="G48" s="404"/>
      <c r="H48" s="241"/>
      <c r="I48" s="241"/>
      <c r="J48" s="241"/>
      <c r="K48" s="241"/>
      <c r="L48" s="241"/>
      <c r="M48" s="241"/>
      <c r="N48" s="241"/>
      <c r="O48" s="242"/>
      <c r="AP48" s="47"/>
      <c r="AQ48" s="47"/>
      <c r="AR48" s="47"/>
      <c r="AS48" s="47"/>
    </row>
    <row r="49" spans="2:45" s="133" customFormat="1">
      <c r="B49" s="194" t="s">
        <v>92</v>
      </c>
      <c r="C49" s="231" t="s">
        <v>205</v>
      </c>
      <c r="D49" s="251">
        <v>0</v>
      </c>
      <c r="E49" s="243">
        <v>0</v>
      </c>
      <c r="F49" s="244">
        <v>0</v>
      </c>
      <c r="G49" s="405">
        <f>'Site 1 - Financial'!D18*'Site 1 - Financial'!E18</f>
        <v>3743235</v>
      </c>
      <c r="H49" s="243">
        <f>G49*(1+Assumptions!$F$14)</f>
        <v>3855532.0500000003</v>
      </c>
      <c r="I49" s="243" t="s">
        <v>205</v>
      </c>
      <c r="J49" s="243" t="s">
        <v>205</v>
      </c>
      <c r="K49" s="243" t="s">
        <v>205</v>
      </c>
      <c r="L49" s="243" t="s">
        <v>205</v>
      </c>
      <c r="M49" s="243" t="s">
        <v>205</v>
      </c>
      <c r="N49" s="243" t="s">
        <v>205</v>
      </c>
      <c r="O49" s="244" t="s">
        <v>205</v>
      </c>
      <c r="AP49" s="47"/>
      <c r="AQ49" s="47"/>
      <c r="AR49" s="47"/>
      <c r="AS49" s="47"/>
    </row>
    <row r="50" spans="2:45" s="133" customFormat="1">
      <c r="B50" s="194" t="s">
        <v>382</v>
      </c>
      <c r="C50" s="231" t="s">
        <v>205</v>
      </c>
      <c r="D50" s="251">
        <v>0</v>
      </c>
      <c r="E50" s="243">
        <v>0</v>
      </c>
      <c r="F50" s="244">
        <v>0</v>
      </c>
      <c r="G50" s="405">
        <v>0</v>
      </c>
      <c r="H50" s="243">
        <v>0</v>
      </c>
      <c r="I50" s="243" t="s">
        <v>205</v>
      </c>
      <c r="J50" s="243" t="s">
        <v>205</v>
      </c>
      <c r="K50" s="243" t="s">
        <v>205</v>
      </c>
      <c r="L50" s="243" t="s">
        <v>205</v>
      </c>
      <c r="M50" s="243" t="s">
        <v>205</v>
      </c>
      <c r="N50" s="243" t="s">
        <v>205</v>
      </c>
      <c r="O50" s="244" t="s">
        <v>205</v>
      </c>
      <c r="AP50" s="47"/>
      <c r="AQ50" s="47"/>
      <c r="AR50" s="47"/>
      <c r="AS50" s="47"/>
    </row>
    <row r="51" spans="2:45" s="133" customFormat="1">
      <c r="B51" s="194" t="s">
        <v>313</v>
      </c>
      <c r="C51" s="231" t="s">
        <v>205</v>
      </c>
      <c r="D51" s="251">
        <v>0</v>
      </c>
      <c r="E51" s="243">
        <v>0</v>
      </c>
      <c r="F51" s="244">
        <v>0</v>
      </c>
      <c r="G51" s="405">
        <f>(Assumptions!D30*'Site 1 - Financial'!D18)*(1+Assumptions!F14)^G2</f>
        <v>445391.91920090001</v>
      </c>
      <c r="H51" s="243">
        <f>G51*(1+Assumptions!$F$14)</f>
        <v>458753.67677692702</v>
      </c>
      <c r="I51" s="243" t="s">
        <v>205</v>
      </c>
      <c r="J51" s="243" t="s">
        <v>205</v>
      </c>
      <c r="K51" s="243" t="s">
        <v>205</v>
      </c>
      <c r="L51" s="243" t="s">
        <v>205</v>
      </c>
      <c r="M51" s="243" t="s">
        <v>205</v>
      </c>
      <c r="N51" s="243" t="s">
        <v>205</v>
      </c>
      <c r="O51" s="244" t="s">
        <v>205</v>
      </c>
      <c r="AP51" s="47"/>
      <c r="AQ51" s="47"/>
      <c r="AR51" s="47"/>
      <c r="AS51" s="47"/>
    </row>
    <row r="52" spans="2:45" s="133" customFormat="1">
      <c r="B52" s="239" t="s">
        <v>94</v>
      </c>
      <c r="C52" s="240" t="s">
        <v>205</v>
      </c>
      <c r="D52" s="115">
        <f t="shared" ref="D52:H52" si="15">SUM(D49:D51)</f>
        <v>0</v>
      </c>
      <c r="E52" s="107">
        <f t="shared" si="15"/>
        <v>0</v>
      </c>
      <c r="F52" s="116">
        <f t="shared" si="15"/>
        <v>0</v>
      </c>
      <c r="G52" s="108">
        <f t="shared" si="15"/>
        <v>4188626.9192009</v>
      </c>
      <c r="H52" s="107">
        <f t="shared" si="15"/>
        <v>4314285.7267769277</v>
      </c>
      <c r="I52" s="107" t="s">
        <v>205</v>
      </c>
      <c r="J52" s="107" t="s">
        <v>205</v>
      </c>
      <c r="K52" s="107" t="s">
        <v>205</v>
      </c>
      <c r="L52" s="107" t="s">
        <v>205</v>
      </c>
      <c r="M52" s="107" t="s">
        <v>205</v>
      </c>
      <c r="N52" s="107" t="s">
        <v>205</v>
      </c>
      <c r="O52" s="116" t="s">
        <v>205</v>
      </c>
      <c r="AP52" s="47"/>
      <c r="AQ52" s="47"/>
      <c r="AR52" s="47"/>
      <c r="AS52" s="47"/>
    </row>
    <row r="53" spans="2:45" s="133" customFormat="1">
      <c r="B53" s="205" t="s">
        <v>543</v>
      </c>
      <c r="C53" s="231" t="s">
        <v>205</v>
      </c>
      <c r="D53" s="251">
        <v>0</v>
      </c>
      <c r="E53" s="243">
        <f>-(Assumptions!D26+Assumptions!D27)*'Site 1 - Financial'!D18</f>
        <v>-228753.25</v>
      </c>
      <c r="F53" s="244">
        <f>E53*(1+Assumptions!$F$14)</f>
        <v>-235615.8475</v>
      </c>
      <c r="G53" s="405">
        <f>-(Assumptions!D30*'Site 1 - Financial'!D18)*(1+Assumptions!$F$14)^G2</f>
        <v>-445391.91920090001</v>
      </c>
      <c r="H53" s="243">
        <f>G53*(1+Assumptions!$F$14)</f>
        <v>-458753.67677692702</v>
      </c>
      <c r="I53" s="243" t="s">
        <v>205</v>
      </c>
      <c r="J53" s="243" t="s">
        <v>205</v>
      </c>
      <c r="K53" s="243" t="s">
        <v>205</v>
      </c>
      <c r="L53" s="243" t="s">
        <v>205</v>
      </c>
      <c r="M53" s="243" t="s">
        <v>205</v>
      </c>
      <c r="N53" s="243" t="s">
        <v>205</v>
      </c>
      <c r="O53" s="244" t="s">
        <v>205</v>
      </c>
      <c r="AP53" s="47"/>
      <c r="AQ53" s="47"/>
      <c r="AR53" s="47"/>
      <c r="AS53" s="47"/>
    </row>
    <row r="54" spans="2:45" s="133" customFormat="1">
      <c r="B54" s="194" t="s">
        <v>321</v>
      </c>
      <c r="C54" s="231" t="s">
        <v>205</v>
      </c>
      <c r="D54" s="251">
        <f t="shared" ref="D54:H54" si="16">-5%*D52</f>
        <v>0</v>
      </c>
      <c r="E54" s="243">
        <f t="shared" si="16"/>
        <v>0</v>
      </c>
      <c r="F54" s="244">
        <f t="shared" si="16"/>
        <v>0</v>
      </c>
      <c r="G54" s="405">
        <f t="shared" si="16"/>
        <v>-209431.345960045</v>
      </c>
      <c r="H54" s="243">
        <f t="shared" si="16"/>
        <v>-215714.2863388464</v>
      </c>
      <c r="I54" s="243" t="s">
        <v>205</v>
      </c>
      <c r="J54" s="243" t="s">
        <v>205</v>
      </c>
      <c r="K54" s="243" t="s">
        <v>205</v>
      </c>
      <c r="L54" s="243" t="s">
        <v>205</v>
      </c>
      <c r="M54" s="243" t="s">
        <v>205</v>
      </c>
      <c r="N54" s="243" t="s">
        <v>205</v>
      </c>
      <c r="O54" s="244" t="s">
        <v>205</v>
      </c>
      <c r="AP54" s="47"/>
      <c r="AQ54" s="47"/>
      <c r="AR54" s="47"/>
      <c r="AS54" s="47"/>
    </row>
    <row r="55" spans="2:45" s="133" customFormat="1">
      <c r="B55" s="239" t="s">
        <v>95</v>
      </c>
      <c r="C55" s="240" t="s">
        <v>205</v>
      </c>
      <c r="D55" s="115">
        <f t="shared" ref="D55:H55" si="17">SUM(D52:D54)</f>
        <v>0</v>
      </c>
      <c r="E55" s="107">
        <f t="shared" si="17"/>
        <v>-228753.25</v>
      </c>
      <c r="F55" s="116">
        <f t="shared" si="17"/>
        <v>-235615.8475</v>
      </c>
      <c r="G55" s="108">
        <f t="shared" si="17"/>
        <v>3533803.6540399548</v>
      </c>
      <c r="H55" s="107">
        <f t="shared" si="17"/>
        <v>3639817.7636611545</v>
      </c>
      <c r="I55" s="107" t="s">
        <v>205</v>
      </c>
      <c r="J55" s="107" t="s">
        <v>205</v>
      </c>
      <c r="K55" s="107" t="s">
        <v>205</v>
      </c>
      <c r="L55" s="107" t="s">
        <v>205</v>
      </c>
      <c r="M55" s="107" t="s">
        <v>205</v>
      </c>
      <c r="N55" s="107" t="s">
        <v>205</v>
      </c>
      <c r="O55" s="116" t="s">
        <v>205</v>
      </c>
      <c r="AP55" s="47"/>
      <c r="AQ55" s="47"/>
      <c r="AR55" s="47"/>
      <c r="AS55" s="47"/>
    </row>
    <row r="56" spans="2:45" s="133" customFormat="1" ht="15" thickBot="1">
      <c r="B56" s="197" t="s">
        <v>328</v>
      </c>
      <c r="C56" s="232" t="s">
        <v>205</v>
      </c>
      <c r="D56" s="252">
        <v>0</v>
      </c>
      <c r="E56" s="245">
        <v>0</v>
      </c>
      <c r="F56" s="246">
        <v>0</v>
      </c>
      <c r="G56" s="406">
        <f>H55/Assumptions!I8</f>
        <v>76627742.392866418</v>
      </c>
      <c r="H56" s="245">
        <v>0</v>
      </c>
      <c r="I56" s="245" t="s">
        <v>205</v>
      </c>
      <c r="J56" s="245" t="s">
        <v>205</v>
      </c>
      <c r="K56" s="245" t="s">
        <v>205</v>
      </c>
      <c r="L56" s="245" t="s">
        <v>205</v>
      </c>
      <c r="M56" s="245" t="s">
        <v>205</v>
      </c>
      <c r="N56" s="245" t="s">
        <v>205</v>
      </c>
      <c r="O56" s="246" t="s">
        <v>205</v>
      </c>
      <c r="AP56" s="47"/>
      <c r="AQ56" s="47"/>
      <c r="AR56" s="47"/>
      <c r="AS56" s="47"/>
    </row>
    <row r="57" spans="2:45" s="296" customFormat="1">
      <c r="B57" s="297" t="s">
        <v>339</v>
      </c>
      <c r="C57" s="298"/>
      <c r="D57" s="299"/>
      <c r="E57" s="247"/>
      <c r="F57" s="300"/>
      <c r="G57" s="407"/>
      <c r="H57" s="247"/>
      <c r="I57" s="247"/>
      <c r="J57" s="247"/>
      <c r="K57" s="247"/>
      <c r="L57" s="247"/>
      <c r="M57" s="247"/>
      <c r="N57" s="247"/>
      <c r="O57" s="300"/>
      <c r="AP57" s="301"/>
      <c r="AQ57" s="301"/>
      <c r="AR57" s="301"/>
      <c r="AS57" s="301"/>
    </row>
    <row r="58" spans="2:45" s="133" customFormat="1" ht="15" thickBot="1">
      <c r="B58" s="194" t="s">
        <v>340</v>
      </c>
      <c r="C58" s="233" t="s">
        <v>205</v>
      </c>
      <c r="D58" s="253">
        <v>0</v>
      </c>
      <c r="E58" s="248">
        <v>0</v>
      </c>
      <c r="F58" s="249">
        <v>0</v>
      </c>
      <c r="G58" s="408">
        <f>'Site 1 - Financial'!$F$8*0.98</f>
        <v>221156600</v>
      </c>
      <c r="H58" s="248" t="s">
        <v>205</v>
      </c>
      <c r="I58" s="248" t="s">
        <v>205</v>
      </c>
      <c r="J58" s="248" t="s">
        <v>205</v>
      </c>
      <c r="K58" s="248" t="s">
        <v>205</v>
      </c>
      <c r="L58" s="248" t="s">
        <v>205</v>
      </c>
      <c r="M58" s="248" t="s">
        <v>205</v>
      </c>
      <c r="N58" s="248" t="s">
        <v>205</v>
      </c>
      <c r="O58" s="249" t="s">
        <v>205</v>
      </c>
      <c r="AP58" s="47"/>
      <c r="AQ58" s="47"/>
      <c r="AR58" s="47"/>
      <c r="AS58" s="47"/>
    </row>
    <row r="59" spans="2:45" s="133" customFormat="1" ht="15" thickBot="1">
      <c r="B59" s="254" t="s">
        <v>341</v>
      </c>
      <c r="C59" s="360">
        <f>IRR(D59:G59)</f>
        <v>0.27294837085437251</v>
      </c>
      <c r="D59" s="255">
        <f>-D29</f>
        <v>-77853061.825326651</v>
      </c>
      <c r="E59" s="256">
        <f>-E29</f>
        <v>-122663054.88164306</v>
      </c>
      <c r="F59" s="257">
        <f>-F29</f>
        <v>-40352022.488859698</v>
      </c>
      <c r="G59" s="403">
        <f>SUM(G58,G55:G56,G46:G47,G29,G37:G38)</f>
        <v>410715098.05152625</v>
      </c>
      <c r="H59" s="256">
        <v>0</v>
      </c>
      <c r="I59" s="256">
        <v>0</v>
      </c>
      <c r="J59" s="256">
        <v>0</v>
      </c>
      <c r="K59" s="256">
        <v>0</v>
      </c>
      <c r="L59" s="256">
        <v>0</v>
      </c>
      <c r="M59" s="256">
        <v>0</v>
      </c>
      <c r="N59" s="256">
        <v>0</v>
      </c>
      <c r="O59" s="257">
        <v>0</v>
      </c>
      <c r="AP59" s="47"/>
      <c r="AQ59" s="47"/>
      <c r="AR59" s="47"/>
      <c r="AS59" s="47"/>
    </row>
    <row r="60" spans="2:45" s="133" customFormat="1">
      <c r="B60" s="194" t="s">
        <v>344</v>
      </c>
      <c r="C60" s="258">
        <f>Assumptions!I13</f>
        <v>4.4999999999999998E-2</v>
      </c>
      <c r="D60" s="253">
        <f>-PMT(C60,30,-'Site 1 - Financial'!E23)</f>
        <v>-8872360.0216522478</v>
      </c>
      <c r="E60" s="248">
        <f t="shared" ref="E60:G60" si="18">D60</f>
        <v>-8872360.0216522478</v>
      </c>
      <c r="F60" s="249">
        <f t="shared" si="18"/>
        <v>-8872360.0216522478</v>
      </c>
      <c r="G60" s="408">
        <f t="shared" si="18"/>
        <v>-8872360.0216522478</v>
      </c>
      <c r="H60" s="248" t="s">
        <v>205</v>
      </c>
      <c r="I60" s="248" t="s">
        <v>205</v>
      </c>
      <c r="J60" s="248" t="s">
        <v>205</v>
      </c>
      <c r="K60" s="248" t="s">
        <v>205</v>
      </c>
      <c r="L60" s="248" t="s">
        <v>205</v>
      </c>
      <c r="M60" s="248" t="s">
        <v>205</v>
      </c>
      <c r="N60" s="248" t="s">
        <v>205</v>
      </c>
      <c r="O60" s="221" t="s">
        <v>205</v>
      </c>
      <c r="AP60" s="47"/>
      <c r="AQ60" s="47"/>
      <c r="AR60" s="47"/>
      <c r="AS60" s="47"/>
    </row>
    <row r="61" spans="2:45" s="199" customFormat="1" outlineLevel="1">
      <c r="B61" s="361" t="s">
        <v>399</v>
      </c>
      <c r="C61" s="362"/>
      <c r="D61" s="363">
        <f>$C$60*'Site 1 - Financial'!$E$23</f>
        <v>6503439.7582873935</v>
      </c>
      <c r="E61" s="364">
        <f>D63*$C$60</f>
        <v>6396838.3464359744</v>
      </c>
      <c r="F61" s="410">
        <f>E63*$C$60</f>
        <v>6285439.8710512416</v>
      </c>
      <c r="G61" s="409">
        <f>F63*$C$60</f>
        <v>6169028.4642741969</v>
      </c>
      <c r="H61" s="364" t="s">
        <v>205</v>
      </c>
      <c r="I61" s="364" t="s">
        <v>205</v>
      </c>
      <c r="J61" s="364" t="s">
        <v>205</v>
      </c>
      <c r="K61" s="364" t="s">
        <v>205</v>
      </c>
      <c r="L61" s="364" t="s">
        <v>205</v>
      </c>
      <c r="M61" s="364" t="s">
        <v>205</v>
      </c>
      <c r="N61" s="364" t="s">
        <v>205</v>
      </c>
      <c r="O61" s="365"/>
      <c r="AP61" s="368"/>
      <c r="AQ61" s="368"/>
      <c r="AR61" s="368"/>
      <c r="AS61" s="368"/>
    </row>
    <row r="62" spans="2:45" s="199" customFormat="1" outlineLevel="1">
      <c r="B62" s="361" t="s">
        <v>400</v>
      </c>
      <c r="C62" s="362"/>
      <c r="D62" s="363">
        <f t="shared" ref="D62:G62" si="19">-(D61+D60)</f>
        <v>2368920.2633648543</v>
      </c>
      <c r="E62" s="364">
        <f t="shared" si="19"/>
        <v>2475521.6752162734</v>
      </c>
      <c r="F62" s="410">
        <f t="shared" si="19"/>
        <v>2586920.1506010061</v>
      </c>
      <c r="G62" s="409">
        <f t="shared" si="19"/>
        <v>2703331.5573780509</v>
      </c>
      <c r="H62" s="364" t="s">
        <v>205</v>
      </c>
      <c r="I62" s="364" t="s">
        <v>205</v>
      </c>
      <c r="J62" s="364" t="s">
        <v>205</v>
      </c>
      <c r="K62" s="364" t="s">
        <v>205</v>
      </c>
      <c r="L62" s="364" t="s">
        <v>205</v>
      </c>
      <c r="M62" s="364" t="s">
        <v>205</v>
      </c>
      <c r="N62" s="364" t="s">
        <v>205</v>
      </c>
      <c r="O62" s="365"/>
      <c r="AP62" s="368"/>
      <c r="AQ62" s="368"/>
      <c r="AR62" s="368"/>
      <c r="AS62" s="368"/>
    </row>
    <row r="63" spans="2:45" s="199" customFormat="1" outlineLevel="1">
      <c r="B63" s="361" t="s">
        <v>408</v>
      </c>
      <c r="C63" s="362"/>
      <c r="D63" s="363">
        <f>'Site 1 - Financial'!E23-D62</f>
        <v>142151963.25413278</v>
      </c>
      <c r="E63" s="364">
        <f>D63-E62</f>
        <v>139676441.57891649</v>
      </c>
      <c r="F63" s="410">
        <f t="shared" ref="F63:G63" si="20">E63-F62</f>
        <v>137089521.42831549</v>
      </c>
      <c r="G63" s="409">
        <f t="shared" si="20"/>
        <v>134386189.87093744</v>
      </c>
      <c r="H63" s="364" t="s">
        <v>205</v>
      </c>
      <c r="I63" s="364" t="s">
        <v>205</v>
      </c>
      <c r="J63" s="364" t="s">
        <v>205</v>
      </c>
      <c r="K63" s="364" t="s">
        <v>205</v>
      </c>
      <c r="L63" s="364" t="s">
        <v>205</v>
      </c>
      <c r="M63" s="364" t="s">
        <v>205</v>
      </c>
      <c r="N63" s="364" t="s">
        <v>205</v>
      </c>
      <c r="O63" s="365"/>
      <c r="AP63" s="368"/>
      <c r="AQ63" s="368"/>
      <c r="AR63" s="368"/>
      <c r="AS63" s="368"/>
    </row>
    <row r="64" spans="2:45" s="133" customFormat="1" ht="15" thickBot="1">
      <c r="B64" s="194" t="s">
        <v>345</v>
      </c>
      <c r="C64" s="233"/>
      <c r="D64" s="253">
        <f>D59*0.4</f>
        <v>-31141224.730130661</v>
      </c>
      <c r="E64" s="248">
        <f>E59*0.4</f>
        <v>-49065221.952657223</v>
      </c>
      <c r="F64" s="249">
        <f>F59*0.4</f>
        <v>-16140808.99554388</v>
      </c>
      <c r="G64" s="408">
        <v>0</v>
      </c>
      <c r="H64" s="248" t="s">
        <v>205</v>
      </c>
      <c r="I64" s="248" t="s">
        <v>205</v>
      </c>
      <c r="J64" s="248" t="s">
        <v>205</v>
      </c>
      <c r="K64" s="248" t="s">
        <v>205</v>
      </c>
      <c r="L64" s="248" t="s">
        <v>205</v>
      </c>
      <c r="M64" s="248" t="s">
        <v>205</v>
      </c>
      <c r="N64" s="248" t="s">
        <v>205</v>
      </c>
      <c r="O64" s="221" t="s">
        <v>205</v>
      </c>
      <c r="AP64" s="47"/>
      <c r="AQ64" s="47"/>
      <c r="AR64" s="47"/>
      <c r="AS64" s="47"/>
    </row>
    <row r="65" spans="1:45" s="145" customFormat="1" ht="15" thickBot="1">
      <c r="B65" s="254" t="s">
        <v>342</v>
      </c>
      <c r="C65" s="360">
        <f>IRR(D65:G65)</f>
        <v>0.69169644968421573</v>
      </c>
      <c r="D65" s="255">
        <f>D64+D60</f>
        <v>-40013584.751782909</v>
      </c>
      <c r="E65" s="256">
        <f>E64+E60</f>
        <v>-57937581.974309474</v>
      </c>
      <c r="F65" s="257">
        <f>F64+F60</f>
        <v>-25013169.017196126</v>
      </c>
      <c r="G65" s="403">
        <f>G59+G60</f>
        <v>401842738.02987403</v>
      </c>
      <c r="H65" s="256">
        <v>0</v>
      </c>
      <c r="I65" s="256">
        <v>0</v>
      </c>
      <c r="J65" s="256">
        <v>0</v>
      </c>
      <c r="K65" s="256">
        <v>0</v>
      </c>
      <c r="L65" s="256">
        <v>0</v>
      </c>
      <c r="M65" s="256">
        <v>0</v>
      </c>
      <c r="N65" s="256">
        <v>0</v>
      </c>
      <c r="O65" s="257">
        <v>0</v>
      </c>
      <c r="AP65" s="263"/>
      <c r="AQ65" s="263"/>
      <c r="AR65" s="263"/>
      <c r="AS65" s="263"/>
    </row>
    <row r="66" spans="1:45" s="95" customFormat="1">
      <c r="A66" s="133"/>
      <c r="B66" s="48"/>
      <c r="C66" s="48"/>
      <c r="D66" s="48"/>
      <c r="E66" s="48"/>
      <c r="F66" s="48"/>
      <c r="G66" s="48"/>
      <c r="H66" s="48"/>
      <c r="I66" s="48"/>
      <c r="J66" s="48"/>
      <c r="K66" s="48"/>
      <c r="L66" s="48"/>
      <c r="M66" s="48"/>
      <c r="N66" s="48"/>
      <c r="O66" s="48"/>
      <c r="P66" s="48"/>
      <c r="Q66" s="48"/>
      <c r="R66" s="48"/>
      <c r="S66" s="48"/>
      <c r="T66" s="48"/>
      <c r="U66" s="48"/>
      <c r="V66" s="48"/>
      <c r="W66" s="48"/>
      <c r="X66" s="48"/>
      <c r="Y66" s="48"/>
      <c r="Z66" s="48"/>
      <c r="AA66" s="48"/>
      <c r="AB66" s="48"/>
      <c r="AC66" s="48"/>
      <c r="AD66" s="48"/>
      <c r="AE66" s="48"/>
      <c r="AF66" s="48"/>
      <c r="AG66" s="48"/>
      <c r="AH66" s="48"/>
      <c r="AI66" s="48"/>
      <c r="AJ66" s="48"/>
      <c r="AK66" s="48"/>
      <c r="AL66" s="48"/>
      <c r="AM66" s="48"/>
      <c r="AP66" s="48"/>
      <c r="AQ66" s="48"/>
      <c r="AR66" s="48"/>
      <c r="AS66" s="48"/>
    </row>
    <row r="67" spans="1:45" s="95" customFormat="1">
      <c r="A67" s="133"/>
      <c r="B67" s="48"/>
      <c r="C67" s="179"/>
      <c r="D67" s="48"/>
      <c r="E67" s="48"/>
      <c r="F67" s="48"/>
      <c r="G67" s="48"/>
      <c r="H67" s="48"/>
      <c r="I67" s="48"/>
      <c r="J67" s="309"/>
      <c r="K67" s="48"/>
      <c r="L67" s="48"/>
      <c r="M67" s="48"/>
      <c r="N67" s="48"/>
      <c r="O67" s="48"/>
      <c r="P67" s="48"/>
      <c r="Q67" s="48"/>
      <c r="R67" s="48"/>
      <c r="S67" s="48"/>
      <c r="T67" s="48"/>
      <c r="U67" s="48"/>
      <c r="V67" s="48"/>
      <c r="W67" s="48"/>
      <c r="X67" s="48"/>
      <c r="Y67" s="48"/>
      <c r="Z67" s="48"/>
      <c r="AA67" s="48"/>
      <c r="AB67" s="48"/>
      <c r="AC67" s="48"/>
      <c r="AD67" s="48"/>
      <c r="AE67" s="48"/>
      <c r="AF67" s="48"/>
      <c r="AG67" s="48"/>
      <c r="AH67" s="48"/>
      <c r="AI67" s="48"/>
      <c r="AJ67" s="48"/>
      <c r="AK67" s="48"/>
      <c r="AL67" s="48"/>
      <c r="AM67" s="48"/>
      <c r="AP67" s="48"/>
      <c r="AQ67" s="48"/>
      <c r="AR67" s="48"/>
      <c r="AS67" s="48"/>
    </row>
    <row r="68" spans="1:45" s="95" customFormat="1">
      <c r="A68" s="133"/>
      <c r="B68" s="48"/>
      <c r="C68" s="179"/>
      <c r="D68" s="48"/>
      <c r="E68" s="48"/>
      <c r="F68" s="48"/>
      <c r="G68" s="48"/>
      <c r="H68" s="48"/>
      <c r="I68" s="48"/>
      <c r="J68" s="48"/>
      <c r="K68" s="48"/>
      <c r="L68" s="48"/>
      <c r="M68" s="48"/>
      <c r="N68" s="48"/>
      <c r="O68" s="48"/>
      <c r="P68" s="48"/>
      <c r="Q68" s="48"/>
      <c r="R68" s="48"/>
      <c r="S68" s="48"/>
      <c r="T68" s="48"/>
      <c r="U68" s="48"/>
      <c r="V68" s="48"/>
      <c r="W68" s="48"/>
      <c r="X68" s="48"/>
      <c r="Y68" s="48"/>
      <c r="Z68" s="48"/>
      <c r="AA68" s="48"/>
      <c r="AB68" s="48"/>
      <c r="AC68" s="48"/>
      <c r="AD68" s="48"/>
      <c r="AE68" s="48"/>
      <c r="AF68" s="48"/>
      <c r="AG68" s="48"/>
      <c r="AH68" s="48"/>
      <c r="AI68" s="48"/>
      <c r="AJ68" s="48"/>
      <c r="AK68" s="48"/>
      <c r="AL68" s="48"/>
      <c r="AM68" s="48"/>
      <c r="AP68" s="48"/>
      <c r="AQ68" s="48"/>
      <c r="AR68" s="48"/>
      <c r="AS68" s="48"/>
    </row>
    <row r="69" spans="1:45" s="95" customFormat="1">
      <c r="A69" s="133"/>
      <c r="B69" s="144"/>
      <c r="C69" s="184"/>
      <c r="D69" s="48"/>
      <c r="E69" s="48"/>
      <c r="F69" s="48"/>
      <c r="G69" s="48"/>
      <c r="H69" s="48"/>
      <c r="I69" s="48"/>
      <c r="J69" s="48"/>
      <c r="K69" s="48"/>
      <c r="L69" s="48"/>
      <c r="M69" s="48"/>
      <c r="N69" s="48"/>
      <c r="O69" s="48"/>
      <c r="P69" s="48"/>
      <c r="Q69" s="48"/>
      <c r="R69" s="48"/>
      <c r="S69" s="48"/>
      <c r="T69" s="48"/>
      <c r="U69" s="48"/>
      <c r="V69" s="48"/>
      <c r="W69" s="48"/>
      <c r="X69" s="48"/>
      <c r="Y69" s="48"/>
      <c r="Z69" s="48"/>
      <c r="AA69" s="48"/>
      <c r="AB69" s="48"/>
      <c r="AC69" s="48"/>
      <c r="AD69" s="48"/>
      <c r="AE69" s="48"/>
      <c r="AF69" s="48"/>
      <c r="AG69" s="48"/>
      <c r="AH69" s="48"/>
      <c r="AI69" s="48"/>
      <c r="AJ69" s="48"/>
      <c r="AK69" s="48"/>
      <c r="AL69" s="48"/>
      <c r="AM69" s="48"/>
      <c r="AP69" s="48"/>
      <c r="AQ69" s="48"/>
      <c r="AR69" s="48"/>
      <c r="AS69" s="48"/>
    </row>
    <row r="70" spans="1:45" s="95" customFormat="1">
      <c r="A70" s="133"/>
      <c r="B70" s="48"/>
      <c r="C70" s="48"/>
      <c r="D70" s="48"/>
      <c r="E70" s="48"/>
      <c r="F70" s="48"/>
      <c r="G70" s="48"/>
      <c r="H70" s="48"/>
      <c r="I70" s="48"/>
      <c r="J70" s="48"/>
      <c r="K70" s="48"/>
      <c r="L70" s="48"/>
      <c r="M70" s="48"/>
      <c r="N70" s="48"/>
      <c r="O70" s="48"/>
      <c r="P70" s="48"/>
      <c r="Q70" s="48"/>
      <c r="R70" s="48"/>
      <c r="S70" s="48"/>
      <c r="T70" s="48"/>
      <c r="U70" s="48"/>
      <c r="V70" s="48"/>
      <c r="W70" s="48"/>
      <c r="X70" s="48"/>
      <c r="Y70" s="48"/>
      <c r="Z70" s="48"/>
      <c r="AA70" s="48"/>
      <c r="AB70" s="48"/>
      <c r="AC70" s="48"/>
      <c r="AD70" s="48"/>
      <c r="AE70" s="48"/>
      <c r="AF70" s="48"/>
      <c r="AG70" s="48"/>
      <c r="AH70" s="48"/>
      <c r="AI70" s="48"/>
      <c r="AJ70" s="48"/>
      <c r="AK70" s="48"/>
      <c r="AL70" s="48"/>
      <c r="AM70" s="48"/>
      <c r="AP70" s="48"/>
      <c r="AQ70" s="48"/>
      <c r="AR70" s="48"/>
      <c r="AS70" s="48"/>
    </row>
  </sheetData>
  <mergeCells count="1">
    <mergeCell ref="B2:B4"/>
  </mergeCells>
  <conditionalFormatting sqref="D4:O4">
    <cfRule type="cellIs" dxfId="35" priority="1" operator="equal">
      <formula>#REF!</formula>
    </cfRule>
    <cfRule type="cellIs" dxfId="34" priority="2" operator="equal">
      <formula>#REF!</formula>
    </cfRule>
    <cfRule type="cellIs" dxfId="33" priority="3" operator="equal">
      <formula>#REF!</formula>
    </cfRule>
    <cfRule type="cellIs" dxfId="32" priority="4" operator="equal">
      <formula>#REF!</formula>
    </cfRule>
  </conditionalFormatting>
  <pageMargins left="0.7" right="0.7" top="0.75" bottom="0.75" header="0.3" footer="0.3"/>
  <pageSetup paperSize="3" orientation="landscape" horizontalDpi="1200" verticalDpi="1200" r:id="rId1"/>
  <headerFooter>
    <oddHeader>&amp;C&amp;"Calibri,Regular"&amp;K000000OVERALL DRAW</oddHeader>
    <oddFooter>&amp;C&amp;"Calibri,Regular"&amp;K000000PAGE &amp;P OF &amp;N</oddFooter>
  </headerFooter>
  <ignoredErrors>
    <ignoredError sqref="H53 H51 G52:H52 G44 G49:H49" 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8B3BCC-573C-C840-89EB-33884CCB122E}">
  <sheetPr>
    <tabColor rgb="FF00B050"/>
    <pageSetUpPr fitToPage="1"/>
  </sheetPr>
  <dimension ref="B1:K83"/>
  <sheetViews>
    <sheetView showGridLines="0" zoomScale="106" zoomScaleNormal="110" zoomScaleSheetLayoutView="90" workbookViewId="0">
      <selection activeCell="F18" sqref="F18"/>
    </sheetView>
  </sheetViews>
  <sheetFormatPr defaultColWidth="8.77734375" defaultRowHeight="23.25" customHeight="1"/>
  <cols>
    <col min="1" max="1" width="2" style="48" customWidth="1"/>
    <col min="2" max="2" width="36.44140625" style="48" bestFit="1" customWidth="1"/>
    <col min="3" max="3" width="32.109375" style="48" bestFit="1" customWidth="1"/>
    <col min="4" max="4" width="22.44140625" style="48" bestFit="1" customWidth="1"/>
    <col min="5" max="5" width="18.44140625" style="48" customWidth="1"/>
    <col min="6" max="6" width="18.109375" style="48" bestFit="1" customWidth="1"/>
    <col min="7" max="7" width="44.77734375" style="48" customWidth="1"/>
    <col min="8" max="11" width="26.109375" style="48" customWidth="1"/>
    <col min="12" max="12" width="13.109375" style="48" bestFit="1" customWidth="1"/>
    <col min="13" max="13" width="24.44140625" style="48" customWidth="1"/>
    <col min="14" max="14" width="32.44140625" style="48" customWidth="1"/>
    <col min="15" max="15" width="20.109375" style="48" customWidth="1"/>
    <col min="16" max="16384" width="8.77734375" style="48"/>
  </cols>
  <sheetData>
    <row r="1" spans="2:11" ht="12" customHeight="1" thickBot="1">
      <c r="B1" s="121"/>
      <c r="C1" s="121"/>
      <c r="D1" s="119"/>
      <c r="E1" s="122"/>
    </row>
    <row r="2" spans="2:11" ht="21" customHeight="1">
      <c r="B2" s="1197" t="str">
        <f>'Development Program'!B6</f>
        <v>Hawk's Nest</v>
      </c>
      <c r="C2" s="1198"/>
      <c r="D2" s="1198"/>
      <c r="E2" s="1198"/>
      <c r="F2" s="1199"/>
      <c r="G2" s="1216" t="s">
        <v>101</v>
      </c>
      <c r="H2" s="1164" t="s">
        <v>18</v>
      </c>
      <c r="I2" s="1164" t="s">
        <v>97</v>
      </c>
      <c r="J2" s="1135" t="s">
        <v>91</v>
      </c>
    </row>
    <row r="3" spans="2:11" ht="21" customHeight="1" thickBot="1">
      <c r="B3" s="93" t="s">
        <v>605</v>
      </c>
      <c r="C3" s="327" t="s">
        <v>84</v>
      </c>
      <c r="D3" s="328" t="s">
        <v>402</v>
      </c>
      <c r="E3" s="327" t="s">
        <v>606</v>
      </c>
      <c r="F3" s="120" t="s">
        <v>404</v>
      </c>
      <c r="G3" s="1217"/>
      <c r="H3" s="1165"/>
      <c r="I3" s="1165"/>
      <c r="J3" s="1215"/>
    </row>
    <row r="4" spans="2:11" ht="21" customHeight="1">
      <c r="B4" s="154" t="s">
        <v>86</v>
      </c>
      <c r="C4" s="155">
        <v>80</v>
      </c>
      <c r="D4" s="156">
        <f>Assumptions!C7*C4</f>
        <v>36000</v>
      </c>
      <c r="E4" s="157">
        <f>'Site 1 - Financial'!E11</f>
        <v>1768</v>
      </c>
      <c r="F4" s="158">
        <f>E4*C4*12</f>
        <v>1697280</v>
      </c>
      <c r="G4" s="126" t="str">
        <f>Assumptions!F19</f>
        <v>Residential Condominium Hard Costs for Construction</v>
      </c>
      <c r="H4" s="284">
        <f>'Market Research'!H118</f>
        <v>295</v>
      </c>
      <c r="I4" s="285">
        <f>H4*D8</f>
        <v>48970000</v>
      </c>
      <c r="J4" s="306">
        <f t="shared" ref="J4:J27" si="0">I4/($C$13+$C$8)</f>
        <v>176787.00361010831</v>
      </c>
    </row>
    <row r="5" spans="2:11" ht="21" customHeight="1">
      <c r="B5" s="159" t="s">
        <v>190</v>
      </c>
      <c r="C5" s="160">
        <v>100</v>
      </c>
      <c r="D5" s="161">
        <f>Assumptions!C9*C5</f>
        <v>65000</v>
      </c>
      <c r="E5" s="162">
        <f>'Site 1 - Financial'!E12</f>
        <v>1895</v>
      </c>
      <c r="F5" s="163">
        <f>C5*E5*12</f>
        <v>2274000</v>
      </c>
      <c r="G5" s="126" t="s">
        <v>309</v>
      </c>
      <c r="H5" s="284">
        <f>'Market Research'!H122</f>
        <v>255</v>
      </c>
      <c r="I5" s="285">
        <f>H5*D12</f>
        <v>51780810</v>
      </c>
      <c r="J5" s="307">
        <f t="shared" si="0"/>
        <v>186934.33212996391</v>
      </c>
    </row>
    <row r="6" spans="2:11" ht="21" customHeight="1">
      <c r="B6" s="159" t="s">
        <v>191</v>
      </c>
      <c r="C6" s="160">
        <v>65</v>
      </c>
      <c r="D6" s="161">
        <f>Assumptions!C11*C6</f>
        <v>65000</v>
      </c>
      <c r="E6" s="162">
        <f>'Site 1 - Financial'!E13</f>
        <v>2274</v>
      </c>
      <c r="F6" s="163">
        <f>C6*E6*12</f>
        <v>1773720</v>
      </c>
      <c r="G6" s="126" t="s">
        <v>310</v>
      </c>
      <c r="H6" s="284">
        <f>'Market Research'!H122</f>
        <v>255</v>
      </c>
      <c r="I6" s="285">
        <f>H5*D11</f>
        <v>43420125</v>
      </c>
      <c r="J6" s="307">
        <f t="shared" si="0"/>
        <v>156751.35379061371</v>
      </c>
      <c r="K6" s="465"/>
    </row>
    <row r="7" spans="2:11" ht="21" customHeight="1" thickBot="1">
      <c r="B7" s="164" t="s">
        <v>192</v>
      </c>
      <c r="C7" s="165">
        <v>0</v>
      </c>
      <c r="D7" s="166">
        <f>Assumptions!C13*C7</f>
        <v>0</v>
      </c>
      <c r="E7" s="167">
        <f>'Site 1 - Financial'!E14</f>
        <v>2628</v>
      </c>
      <c r="F7" s="168">
        <f>E7*C7*12</f>
        <v>0</v>
      </c>
      <c r="G7" s="126" t="s">
        <v>98</v>
      </c>
      <c r="H7" s="284">
        <f>'Market Research'!H135</f>
        <v>130</v>
      </c>
      <c r="I7" s="285">
        <f>H7*C22</f>
        <v>16665480</v>
      </c>
      <c r="J7" s="307">
        <f t="shared" si="0"/>
        <v>60164.187725631768</v>
      </c>
      <c r="K7" s="465"/>
    </row>
    <row r="8" spans="2:11" ht="21" customHeight="1">
      <c r="B8" s="1200" t="s">
        <v>87</v>
      </c>
      <c r="C8" s="1202">
        <f>SUM(C4:C7)</f>
        <v>245</v>
      </c>
      <c r="D8" s="1204">
        <f>SUM(D4:D7)</f>
        <v>166000</v>
      </c>
      <c r="E8" s="1206">
        <f>F8/C8/12</f>
        <v>1954.0816326530612</v>
      </c>
      <c r="F8" s="1168">
        <f>SUM(F4:F7)</f>
        <v>5745000</v>
      </c>
      <c r="G8" s="126" t="s">
        <v>20</v>
      </c>
      <c r="H8" s="288">
        <v>0.1</v>
      </c>
      <c r="I8" s="285">
        <f>H8*SUM(I4:I7)</f>
        <v>16083641.5</v>
      </c>
      <c r="J8" s="307">
        <f t="shared" si="0"/>
        <v>58063.687725631768</v>
      </c>
    </row>
    <row r="9" spans="2:11" ht="21" customHeight="1">
      <c r="B9" s="1201"/>
      <c r="C9" s="1203"/>
      <c r="D9" s="1205"/>
      <c r="E9" s="1207"/>
      <c r="F9" s="1169"/>
      <c r="G9" s="126" t="s">
        <v>6</v>
      </c>
      <c r="H9" s="289" t="s">
        <v>24</v>
      </c>
      <c r="I9" s="285">
        <v>500000</v>
      </c>
      <c r="J9" s="307">
        <f t="shared" si="0"/>
        <v>1805.0541516245487</v>
      </c>
    </row>
    <row r="10" spans="2:11" ht="21" customHeight="1" thickBot="1">
      <c r="B10" s="185" t="s">
        <v>88</v>
      </c>
      <c r="C10" s="327" t="s">
        <v>84</v>
      </c>
      <c r="D10" s="327" t="s">
        <v>402</v>
      </c>
      <c r="E10" s="327" t="s">
        <v>89</v>
      </c>
      <c r="F10" s="120" t="s">
        <v>85</v>
      </c>
      <c r="G10" s="520" t="s">
        <v>312</v>
      </c>
      <c r="H10" s="290">
        <f>'Market Research'!C53</f>
        <v>45000000</v>
      </c>
      <c r="I10" s="285">
        <f>H10*C17</f>
        <v>59705578.512396693</v>
      </c>
      <c r="J10" s="307">
        <f t="shared" si="0"/>
        <v>215543.6047378942</v>
      </c>
    </row>
    <row r="11" spans="2:11" ht="21" customHeight="1">
      <c r="B11" s="169" t="s">
        <v>1</v>
      </c>
      <c r="C11" s="170">
        <v>16</v>
      </c>
      <c r="D11" s="171">
        <v>170275</v>
      </c>
      <c r="E11" s="172">
        <f>Assumptions!F7</f>
        <v>35</v>
      </c>
      <c r="F11" s="173">
        <f>D11*E11</f>
        <v>5959625</v>
      </c>
      <c r="G11" s="520" t="s">
        <v>21</v>
      </c>
      <c r="H11" s="625" t="s">
        <v>380</v>
      </c>
      <c r="I11" s="285">
        <v>630000</v>
      </c>
      <c r="J11" s="306">
        <f t="shared" si="0"/>
        <v>2274.3682310469312</v>
      </c>
    </row>
    <row r="12" spans="2:11" ht="21" customHeight="1" thickBot="1">
      <c r="B12" s="174" t="s">
        <v>0</v>
      </c>
      <c r="C12" s="175">
        <v>16</v>
      </c>
      <c r="D12" s="176">
        <v>203062</v>
      </c>
      <c r="E12" s="177">
        <f>Assumptions!G7</f>
        <v>45</v>
      </c>
      <c r="F12" s="178">
        <f>D12*E12</f>
        <v>9137790</v>
      </c>
      <c r="G12" s="520" t="s">
        <v>43</v>
      </c>
      <c r="H12" s="280" t="s">
        <v>381</v>
      </c>
      <c r="I12" s="285">
        <f>'Development Program'!I22</f>
        <v>1337473.2880755607</v>
      </c>
      <c r="J12" s="307">
        <f t="shared" si="0"/>
        <v>4828.4234226554536</v>
      </c>
    </row>
    <row r="13" spans="2:11" ht="21" customHeight="1">
      <c r="B13" s="1200" t="s">
        <v>87</v>
      </c>
      <c r="C13" s="1202">
        <f>SUM(C11:C12)</f>
        <v>32</v>
      </c>
      <c r="D13" s="1204">
        <f>SUM(D11:D12)</f>
        <v>373337</v>
      </c>
      <c r="E13" s="1211">
        <f>IF(D13=0,0,F13/D13)</f>
        <v>40.439107294481929</v>
      </c>
      <c r="F13" s="1168">
        <f>SUM(F11:F12)</f>
        <v>15097415</v>
      </c>
      <c r="G13" s="124" t="s">
        <v>23</v>
      </c>
      <c r="H13" s="276" t="s">
        <v>24</v>
      </c>
      <c r="I13" s="277">
        <v>400000</v>
      </c>
      <c r="J13" s="307">
        <f t="shared" si="0"/>
        <v>1444.043321299639</v>
      </c>
    </row>
    <row r="14" spans="2:11" ht="21" customHeight="1" thickBot="1">
      <c r="B14" s="1208"/>
      <c r="C14" s="1203"/>
      <c r="D14" s="1205"/>
      <c r="E14" s="1212"/>
      <c r="F14" s="1188"/>
      <c r="G14" s="124" t="s">
        <v>374</v>
      </c>
      <c r="H14" s="302">
        <v>0.02</v>
      </c>
      <c r="I14" s="277">
        <f>H14*I10</f>
        <v>1194111.570247934</v>
      </c>
      <c r="J14" s="307">
        <f t="shared" si="0"/>
        <v>4310.872094757884</v>
      </c>
    </row>
    <row r="15" spans="2:11" ht="21" customHeight="1">
      <c r="B15" s="1120" t="s">
        <v>384</v>
      </c>
      <c r="C15" s="1122"/>
      <c r="D15" s="1194" t="s">
        <v>206</v>
      </c>
      <c r="E15" s="1195"/>
      <c r="F15" s="1196"/>
      <c r="G15" s="124" t="s">
        <v>26</v>
      </c>
      <c r="H15" s="278">
        <v>0.04</v>
      </c>
      <c r="I15" s="277">
        <f>H15*SUM(I4:I7)</f>
        <v>6433456.6000000006</v>
      </c>
      <c r="J15" s="307">
        <f t="shared" si="0"/>
        <v>23225.475090252708</v>
      </c>
    </row>
    <row r="16" spans="2:11" ht="21" customHeight="1" thickBot="1">
      <c r="B16" s="142" t="s">
        <v>331</v>
      </c>
      <c r="C16" s="198" t="s">
        <v>388</v>
      </c>
      <c r="D16" s="142" t="s">
        <v>331</v>
      </c>
      <c r="E16" s="143" t="s">
        <v>104</v>
      </c>
      <c r="F16" s="198" t="s">
        <v>91</v>
      </c>
      <c r="G16" s="124" t="s">
        <v>27</v>
      </c>
      <c r="H16" s="279">
        <v>0.03</v>
      </c>
      <c r="I16" s="277">
        <f>H16*SUM(I4:I15)</f>
        <v>7413620.2941216053</v>
      </c>
      <c r="J16" s="307">
        <f t="shared" si="0"/>
        <v>26763.972180944424</v>
      </c>
    </row>
    <row r="17" spans="2:11" ht="21" customHeight="1">
      <c r="B17" s="310" t="s">
        <v>385</v>
      </c>
      <c r="C17" s="311">
        <f>57795/43560</f>
        <v>1.3267906336088153</v>
      </c>
      <c r="D17" s="320">
        <f>Assumptions!I11</f>
        <v>0.6</v>
      </c>
      <c r="E17" s="321">
        <f>D17*(I$27-E19)</f>
        <v>204943259.12569883</v>
      </c>
      <c r="F17" s="322">
        <f>E17/($C$8+$C$13)</f>
        <v>739867.36146461673</v>
      </c>
      <c r="G17" s="124" t="s">
        <v>28</v>
      </c>
      <c r="H17" s="278">
        <v>0.02</v>
      </c>
      <c r="I17" s="277">
        <f>H17*SUM(I4:I7)</f>
        <v>3216728.3000000003</v>
      </c>
      <c r="J17" s="307">
        <f t="shared" si="0"/>
        <v>11612.737545126354</v>
      </c>
    </row>
    <row r="18" spans="2:11" ht="21" customHeight="1">
      <c r="B18" s="312" t="s">
        <v>386</v>
      </c>
      <c r="C18" s="417">
        <f>429009+166000</f>
        <v>595009</v>
      </c>
      <c r="D18" s="323">
        <f>1-D17</f>
        <v>0.4</v>
      </c>
      <c r="E18" s="318">
        <f>D18*(I$27-E19)</f>
        <v>136628839.41713259</v>
      </c>
      <c r="F18" s="319">
        <f>E18/($C$8+$C$13)</f>
        <v>493244.90764307795</v>
      </c>
      <c r="G18" s="531" t="s">
        <v>99</v>
      </c>
      <c r="H18" s="805">
        <v>8.8293999999999994E-3</v>
      </c>
      <c r="I18" s="277">
        <f>H18*I10</f>
        <v>527164.43491735531</v>
      </c>
      <c r="J18" s="307">
        <f t="shared" si="0"/>
        <v>1903.1207036727628</v>
      </c>
    </row>
    <row r="19" spans="2:11" ht="21" customHeight="1">
      <c r="B19" s="312" t="s">
        <v>387</v>
      </c>
      <c r="C19" s="313">
        <f>D8+D13</f>
        <v>539337</v>
      </c>
      <c r="D19" s="312" t="s">
        <v>395</v>
      </c>
      <c r="E19" s="329">
        <f>I28</f>
        <v>4853000</v>
      </c>
      <c r="F19" s="330">
        <f>E19/($C$8+$C$13)</f>
        <v>17519.855595667868</v>
      </c>
      <c r="G19" s="124" t="s">
        <v>29</v>
      </c>
      <c r="H19" s="280">
        <v>6000</v>
      </c>
      <c r="I19" s="277">
        <f>H19*(C8+C13)</f>
        <v>1662000</v>
      </c>
      <c r="J19" s="307">
        <f t="shared" si="0"/>
        <v>6000</v>
      </c>
    </row>
    <row r="20" spans="2:11" ht="21" customHeight="1">
      <c r="B20" s="312" t="s">
        <v>389</v>
      </c>
      <c r="C20" s="314">
        <v>230</v>
      </c>
      <c r="D20" s="312" t="s">
        <v>396</v>
      </c>
      <c r="E20" s="324">
        <f>SUM(E17:E19)</f>
        <v>346425098.54283142</v>
      </c>
      <c r="F20" s="325">
        <f>SUM(F17:F19)</f>
        <v>1250632.1247033626</v>
      </c>
      <c r="G20" s="124" t="s">
        <v>30</v>
      </c>
      <c r="H20" s="276" t="s">
        <v>24</v>
      </c>
      <c r="I20" s="277">
        <v>400000</v>
      </c>
      <c r="J20" s="307">
        <f t="shared" si="0"/>
        <v>1444.043321299639</v>
      </c>
    </row>
    <row r="21" spans="2:11" ht="21" customHeight="1" thickBot="1">
      <c r="B21" s="312" t="s">
        <v>390</v>
      </c>
      <c r="C21" s="314">
        <v>160</v>
      </c>
      <c r="D21" s="316"/>
      <c r="E21" s="326"/>
      <c r="F21" s="317"/>
      <c r="G21" s="124" t="s">
        <v>31</v>
      </c>
      <c r="H21" s="281" t="s">
        <v>376</v>
      </c>
      <c r="I21" s="277">
        <f>-SUM('Site 2 - Draw'!H38:K38,'Site 2 - Draw'!H47:K47,'Site 2 - Draw'!H56:K56)</f>
        <v>8288504.5430722507</v>
      </c>
      <c r="J21" s="307">
        <f t="shared" si="0"/>
        <v>29922.399072462998</v>
      </c>
    </row>
    <row r="22" spans="2:11" ht="21" customHeight="1">
      <c r="B22" s="315" t="s">
        <v>438</v>
      </c>
      <c r="C22" s="313">
        <v>128196</v>
      </c>
      <c r="D22" s="1172" t="s">
        <v>105</v>
      </c>
      <c r="E22" s="1174">
        <f>E20</f>
        <v>346425098.54283142</v>
      </c>
      <c r="F22" s="1191">
        <f>F20</f>
        <v>1250632.1247033626</v>
      </c>
      <c r="G22" s="124" t="s">
        <v>377</v>
      </c>
      <c r="H22" s="282">
        <f>'Market Research'!H125</f>
        <v>140</v>
      </c>
      <c r="I22" s="277">
        <f>H22*D13</f>
        <v>52267180</v>
      </c>
      <c r="J22" s="307">
        <f t="shared" si="0"/>
        <v>188690.18050541516</v>
      </c>
    </row>
    <row r="23" spans="2:11" ht="21" customHeight="1" thickBot="1">
      <c r="B23" s="448" t="s">
        <v>437</v>
      </c>
      <c r="C23" s="447">
        <f>C18/(C17*43560)</f>
        <v>10.295163941517433</v>
      </c>
      <c r="D23" s="1173"/>
      <c r="E23" s="1175"/>
      <c r="F23" s="1192"/>
      <c r="G23" s="124" t="s">
        <v>378</v>
      </c>
      <c r="H23" s="283">
        <v>0.06</v>
      </c>
      <c r="I23" s="277">
        <f>H23*('Site 2 - Draw'!L41+'Site 2 - Draw'!L50)*5</f>
        <v>4529224.5</v>
      </c>
      <c r="J23" s="307">
        <f t="shared" si="0"/>
        <v>16350.990974729242</v>
      </c>
    </row>
    <row r="24" spans="2:11" ht="21" customHeight="1" thickBot="1">
      <c r="B24" s="416">
        <v>27</v>
      </c>
      <c r="C24" s="417">
        <f>C18/B24</f>
        <v>22037.370370370369</v>
      </c>
      <c r="D24" s="1189" t="s">
        <v>106</v>
      </c>
      <c r="E24" s="1190"/>
      <c r="F24" s="260" t="s">
        <v>383</v>
      </c>
      <c r="G24" s="531" t="s">
        <v>33</v>
      </c>
      <c r="H24" s="532">
        <v>0.01</v>
      </c>
      <c r="I24" s="277">
        <v>2000000</v>
      </c>
      <c r="J24" s="307">
        <f t="shared" si="0"/>
        <v>7220.2166064981948</v>
      </c>
      <c r="K24" s="266"/>
    </row>
    <row r="25" spans="2:11" ht="21" customHeight="1" thickBot="1">
      <c r="B25" s="316" t="s">
        <v>393</v>
      </c>
      <c r="C25" s="317" t="s">
        <v>6</v>
      </c>
      <c r="D25" s="1182" t="s">
        <v>333</v>
      </c>
      <c r="E25" s="1183"/>
      <c r="F25" s="331">
        <f>'Site 2 - Draw'!L39</f>
        <v>107245335.82292774</v>
      </c>
      <c r="G25" s="533" t="s">
        <v>34</v>
      </c>
      <c r="H25" s="534">
        <v>7.0000000000000007E-2</v>
      </c>
      <c r="I25" s="277">
        <f>I24*7</f>
        <v>14000000</v>
      </c>
      <c r="J25" s="307">
        <f t="shared" si="0"/>
        <v>50541.516245487364</v>
      </c>
      <c r="K25" s="266"/>
    </row>
    <row r="26" spans="2:11" ht="21" customHeight="1" thickBot="1">
      <c r="B26" s="1189" t="s">
        <v>110</v>
      </c>
      <c r="C26" s="1193"/>
      <c r="D26" s="1184" t="s">
        <v>391</v>
      </c>
      <c r="E26" s="1185"/>
      <c r="F26" s="380" t="s">
        <v>157</v>
      </c>
      <c r="G26" s="127" t="s">
        <v>100</v>
      </c>
      <c r="H26" s="274" t="s">
        <v>24</v>
      </c>
      <c r="I26" s="275">
        <v>5000000</v>
      </c>
      <c r="J26" s="308">
        <f t="shared" si="0"/>
        <v>18050.541516245488</v>
      </c>
    </row>
    <row r="27" spans="2:11" ht="21" customHeight="1">
      <c r="B27" s="303" t="s">
        <v>311</v>
      </c>
      <c r="C27" s="338">
        <f>(F32+E18)/E18</f>
        <v>1.7499987614224</v>
      </c>
      <c r="D27" s="1184" t="s">
        <v>392</v>
      </c>
      <c r="E27" s="1185"/>
      <c r="F27" s="332" t="s">
        <v>157</v>
      </c>
      <c r="G27" s="128" t="s">
        <v>101</v>
      </c>
      <c r="H27" s="340" t="s">
        <v>205</v>
      </c>
      <c r="I27" s="341">
        <f>SUM(I4:I26)</f>
        <v>346425098.54283142</v>
      </c>
      <c r="J27" s="342">
        <f t="shared" si="0"/>
        <v>1250632.1247033626</v>
      </c>
      <c r="K27" s="266"/>
    </row>
    <row r="28" spans="2:11" ht="21" customHeight="1">
      <c r="B28" s="304" t="s">
        <v>136</v>
      </c>
      <c r="C28" s="431">
        <f>'Site 2 - Draw'!C58</f>
        <v>0.12060940125363007</v>
      </c>
      <c r="D28" s="1170" t="s">
        <v>334</v>
      </c>
      <c r="E28" s="1171"/>
      <c r="F28" s="333">
        <f>'Site 2 - Draw'!L57+'Site 2 - Draw'!L48</f>
        <v>336798223.05733311</v>
      </c>
      <c r="G28" s="129" t="s">
        <v>618</v>
      </c>
      <c r="H28" s="343" t="s">
        <v>205</v>
      </c>
      <c r="I28" s="344">
        <v>4853000</v>
      </c>
      <c r="J28" s="345">
        <f>I28/($C$13+$C$8)</f>
        <v>17519.855595667868</v>
      </c>
    </row>
    <row r="29" spans="2:11" ht="21" customHeight="1">
      <c r="B29" s="304" t="s">
        <v>41</v>
      </c>
      <c r="C29" s="431">
        <f>'Site 2 - Draw'!C64</f>
        <v>0.13940828210977041</v>
      </c>
      <c r="D29" s="1186" t="s">
        <v>335</v>
      </c>
      <c r="E29" s="1187"/>
      <c r="F29" s="334">
        <f>F25+F28</f>
        <v>444043558.88026083</v>
      </c>
      <c r="G29" s="129" t="s">
        <v>336</v>
      </c>
      <c r="H29" s="343" t="s">
        <v>205</v>
      </c>
      <c r="I29" s="344">
        <f>'Site 2 - Draw'!L39+'Site 2 - Draw'!L48+'Site 2 - Draw'!L57</f>
        <v>444043558.88026083</v>
      </c>
      <c r="J29" s="345">
        <f>I29/($C$13+$C$8)</f>
        <v>1603045.3389179092</v>
      </c>
    </row>
    <row r="30" spans="2:11" ht="21" customHeight="1">
      <c r="B30" s="304" t="s">
        <v>111</v>
      </c>
      <c r="C30" s="337" t="s">
        <v>337</v>
      </c>
      <c r="D30" s="1178" t="s">
        <v>107</v>
      </c>
      <c r="E30" s="1179"/>
      <c r="F30" s="333">
        <f>E17</f>
        <v>204943259.12569883</v>
      </c>
      <c r="G30" s="129" t="s">
        <v>102</v>
      </c>
      <c r="H30" s="343" t="s">
        <v>205</v>
      </c>
      <c r="I30" s="379">
        <f>('Site 2 - Draw'!L38+'Site 2 - Draw'!L47+'Site 2 - Draw'!L56)/I27</f>
        <v>5.7746669147920322E-2</v>
      </c>
      <c r="J30" s="346" t="s">
        <v>205</v>
      </c>
    </row>
    <row r="31" spans="2:11" ht="21" customHeight="1">
      <c r="B31" s="304" t="s">
        <v>397</v>
      </c>
      <c r="C31" s="336">
        <f>Assumptions!I9</f>
        <v>4.2500000000000003E-2</v>
      </c>
      <c r="D31" s="1178" t="s">
        <v>108</v>
      </c>
      <c r="E31" s="1179"/>
      <c r="F31" s="333">
        <f>E18</f>
        <v>136628839.41713259</v>
      </c>
      <c r="G31" s="129" t="s">
        <v>103</v>
      </c>
      <c r="H31" s="343" t="s">
        <v>205</v>
      </c>
      <c r="I31" s="552">
        <f>I29/(I27-I28)-1</f>
        <v>0.29999950456896007</v>
      </c>
      <c r="J31" s="347" t="s">
        <v>205</v>
      </c>
    </row>
    <row r="32" spans="2:11" ht="21" customHeight="1" thickBot="1">
      <c r="B32" s="305" t="s">
        <v>398</v>
      </c>
      <c r="C32" s="339">
        <f>Assumptions!I8</f>
        <v>4.7500000000000001E-2</v>
      </c>
      <c r="D32" s="1180" t="s">
        <v>109</v>
      </c>
      <c r="E32" s="1181"/>
      <c r="F32" s="335">
        <f>F29-F30-F31</f>
        <v>102471460.3374294</v>
      </c>
      <c r="G32" s="816">
        <v>0.5</v>
      </c>
      <c r="H32" s="817" t="s">
        <v>205</v>
      </c>
      <c r="I32" s="818">
        <f>I29/(1+G32)</f>
        <v>296029039.2535072</v>
      </c>
      <c r="J32" s="819">
        <f>I32/($C$13+$C$8)</f>
        <v>1068696.8926119392</v>
      </c>
    </row>
    <row r="33" spans="2:10" ht="16.05" customHeight="1">
      <c r="G33" s="934"/>
      <c r="H33" s="935"/>
      <c r="I33" s="936"/>
      <c r="J33" s="936"/>
    </row>
    <row r="34" spans="2:10" ht="15" customHeight="1">
      <c r="D34" s="144"/>
      <c r="E34" s="144"/>
      <c r="F34" s="144"/>
      <c r="G34" s="187"/>
      <c r="H34" s="188"/>
      <c r="I34" s="189"/>
      <c r="J34" s="188"/>
    </row>
    <row r="35" spans="2:10" ht="15" customHeight="1">
      <c r="D35" s="132"/>
      <c r="G35" s="190"/>
      <c r="H35" s="1176"/>
      <c r="I35" s="1176"/>
      <c r="J35" s="188"/>
    </row>
    <row r="36" spans="2:10" ht="15" customHeight="1">
      <c r="D36" s="132"/>
      <c r="G36" s="191"/>
      <c r="H36" s="1177"/>
      <c r="I36" s="1177"/>
      <c r="J36" s="192"/>
    </row>
    <row r="37" spans="2:10" ht="13.2">
      <c r="D37" s="132"/>
    </row>
    <row r="38" spans="2:10" ht="13.2">
      <c r="D38" s="179"/>
    </row>
    <row r="39" spans="2:10" s="144" customFormat="1" ht="13.2">
      <c r="B39" s="48"/>
      <c r="C39" s="48"/>
      <c r="D39" s="179"/>
      <c r="E39" s="48"/>
      <c r="F39" s="48"/>
    </row>
    <row r="40" spans="2:10" ht="13.2">
      <c r="B40" s="144"/>
      <c r="C40" s="144"/>
    </row>
    <row r="41" spans="2:10" ht="13.05" customHeight="1">
      <c r="B41" s="132"/>
      <c r="C41" s="132"/>
    </row>
    <row r="42" spans="2:10" ht="13.2">
      <c r="B42" s="132"/>
      <c r="C42" s="132"/>
    </row>
    <row r="43" spans="2:10" s="144" customFormat="1" ht="13.2">
      <c r="B43" s="125"/>
      <c r="C43" s="125"/>
      <c r="D43" s="48"/>
      <c r="E43" s="48"/>
      <c r="F43" s="48"/>
    </row>
    <row r="44" spans="2:10" s="132" customFormat="1" ht="13.2">
      <c r="D44" s="48"/>
      <c r="E44" s="48"/>
      <c r="F44" s="48"/>
    </row>
    <row r="45" spans="2:10" s="132" customFormat="1" ht="13.2">
      <c r="D45" s="48"/>
      <c r="E45" s="48"/>
      <c r="F45" s="48"/>
    </row>
    <row r="46" spans="2:10" s="125" customFormat="1" ht="13.2">
      <c r="D46" s="48"/>
      <c r="E46" s="48"/>
      <c r="F46" s="48"/>
    </row>
    <row r="47" spans="2:10" s="132" customFormat="1" ht="13.2">
      <c r="D47" s="48"/>
      <c r="E47" s="48"/>
      <c r="F47" s="48"/>
    </row>
    <row r="48" spans="2:10" s="132" customFormat="1" ht="13.2">
      <c r="D48" s="48"/>
      <c r="E48" s="48"/>
      <c r="F48" s="48"/>
    </row>
    <row r="49" spans="2:10" s="125" customFormat="1" ht="13.2">
      <c r="B49" s="132"/>
      <c r="C49" s="132"/>
      <c r="D49" s="48"/>
      <c r="E49" s="48"/>
      <c r="F49" s="48"/>
    </row>
    <row r="50" spans="2:10" s="132" customFormat="1" ht="13.2">
      <c r="B50" s="48"/>
      <c r="C50" s="179"/>
      <c r="D50" s="48"/>
      <c r="E50" s="48"/>
      <c r="F50" s="48"/>
    </row>
    <row r="51" spans="2:10" s="132" customFormat="1" ht="13.2">
      <c r="B51" s="48"/>
      <c r="C51" s="179"/>
      <c r="D51" s="48"/>
      <c r="E51" s="48"/>
      <c r="F51" s="48"/>
    </row>
    <row r="52" spans="2:10" s="132" customFormat="1" ht="13.2">
      <c r="B52" s="48"/>
      <c r="C52" s="48"/>
      <c r="D52" s="48"/>
      <c r="E52" s="48"/>
      <c r="F52" s="48"/>
    </row>
    <row r="53" spans="2:10" ht="13.2">
      <c r="G53" s="179"/>
      <c r="H53" s="179"/>
      <c r="I53" s="179"/>
      <c r="J53" s="179"/>
    </row>
    <row r="54" spans="2:10" ht="13.2">
      <c r="G54" s="179"/>
      <c r="H54" s="179"/>
      <c r="I54" s="179"/>
      <c r="J54" s="179"/>
    </row>
    <row r="55" spans="2:10" ht="13.2"/>
    <row r="56" spans="2:10" ht="15" customHeight="1"/>
    <row r="57" spans="2:10" ht="13.2"/>
    <row r="58" spans="2:10" ht="13.2">
      <c r="G58" s="179"/>
    </row>
    <row r="59" spans="2:10" ht="13.2">
      <c r="G59" s="179"/>
    </row>
    <row r="60" spans="2:10" ht="13.2"/>
    <row r="61" spans="2:10" ht="13.2"/>
    <row r="62" spans="2:10" ht="13.2">
      <c r="G62" s="179"/>
    </row>
    <row r="63" spans="2:10" ht="15" customHeight="1"/>
    <row r="64" spans="2:10" ht="15" customHeight="1"/>
    <row r="65" ht="13.2"/>
    <row r="66" ht="13.2"/>
    <row r="67" ht="13.2"/>
    <row r="68" ht="13.2"/>
    <row r="69" ht="13.2"/>
    <row r="70" ht="13.2"/>
    <row r="71" ht="13.2"/>
    <row r="72" ht="13.2"/>
    <row r="73" ht="13.2"/>
    <row r="74" ht="13.2"/>
    <row r="75" ht="13.2"/>
    <row r="76" ht="13.2"/>
    <row r="77" ht="13.2"/>
    <row r="78" ht="13.2"/>
    <row r="79" ht="13.2"/>
    <row r="80" ht="13.2"/>
    <row r="81" ht="13.2"/>
    <row r="82" ht="13.2"/>
    <row r="83" ht="13.2"/>
  </sheetData>
  <mergeCells count="32">
    <mergeCell ref="F22:F23"/>
    <mergeCell ref="D24:E24"/>
    <mergeCell ref="D25:E25"/>
    <mergeCell ref="H35:I35"/>
    <mergeCell ref="H36:I36"/>
    <mergeCell ref="D27:E27"/>
    <mergeCell ref="D28:E28"/>
    <mergeCell ref="D29:E29"/>
    <mergeCell ref="D30:E30"/>
    <mergeCell ref="D31:E31"/>
    <mergeCell ref="D32:E32"/>
    <mergeCell ref="B26:C26"/>
    <mergeCell ref="D26:E26"/>
    <mergeCell ref="B13:B14"/>
    <mergeCell ref="C13:C14"/>
    <mergeCell ref="D13:D14"/>
    <mergeCell ref="E13:E14"/>
    <mergeCell ref="D22:D23"/>
    <mergeCell ref="E22:E23"/>
    <mergeCell ref="F13:F14"/>
    <mergeCell ref="B15:C15"/>
    <mergeCell ref="D15:F15"/>
    <mergeCell ref="B2:F2"/>
    <mergeCell ref="G2:G3"/>
    <mergeCell ref="H2:H3"/>
    <mergeCell ref="I2:I3"/>
    <mergeCell ref="J2:J3"/>
    <mergeCell ref="B8:B9"/>
    <mergeCell ref="C8:C9"/>
    <mergeCell ref="D8:D9"/>
    <mergeCell ref="E8:E9"/>
    <mergeCell ref="F8:F9"/>
  </mergeCells>
  <printOptions horizontalCentered="1" verticalCentered="1"/>
  <pageMargins left="0.7" right="0.7" top="0.75" bottom="0.75" header="0.3" footer="0.3"/>
  <pageSetup scale="89" fitToHeight="0" orientation="landscape" horizontalDpi="4294967292" verticalDpi="4294967292" r:id="rId1"/>
  <headerFooter>
    <oddHeader>&amp;C&amp;"Times New Roman Bold,Bold"&amp;14&amp;K000000INVESTOR SHEET</oddHeader>
    <oddFooter>&amp;CPage &amp;P of &amp;N</oddFooter>
  </headerFooter>
  <ignoredErrors>
    <ignoredError sqref="E13 E8" formula="1"/>
  </ignoredError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AA750C-C35D-6546-A03F-562A55F574A8}">
  <sheetPr>
    <tabColor rgb="FF00B050"/>
  </sheetPr>
  <dimension ref="A1:AR69"/>
  <sheetViews>
    <sheetView topLeftCell="A24" zoomScale="89" zoomScaleNormal="100" zoomScalePageLayoutView="125" workbookViewId="0">
      <selection activeCell="H30" sqref="H30:K30"/>
    </sheetView>
  </sheetViews>
  <sheetFormatPr defaultColWidth="8.77734375" defaultRowHeight="14.4" outlineLevelRow="1"/>
  <cols>
    <col min="1" max="1" width="4" style="47" customWidth="1"/>
    <col min="2" max="2" width="49.109375" style="48" bestFit="1" customWidth="1"/>
    <col min="3" max="3" width="20.77734375" style="48" customWidth="1"/>
    <col min="4" max="15" width="15.109375" style="48" customWidth="1"/>
    <col min="16" max="37" width="17" style="48" customWidth="1"/>
    <col min="38" max="38" width="16.44140625" style="48" customWidth="1"/>
    <col min="39" max="39" width="15" style="95" customWidth="1"/>
    <col min="40" max="40" width="17.77734375" style="95" bestFit="1" customWidth="1"/>
    <col min="41" max="41" width="9.44140625" style="48" bestFit="1" customWidth="1"/>
    <col min="42" max="42" width="11.77734375" style="48" bestFit="1" customWidth="1"/>
    <col min="43" max="44" width="9.44140625" style="48" bestFit="1" customWidth="1"/>
    <col min="45" max="16384" width="8.77734375" style="48"/>
  </cols>
  <sheetData>
    <row r="1" spans="1:44" s="47" customFormat="1" ht="15" thickBot="1">
      <c r="AM1" s="133"/>
      <c r="AN1" s="133"/>
    </row>
    <row r="2" spans="1:44" s="95" customFormat="1" ht="15" thickBot="1">
      <c r="A2" s="133"/>
      <c r="B2" s="1213" t="str">
        <f>'Development Program'!K25</f>
        <v>Chinook</v>
      </c>
      <c r="C2" s="235" t="s">
        <v>343</v>
      </c>
      <c r="D2" s="521">
        <v>0</v>
      </c>
      <c r="E2" s="522">
        <f t="shared" ref="E2:O2" si="0">D2+1</f>
        <v>1</v>
      </c>
      <c r="F2" s="522">
        <f>E2+1</f>
        <v>2</v>
      </c>
      <c r="G2" s="522">
        <f>F2+1</f>
        <v>3</v>
      </c>
      <c r="H2" s="925">
        <f t="shared" si="0"/>
        <v>4</v>
      </c>
      <c r="I2" s="504">
        <f t="shared" si="0"/>
        <v>5</v>
      </c>
      <c r="J2" s="504">
        <f t="shared" si="0"/>
        <v>6</v>
      </c>
      <c r="K2" s="508">
        <f>J2+1</f>
        <v>7</v>
      </c>
      <c r="L2" s="136">
        <f>K2+1</f>
        <v>8</v>
      </c>
      <c r="M2" s="137">
        <f>L2+1</f>
        <v>9</v>
      </c>
      <c r="N2" s="137">
        <f t="shared" si="0"/>
        <v>10</v>
      </c>
      <c r="O2" s="261">
        <f t="shared" si="0"/>
        <v>11</v>
      </c>
      <c r="P2" s="48"/>
      <c r="Q2" s="48"/>
      <c r="R2" s="48"/>
      <c r="S2" s="48"/>
      <c r="T2" s="48"/>
      <c r="U2" s="48"/>
      <c r="V2" s="48"/>
      <c r="W2" s="48"/>
      <c r="X2" s="48"/>
      <c r="Y2" s="48"/>
      <c r="Z2" s="48"/>
      <c r="AA2" s="48"/>
      <c r="AB2" s="48"/>
      <c r="AC2" s="48"/>
      <c r="AD2" s="48"/>
      <c r="AE2" s="48"/>
      <c r="AF2" s="48"/>
      <c r="AG2" s="48"/>
      <c r="AH2" s="48"/>
      <c r="AI2" s="48"/>
      <c r="AJ2" s="48"/>
      <c r="AK2" s="48"/>
      <c r="AL2" s="48"/>
      <c r="AO2" s="48"/>
      <c r="AP2" s="48"/>
      <c r="AQ2" s="48"/>
      <c r="AR2" s="48"/>
    </row>
    <row r="3" spans="1:44" s="95" customFormat="1" ht="41.55" customHeight="1" thickBot="1">
      <c r="A3" s="133"/>
      <c r="B3" s="1158"/>
      <c r="C3" s="236" t="s">
        <v>104</v>
      </c>
      <c r="D3" s="523">
        <v>45413</v>
      </c>
      <c r="E3" s="524">
        <f>EDATE(D3,12)</f>
        <v>45778</v>
      </c>
      <c r="F3" s="524">
        <f>EDATE(E3,12)</f>
        <v>46143</v>
      </c>
      <c r="G3" s="524">
        <f>EDATE(F3,12)</f>
        <v>46508</v>
      </c>
      <c r="H3" s="291">
        <f>EDATE(G3,12)</f>
        <v>46874</v>
      </c>
      <c r="I3" s="292">
        <f t="shared" ref="I3:O3" si="1">EDATE(H3,12)</f>
        <v>47239</v>
      </c>
      <c r="J3" s="292">
        <f t="shared" si="1"/>
        <v>47604</v>
      </c>
      <c r="K3" s="383">
        <f t="shared" si="1"/>
        <v>47969</v>
      </c>
      <c r="L3" s="224">
        <f t="shared" si="1"/>
        <v>48335</v>
      </c>
      <c r="M3" s="225">
        <f t="shared" si="1"/>
        <v>48700</v>
      </c>
      <c r="N3" s="225">
        <f t="shared" si="1"/>
        <v>49065</v>
      </c>
      <c r="O3" s="226">
        <f t="shared" si="1"/>
        <v>49430</v>
      </c>
      <c r="P3" s="48"/>
      <c r="Q3" s="48"/>
      <c r="R3" s="48"/>
      <c r="S3" s="48"/>
      <c r="T3" s="48"/>
      <c r="U3" s="48"/>
      <c r="V3" s="48"/>
      <c r="W3" s="48"/>
      <c r="X3" s="48"/>
      <c r="Y3" s="48"/>
      <c r="Z3" s="48"/>
      <c r="AA3" s="48"/>
      <c r="AB3" s="48"/>
      <c r="AC3" s="48"/>
      <c r="AD3" s="48"/>
      <c r="AE3" s="48"/>
      <c r="AF3" s="48"/>
      <c r="AG3" s="48"/>
      <c r="AH3" s="48"/>
      <c r="AI3" s="48"/>
      <c r="AJ3" s="48"/>
      <c r="AK3" s="48"/>
      <c r="AL3" s="48"/>
      <c r="AO3" s="48"/>
      <c r="AP3" s="48"/>
      <c r="AQ3" s="48"/>
      <c r="AR3" s="48"/>
    </row>
    <row r="4" spans="1:44" s="95" customFormat="1" ht="64.05" hidden="1" customHeight="1" thickBot="1">
      <c r="A4" s="133"/>
      <c r="B4" s="1214"/>
      <c r="C4" s="237" t="s">
        <v>46</v>
      </c>
      <c r="D4" s="114" t="e">
        <f>EOMONTH(#REF!,3)</f>
        <v>#REF!</v>
      </c>
      <c r="E4" s="97" t="e">
        <f t="shared" ref="E4:J4" si="2">EOMONTH(D4,3)</f>
        <v>#REF!</v>
      </c>
      <c r="F4" s="97" t="e">
        <f>EOMONTH(#REF!,3)</f>
        <v>#REF!</v>
      </c>
      <c r="G4" s="97" t="e">
        <f>EOMONTH(#REF!,3)</f>
        <v>#REF!</v>
      </c>
      <c r="H4" s="214" t="e">
        <f t="shared" si="2"/>
        <v>#REF!</v>
      </c>
      <c r="I4" s="215" t="e">
        <f t="shared" si="2"/>
        <v>#REF!</v>
      </c>
      <c r="J4" s="215" t="e">
        <f t="shared" si="2"/>
        <v>#REF!</v>
      </c>
      <c r="K4" s="384" t="e">
        <f>EOMONTH(#REF!,3)</f>
        <v>#REF!</v>
      </c>
      <c r="L4" s="114" t="e">
        <f>EOMONTH(#REF!,3)</f>
        <v>#REF!</v>
      </c>
      <c r="M4" s="97" t="e">
        <f>EOMONTH(K4,3)</f>
        <v>#REF!</v>
      </c>
      <c r="N4" s="97" t="e">
        <f t="shared" ref="N4" si="3">EOMONTH(M4,3)</f>
        <v>#REF!</v>
      </c>
      <c r="O4" s="104" t="e">
        <f>EOMONTH(J4,3)</f>
        <v>#REF!</v>
      </c>
      <c r="AO4" s="48"/>
      <c r="AP4" s="48"/>
      <c r="AQ4" s="48"/>
      <c r="AR4" s="48"/>
    </row>
    <row r="5" spans="1:44" s="95" customFormat="1">
      <c r="A5" s="133"/>
      <c r="B5" s="480" t="s">
        <v>112</v>
      </c>
      <c r="C5" s="568">
        <v>1</v>
      </c>
      <c r="D5" s="569" t="s">
        <v>205</v>
      </c>
      <c r="E5" s="570" t="s">
        <v>205</v>
      </c>
      <c r="F5" s="570" t="s">
        <v>205</v>
      </c>
      <c r="G5" s="570" t="s">
        <v>205</v>
      </c>
      <c r="H5" s="576">
        <f t="shared" ref="H5:N5" si="4">H30/$C$30</f>
        <v>0.34751731916428358</v>
      </c>
      <c r="I5" s="571">
        <f t="shared" si="4"/>
        <v>0.16130121393156827</v>
      </c>
      <c r="J5" s="571">
        <f t="shared" si="4"/>
        <v>0.24520566846353364</v>
      </c>
      <c r="K5" s="572">
        <f t="shared" si="4"/>
        <v>0.24597579844061451</v>
      </c>
      <c r="L5" s="569">
        <f t="shared" si="4"/>
        <v>0</v>
      </c>
      <c r="M5" s="570">
        <f t="shared" si="4"/>
        <v>0</v>
      </c>
      <c r="N5" s="570">
        <f t="shared" si="4"/>
        <v>0</v>
      </c>
      <c r="O5" s="573" t="s">
        <v>205</v>
      </c>
      <c r="AO5" s="48"/>
      <c r="AP5" s="48"/>
      <c r="AQ5" s="48"/>
      <c r="AR5" s="48"/>
    </row>
    <row r="6" spans="1:44" s="95" customFormat="1">
      <c r="A6" s="133"/>
      <c r="B6" s="209" t="str">
        <f>'Site 2 - Financial'!G4</f>
        <v>Residential Condominium Hard Costs for Construction</v>
      </c>
      <c r="C6" s="512">
        <f>'Site 2 - Financial'!I4</f>
        <v>48970000</v>
      </c>
      <c r="D6" s="566" t="s">
        <v>205</v>
      </c>
      <c r="E6" s="557" t="s">
        <v>205</v>
      </c>
      <c r="F6" s="557" t="s">
        <v>205</v>
      </c>
      <c r="G6" s="557" t="s">
        <v>205</v>
      </c>
      <c r="H6" s="217">
        <f>$C6/4</f>
        <v>12242500</v>
      </c>
      <c r="I6" s="218">
        <f t="shared" ref="I6:K10" si="5">$C6/4</f>
        <v>12242500</v>
      </c>
      <c r="J6" s="218">
        <f t="shared" si="5"/>
        <v>12242500</v>
      </c>
      <c r="K6" s="219">
        <f t="shared" si="5"/>
        <v>12242500</v>
      </c>
      <c r="L6" s="566" t="s">
        <v>205</v>
      </c>
      <c r="M6" s="557" t="s">
        <v>205</v>
      </c>
      <c r="N6" s="557" t="s">
        <v>205</v>
      </c>
      <c r="O6" s="559" t="s">
        <v>205</v>
      </c>
      <c r="P6" s="930"/>
      <c r="AO6" s="48"/>
      <c r="AP6" s="48"/>
      <c r="AQ6" s="48"/>
      <c r="AR6" s="48"/>
    </row>
    <row r="7" spans="1:44" s="95" customFormat="1">
      <c r="A7" s="133"/>
      <c r="B7" s="273" t="str">
        <f>'Site 2 - Financial'!G5</f>
        <v>Office Shell &amp; Core Hard Costs for Construction</v>
      </c>
      <c r="C7" s="234">
        <f>'Site 2 - Financial'!I5</f>
        <v>51780810</v>
      </c>
      <c r="D7" s="267" t="s">
        <v>205</v>
      </c>
      <c r="E7" s="268" t="s">
        <v>205</v>
      </c>
      <c r="F7" s="268" t="s">
        <v>205</v>
      </c>
      <c r="G7" s="268" t="s">
        <v>205</v>
      </c>
      <c r="H7" s="528">
        <f t="shared" ref="H7:H10" si="6">$C7/4</f>
        <v>12945202.5</v>
      </c>
      <c r="I7" s="529">
        <f t="shared" si="5"/>
        <v>12945202.5</v>
      </c>
      <c r="J7" s="529">
        <f t="shared" si="5"/>
        <v>12945202.5</v>
      </c>
      <c r="K7" s="564">
        <f t="shared" si="5"/>
        <v>12945202.5</v>
      </c>
      <c r="L7" s="267" t="s">
        <v>205</v>
      </c>
      <c r="M7" s="268" t="s">
        <v>205</v>
      </c>
      <c r="N7" s="268" t="s">
        <v>205</v>
      </c>
      <c r="O7" s="269" t="s">
        <v>205</v>
      </c>
      <c r="P7" s="930"/>
      <c r="AO7" s="48"/>
      <c r="AP7" s="48"/>
      <c r="AQ7" s="48"/>
      <c r="AR7" s="48"/>
    </row>
    <row r="8" spans="1:44" s="95" customFormat="1">
      <c r="A8" s="133"/>
      <c r="B8" s="273" t="str">
        <f>'Site 2 - Financial'!G6</f>
        <v>Retail Hard Costs for Construction</v>
      </c>
      <c r="C8" s="234">
        <f>'Site 2 - Financial'!I6</f>
        <v>43420125</v>
      </c>
      <c r="D8" s="267" t="s">
        <v>205</v>
      </c>
      <c r="E8" s="268" t="s">
        <v>205</v>
      </c>
      <c r="F8" s="268" t="s">
        <v>205</v>
      </c>
      <c r="G8" s="268" t="s">
        <v>205</v>
      </c>
      <c r="H8" s="528">
        <f t="shared" si="6"/>
        <v>10855031.25</v>
      </c>
      <c r="I8" s="529">
        <f t="shared" si="5"/>
        <v>10855031.25</v>
      </c>
      <c r="J8" s="529">
        <f t="shared" si="5"/>
        <v>10855031.25</v>
      </c>
      <c r="K8" s="564">
        <f t="shared" si="5"/>
        <v>10855031.25</v>
      </c>
      <c r="L8" s="267" t="s">
        <v>205</v>
      </c>
      <c r="M8" s="268" t="s">
        <v>205</v>
      </c>
      <c r="N8" s="268" t="s">
        <v>205</v>
      </c>
      <c r="O8" s="269" t="s">
        <v>205</v>
      </c>
      <c r="P8" s="930"/>
      <c r="AO8" s="48"/>
      <c r="AP8" s="48"/>
      <c r="AQ8" s="48"/>
      <c r="AR8" s="48"/>
    </row>
    <row r="9" spans="1:44" s="95" customFormat="1">
      <c r="A9" s="133"/>
      <c r="B9" s="273" t="str">
        <f>'Site 2 - Financial'!G7</f>
        <v>Parking stalls</v>
      </c>
      <c r="C9" s="234">
        <f>'Site 2 - Financial'!I7</f>
        <v>16665480</v>
      </c>
      <c r="D9" s="267" t="s">
        <v>205</v>
      </c>
      <c r="E9" s="268" t="s">
        <v>205</v>
      </c>
      <c r="F9" s="268" t="s">
        <v>205</v>
      </c>
      <c r="G9" s="268" t="s">
        <v>205</v>
      </c>
      <c r="H9" s="528">
        <f t="shared" si="6"/>
        <v>4166370</v>
      </c>
      <c r="I9" s="529">
        <f t="shared" si="5"/>
        <v>4166370</v>
      </c>
      <c r="J9" s="529">
        <f t="shared" si="5"/>
        <v>4166370</v>
      </c>
      <c r="K9" s="564">
        <f t="shared" si="5"/>
        <v>4166370</v>
      </c>
      <c r="L9" s="267" t="s">
        <v>205</v>
      </c>
      <c r="M9" s="268" t="s">
        <v>205</v>
      </c>
      <c r="N9" s="268" t="s">
        <v>205</v>
      </c>
      <c r="O9" s="269" t="s">
        <v>205</v>
      </c>
      <c r="P9" s="930"/>
      <c r="AO9" s="48"/>
      <c r="AP9" s="48"/>
      <c r="AQ9" s="48"/>
      <c r="AR9" s="48"/>
    </row>
    <row r="10" spans="1:44" s="95" customFormat="1">
      <c r="A10" s="133"/>
      <c r="B10" s="273" t="str">
        <f>'Site 2 - Financial'!G8</f>
        <v>Hard Cost Contingency</v>
      </c>
      <c r="C10" s="234">
        <f>'Site 2 - Financial'!I8</f>
        <v>16083641.5</v>
      </c>
      <c r="D10" s="270" t="s">
        <v>205</v>
      </c>
      <c r="E10" s="271" t="s">
        <v>205</v>
      </c>
      <c r="F10" s="268" t="s">
        <v>205</v>
      </c>
      <c r="G10" s="268" t="s">
        <v>205</v>
      </c>
      <c r="H10" s="528">
        <f t="shared" si="6"/>
        <v>4020910.375</v>
      </c>
      <c r="I10" s="529">
        <f t="shared" si="5"/>
        <v>4020910.375</v>
      </c>
      <c r="J10" s="529">
        <f t="shared" si="5"/>
        <v>4020910.375</v>
      </c>
      <c r="K10" s="564">
        <f t="shared" si="5"/>
        <v>4020910.375</v>
      </c>
      <c r="L10" s="270" t="s">
        <v>205</v>
      </c>
      <c r="M10" s="271" t="s">
        <v>205</v>
      </c>
      <c r="N10" s="271" t="s">
        <v>205</v>
      </c>
      <c r="O10" s="272" t="s">
        <v>205</v>
      </c>
      <c r="P10" s="930"/>
      <c r="AO10" s="48"/>
      <c r="AP10" s="48"/>
      <c r="AQ10" s="48"/>
      <c r="AR10" s="48"/>
    </row>
    <row r="11" spans="1:44" s="95" customFormat="1">
      <c r="A11" s="133"/>
      <c r="B11" s="273" t="str">
        <f>'Site 2 - Financial'!G9</f>
        <v>Demolition</v>
      </c>
      <c r="C11" s="234">
        <f>'Site 2 - Financial'!I9</f>
        <v>500000</v>
      </c>
      <c r="D11" s="270" t="s">
        <v>205</v>
      </c>
      <c r="E11" s="271" t="s">
        <v>205</v>
      </c>
      <c r="F11" s="268" t="s">
        <v>205</v>
      </c>
      <c r="G11" s="268" t="s">
        <v>205</v>
      </c>
      <c r="H11" s="217">
        <f>C11</f>
        <v>500000</v>
      </c>
      <c r="I11" s="218">
        <v>0</v>
      </c>
      <c r="J11" s="218">
        <v>0</v>
      </c>
      <c r="K11" s="385">
        <v>0</v>
      </c>
      <c r="L11" s="270" t="s">
        <v>205</v>
      </c>
      <c r="M11" s="271" t="s">
        <v>205</v>
      </c>
      <c r="N11" s="271" t="s">
        <v>205</v>
      </c>
      <c r="O11" s="272" t="s">
        <v>205</v>
      </c>
      <c r="P11" s="930"/>
      <c r="AO11" s="48"/>
      <c r="AP11" s="48"/>
      <c r="AQ11" s="48"/>
      <c r="AR11" s="48"/>
    </row>
    <row r="12" spans="1:44" s="95" customFormat="1" ht="19.05" customHeight="1">
      <c r="A12" s="133"/>
      <c r="B12" s="273" t="str">
        <f>'Site 2 - Financial'!G10</f>
        <v>Land</v>
      </c>
      <c r="C12" s="234">
        <f>'Site 2 - Financial'!I10</f>
        <v>59705578.512396693</v>
      </c>
      <c r="D12" s="270" t="s">
        <v>205</v>
      </c>
      <c r="E12" s="271" t="s">
        <v>205</v>
      </c>
      <c r="F12" s="268" t="s">
        <v>205</v>
      </c>
      <c r="G12" s="268" t="s">
        <v>205</v>
      </c>
      <c r="H12" s="217">
        <f>C12</f>
        <v>59705578.512396693</v>
      </c>
      <c r="I12" s="218">
        <v>0</v>
      </c>
      <c r="J12" s="218">
        <v>0</v>
      </c>
      <c r="K12" s="385">
        <v>0</v>
      </c>
      <c r="L12" s="270" t="s">
        <v>205</v>
      </c>
      <c r="M12" s="271" t="s">
        <v>205</v>
      </c>
      <c r="N12" s="271" t="s">
        <v>205</v>
      </c>
      <c r="O12" s="272" t="s">
        <v>205</v>
      </c>
      <c r="P12" s="930"/>
      <c r="AO12" s="48"/>
      <c r="AP12" s="48"/>
      <c r="AQ12" s="48"/>
      <c r="AR12" s="48"/>
    </row>
    <row r="13" spans="1:44" s="95" customFormat="1">
      <c r="A13" s="133"/>
      <c r="B13" s="273" t="str">
        <f>'Site 2 - Financial'!G11</f>
        <v>Municipal Fees and Allowances</v>
      </c>
      <c r="C13" s="234">
        <f>'Site 2 - Financial'!I11</f>
        <v>630000</v>
      </c>
      <c r="D13" s="270" t="s">
        <v>205</v>
      </c>
      <c r="E13" s="271" t="s">
        <v>205</v>
      </c>
      <c r="F13" s="268" t="s">
        <v>205</v>
      </c>
      <c r="G13" s="268" t="s">
        <v>205</v>
      </c>
      <c r="H13" s="217">
        <f>C13</f>
        <v>630000</v>
      </c>
      <c r="I13" s="218">
        <v>0</v>
      </c>
      <c r="J13" s="218">
        <v>0</v>
      </c>
      <c r="K13" s="385">
        <v>0</v>
      </c>
      <c r="L13" s="270" t="s">
        <v>205</v>
      </c>
      <c r="M13" s="271" t="s">
        <v>205</v>
      </c>
      <c r="N13" s="271" t="s">
        <v>205</v>
      </c>
      <c r="O13" s="272" t="s">
        <v>205</v>
      </c>
      <c r="P13" s="930"/>
      <c r="AO13" s="48"/>
      <c r="AP13" s="48"/>
      <c r="AQ13" s="48"/>
      <c r="AR13" s="48"/>
    </row>
    <row r="14" spans="1:44" s="95" customFormat="1">
      <c r="A14" s="133"/>
      <c r="B14" s="273" t="str">
        <f>'Site 2 - Financial'!G12</f>
        <v>Infrastructure Allocation</v>
      </c>
      <c r="C14" s="234">
        <f>'Site 2 - Financial'!I12</f>
        <v>1337473.2880755607</v>
      </c>
      <c r="D14" s="267" t="s">
        <v>205</v>
      </c>
      <c r="E14" s="268" t="s">
        <v>205</v>
      </c>
      <c r="F14" s="268" t="s">
        <v>205</v>
      </c>
      <c r="G14" s="268" t="s">
        <v>205</v>
      </c>
      <c r="H14" s="217">
        <f>C14/4</f>
        <v>334368.32201889018</v>
      </c>
      <c r="I14" s="218">
        <f>H14</f>
        <v>334368.32201889018</v>
      </c>
      <c r="J14" s="218">
        <f>I14</f>
        <v>334368.32201889018</v>
      </c>
      <c r="K14" s="385">
        <f>J14</f>
        <v>334368.32201889018</v>
      </c>
      <c r="L14" s="267" t="s">
        <v>205</v>
      </c>
      <c r="M14" s="268" t="s">
        <v>205</v>
      </c>
      <c r="N14" s="268" t="s">
        <v>205</v>
      </c>
      <c r="O14" s="269" t="s">
        <v>205</v>
      </c>
      <c r="P14" s="930"/>
      <c r="AO14" s="48"/>
      <c r="AP14" s="48"/>
      <c r="AQ14" s="48"/>
      <c r="AR14" s="48"/>
    </row>
    <row r="15" spans="1:44" s="95" customFormat="1">
      <c r="A15" s="133"/>
      <c r="B15" s="273" t="str">
        <f>'Site 2 - Financial'!G13</f>
        <v>Legal</v>
      </c>
      <c r="C15" s="234">
        <f>'Site 2 - Financial'!I13</f>
        <v>400000</v>
      </c>
      <c r="D15" s="267" t="s">
        <v>205</v>
      </c>
      <c r="E15" s="268" t="s">
        <v>205</v>
      </c>
      <c r="F15" s="268" t="s">
        <v>205</v>
      </c>
      <c r="G15" s="268" t="s">
        <v>205</v>
      </c>
      <c r="H15" s="217">
        <f>C15/2</f>
        <v>200000</v>
      </c>
      <c r="I15" s="218">
        <v>0</v>
      </c>
      <c r="J15" s="218">
        <v>0</v>
      </c>
      <c r="K15" s="385">
        <f>H15</f>
        <v>200000</v>
      </c>
      <c r="L15" s="267" t="s">
        <v>205</v>
      </c>
      <c r="M15" s="268" t="s">
        <v>205</v>
      </c>
      <c r="N15" s="268" t="s">
        <v>205</v>
      </c>
      <c r="O15" s="269" t="s">
        <v>205</v>
      </c>
      <c r="P15" s="930"/>
      <c r="AO15" s="48"/>
      <c r="AP15" s="48"/>
      <c r="AQ15" s="48"/>
      <c r="AR15" s="48"/>
    </row>
    <row r="16" spans="1:44" s="95" customFormat="1">
      <c r="A16" s="133"/>
      <c r="B16" s="273" t="str">
        <f>'Site 2 - Financial'!G14</f>
        <v>Land Closing Costs/Commissions</v>
      </c>
      <c r="C16" s="234">
        <f>'Site 2 - Financial'!I14</f>
        <v>1194111.570247934</v>
      </c>
      <c r="D16" s="270" t="s">
        <v>205</v>
      </c>
      <c r="E16" s="402" t="s">
        <v>205</v>
      </c>
      <c r="F16" s="401" t="s">
        <v>205</v>
      </c>
      <c r="G16" s="401" t="s">
        <v>205</v>
      </c>
      <c r="H16" s="217">
        <f>C16</f>
        <v>1194111.570247934</v>
      </c>
      <c r="I16" s="218">
        <v>0</v>
      </c>
      <c r="J16" s="218">
        <v>0</v>
      </c>
      <c r="K16" s="385">
        <v>0</v>
      </c>
      <c r="L16" s="270" t="s">
        <v>205</v>
      </c>
      <c r="M16" s="271" t="s">
        <v>205</v>
      </c>
      <c r="N16" s="271" t="s">
        <v>205</v>
      </c>
      <c r="O16" s="502" t="s">
        <v>205</v>
      </c>
      <c r="P16" s="930"/>
      <c r="AO16" s="48"/>
      <c r="AP16" s="48"/>
      <c r="AQ16" s="48"/>
      <c r="AR16" s="48"/>
    </row>
    <row r="17" spans="1:44" s="95" customFormat="1">
      <c r="A17" s="133"/>
      <c r="B17" s="273" t="str">
        <f>'Site 2 - Financial'!G15</f>
        <v xml:space="preserve">Design </v>
      </c>
      <c r="C17" s="234">
        <f>'Site 2 - Financial'!I15</f>
        <v>6433456.6000000006</v>
      </c>
      <c r="D17" s="270" t="s">
        <v>205</v>
      </c>
      <c r="E17" s="402" t="s">
        <v>205</v>
      </c>
      <c r="F17" s="401" t="s">
        <v>205</v>
      </c>
      <c r="G17" s="401" t="s">
        <v>205</v>
      </c>
      <c r="H17" s="217">
        <f>$C$17*0.75</f>
        <v>4825092.45</v>
      </c>
      <c r="I17" s="218">
        <f>$C$17*0.25*(1/3)</f>
        <v>536121.3833333333</v>
      </c>
      <c r="J17" s="218">
        <f>$C$17*0.25*(1/3)</f>
        <v>536121.3833333333</v>
      </c>
      <c r="K17" s="385">
        <f>$C$17*0.25*(1/3)</f>
        <v>536121.3833333333</v>
      </c>
      <c r="L17" s="270" t="s">
        <v>205</v>
      </c>
      <c r="M17" s="271" t="s">
        <v>205</v>
      </c>
      <c r="N17" s="271" t="s">
        <v>205</v>
      </c>
      <c r="O17" s="502" t="s">
        <v>205</v>
      </c>
      <c r="P17" s="930"/>
      <c r="AO17" s="48"/>
      <c r="AP17" s="48"/>
      <c r="AQ17" s="48"/>
      <c r="AR17" s="48"/>
    </row>
    <row r="18" spans="1:44" s="95" customFormat="1" ht="19.05" customHeight="1">
      <c r="A18" s="133"/>
      <c r="B18" s="273" t="str">
        <f>'Site 2 - Financial'!G16</f>
        <v>Developer Fee</v>
      </c>
      <c r="C18" s="234">
        <f>'Site 2 - Financial'!I16</f>
        <v>7413620.2941216053</v>
      </c>
      <c r="D18" s="270" t="s">
        <v>205</v>
      </c>
      <c r="E18" s="402" t="s">
        <v>205</v>
      </c>
      <c r="F18" s="401" t="s">
        <v>205</v>
      </c>
      <c r="G18" s="401" t="s">
        <v>205</v>
      </c>
      <c r="H18" s="217">
        <f>C18/4</f>
        <v>1853405.0735304013</v>
      </c>
      <c r="I18" s="218">
        <f t="shared" ref="I18:K21" si="7">H18</f>
        <v>1853405.0735304013</v>
      </c>
      <c r="J18" s="218">
        <f t="shared" si="7"/>
        <v>1853405.0735304013</v>
      </c>
      <c r="K18" s="385">
        <f t="shared" si="7"/>
        <v>1853405.0735304013</v>
      </c>
      <c r="L18" s="270" t="s">
        <v>205</v>
      </c>
      <c r="M18" s="271" t="s">
        <v>205</v>
      </c>
      <c r="N18" s="271" t="s">
        <v>205</v>
      </c>
      <c r="O18" s="502" t="s">
        <v>205</v>
      </c>
      <c r="P18" s="930"/>
      <c r="AO18" s="48"/>
      <c r="AP18" s="48"/>
      <c r="AQ18" s="48"/>
      <c r="AR18" s="48"/>
    </row>
    <row r="19" spans="1:44" s="95" customFormat="1">
      <c r="A19" s="133"/>
      <c r="B19" s="273" t="str">
        <f>'Site 2 - Financial'!G17</f>
        <v>Construction Management Fee</v>
      </c>
      <c r="C19" s="234">
        <f>'Site 2 - Financial'!I17</f>
        <v>3216728.3000000003</v>
      </c>
      <c r="D19" s="270" t="s">
        <v>205</v>
      </c>
      <c r="E19" s="402" t="s">
        <v>205</v>
      </c>
      <c r="F19" s="401" t="s">
        <v>205</v>
      </c>
      <c r="G19" s="401" t="s">
        <v>205</v>
      </c>
      <c r="H19" s="217">
        <f>C19/4</f>
        <v>804182.07500000007</v>
      </c>
      <c r="I19" s="218">
        <f t="shared" si="7"/>
        <v>804182.07500000007</v>
      </c>
      <c r="J19" s="218">
        <f t="shared" si="7"/>
        <v>804182.07500000007</v>
      </c>
      <c r="K19" s="385">
        <f t="shared" si="7"/>
        <v>804182.07500000007</v>
      </c>
      <c r="L19" s="270" t="s">
        <v>205</v>
      </c>
      <c r="M19" s="271" t="s">
        <v>205</v>
      </c>
      <c r="N19" s="271" t="s">
        <v>205</v>
      </c>
      <c r="O19" s="502" t="s">
        <v>205</v>
      </c>
      <c r="P19" s="930"/>
      <c r="AO19" s="48"/>
      <c r="AP19" s="48"/>
      <c r="AQ19" s="48"/>
      <c r="AR19" s="48"/>
    </row>
    <row r="20" spans="1:44" s="95" customFormat="1">
      <c r="A20" s="133"/>
      <c r="B20" s="273" t="str">
        <f>'Site 2 - Financial'!G18</f>
        <v>Taxes</v>
      </c>
      <c r="C20" s="234">
        <f>'Site 2 - Financial'!I18</f>
        <v>527164.43491735531</v>
      </c>
      <c r="D20" s="267" t="s">
        <v>205</v>
      </c>
      <c r="E20" s="401" t="s">
        <v>205</v>
      </c>
      <c r="F20" s="401" t="s">
        <v>205</v>
      </c>
      <c r="G20" s="401" t="s">
        <v>205</v>
      </c>
      <c r="H20" s="217">
        <f>C20/4</f>
        <v>131791.10872933883</v>
      </c>
      <c r="I20" s="218">
        <f t="shared" si="7"/>
        <v>131791.10872933883</v>
      </c>
      <c r="J20" s="218">
        <f t="shared" si="7"/>
        <v>131791.10872933883</v>
      </c>
      <c r="K20" s="385">
        <f t="shared" si="7"/>
        <v>131791.10872933883</v>
      </c>
      <c r="L20" s="267" t="s">
        <v>205</v>
      </c>
      <c r="M20" s="268" t="s">
        <v>205</v>
      </c>
      <c r="N20" s="268" t="s">
        <v>205</v>
      </c>
      <c r="O20" s="501" t="s">
        <v>205</v>
      </c>
      <c r="P20" s="930"/>
      <c r="AO20" s="48"/>
      <c r="AP20" s="48"/>
      <c r="AQ20" s="48"/>
      <c r="AR20" s="48"/>
    </row>
    <row r="21" spans="1:44" s="95" customFormat="1">
      <c r="A21" s="133"/>
      <c r="B21" s="273" t="str">
        <f>'Site 2 - Financial'!G19</f>
        <v>Insurance</v>
      </c>
      <c r="C21" s="234">
        <f>'Site 2 - Financial'!I19</f>
        <v>1662000</v>
      </c>
      <c r="D21" s="270" t="s">
        <v>205</v>
      </c>
      <c r="E21" s="402" t="s">
        <v>205</v>
      </c>
      <c r="F21" s="401" t="s">
        <v>205</v>
      </c>
      <c r="G21" s="401" t="s">
        <v>205</v>
      </c>
      <c r="H21" s="217">
        <f>C21/4</f>
        <v>415500</v>
      </c>
      <c r="I21" s="218">
        <f t="shared" si="7"/>
        <v>415500</v>
      </c>
      <c r="J21" s="218">
        <f t="shared" si="7"/>
        <v>415500</v>
      </c>
      <c r="K21" s="385">
        <f t="shared" si="7"/>
        <v>415500</v>
      </c>
      <c r="L21" s="270" t="s">
        <v>205</v>
      </c>
      <c r="M21" s="271" t="s">
        <v>205</v>
      </c>
      <c r="N21" s="271" t="s">
        <v>205</v>
      </c>
      <c r="O21" s="502" t="s">
        <v>205</v>
      </c>
      <c r="P21" s="930"/>
      <c r="AO21" s="48"/>
      <c r="AP21" s="48"/>
      <c r="AQ21" s="48"/>
      <c r="AR21" s="48"/>
    </row>
    <row r="22" spans="1:44" s="95" customFormat="1">
      <c r="A22" s="133"/>
      <c r="B22" s="273" t="str">
        <f>'Site 2 - Financial'!G20</f>
        <v>Marketing, FFE and Preleasing</v>
      </c>
      <c r="C22" s="234">
        <f>'Site 2 - Financial'!I20</f>
        <v>400000</v>
      </c>
      <c r="D22" s="267" t="s">
        <v>205</v>
      </c>
      <c r="E22" s="401" t="s">
        <v>205</v>
      </c>
      <c r="F22" s="401" t="s">
        <v>205</v>
      </c>
      <c r="G22" s="401" t="s">
        <v>205</v>
      </c>
      <c r="H22" s="217">
        <v>0</v>
      </c>
      <c r="I22" s="218">
        <v>0</v>
      </c>
      <c r="J22" s="218">
        <f>C22/2</f>
        <v>200000</v>
      </c>
      <c r="K22" s="385">
        <f>J22</f>
        <v>200000</v>
      </c>
      <c r="L22" s="267" t="s">
        <v>205</v>
      </c>
      <c r="M22" s="268" t="s">
        <v>205</v>
      </c>
      <c r="N22" s="268" t="s">
        <v>205</v>
      </c>
      <c r="O22" s="501" t="s">
        <v>205</v>
      </c>
      <c r="P22" s="930"/>
      <c r="AO22" s="48"/>
      <c r="AP22" s="48"/>
      <c r="AQ22" s="48"/>
      <c r="AR22" s="48"/>
    </row>
    <row r="23" spans="1:44" s="95" customFormat="1">
      <c r="A23" s="133"/>
      <c r="B23" s="273" t="str">
        <f>'Site 2 - Financial'!G21</f>
        <v>Operating Deficit</v>
      </c>
      <c r="C23" s="234">
        <f>'Site 2 - Financial'!I21</f>
        <v>8288504.5430722507</v>
      </c>
      <c r="D23" s="267" t="s">
        <v>205</v>
      </c>
      <c r="E23" s="401" t="s">
        <v>205</v>
      </c>
      <c r="F23" s="401" t="s">
        <v>205</v>
      </c>
      <c r="G23" s="401" t="s">
        <v>205</v>
      </c>
      <c r="H23" s="217">
        <f>-(H36+H47+H56)</f>
        <v>1981176.75</v>
      </c>
      <c r="I23" s="218">
        <f t="shared" ref="I23" si="8">-(I36+I47+I56)</f>
        <v>2040612.0525</v>
      </c>
      <c r="J23" s="218">
        <f>-(J36+J47+J56)</f>
        <v>2101830.4140750002</v>
      </c>
      <c r="K23" s="385">
        <f>-(K36+K47+K56)</f>
        <v>2164885.3264972502</v>
      </c>
      <c r="L23" s="267" t="s">
        <v>205</v>
      </c>
      <c r="M23" s="268" t="s">
        <v>205</v>
      </c>
      <c r="N23" s="268" t="s">
        <v>205</v>
      </c>
      <c r="O23" s="501" t="s">
        <v>205</v>
      </c>
      <c r="P23" s="930"/>
      <c r="AO23" s="48"/>
      <c r="AP23" s="48"/>
      <c r="AQ23" s="48"/>
      <c r="AR23" s="48"/>
    </row>
    <row r="24" spans="1:44" s="95" customFormat="1">
      <c r="A24" s="133"/>
      <c r="B24" s="273" t="str">
        <f>'Site 2 - Financial'!G22</f>
        <v>Commercial Interior Fitout Cost</v>
      </c>
      <c r="C24" s="234">
        <f>'Site 2 - Financial'!I22</f>
        <v>52267180</v>
      </c>
      <c r="D24" s="267" t="s">
        <v>205</v>
      </c>
      <c r="E24" s="401" t="s">
        <v>205</v>
      </c>
      <c r="F24" s="401" t="s">
        <v>205</v>
      </c>
      <c r="G24" s="401" t="s">
        <v>205</v>
      </c>
      <c r="H24" s="217">
        <v>0</v>
      </c>
      <c r="I24" s="218">
        <v>0</v>
      </c>
      <c r="J24" s="218">
        <f>1/2*$C24</f>
        <v>26133590</v>
      </c>
      <c r="K24" s="385">
        <f>1/2*$C24</f>
        <v>26133590</v>
      </c>
      <c r="L24" s="267" t="s">
        <v>205</v>
      </c>
      <c r="M24" s="268" t="s">
        <v>205</v>
      </c>
      <c r="N24" s="268" t="s">
        <v>205</v>
      </c>
      <c r="O24" s="501" t="s">
        <v>205</v>
      </c>
      <c r="P24" s="930"/>
      <c r="AO24" s="48"/>
      <c r="AP24" s="48"/>
      <c r="AQ24" s="48"/>
      <c r="AR24" s="48"/>
    </row>
    <row r="25" spans="1:44" s="95" customFormat="1">
      <c r="A25" s="133"/>
      <c r="B25" s="273" t="str">
        <f>'Site 2 - Financial'!G23</f>
        <v>Commercial Brokerage Commission</v>
      </c>
      <c r="C25" s="234">
        <f>'Site 2 - Financial'!I23</f>
        <v>4529224.5</v>
      </c>
      <c r="D25" s="267" t="s">
        <v>205</v>
      </c>
      <c r="E25" s="401" t="s">
        <v>205</v>
      </c>
      <c r="F25" s="401" t="s">
        <v>205</v>
      </c>
      <c r="G25" s="401" t="s">
        <v>205</v>
      </c>
      <c r="H25" s="217">
        <v>0</v>
      </c>
      <c r="I25" s="218">
        <v>0</v>
      </c>
      <c r="J25" s="218">
        <f>C25/2</f>
        <v>2264612.25</v>
      </c>
      <c r="K25" s="385">
        <f>J25</f>
        <v>2264612.25</v>
      </c>
      <c r="L25" s="267" t="s">
        <v>205</v>
      </c>
      <c r="M25" s="268" t="s">
        <v>205</v>
      </c>
      <c r="N25" s="268" t="s">
        <v>205</v>
      </c>
      <c r="O25" s="501" t="s">
        <v>205</v>
      </c>
      <c r="P25" s="930"/>
      <c r="AO25" s="48"/>
      <c r="AP25" s="48"/>
      <c r="AQ25" s="48"/>
      <c r="AR25" s="48"/>
    </row>
    <row r="26" spans="1:44" s="95" customFormat="1">
      <c r="A26" s="133"/>
      <c r="B26" s="273" t="str">
        <f>'Site 2 - Financial'!G24</f>
        <v>Construction Loan Origination</v>
      </c>
      <c r="C26" s="234">
        <f>'Site 2 - Financial'!I24</f>
        <v>2000000</v>
      </c>
      <c r="D26" s="267" t="s">
        <v>205</v>
      </c>
      <c r="E26" s="401" t="s">
        <v>205</v>
      </c>
      <c r="F26" s="401" t="s">
        <v>205</v>
      </c>
      <c r="G26" s="401" t="s">
        <v>205</v>
      </c>
      <c r="H26" s="217">
        <f>C26</f>
        <v>2000000</v>
      </c>
      <c r="I26" s="218">
        <v>0</v>
      </c>
      <c r="J26" s="218">
        <v>0</v>
      </c>
      <c r="K26" s="385">
        <v>0</v>
      </c>
      <c r="L26" s="267" t="s">
        <v>205</v>
      </c>
      <c r="M26" s="268" t="s">
        <v>205</v>
      </c>
      <c r="N26" s="268" t="s">
        <v>205</v>
      </c>
      <c r="O26" s="501" t="s">
        <v>205</v>
      </c>
      <c r="P26" s="930"/>
      <c r="AO26" s="48"/>
      <c r="AP26" s="48"/>
      <c r="AQ26" s="48"/>
      <c r="AR26" s="48"/>
    </row>
    <row r="27" spans="1:44" s="95" customFormat="1">
      <c r="A27" s="133"/>
      <c r="B27" s="273" t="str">
        <f>'Site 2 - Financial'!G25</f>
        <v>Construction Interest</v>
      </c>
      <c r="C27" s="234">
        <f>'Site 2 - Financial'!I25</f>
        <v>14000000</v>
      </c>
      <c r="D27" s="267" t="s">
        <v>205</v>
      </c>
      <c r="E27" s="401" t="s">
        <v>205</v>
      </c>
      <c r="F27" s="401" t="s">
        <v>205</v>
      </c>
      <c r="G27" s="401" t="s">
        <v>205</v>
      </c>
      <c r="H27" s="217">
        <f>1/4*$C27</f>
        <v>3500000</v>
      </c>
      <c r="I27" s="218">
        <f t="shared" ref="I27:K28" si="9">H27</f>
        <v>3500000</v>
      </c>
      <c r="J27" s="218">
        <f t="shared" si="9"/>
        <v>3500000</v>
      </c>
      <c r="K27" s="385">
        <f t="shared" si="9"/>
        <v>3500000</v>
      </c>
      <c r="L27" s="267" t="s">
        <v>205</v>
      </c>
      <c r="M27" s="268" t="s">
        <v>205</v>
      </c>
      <c r="N27" s="268" t="s">
        <v>205</v>
      </c>
      <c r="O27" s="501" t="s">
        <v>205</v>
      </c>
      <c r="P27" s="930"/>
      <c r="AO27" s="48"/>
      <c r="AP27" s="48"/>
      <c r="AQ27" s="48"/>
      <c r="AR27" s="48"/>
    </row>
    <row r="28" spans="1:44" s="95" customFormat="1">
      <c r="A28" s="133"/>
      <c r="B28" s="273" t="str">
        <f>'Site 2 - Financial'!G26</f>
        <v>Additional Contingency</v>
      </c>
      <c r="C28" s="234">
        <f>'Site 2 - Financial'!I26</f>
        <v>5000000</v>
      </c>
      <c r="D28" s="267" t="s">
        <v>205</v>
      </c>
      <c r="E28" s="401" t="s">
        <v>205</v>
      </c>
      <c r="F28" s="401" t="s">
        <v>205</v>
      </c>
      <c r="G28" s="401" t="s">
        <v>205</v>
      </c>
      <c r="H28" s="217">
        <f>C28/4</f>
        <v>1250000</v>
      </c>
      <c r="I28" s="218">
        <f t="shared" si="9"/>
        <v>1250000</v>
      </c>
      <c r="J28" s="218">
        <f t="shared" si="9"/>
        <v>1250000</v>
      </c>
      <c r="K28" s="385">
        <f t="shared" si="9"/>
        <v>1250000</v>
      </c>
      <c r="L28" s="267" t="s">
        <v>205</v>
      </c>
      <c r="M28" s="268" t="s">
        <v>205</v>
      </c>
      <c r="N28" s="268" t="s">
        <v>205</v>
      </c>
      <c r="O28" s="501" t="s">
        <v>205</v>
      </c>
      <c r="P28" s="930"/>
      <c r="AO28" s="48"/>
      <c r="AP28" s="48"/>
      <c r="AQ28" s="48"/>
      <c r="AR28" s="48"/>
    </row>
    <row r="29" spans="1:44" s="95" customFormat="1" ht="15" thickBot="1">
      <c r="A29" s="133"/>
      <c r="B29" s="209" t="s">
        <v>619</v>
      </c>
      <c r="C29" s="830">
        <f>-'Site 2 - Financial'!I28</f>
        <v>-4853000</v>
      </c>
      <c r="D29" s="253" t="s">
        <v>205</v>
      </c>
      <c r="E29" s="828" t="s">
        <v>205</v>
      </c>
      <c r="F29" s="828" t="s">
        <v>205</v>
      </c>
      <c r="G29" s="828" t="s">
        <v>205</v>
      </c>
      <c r="H29" s="825">
        <f>C29</f>
        <v>-4853000</v>
      </c>
      <c r="I29" s="826">
        <v>0</v>
      </c>
      <c r="J29" s="826">
        <v>0</v>
      </c>
      <c r="K29" s="937">
        <v>0</v>
      </c>
      <c r="L29" s="253"/>
      <c r="M29" s="248"/>
      <c r="N29" s="248"/>
      <c r="O29" s="196"/>
      <c r="P29" s="930"/>
      <c r="AO29" s="48"/>
      <c r="AP29" s="48"/>
      <c r="AQ29" s="48"/>
      <c r="AR29" s="48"/>
    </row>
    <row r="30" spans="1:44" s="95" customFormat="1" ht="15" thickBot="1">
      <c r="A30" s="133"/>
      <c r="B30" s="98" t="s">
        <v>39</v>
      </c>
      <c r="C30" s="254">
        <f>SUM(C6:C29)</f>
        <v>341572098.54283142</v>
      </c>
      <c r="D30" s="255">
        <f t="shared" ref="D30:O30" si="10">SUM(D6:D29)</f>
        <v>0</v>
      </c>
      <c r="E30" s="256">
        <f t="shared" si="10"/>
        <v>0</v>
      </c>
      <c r="F30" s="256">
        <f t="shared" si="10"/>
        <v>0</v>
      </c>
      <c r="G30" s="256">
        <f t="shared" si="10"/>
        <v>0</v>
      </c>
      <c r="H30" s="255">
        <f t="shared" si="10"/>
        <v>118702219.98692326</v>
      </c>
      <c r="I30" s="256">
        <f t="shared" si="10"/>
        <v>55095994.140111968</v>
      </c>
      <c r="J30" s="256">
        <f t="shared" si="10"/>
        <v>83755414.75168696</v>
      </c>
      <c r="K30" s="386">
        <f t="shared" si="10"/>
        <v>84018469.664109215</v>
      </c>
      <c r="L30" s="255">
        <f t="shared" si="10"/>
        <v>0</v>
      </c>
      <c r="M30" s="256">
        <f t="shared" si="10"/>
        <v>0</v>
      </c>
      <c r="N30" s="256">
        <f t="shared" si="10"/>
        <v>0</v>
      </c>
      <c r="O30" s="503">
        <f t="shared" si="10"/>
        <v>0</v>
      </c>
      <c r="P30" s="930"/>
      <c r="AO30" s="48"/>
      <c r="AP30" s="48"/>
      <c r="AQ30" s="48"/>
      <c r="AR30" s="48"/>
    </row>
    <row r="31" spans="1:44" s="133" customFormat="1">
      <c r="B31" s="193" t="s">
        <v>607</v>
      </c>
      <c r="C31" s="230"/>
      <c r="D31" s="250"/>
      <c r="E31" s="241"/>
      <c r="F31" s="241"/>
      <c r="G31" s="387"/>
      <c r="H31" s="250"/>
      <c r="I31" s="241"/>
      <c r="J31" s="241"/>
      <c r="K31" s="387"/>
      <c r="L31" s="250"/>
      <c r="M31" s="241"/>
      <c r="N31" s="241"/>
      <c r="O31" s="505"/>
      <c r="AO31" s="47"/>
      <c r="AP31" s="47"/>
      <c r="AQ31" s="47"/>
      <c r="AR31" s="47"/>
    </row>
    <row r="32" spans="1:44" s="133" customFormat="1">
      <c r="B32" s="194" t="s">
        <v>92</v>
      </c>
      <c r="C32" s="231" t="s">
        <v>205</v>
      </c>
      <c r="D32" s="251">
        <v>0</v>
      </c>
      <c r="E32" s="243">
        <v>0</v>
      </c>
      <c r="F32" s="243">
        <v>0</v>
      </c>
      <c r="G32" s="388">
        <v>0</v>
      </c>
      <c r="H32" s="251">
        <v>0</v>
      </c>
      <c r="I32" s="243">
        <v>0</v>
      </c>
      <c r="J32" s="243">
        <v>0</v>
      </c>
      <c r="K32" s="388">
        <v>0</v>
      </c>
      <c r="L32" s="251">
        <f>'Site 2 - Financial'!F8</f>
        <v>5745000</v>
      </c>
      <c r="M32" s="388">
        <f>L32*(1+Assumptions!$F$14)</f>
        <v>5917350</v>
      </c>
      <c r="N32" s="243" t="s">
        <v>205</v>
      </c>
      <c r="O32" s="244" t="s">
        <v>205</v>
      </c>
      <c r="AO32" s="47"/>
      <c r="AP32" s="47"/>
      <c r="AQ32" s="47"/>
      <c r="AR32" s="47"/>
    </row>
    <row r="33" spans="2:44" s="133" customFormat="1">
      <c r="B33" s="194" t="s">
        <v>539</v>
      </c>
      <c r="C33" s="231" t="s">
        <v>205</v>
      </c>
      <c r="D33" s="251">
        <v>0</v>
      </c>
      <c r="E33" s="243">
        <v>0</v>
      </c>
      <c r="F33" s="243">
        <v>0</v>
      </c>
      <c r="G33" s="388">
        <v>0</v>
      </c>
      <c r="H33" s="251">
        <v>0</v>
      </c>
      <c r="I33" s="243">
        <v>0</v>
      </c>
      <c r="J33" s="243">
        <v>0</v>
      </c>
      <c r="K33" s="388">
        <v>0</v>
      </c>
      <c r="L33" s="251">
        <f>12*'Site 2 - Financial'!$C$20*Assumptions!$D$22</f>
        <v>414000</v>
      </c>
      <c r="M33" s="243">
        <f>L33*(1+Assumptions!$F$14)</f>
        <v>426420</v>
      </c>
      <c r="N33" s="931" t="s">
        <v>205</v>
      </c>
      <c r="O33" s="244" t="s">
        <v>205</v>
      </c>
      <c r="AO33" s="47"/>
      <c r="AP33" s="47"/>
      <c r="AQ33" s="47"/>
      <c r="AR33" s="47"/>
    </row>
    <row r="34" spans="2:44" s="133" customFormat="1">
      <c r="B34" s="205" t="s">
        <v>313</v>
      </c>
      <c r="C34" s="231" t="s">
        <v>205</v>
      </c>
      <c r="D34" s="251">
        <v>0</v>
      </c>
      <c r="E34" s="243">
        <v>0</v>
      </c>
      <c r="F34" s="243">
        <v>0</v>
      </c>
      <c r="G34" s="388">
        <v>0</v>
      </c>
      <c r="H34" s="251">
        <v>0</v>
      </c>
      <c r="I34" s="243">
        <v>0</v>
      </c>
      <c r="J34" s="243">
        <v>0</v>
      </c>
      <c r="K34" s="388">
        <v>0</v>
      </c>
      <c r="L34" s="251">
        <f>(SUM(Assumptions!D35,Assumptions!D37)*'Site 2 - Financial'!D8)*((1+Assumptions!$F$14)^'Site 2 - Draw'!L2)</f>
        <v>1366844.9178172376</v>
      </c>
      <c r="M34" s="618">
        <f>L34*(1+Assumptions!$F$14)</f>
        <v>1407850.2653517546</v>
      </c>
      <c r="N34" s="931" t="s">
        <v>205</v>
      </c>
      <c r="O34" s="244" t="s">
        <v>205</v>
      </c>
      <c r="AO34" s="47"/>
      <c r="AP34" s="47"/>
      <c r="AQ34" s="47"/>
      <c r="AR34" s="47"/>
    </row>
    <row r="35" spans="2:44" s="133" customFormat="1">
      <c r="B35" s="239" t="s">
        <v>94</v>
      </c>
      <c r="C35" s="240" t="s">
        <v>205</v>
      </c>
      <c r="D35" s="115">
        <f>SUM(D32:D34)</f>
        <v>0</v>
      </c>
      <c r="E35" s="107">
        <f t="shared" ref="E35:L35" si="11">SUM(E32:E34)</f>
        <v>0</v>
      </c>
      <c r="F35" s="107">
        <f t="shared" si="11"/>
        <v>0</v>
      </c>
      <c r="G35" s="389">
        <f t="shared" si="11"/>
        <v>0</v>
      </c>
      <c r="H35" s="115">
        <f>SUM(H32:H34)</f>
        <v>0</v>
      </c>
      <c r="I35" s="107">
        <f>SUM(I32:I34)</f>
        <v>0</v>
      </c>
      <c r="J35" s="107">
        <f>SUM(J32:J34)</f>
        <v>0</v>
      </c>
      <c r="K35" s="389">
        <f>SUM(K32:K34)</f>
        <v>0</v>
      </c>
      <c r="L35" s="115">
        <f t="shared" si="11"/>
        <v>7525844.9178172378</v>
      </c>
      <c r="M35" s="107">
        <f>SUM(M32:M34)</f>
        <v>7751620.2653517546</v>
      </c>
      <c r="N35" s="107" t="s">
        <v>205</v>
      </c>
      <c r="O35" s="506" t="s">
        <v>205</v>
      </c>
      <c r="AO35" s="47"/>
      <c r="AP35" s="47"/>
      <c r="AQ35" s="47"/>
      <c r="AR35" s="47"/>
    </row>
    <row r="36" spans="2:44" s="133" customFormat="1">
      <c r="B36" s="205" t="s">
        <v>543</v>
      </c>
      <c r="C36" s="231" t="s">
        <v>205</v>
      </c>
      <c r="D36" s="251">
        <v>0</v>
      </c>
      <c r="E36" s="243">
        <v>0</v>
      </c>
      <c r="F36" s="243">
        <v>0</v>
      </c>
      <c r="G36" s="388">
        <v>0</v>
      </c>
      <c r="H36" s="251">
        <f>-(Assumptions!D34+Assumptions!D35)*'Site 2 - Financial'!D8</f>
        <v>-954500</v>
      </c>
      <c r="I36" s="243">
        <f>H36*(1+Assumptions!$F$14)</f>
        <v>-983135</v>
      </c>
      <c r="J36" s="243">
        <f>I36*(1+Assumptions!$F$14)</f>
        <v>-1012629.05</v>
      </c>
      <c r="K36" s="388">
        <f>J36*(1+Assumptions!$F$14)</f>
        <v>-1043007.9215000001</v>
      </c>
      <c r="L36" s="251">
        <f>-(Assumptions!D38*'Site 2 - Financial'!D8)*((1+Assumptions!$F$14)^'Site 2 - Draw'!L2)</f>
        <v>-2102838.3351034424</v>
      </c>
      <c r="M36" s="243">
        <f>L36*(1+Assumptions!$F$14)</f>
        <v>-2165923.4851565459</v>
      </c>
      <c r="N36" s="243" t="s">
        <v>205</v>
      </c>
      <c r="O36" s="932" t="s">
        <v>205</v>
      </c>
      <c r="AO36" s="47"/>
      <c r="AP36" s="47"/>
      <c r="AQ36" s="47"/>
      <c r="AR36" s="47"/>
    </row>
    <row r="37" spans="2:44" s="133" customFormat="1">
      <c r="B37" s="205" t="s">
        <v>321</v>
      </c>
      <c r="C37" s="231" t="s">
        <v>205</v>
      </c>
      <c r="D37" s="251">
        <f t="shared" ref="D37:M37" si="12">-5%*D35</f>
        <v>0</v>
      </c>
      <c r="E37" s="243">
        <f t="shared" si="12"/>
        <v>0</v>
      </c>
      <c r="F37" s="243">
        <f t="shared" si="12"/>
        <v>0</v>
      </c>
      <c r="G37" s="388">
        <f t="shared" si="12"/>
        <v>0</v>
      </c>
      <c r="H37" s="251">
        <f t="shared" si="12"/>
        <v>0</v>
      </c>
      <c r="I37" s="243">
        <f t="shared" si="12"/>
        <v>0</v>
      </c>
      <c r="J37" s="243">
        <f t="shared" si="12"/>
        <v>0</v>
      </c>
      <c r="K37" s="388">
        <f t="shared" si="12"/>
        <v>0</v>
      </c>
      <c r="L37" s="251">
        <f t="shared" si="12"/>
        <v>-376292.2458908619</v>
      </c>
      <c r="M37" s="243">
        <f t="shared" si="12"/>
        <v>-387581.01326758775</v>
      </c>
      <c r="N37" s="243" t="s">
        <v>205</v>
      </c>
      <c r="O37" s="332" t="s">
        <v>205</v>
      </c>
      <c r="AO37" s="47"/>
      <c r="AP37" s="47"/>
      <c r="AQ37" s="47"/>
      <c r="AR37" s="47"/>
    </row>
    <row r="38" spans="2:44" s="133" customFormat="1">
      <c r="B38" s="239" t="s">
        <v>95</v>
      </c>
      <c r="C38" s="240" t="s">
        <v>205</v>
      </c>
      <c r="D38" s="115">
        <f t="shared" ref="D38:E38" si="13">SUM(D35:D37)</f>
        <v>0</v>
      </c>
      <c r="E38" s="107">
        <f t="shared" si="13"/>
        <v>0</v>
      </c>
      <c r="F38" s="107">
        <f t="shared" ref="F38:M38" si="14">SUM(F35:F37)</f>
        <v>0</v>
      </c>
      <c r="G38" s="389">
        <f t="shared" si="14"/>
        <v>0</v>
      </c>
      <c r="H38" s="115">
        <f t="shared" si="14"/>
        <v>-954500</v>
      </c>
      <c r="I38" s="107">
        <f t="shared" si="14"/>
        <v>-983135</v>
      </c>
      <c r="J38" s="107">
        <f t="shared" si="14"/>
        <v>-1012629.05</v>
      </c>
      <c r="K38" s="389">
        <f t="shared" si="14"/>
        <v>-1043007.9215000001</v>
      </c>
      <c r="L38" s="115">
        <f t="shared" si="14"/>
        <v>5046714.3368229335</v>
      </c>
      <c r="M38" s="107">
        <f t="shared" si="14"/>
        <v>5198115.7669276204</v>
      </c>
      <c r="N38" s="107" t="s">
        <v>205</v>
      </c>
      <c r="O38" s="506" t="s">
        <v>205</v>
      </c>
      <c r="AO38" s="47"/>
      <c r="AP38" s="47"/>
      <c r="AQ38" s="47"/>
      <c r="AR38" s="47"/>
    </row>
    <row r="39" spans="2:44" s="133" customFormat="1" ht="15" thickBot="1">
      <c r="B39" s="223" t="s">
        <v>328</v>
      </c>
      <c r="C39" s="232" t="s">
        <v>205</v>
      </c>
      <c r="D39" s="252">
        <v>0</v>
      </c>
      <c r="E39" s="245">
        <v>0</v>
      </c>
      <c r="F39" s="245">
        <v>0</v>
      </c>
      <c r="G39" s="920">
        <v>0</v>
      </c>
      <c r="H39" s="922">
        <v>0</v>
      </c>
      <c r="I39" s="245">
        <v>0</v>
      </c>
      <c r="J39" s="245">
        <v>0</v>
      </c>
      <c r="K39" s="920">
        <v>0</v>
      </c>
      <c r="L39" s="621">
        <f>(M38/Assumptions!$I$6)*0.98</f>
        <v>107245335.82292774</v>
      </c>
      <c r="M39" s="927" t="s">
        <v>205</v>
      </c>
      <c r="N39" s="927" t="s">
        <v>205</v>
      </c>
      <c r="O39" s="507" t="s">
        <v>205</v>
      </c>
      <c r="AO39" s="47"/>
      <c r="AP39" s="47"/>
      <c r="AQ39" s="47"/>
      <c r="AR39" s="47"/>
    </row>
    <row r="40" spans="2:44" s="133" customFormat="1">
      <c r="B40" s="193" t="s">
        <v>338</v>
      </c>
      <c r="C40" s="230"/>
      <c r="D40" s="250"/>
      <c r="E40" s="241"/>
      <c r="F40" s="241"/>
      <c r="G40" s="387"/>
      <c r="H40" s="250"/>
      <c r="I40" s="241"/>
      <c r="J40" s="241"/>
      <c r="K40" s="387"/>
      <c r="L40" s="250"/>
      <c r="M40" s="241"/>
      <c r="N40" s="241"/>
      <c r="O40" s="505"/>
      <c r="AO40" s="47"/>
      <c r="AP40" s="47"/>
      <c r="AQ40" s="47"/>
      <c r="AR40" s="47"/>
    </row>
    <row r="41" spans="2:44" s="133" customFormat="1">
      <c r="B41" s="194" t="s">
        <v>92</v>
      </c>
      <c r="C41" s="231" t="s">
        <v>205</v>
      </c>
      <c r="D41" s="251">
        <v>0</v>
      </c>
      <c r="E41" s="243">
        <v>0</v>
      </c>
      <c r="F41" s="243">
        <v>0</v>
      </c>
      <c r="G41" s="388">
        <v>0</v>
      </c>
      <c r="H41" s="251">
        <v>0</v>
      </c>
      <c r="I41" s="243">
        <v>0</v>
      </c>
      <c r="J41" s="243">
        <v>0</v>
      </c>
      <c r="K41" s="388">
        <v>0</v>
      </c>
      <c r="L41" s="251">
        <f>'Site 2 - Financial'!D11*'Site 2 - Financial'!E11</f>
        <v>5959625</v>
      </c>
      <c r="M41" s="388">
        <f>L41*(1+Assumptions!$F$14)</f>
        <v>6138413.75</v>
      </c>
      <c r="N41" s="243" t="s">
        <v>205</v>
      </c>
      <c r="O41" s="244" t="s">
        <v>205</v>
      </c>
      <c r="AO41" s="47"/>
      <c r="AP41" s="47"/>
      <c r="AQ41" s="47"/>
      <c r="AR41" s="47"/>
    </row>
    <row r="42" spans="2:44" s="133" customFormat="1">
      <c r="B42" s="194" t="s">
        <v>539</v>
      </c>
      <c r="C42" s="231" t="s">
        <v>205</v>
      </c>
      <c r="D42" s="251">
        <v>0</v>
      </c>
      <c r="E42" s="243">
        <v>0</v>
      </c>
      <c r="F42" s="243">
        <v>0</v>
      </c>
      <c r="G42" s="388">
        <v>0</v>
      </c>
      <c r="H42" s="251">
        <v>0</v>
      </c>
      <c r="I42" s="243">
        <v>0</v>
      </c>
      <c r="J42" s="243">
        <v>0</v>
      </c>
      <c r="K42" s="388">
        <v>0</v>
      </c>
      <c r="L42" s="251">
        <f>12*'Site 2 - Financial'!$C$21*Assumptions!$D$21*0.5</f>
        <v>336000</v>
      </c>
      <c r="M42" s="243">
        <f>L42*(1+Assumptions!$F$14)</f>
        <v>346080</v>
      </c>
      <c r="N42" s="243" t="s">
        <v>205</v>
      </c>
      <c r="O42" s="244" t="s">
        <v>205</v>
      </c>
      <c r="AO42" s="47"/>
      <c r="AP42" s="47"/>
      <c r="AQ42" s="47"/>
      <c r="AR42" s="47"/>
    </row>
    <row r="43" spans="2:44" s="133" customFormat="1">
      <c r="B43" s="205" t="s">
        <v>313</v>
      </c>
      <c r="C43" s="231" t="s">
        <v>205</v>
      </c>
      <c r="D43" s="251">
        <v>0</v>
      </c>
      <c r="E43" s="243">
        <v>0</v>
      </c>
      <c r="F43" s="243">
        <v>0</v>
      </c>
      <c r="G43" s="388">
        <v>0</v>
      </c>
      <c r="H43" s="251">
        <v>0</v>
      </c>
      <c r="I43" s="243">
        <v>0</v>
      </c>
      <c r="J43" s="243">
        <v>0</v>
      </c>
      <c r="K43" s="388">
        <v>0</v>
      </c>
      <c r="L43" s="251">
        <f>(Assumptions!D30*'Site 2 - Financial'!D11)*(1+Assumptions!$F$14)^O2</f>
        <v>1154932.0694542644</v>
      </c>
      <c r="M43" s="618">
        <f>L43*(1+Assumptions!$F$14)</f>
        <v>1189580.0315378923</v>
      </c>
      <c r="N43" s="243" t="s">
        <v>205</v>
      </c>
      <c r="O43" s="244" t="s">
        <v>205</v>
      </c>
      <c r="AO43" s="47"/>
      <c r="AP43" s="47"/>
      <c r="AQ43" s="47"/>
      <c r="AR43" s="47"/>
    </row>
    <row r="44" spans="2:44" s="133" customFormat="1">
      <c r="B44" s="239" t="s">
        <v>94</v>
      </c>
      <c r="C44" s="240" t="s">
        <v>205</v>
      </c>
      <c r="D44" s="115">
        <f>SUM(D41:D43)</f>
        <v>0</v>
      </c>
      <c r="E44" s="107">
        <f>SUM(E41:E43)</f>
        <v>0</v>
      </c>
      <c r="F44" s="107">
        <f>SUM(F41:F43)</f>
        <v>0</v>
      </c>
      <c r="G44" s="389">
        <f>SUM(G41:G43)</f>
        <v>0</v>
      </c>
      <c r="H44" s="115">
        <f>SUM(H41:H43)</f>
        <v>0</v>
      </c>
      <c r="I44" s="107">
        <f t="shared" ref="I44:M44" si="15">SUM(I41:I43)</f>
        <v>0</v>
      </c>
      <c r="J44" s="107">
        <f t="shared" si="15"/>
        <v>0</v>
      </c>
      <c r="K44" s="389">
        <f t="shared" si="15"/>
        <v>0</v>
      </c>
      <c r="L44" s="115">
        <f t="shared" si="15"/>
        <v>7450557.0694542639</v>
      </c>
      <c r="M44" s="107">
        <f t="shared" si="15"/>
        <v>7674073.7815378923</v>
      </c>
      <c r="N44" s="107" t="s">
        <v>205</v>
      </c>
      <c r="O44" s="506" t="s">
        <v>205</v>
      </c>
      <c r="AO44" s="47"/>
      <c r="AP44" s="47"/>
      <c r="AQ44" s="47"/>
      <c r="AR44" s="47"/>
    </row>
    <row r="45" spans="2:44" s="133" customFormat="1">
      <c r="B45" s="205" t="s">
        <v>543</v>
      </c>
      <c r="C45" s="231" t="s">
        <v>205</v>
      </c>
      <c r="D45" s="251">
        <v>0</v>
      </c>
      <c r="E45" s="243">
        <v>0</v>
      </c>
      <c r="F45" s="243">
        <v>0</v>
      </c>
      <c r="G45" s="388">
        <v>0</v>
      </c>
      <c r="H45" s="251">
        <f>-(Assumptions!D26+Assumptions!D27)*'Site 2 - Financial'!D11</f>
        <v>-468256.25</v>
      </c>
      <c r="I45" s="243">
        <f>H45*(1+Assumptions!$F$14)</f>
        <v>-482303.9375</v>
      </c>
      <c r="J45" s="243">
        <f>I45*(1+Assumptions!$F$14)</f>
        <v>-496773.05562500004</v>
      </c>
      <c r="K45" s="388">
        <f>J45*(1+Assumptions!$F$14)</f>
        <v>-511676.24729375006</v>
      </c>
      <c r="L45" s="251">
        <f>-(Assumptions!D30*'Site 2 - Financial'!D11)*(1+Assumptions!$F$14)^L2</f>
        <v>-1056926.450480554</v>
      </c>
      <c r="M45" s="243">
        <f>L45*(1+Assumptions!$F$14)</f>
        <v>-1088634.2439949706</v>
      </c>
      <c r="N45" s="243" t="s">
        <v>205</v>
      </c>
      <c r="O45" s="511" t="s">
        <v>205</v>
      </c>
      <c r="AO45" s="47"/>
      <c r="AP45" s="47"/>
      <c r="AQ45" s="47"/>
      <c r="AR45" s="47"/>
    </row>
    <row r="46" spans="2:44" s="133" customFormat="1">
      <c r="B46" s="205" t="s">
        <v>321</v>
      </c>
      <c r="C46" s="231" t="s">
        <v>205</v>
      </c>
      <c r="D46" s="251">
        <f t="shared" ref="D46:M46" si="16">-5%*D44</f>
        <v>0</v>
      </c>
      <c r="E46" s="243">
        <f t="shared" si="16"/>
        <v>0</v>
      </c>
      <c r="F46" s="243">
        <f t="shared" ref="F46" si="17">-5%*F44</f>
        <v>0</v>
      </c>
      <c r="G46" s="388">
        <f t="shared" si="16"/>
        <v>0</v>
      </c>
      <c r="H46" s="251">
        <f t="shared" si="16"/>
        <v>0</v>
      </c>
      <c r="I46" s="243">
        <f t="shared" si="16"/>
        <v>0</v>
      </c>
      <c r="J46" s="243">
        <f t="shared" si="16"/>
        <v>0</v>
      </c>
      <c r="K46" s="388">
        <f t="shared" si="16"/>
        <v>0</v>
      </c>
      <c r="L46" s="251">
        <f t="shared" si="16"/>
        <v>-372527.85347271321</v>
      </c>
      <c r="M46" s="243">
        <f t="shared" si="16"/>
        <v>-383703.68907689466</v>
      </c>
      <c r="N46" s="243" t="s">
        <v>205</v>
      </c>
      <c r="O46" s="332" t="s">
        <v>205</v>
      </c>
      <c r="AO46" s="47"/>
      <c r="AP46" s="47"/>
      <c r="AQ46" s="47"/>
      <c r="AR46" s="47"/>
    </row>
    <row r="47" spans="2:44" s="133" customFormat="1">
      <c r="B47" s="239" t="s">
        <v>95</v>
      </c>
      <c r="C47" s="240" t="s">
        <v>205</v>
      </c>
      <c r="D47" s="115">
        <f t="shared" ref="D47:M47" si="18">SUM(D44:D46)</f>
        <v>0</v>
      </c>
      <c r="E47" s="107">
        <f t="shared" si="18"/>
        <v>0</v>
      </c>
      <c r="F47" s="107">
        <f t="shared" ref="F47" si="19">SUM(F44:F46)</f>
        <v>0</v>
      </c>
      <c r="G47" s="389">
        <f t="shared" si="18"/>
        <v>0</v>
      </c>
      <c r="H47" s="115">
        <f t="shared" si="18"/>
        <v>-468256.25</v>
      </c>
      <c r="I47" s="107">
        <f t="shared" si="18"/>
        <v>-482303.9375</v>
      </c>
      <c r="J47" s="107">
        <f t="shared" si="18"/>
        <v>-496773.05562500004</v>
      </c>
      <c r="K47" s="389">
        <f t="shared" si="18"/>
        <v>-511676.24729375006</v>
      </c>
      <c r="L47" s="115">
        <f t="shared" si="18"/>
        <v>6021102.7655009963</v>
      </c>
      <c r="M47" s="107">
        <f t="shared" si="18"/>
        <v>6201735.8484660266</v>
      </c>
      <c r="N47" s="107" t="s">
        <v>205</v>
      </c>
      <c r="O47" s="506" t="s">
        <v>205</v>
      </c>
      <c r="AO47" s="47"/>
      <c r="AP47" s="47"/>
      <c r="AQ47" s="47"/>
      <c r="AR47" s="47"/>
    </row>
    <row r="48" spans="2:44" s="133" customFormat="1" ht="15" thickBot="1">
      <c r="B48" s="223" t="s">
        <v>328</v>
      </c>
      <c r="C48" s="232" t="s">
        <v>205</v>
      </c>
      <c r="D48" s="252">
        <v>0</v>
      </c>
      <c r="E48" s="245">
        <v>0</v>
      </c>
      <c r="F48" s="245">
        <v>0</v>
      </c>
      <c r="G48" s="920">
        <v>0</v>
      </c>
      <c r="H48" s="922">
        <v>0</v>
      </c>
      <c r="I48" s="245">
        <v>0</v>
      </c>
      <c r="J48" s="245">
        <v>0</v>
      </c>
      <c r="K48" s="920">
        <v>0</v>
      </c>
      <c r="L48" s="922">
        <f>(M47/Assumptions!I9)*0.98</f>
        <v>143004732.50580484</v>
      </c>
      <c r="M48" s="927" t="s">
        <v>205</v>
      </c>
      <c r="N48" s="933" t="s">
        <v>205</v>
      </c>
      <c r="O48" s="507" t="s">
        <v>205</v>
      </c>
      <c r="AO48" s="47"/>
      <c r="AP48" s="47"/>
      <c r="AQ48" s="47"/>
      <c r="AR48" s="47"/>
    </row>
    <row r="49" spans="2:44" s="133" customFormat="1">
      <c r="B49" s="193" t="s">
        <v>406</v>
      </c>
      <c r="C49" s="230"/>
      <c r="D49" s="250"/>
      <c r="E49" s="241"/>
      <c r="F49" s="241"/>
      <c r="G49" s="387"/>
      <c r="H49" s="250"/>
      <c r="I49" s="241"/>
      <c r="J49" s="241"/>
      <c r="K49" s="387"/>
      <c r="L49" s="250"/>
      <c r="M49" s="241"/>
      <c r="N49" s="241"/>
      <c r="O49" s="505"/>
      <c r="AO49" s="47"/>
      <c r="AP49" s="47"/>
      <c r="AQ49" s="47"/>
      <c r="AR49" s="47"/>
    </row>
    <row r="50" spans="2:44" s="133" customFormat="1">
      <c r="B50" s="194" t="s">
        <v>92</v>
      </c>
      <c r="C50" s="231" t="s">
        <v>205</v>
      </c>
      <c r="D50" s="251">
        <v>0</v>
      </c>
      <c r="E50" s="243">
        <v>0</v>
      </c>
      <c r="F50" s="243">
        <v>0</v>
      </c>
      <c r="G50" s="388">
        <v>0</v>
      </c>
      <c r="H50" s="251">
        <v>0</v>
      </c>
      <c r="I50" s="243">
        <v>0</v>
      </c>
      <c r="J50" s="243">
        <v>0</v>
      </c>
      <c r="K50" s="388">
        <v>0</v>
      </c>
      <c r="L50" s="251">
        <f>'Site 2 - Financial'!D12*'Site 2 - Financial'!E12</f>
        <v>9137790</v>
      </c>
      <c r="M50" s="388">
        <f>L50*(1+Assumptions!$F$14)</f>
        <v>9411923.7000000011</v>
      </c>
      <c r="N50" s="243" t="s">
        <v>205</v>
      </c>
      <c r="O50" s="244" t="s">
        <v>205</v>
      </c>
      <c r="AO50" s="47"/>
      <c r="AP50" s="47"/>
      <c r="AQ50" s="47"/>
      <c r="AR50" s="47"/>
    </row>
    <row r="51" spans="2:44" s="133" customFormat="1">
      <c r="B51" s="194" t="s">
        <v>539</v>
      </c>
      <c r="C51" s="231" t="s">
        <v>205</v>
      </c>
      <c r="D51" s="251">
        <v>0</v>
      </c>
      <c r="E51" s="243">
        <v>0</v>
      </c>
      <c r="F51" s="243">
        <v>0</v>
      </c>
      <c r="G51" s="388">
        <v>0</v>
      </c>
      <c r="H51" s="251">
        <v>0</v>
      </c>
      <c r="I51" s="243">
        <v>0</v>
      </c>
      <c r="J51" s="243">
        <v>0</v>
      </c>
      <c r="K51" s="388">
        <v>0</v>
      </c>
      <c r="L51" s="251">
        <f>12*'Site 2 - Financial'!$C$21*Assumptions!$D$21*0.5</f>
        <v>336000</v>
      </c>
      <c r="M51" s="243">
        <f>L51*(1+Assumptions!$F$14)</f>
        <v>346080</v>
      </c>
      <c r="N51" s="243" t="s">
        <v>205</v>
      </c>
      <c r="O51" s="244" t="s">
        <v>205</v>
      </c>
      <c r="AO51" s="47"/>
      <c r="AP51" s="47"/>
      <c r="AQ51" s="47"/>
      <c r="AR51" s="47"/>
    </row>
    <row r="52" spans="2:44" s="133" customFormat="1">
      <c r="B52" s="194" t="s">
        <v>313</v>
      </c>
      <c r="C52" s="231" t="s">
        <v>205</v>
      </c>
      <c r="D52" s="251">
        <v>0</v>
      </c>
      <c r="E52" s="243">
        <v>0</v>
      </c>
      <c r="F52" s="243">
        <v>0</v>
      </c>
      <c r="G52" s="388">
        <v>0</v>
      </c>
      <c r="H52" s="251">
        <v>0</v>
      </c>
      <c r="I52" s="243">
        <v>0</v>
      </c>
      <c r="J52" s="243">
        <v>0</v>
      </c>
      <c r="K52" s="388">
        <v>0</v>
      </c>
      <c r="L52" s="251">
        <f>(Assumptions!D30*'Site 2 - Financial'!D12)*(1+Assumptions!F14)^L2</f>
        <v>1260441.0447069872</v>
      </c>
      <c r="M52" s="618">
        <f>L52*(1+Assumptions!$F$14)</f>
        <v>1298254.2760481969</v>
      </c>
      <c r="N52" s="243" t="s">
        <v>205</v>
      </c>
      <c r="O52" s="244" t="s">
        <v>205</v>
      </c>
      <c r="AO52" s="47"/>
      <c r="AP52" s="47"/>
      <c r="AQ52" s="47"/>
      <c r="AR52" s="47"/>
    </row>
    <row r="53" spans="2:44" s="133" customFormat="1">
      <c r="B53" s="239" t="s">
        <v>94</v>
      </c>
      <c r="C53" s="240" t="s">
        <v>205</v>
      </c>
      <c r="D53" s="115">
        <f t="shared" ref="D53:M53" si="20">SUM(D50:D52)</f>
        <v>0</v>
      </c>
      <c r="E53" s="107">
        <f t="shared" si="20"/>
        <v>0</v>
      </c>
      <c r="F53" s="107">
        <f t="shared" ref="F53" si="21">SUM(F50:F52)</f>
        <v>0</v>
      </c>
      <c r="G53" s="389">
        <f t="shared" si="20"/>
        <v>0</v>
      </c>
      <c r="H53" s="115">
        <f t="shared" si="20"/>
        <v>0</v>
      </c>
      <c r="I53" s="107">
        <f>SUM(I50:I52)</f>
        <v>0</v>
      </c>
      <c r="J53" s="107">
        <f>SUM(J50:J52)</f>
        <v>0</v>
      </c>
      <c r="K53" s="389">
        <f t="shared" si="20"/>
        <v>0</v>
      </c>
      <c r="L53" s="115">
        <f t="shared" ref="L53" si="22">SUM(L50:L52)</f>
        <v>10734231.044706987</v>
      </c>
      <c r="M53" s="107">
        <f t="shared" si="20"/>
        <v>11056257.976048198</v>
      </c>
      <c r="N53" s="107" t="s">
        <v>205</v>
      </c>
      <c r="O53" s="506" t="s">
        <v>205</v>
      </c>
      <c r="AO53" s="47"/>
      <c r="AP53" s="47"/>
      <c r="AQ53" s="47"/>
      <c r="AR53" s="47"/>
    </row>
    <row r="54" spans="2:44" s="133" customFormat="1">
      <c r="B54" s="205" t="s">
        <v>543</v>
      </c>
      <c r="C54" s="231" t="s">
        <v>205</v>
      </c>
      <c r="D54" s="251">
        <v>0</v>
      </c>
      <c r="E54" s="243">
        <v>0</v>
      </c>
      <c r="F54" s="243">
        <v>0</v>
      </c>
      <c r="G54" s="388">
        <v>0</v>
      </c>
      <c r="H54" s="251">
        <f>-(Assumptions!D26+Assumptions!D27)*'Site 2 - Financial'!D12</f>
        <v>-558420.5</v>
      </c>
      <c r="I54" s="243">
        <f>H54*(1+Assumptions!$F$14)</f>
        <v>-575173.11499999999</v>
      </c>
      <c r="J54" s="243">
        <f>I54*(1+Assumptions!$F$14)</f>
        <v>-592428.30845000001</v>
      </c>
      <c r="K54" s="388">
        <f>J54*(1+Assumptions!$F$14)</f>
        <v>-610201.15770350001</v>
      </c>
      <c r="L54" s="251">
        <f>-(Assumptions!D30*'Site 2 - Financial'!D12)*(1+Assumptions!$F$14)^L2</f>
        <v>-1260441.0447069872</v>
      </c>
      <c r="M54" s="243">
        <f>L54*(1+Assumptions!$F$14)</f>
        <v>-1298254.2760481969</v>
      </c>
      <c r="N54" s="243" t="s">
        <v>205</v>
      </c>
      <c r="O54" s="244" t="s">
        <v>205</v>
      </c>
      <c r="AO54" s="47"/>
      <c r="AP54" s="47"/>
      <c r="AQ54" s="47"/>
      <c r="AR54" s="47"/>
    </row>
    <row r="55" spans="2:44" s="133" customFormat="1">
      <c r="B55" s="194" t="s">
        <v>321</v>
      </c>
      <c r="C55" s="231" t="s">
        <v>205</v>
      </c>
      <c r="D55" s="251">
        <f t="shared" ref="D55:M55" si="23">-5%*D53</f>
        <v>0</v>
      </c>
      <c r="E55" s="243">
        <f t="shared" si="23"/>
        <v>0</v>
      </c>
      <c r="F55" s="243">
        <f t="shared" ref="F55" si="24">-5%*F53</f>
        <v>0</v>
      </c>
      <c r="G55" s="388">
        <f t="shared" si="23"/>
        <v>0</v>
      </c>
      <c r="H55" s="251">
        <f t="shared" si="23"/>
        <v>0</v>
      </c>
      <c r="I55" s="243">
        <f t="shared" si="23"/>
        <v>0</v>
      </c>
      <c r="J55" s="243">
        <f t="shared" si="23"/>
        <v>0</v>
      </c>
      <c r="K55" s="388">
        <f t="shared" si="23"/>
        <v>0</v>
      </c>
      <c r="L55" s="251">
        <f t="shared" si="23"/>
        <v>-536711.55223534943</v>
      </c>
      <c r="M55" s="243">
        <f t="shared" si="23"/>
        <v>-552812.89880240988</v>
      </c>
      <c r="N55" s="243" t="s">
        <v>205</v>
      </c>
      <c r="O55" s="332" t="s">
        <v>205</v>
      </c>
      <c r="AO55" s="47"/>
      <c r="AP55" s="47"/>
      <c r="AQ55" s="47"/>
      <c r="AR55" s="47"/>
    </row>
    <row r="56" spans="2:44" s="133" customFormat="1">
      <c r="B56" s="239" t="s">
        <v>95</v>
      </c>
      <c r="C56" s="240" t="s">
        <v>205</v>
      </c>
      <c r="D56" s="115">
        <f t="shared" ref="D56:M56" si="25">SUM(D53:D55)</f>
        <v>0</v>
      </c>
      <c r="E56" s="107">
        <f t="shared" si="25"/>
        <v>0</v>
      </c>
      <c r="F56" s="107">
        <f t="shared" ref="F56" si="26">SUM(F53:F55)</f>
        <v>0</v>
      </c>
      <c r="G56" s="389">
        <f t="shared" si="25"/>
        <v>0</v>
      </c>
      <c r="H56" s="115">
        <f t="shared" si="25"/>
        <v>-558420.5</v>
      </c>
      <c r="I56" s="107">
        <f t="shared" si="25"/>
        <v>-575173.11499999999</v>
      </c>
      <c r="J56" s="107">
        <f t="shared" si="25"/>
        <v>-592428.30845000001</v>
      </c>
      <c r="K56" s="389">
        <f t="shared" si="25"/>
        <v>-610201.15770350001</v>
      </c>
      <c r="L56" s="115">
        <f t="shared" ref="L56" si="27">SUM(L53:L55)</f>
        <v>8937078.44776465</v>
      </c>
      <c r="M56" s="107">
        <f t="shared" si="25"/>
        <v>9205190.8011975922</v>
      </c>
      <c r="N56" s="107" t="s">
        <v>205</v>
      </c>
      <c r="O56" s="506" t="s">
        <v>205</v>
      </c>
      <c r="AO56" s="47"/>
      <c r="AP56" s="47"/>
      <c r="AQ56" s="47"/>
      <c r="AR56" s="47"/>
    </row>
    <row r="57" spans="2:44" s="133" customFormat="1" ht="15" thickBot="1">
      <c r="B57" s="197" t="s">
        <v>328</v>
      </c>
      <c r="C57" s="232" t="s">
        <v>205</v>
      </c>
      <c r="D57" s="252">
        <v>0</v>
      </c>
      <c r="E57" s="245">
        <v>0</v>
      </c>
      <c r="F57" s="245">
        <v>0</v>
      </c>
      <c r="G57" s="920">
        <v>0</v>
      </c>
      <c r="H57" s="922">
        <v>0</v>
      </c>
      <c r="I57" s="245">
        <v>0</v>
      </c>
      <c r="J57" s="245">
        <v>0</v>
      </c>
      <c r="K57" s="920">
        <v>0</v>
      </c>
      <c r="L57" s="922">
        <f>M56/Assumptions!I8</f>
        <v>193793490.55152825</v>
      </c>
      <c r="M57" s="927" t="s">
        <v>205</v>
      </c>
      <c r="N57" s="927" t="s">
        <v>205</v>
      </c>
      <c r="O57" s="507" t="s">
        <v>205</v>
      </c>
      <c r="AO57" s="47"/>
      <c r="AP57" s="47"/>
      <c r="AQ57" s="47"/>
      <c r="AR57" s="47"/>
    </row>
    <row r="58" spans="2:44" s="133" customFormat="1" ht="15" thickBot="1">
      <c r="B58" s="254" t="s">
        <v>341</v>
      </c>
      <c r="C58" s="360">
        <f>IRR(H58:L58)</f>
        <v>0.12060940125363007</v>
      </c>
      <c r="D58" s="255">
        <f>-D30</f>
        <v>0</v>
      </c>
      <c r="E58" s="256">
        <f t="shared" ref="E58:M58" si="28">-E30</f>
        <v>0</v>
      </c>
      <c r="F58" s="256">
        <f t="shared" si="28"/>
        <v>0</v>
      </c>
      <c r="G58" s="386">
        <f t="shared" si="28"/>
        <v>0</v>
      </c>
      <c r="H58" s="255">
        <f t="shared" si="28"/>
        <v>-118702219.98692326</v>
      </c>
      <c r="I58" s="256">
        <f t="shared" si="28"/>
        <v>-55095994.140111968</v>
      </c>
      <c r="J58" s="256">
        <f t="shared" si="28"/>
        <v>-83755414.75168696</v>
      </c>
      <c r="K58" s="386">
        <f t="shared" si="28"/>
        <v>-84018469.664109215</v>
      </c>
      <c r="L58" s="255">
        <f>SUM(L38:L39,L47:L48,L56:L57)</f>
        <v>464048454.43034935</v>
      </c>
      <c r="M58" s="256">
        <f t="shared" si="28"/>
        <v>0</v>
      </c>
      <c r="N58" s="256">
        <f>SUM(N38:N39,N56:N57,N47:N48,N30)</f>
        <v>0</v>
      </c>
      <c r="O58" s="503">
        <v>0</v>
      </c>
      <c r="AO58" s="47"/>
      <c r="AP58" s="47"/>
      <c r="AQ58" s="47"/>
      <c r="AR58" s="47"/>
    </row>
    <row r="59" spans="2:44" s="133" customFormat="1">
      <c r="B59" s="194" t="s">
        <v>344</v>
      </c>
      <c r="C59" s="258">
        <f>Assumptions!I13</f>
        <v>4.4999999999999998E-2</v>
      </c>
      <c r="D59" s="253" t="s">
        <v>205</v>
      </c>
      <c r="E59" s="248" t="s">
        <v>205</v>
      </c>
      <c r="F59" s="248" t="s">
        <v>205</v>
      </c>
      <c r="G59" s="391" t="s">
        <v>205</v>
      </c>
      <c r="H59" s="253">
        <f>-PMT(C59,30,-'Site 2 - Financial'!E17)</f>
        <v>-12581782.886442266</v>
      </c>
      <c r="I59" s="248">
        <f t="shared" ref="I59:L59" si="29">H59</f>
        <v>-12581782.886442266</v>
      </c>
      <c r="J59" s="248">
        <f t="shared" si="29"/>
        <v>-12581782.886442266</v>
      </c>
      <c r="K59" s="391">
        <f t="shared" si="29"/>
        <v>-12581782.886442266</v>
      </c>
      <c r="L59" s="253">
        <f t="shared" si="29"/>
        <v>-12581782.886442266</v>
      </c>
      <c r="M59" s="248" t="s">
        <v>205</v>
      </c>
      <c r="N59" s="248" t="s">
        <v>205</v>
      </c>
      <c r="O59" s="196" t="s">
        <v>205</v>
      </c>
      <c r="AO59" s="47"/>
      <c r="AP59" s="47"/>
      <c r="AQ59" s="47"/>
      <c r="AR59" s="47"/>
    </row>
    <row r="60" spans="2:44" s="199" customFormat="1" outlineLevel="1">
      <c r="B60" s="361" t="s">
        <v>399</v>
      </c>
      <c r="C60" s="362"/>
      <c r="D60" s="363" t="s">
        <v>205</v>
      </c>
      <c r="E60" s="364" t="s">
        <v>205</v>
      </c>
      <c r="F60" s="364" t="s">
        <v>205</v>
      </c>
      <c r="G60" s="392" t="s">
        <v>205</v>
      </c>
      <c r="H60" s="363">
        <f>$C$59*'Site 2 - Financial'!$E$17</f>
        <v>9222446.6606564466</v>
      </c>
      <c r="I60" s="364">
        <f>H62*$C$59</f>
        <v>9071276.5304960851</v>
      </c>
      <c r="J60" s="364">
        <f t="shared" ref="J60:L60" si="30">I62*$C$59</f>
        <v>8913303.744478507</v>
      </c>
      <c r="K60" s="392">
        <f t="shared" si="30"/>
        <v>8748222.1830901392</v>
      </c>
      <c r="L60" s="363">
        <f t="shared" si="30"/>
        <v>8575711.9514392931</v>
      </c>
      <c r="M60" s="364" t="s">
        <v>205</v>
      </c>
      <c r="N60" s="364" t="s">
        <v>205</v>
      </c>
      <c r="O60" s="525" t="s">
        <v>205</v>
      </c>
      <c r="AO60" s="368"/>
      <c r="AP60" s="368"/>
      <c r="AQ60" s="368"/>
      <c r="AR60" s="368"/>
    </row>
    <row r="61" spans="2:44" s="199" customFormat="1" outlineLevel="1">
      <c r="B61" s="361" t="s">
        <v>400</v>
      </c>
      <c r="C61" s="362"/>
      <c r="D61" s="363" t="s">
        <v>205</v>
      </c>
      <c r="E61" s="364" t="s">
        <v>205</v>
      </c>
      <c r="F61" s="364" t="s">
        <v>205</v>
      </c>
      <c r="G61" s="392" t="s">
        <v>205</v>
      </c>
      <c r="H61" s="363">
        <f t="shared" ref="H61:L61" si="31">-(H60+H59)</f>
        <v>3359336.2257858198</v>
      </c>
      <c r="I61" s="364">
        <f t="shared" si="31"/>
        <v>3510506.3559461813</v>
      </c>
      <c r="J61" s="364">
        <f t="shared" si="31"/>
        <v>3668479.1419637594</v>
      </c>
      <c r="K61" s="392">
        <f t="shared" si="31"/>
        <v>3833560.7033521272</v>
      </c>
      <c r="L61" s="363">
        <f t="shared" si="31"/>
        <v>4006070.9350029733</v>
      </c>
      <c r="M61" s="364" t="s">
        <v>205</v>
      </c>
      <c r="N61" s="364" t="s">
        <v>205</v>
      </c>
      <c r="O61" s="525" t="s">
        <v>205</v>
      </c>
      <c r="AO61" s="368"/>
      <c r="AP61" s="368"/>
      <c r="AQ61" s="368"/>
      <c r="AR61" s="368"/>
    </row>
    <row r="62" spans="2:44" s="199" customFormat="1" outlineLevel="1">
      <c r="B62" s="361" t="s">
        <v>408</v>
      </c>
      <c r="C62" s="362"/>
      <c r="D62" s="363" t="s">
        <v>205</v>
      </c>
      <c r="E62" s="364" t="s">
        <v>205</v>
      </c>
      <c r="F62" s="364" t="s">
        <v>205</v>
      </c>
      <c r="G62" s="392" t="s">
        <v>205</v>
      </c>
      <c r="H62" s="363">
        <f>'Site 2 - Financial'!E17-H61</f>
        <v>201583922.89991301</v>
      </c>
      <c r="I62" s="364">
        <f t="shared" ref="I62:J62" si="32">H62-I61</f>
        <v>198073416.54396683</v>
      </c>
      <c r="J62" s="364">
        <f t="shared" si="32"/>
        <v>194404937.40200308</v>
      </c>
      <c r="K62" s="392">
        <f t="shared" ref="K62:L62" si="33">J62-K61</f>
        <v>190571376.69865096</v>
      </c>
      <c r="L62" s="363">
        <f t="shared" si="33"/>
        <v>186565305.76364797</v>
      </c>
      <c r="M62" s="364" t="s">
        <v>205</v>
      </c>
      <c r="N62" s="364" t="s">
        <v>205</v>
      </c>
      <c r="O62" s="525" t="s">
        <v>205</v>
      </c>
      <c r="AO62" s="368"/>
      <c r="AP62" s="368"/>
      <c r="AQ62" s="368"/>
      <c r="AR62" s="368"/>
    </row>
    <row r="63" spans="2:44" s="133" customFormat="1" ht="15" thickBot="1">
      <c r="B63" s="194" t="s">
        <v>345</v>
      </c>
      <c r="C63" s="233"/>
      <c r="D63" s="509" t="s">
        <v>205</v>
      </c>
      <c r="E63" s="510" t="s">
        <v>205</v>
      </c>
      <c r="F63" s="510" t="s">
        <v>205</v>
      </c>
      <c r="G63" s="924" t="s">
        <v>205</v>
      </c>
      <c r="H63" s="926">
        <f t="shared" ref="H63:K63" si="34">H58*0.4</f>
        <v>-47480887.994769305</v>
      </c>
      <c r="I63" s="510">
        <f t="shared" si="34"/>
        <v>-22038397.656044789</v>
      </c>
      <c r="J63" s="510">
        <f t="shared" si="34"/>
        <v>-33502165.900674786</v>
      </c>
      <c r="K63" s="924">
        <f t="shared" si="34"/>
        <v>-33607387.865643688</v>
      </c>
      <c r="L63" s="926">
        <v>0</v>
      </c>
      <c r="M63" s="928" t="s">
        <v>205</v>
      </c>
      <c r="N63" s="928" t="s">
        <v>205</v>
      </c>
      <c r="O63" s="526" t="s">
        <v>205</v>
      </c>
      <c r="AO63" s="47"/>
      <c r="AP63" s="47"/>
      <c r="AQ63" s="47"/>
      <c r="AR63" s="47"/>
    </row>
    <row r="64" spans="2:44" s="145" customFormat="1" ht="15" thickBot="1">
      <c r="B64" s="254" t="s">
        <v>342</v>
      </c>
      <c r="C64" s="360">
        <f>IRR(H64:L64)</f>
        <v>0.13940828210977041</v>
      </c>
      <c r="D64" s="255">
        <v>0</v>
      </c>
      <c r="E64" s="256">
        <v>0</v>
      </c>
      <c r="F64" s="256">
        <v>0</v>
      </c>
      <c r="G64" s="386">
        <v>0</v>
      </c>
      <c r="H64" s="545">
        <f t="shared" ref="H64:K64" si="35">H63+H59</f>
        <v>-60062670.881211571</v>
      </c>
      <c r="I64" s="257">
        <f t="shared" si="35"/>
        <v>-34620180.542487055</v>
      </c>
      <c r="J64" s="257">
        <f t="shared" si="35"/>
        <v>-46083948.787117049</v>
      </c>
      <c r="K64" s="386">
        <f t="shared" si="35"/>
        <v>-46189170.752085954</v>
      </c>
      <c r="L64" s="255">
        <f>L58+L59-L62</f>
        <v>264901365.78025913</v>
      </c>
      <c r="M64" s="256">
        <v>0</v>
      </c>
      <c r="N64" s="256">
        <v>0</v>
      </c>
      <c r="O64" s="503">
        <v>0</v>
      </c>
      <c r="AO64" s="263"/>
      <c r="AP64" s="263"/>
      <c r="AQ64" s="263"/>
      <c r="AR64" s="263"/>
    </row>
    <row r="65" spans="1:44" s="95" customFormat="1">
      <c r="A65" s="133"/>
      <c r="B65" s="48"/>
      <c r="C65" s="48"/>
      <c r="D65" s="48"/>
      <c r="E65" s="48"/>
      <c r="F65" s="48"/>
      <c r="G65" s="48"/>
      <c r="H65" s="48"/>
      <c r="I65" s="48"/>
      <c r="J65" s="48"/>
      <c r="K65" s="48"/>
      <c r="L65" s="48"/>
      <c r="M65" s="48"/>
      <c r="N65" s="48"/>
      <c r="O65" s="48"/>
      <c r="P65" s="48"/>
      <c r="Q65" s="48"/>
      <c r="R65" s="48"/>
      <c r="S65" s="48"/>
      <c r="T65" s="48"/>
      <c r="U65" s="48"/>
      <c r="V65" s="48"/>
      <c r="W65" s="48"/>
      <c r="X65" s="48"/>
      <c r="Y65" s="48"/>
      <c r="Z65" s="48"/>
      <c r="AA65" s="48"/>
      <c r="AB65" s="48"/>
      <c r="AC65" s="48"/>
      <c r="AD65" s="48"/>
      <c r="AE65" s="48"/>
      <c r="AF65" s="48"/>
      <c r="AG65" s="48"/>
      <c r="AH65" s="48"/>
      <c r="AI65" s="48"/>
      <c r="AJ65" s="48"/>
      <c r="AK65" s="48"/>
      <c r="AL65" s="48"/>
      <c r="AO65" s="48"/>
      <c r="AP65" s="48"/>
      <c r="AQ65" s="48"/>
      <c r="AR65" s="48"/>
    </row>
    <row r="66" spans="1:44" s="95" customFormat="1">
      <c r="A66" s="133"/>
      <c r="B66" s="48"/>
      <c r="C66" s="179"/>
      <c r="D66" s="48"/>
      <c r="E66" s="48"/>
      <c r="F66" s="48"/>
      <c r="G66" s="48"/>
      <c r="H66" s="48"/>
      <c r="I66" s="48"/>
      <c r="J66" s="48"/>
      <c r="K66" s="48"/>
      <c r="L66" s="48"/>
      <c r="M66" s="48"/>
      <c r="N66" s="48"/>
      <c r="O66" s="48"/>
      <c r="P66" s="48"/>
      <c r="Q66" s="48"/>
      <c r="R66" s="48"/>
      <c r="S66" s="48"/>
      <c r="T66" s="48"/>
      <c r="U66" s="48"/>
      <c r="V66" s="48"/>
      <c r="W66" s="48"/>
      <c r="X66" s="48"/>
      <c r="Y66" s="48"/>
      <c r="Z66" s="48"/>
      <c r="AA66" s="48"/>
      <c r="AB66" s="48"/>
      <c r="AC66" s="48"/>
      <c r="AD66" s="48"/>
      <c r="AE66" s="48"/>
      <c r="AF66" s="48"/>
      <c r="AG66" s="48"/>
      <c r="AH66" s="48"/>
      <c r="AI66" s="48"/>
      <c r="AJ66" s="48"/>
      <c r="AK66" s="48"/>
      <c r="AL66" s="48"/>
      <c r="AO66" s="48"/>
      <c r="AP66" s="48"/>
      <c r="AQ66" s="48"/>
      <c r="AR66" s="48"/>
    </row>
    <row r="67" spans="1:44" s="95" customFormat="1">
      <c r="A67" s="133"/>
      <c r="B67" s="48"/>
      <c r="C67" s="179"/>
      <c r="D67" s="48"/>
      <c r="E67" s="48"/>
      <c r="F67" s="48"/>
      <c r="G67" s="48"/>
      <c r="H67" s="48"/>
      <c r="I67" s="48"/>
      <c r="J67" s="48"/>
      <c r="K67" s="48"/>
      <c r="L67" s="48"/>
      <c r="M67" s="48"/>
      <c r="N67" s="48"/>
      <c r="O67" s="48"/>
      <c r="P67" s="48"/>
      <c r="Q67" s="48"/>
      <c r="R67" s="48"/>
      <c r="S67" s="48"/>
      <c r="T67" s="48"/>
      <c r="U67" s="48"/>
      <c r="V67" s="48"/>
      <c r="W67" s="48"/>
      <c r="X67" s="48"/>
      <c r="Y67" s="48"/>
      <c r="Z67" s="48"/>
      <c r="AA67" s="48"/>
      <c r="AB67" s="48"/>
      <c r="AC67" s="48"/>
      <c r="AD67" s="48"/>
      <c r="AE67" s="48"/>
      <c r="AF67" s="48"/>
      <c r="AG67" s="48"/>
      <c r="AH67" s="48"/>
      <c r="AI67" s="48"/>
      <c r="AJ67" s="48"/>
      <c r="AK67" s="48"/>
      <c r="AL67" s="48"/>
      <c r="AO67" s="48"/>
      <c r="AP67" s="48"/>
      <c r="AQ67" s="48"/>
      <c r="AR67" s="48"/>
    </row>
    <row r="68" spans="1:44" s="95" customFormat="1">
      <c r="A68" s="133"/>
      <c r="B68" s="144"/>
      <c r="C68" s="184"/>
      <c r="D68" s="48"/>
      <c r="E68" s="48"/>
      <c r="F68" s="48"/>
      <c r="G68" s="48"/>
      <c r="H68" s="48"/>
      <c r="I68" s="48"/>
      <c r="J68" s="48"/>
      <c r="K68" s="48"/>
      <c r="L68" s="48"/>
      <c r="M68" s="48"/>
      <c r="N68" s="48"/>
      <c r="O68" s="48"/>
      <c r="P68" s="48"/>
      <c r="Q68" s="48"/>
      <c r="R68" s="48"/>
      <c r="S68" s="48"/>
      <c r="T68" s="48"/>
      <c r="U68" s="48"/>
      <c r="V68" s="48"/>
      <c r="W68" s="48"/>
      <c r="X68" s="48"/>
      <c r="Y68" s="48"/>
      <c r="Z68" s="48"/>
      <c r="AA68" s="48"/>
      <c r="AB68" s="48"/>
      <c r="AC68" s="48"/>
      <c r="AD68" s="48"/>
      <c r="AE68" s="48"/>
      <c r="AF68" s="48"/>
      <c r="AG68" s="48"/>
      <c r="AH68" s="48"/>
      <c r="AI68" s="48"/>
      <c r="AJ68" s="48"/>
      <c r="AK68" s="48"/>
      <c r="AL68" s="48"/>
      <c r="AO68" s="48"/>
      <c r="AP68" s="48"/>
      <c r="AQ68" s="48"/>
      <c r="AR68" s="48"/>
    </row>
    <row r="69" spans="1:44" s="95" customFormat="1">
      <c r="A69" s="133"/>
      <c r="B69" s="48"/>
      <c r="C69" s="48"/>
      <c r="D69" s="48"/>
      <c r="E69" s="48"/>
      <c r="F69" s="48"/>
      <c r="G69" s="48"/>
      <c r="H69" s="48"/>
      <c r="I69" s="48"/>
      <c r="J69" s="48"/>
      <c r="K69" s="48"/>
      <c r="L69" s="48"/>
      <c r="M69" s="48"/>
      <c r="N69" s="48"/>
      <c r="O69" s="48"/>
      <c r="P69" s="48"/>
      <c r="Q69" s="48"/>
      <c r="R69" s="48"/>
      <c r="S69" s="48"/>
      <c r="T69" s="48"/>
      <c r="U69" s="48"/>
      <c r="V69" s="48"/>
      <c r="W69" s="48"/>
      <c r="X69" s="48"/>
      <c r="Y69" s="48"/>
      <c r="Z69" s="48"/>
      <c r="AA69" s="48"/>
      <c r="AB69" s="48"/>
      <c r="AC69" s="48"/>
      <c r="AD69" s="48"/>
      <c r="AE69" s="48"/>
      <c r="AF69" s="48"/>
      <c r="AG69" s="48"/>
      <c r="AH69" s="48"/>
      <c r="AI69" s="48"/>
      <c r="AJ69" s="48"/>
      <c r="AK69" s="48"/>
      <c r="AL69" s="48"/>
      <c r="AO69" s="48"/>
      <c r="AP69" s="48"/>
      <c r="AQ69" s="48"/>
      <c r="AR69" s="48"/>
    </row>
  </sheetData>
  <mergeCells count="1">
    <mergeCell ref="B2:B4"/>
  </mergeCells>
  <conditionalFormatting sqref="D4:O4">
    <cfRule type="cellIs" dxfId="31" priority="1" operator="equal">
      <formula>#REF!</formula>
    </cfRule>
    <cfRule type="cellIs" dxfId="30" priority="2" operator="equal">
      <formula>#REF!</formula>
    </cfRule>
    <cfRule type="cellIs" dxfId="29" priority="3" operator="equal">
      <formula>#REF!</formula>
    </cfRule>
    <cfRule type="cellIs" dxfId="28" priority="4" operator="equal">
      <formula>#REF!</formula>
    </cfRule>
  </conditionalFormatting>
  <pageMargins left="0.7" right="0.7" top="0.75" bottom="0.75" header="0.3" footer="0.3"/>
  <pageSetup paperSize="3" orientation="landscape" horizontalDpi="1200" verticalDpi="1200" r:id="rId1"/>
  <headerFooter>
    <oddHeader>&amp;C&amp;"Calibri,Regular"&amp;K000000OVERALL DRAW</oddHeader>
    <oddFooter>&amp;C&amp;"Calibri,Regular"&amp;K000000PAGE &amp;P OF &amp;N</oddFooter>
  </headerFooter>
  <ignoredErrors>
    <ignoredError sqref="H14" 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07D0D48330F6CE4FB6B3AE62FA39CE46" ma:contentTypeVersion="19" ma:contentTypeDescription="Create a new document." ma:contentTypeScope="" ma:versionID="8cdfc8d213607a8f13a74f250c58771c">
  <xsd:schema xmlns:xsd="http://www.w3.org/2001/XMLSchema" xmlns:xs="http://www.w3.org/2001/XMLSchema" xmlns:p="http://schemas.microsoft.com/office/2006/metadata/properties" xmlns:ns1="http://schemas.microsoft.com/sharepoint/v3" xmlns:ns2="07832773-9414-42b9-95c3-36a558d8f74c" xmlns:ns3="9f6012f1-210b-47d8-98a5-79507b18255d" targetNamespace="http://schemas.microsoft.com/office/2006/metadata/properties" ma:root="true" ma:fieldsID="f2c9d8002140b2ae07bcb72fed75c4c3" ns1:_="" ns2:_="" ns3:_="">
    <xsd:import namespace="http://schemas.microsoft.com/sharepoint/v3"/>
    <xsd:import namespace="07832773-9414-42b9-95c3-36a558d8f74c"/>
    <xsd:import namespace="9f6012f1-210b-47d8-98a5-79507b18255d"/>
    <xsd:element name="properties">
      <xsd:complexType>
        <xsd:sequence>
          <xsd:element name="documentManagement">
            <xsd:complexType>
              <xsd:all>
                <xsd:element ref="ns2:MediaServiceMetadata" minOccurs="0"/>
                <xsd:element ref="ns2:MediaServiceFastMetadata"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2:MediaServiceLocation" minOccurs="0"/>
                <xsd:element ref="ns2:MediaServiceOCR" minOccurs="0"/>
                <xsd:element ref="ns3:SharedWithUsers" minOccurs="0"/>
                <xsd:element ref="ns3:SharedWithDetails" minOccurs="0"/>
                <xsd:element ref="ns2:MediaLengthInSeconds" minOccurs="0"/>
                <xsd:element ref="ns2:lcf76f155ced4ddcb4097134ff3c332f" minOccurs="0"/>
                <xsd:element ref="ns3:TaxCatchAll" minOccurs="0"/>
                <xsd:element ref="ns1:_ip_UnifiedCompliancePolicyProperties" minOccurs="0"/>
                <xsd:element ref="ns1:_ip_UnifiedCompliancePolicyUIActio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3" nillable="true" ma:displayName="Unified Compliance Policy Properties" ma:hidden="true" ma:internalName="_ip_UnifiedCompliancePolicyProperties">
      <xsd:simpleType>
        <xsd:restriction base="dms:Note"/>
      </xsd:simpleType>
    </xsd:element>
    <xsd:element name="_ip_UnifiedCompliancePolicyUIAction" ma:index="24"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7832773-9414-42b9-95c3-36a558d8f74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GenerationTime" ma:index="10" nillable="true" ma:displayName="MediaServiceGenerationTime" ma:hidden="true" ma:internalName="MediaServiceGenerationTime" ma:readOnly="true">
      <xsd:simpleType>
        <xsd:restriction base="dms:Text"/>
      </xsd:simpleType>
    </xsd:element>
    <xsd:element name="MediaServiceEventHashCode" ma:index="11" nillable="true" ma:displayName="MediaServiceEventHashCode" ma:hidden="true" ma:internalName="MediaServiceEventHashCode" ma:readOnly="true">
      <xsd:simpleType>
        <xsd:restriction base="dms:Text"/>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144f5b13-403a-4dd3-b9ce-b7b6c8a6603a"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5"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f6012f1-210b-47d8-98a5-79507b18255d"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2396aa7e-ad57-49d2-b18b-708832d3d098}" ma:internalName="TaxCatchAll" ma:showField="CatchAllData" ma:web="9f6012f1-210b-47d8-98a5-79507b18255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07832773-9414-42b9-95c3-36a558d8f74c">
      <Terms xmlns="http://schemas.microsoft.com/office/infopath/2007/PartnerControls"/>
    </lcf76f155ced4ddcb4097134ff3c332f>
    <_ip_UnifiedCompliancePolicyUIAction xmlns="http://schemas.microsoft.com/sharepoint/v3" xsi:nil="true"/>
    <_ip_UnifiedCompliancePolicyProperties xmlns="http://schemas.microsoft.com/sharepoint/v3" xsi:nil="true"/>
    <TaxCatchAll xmlns="9f6012f1-210b-47d8-98a5-79507b18255d" xsi:nil="true"/>
  </documentManagement>
</p:properties>
</file>

<file path=customXml/itemProps1.xml><?xml version="1.0" encoding="utf-8"?>
<ds:datastoreItem xmlns:ds="http://schemas.openxmlformats.org/officeDocument/2006/customXml" ds:itemID="{C9663C87-CDAA-4A2F-9CA6-018325680FDA}">
  <ds:schemaRefs>
    <ds:schemaRef ds:uri="http://schemas.microsoft.com/sharepoint/v3/contenttype/forms"/>
  </ds:schemaRefs>
</ds:datastoreItem>
</file>

<file path=customXml/itemProps2.xml><?xml version="1.0" encoding="utf-8"?>
<ds:datastoreItem xmlns:ds="http://schemas.openxmlformats.org/officeDocument/2006/customXml" ds:itemID="{3D2DD288-7197-49A5-9A33-60D2521EA09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07832773-9414-42b9-95c3-36a558d8f74c"/>
    <ds:schemaRef ds:uri="9f6012f1-210b-47d8-98a5-79507b18255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EA958F3-F430-43FD-B3C6-6C4F0E201786}">
  <ds:schemaRefs>
    <ds:schemaRef ds:uri="http://schemas.microsoft.com/office/2006/metadata/properties"/>
    <ds:schemaRef ds:uri="http://schemas.microsoft.com/office/infopath/2007/PartnerControls"/>
    <ds:schemaRef ds:uri="07832773-9414-42b9-95c3-36a558d8f74c"/>
    <ds:schemaRef ds:uri="http://schemas.microsoft.com/sharepoint/v3"/>
    <ds:schemaRef ds:uri="9f6012f1-210b-47d8-98a5-79507b18255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16</vt:i4>
      </vt:variant>
    </vt:vector>
  </HeadingPairs>
  <TitlesOfParts>
    <vt:vector size="37" baseType="lpstr">
      <vt:lpstr>Development Program</vt:lpstr>
      <vt:lpstr>Market Research</vt:lpstr>
      <vt:lpstr>Assumptions</vt:lpstr>
      <vt:lpstr>All Components Draw</vt:lpstr>
      <vt:lpstr>Sources, Uses</vt:lpstr>
      <vt:lpstr>Site 1 - Financial</vt:lpstr>
      <vt:lpstr>Site 1 - Draw</vt:lpstr>
      <vt:lpstr>Site 2 - Financial</vt:lpstr>
      <vt:lpstr>Site 2 - Draw</vt:lpstr>
      <vt:lpstr>Site 3 - Financial</vt:lpstr>
      <vt:lpstr>Site 3 - Draw</vt:lpstr>
      <vt:lpstr>Site 4 - Financial</vt:lpstr>
      <vt:lpstr>Site 4 - Draw</vt:lpstr>
      <vt:lpstr>Site 5 - Financial</vt:lpstr>
      <vt:lpstr>Site 5 - Draw</vt:lpstr>
      <vt:lpstr>Site 6 - Financial</vt:lpstr>
      <vt:lpstr>Site 6 - Draw</vt:lpstr>
      <vt:lpstr>Site 7 - Financial</vt:lpstr>
      <vt:lpstr>Site 7 - Draw</vt:lpstr>
      <vt:lpstr>Market Comparables - Hospitalit</vt:lpstr>
      <vt:lpstr>Types of Development</vt:lpstr>
      <vt:lpstr>'Development Program'!Print_Area</vt:lpstr>
      <vt:lpstr>'Market Comparables - Hospitalit'!Print_Area</vt:lpstr>
      <vt:lpstr>'Site 1 - Draw'!Print_Area</vt:lpstr>
      <vt:lpstr>'Site 1 - Financial'!Print_Area</vt:lpstr>
      <vt:lpstr>'Site 2 - Draw'!Print_Area</vt:lpstr>
      <vt:lpstr>'Site 2 - Financial'!Print_Area</vt:lpstr>
      <vt:lpstr>'Site 3 - Draw'!Print_Area</vt:lpstr>
      <vt:lpstr>'Site 3 - Financial'!Print_Area</vt:lpstr>
      <vt:lpstr>'Site 4 - Draw'!Print_Area</vt:lpstr>
      <vt:lpstr>'Site 4 - Financial'!Print_Area</vt:lpstr>
      <vt:lpstr>'Site 5 - Draw'!Print_Area</vt:lpstr>
      <vt:lpstr>'Site 5 - Financial'!Print_Area</vt:lpstr>
      <vt:lpstr>'Site 6 - Draw'!Print_Area</vt:lpstr>
      <vt:lpstr>'Site 6 - Financial'!Print_Area</vt:lpstr>
      <vt:lpstr>'Site 7 - Draw'!Print_Area</vt:lpstr>
      <vt:lpstr>'Site 7 - Financial'!Print_Area</vt:lpstr>
    </vt:vector>
  </TitlesOfParts>
  <Manager/>
  <Company>Charles A. Long Properties LLC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Charles A. Long</dc:creator>
  <cp:keywords/>
  <dc:description/>
  <cp:lastModifiedBy>Flores-Mendoza, Edwin A</cp:lastModifiedBy>
  <cp:revision/>
  <dcterms:created xsi:type="dcterms:W3CDTF">2011-07-11T21:17:46Z</dcterms:created>
  <dcterms:modified xsi:type="dcterms:W3CDTF">2024-01-22T20:45:55Z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0388465-aeed-4329-a493-dfb4cee22503_Enabled">
    <vt:lpwstr>true</vt:lpwstr>
  </property>
  <property fmtid="{D5CDD505-2E9C-101B-9397-08002B2CF9AE}" pid="3" name="MSIP_Label_70388465-aeed-4329-a493-dfb4cee22503_SetDate">
    <vt:lpwstr>2022-12-01T14:29:01Z</vt:lpwstr>
  </property>
  <property fmtid="{D5CDD505-2E9C-101B-9397-08002B2CF9AE}" pid="4" name="MSIP_Label_70388465-aeed-4329-a493-dfb4cee22503_Method">
    <vt:lpwstr>Standard</vt:lpwstr>
  </property>
  <property fmtid="{D5CDD505-2E9C-101B-9397-08002B2CF9AE}" pid="5" name="MSIP_Label_70388465-aeed-4329-a493-dfb4cee22503_Name">
    <vt:lpwstr>defa4170-0d19-0005-0004-bc88714345d2</vt:lpwstr>
  </property>
  <property fmtid="{D5CDD505-2E9C-101B-9397-08002B2CF9AE}" pid="6" name="MSIP_Label_70388465-aeed-4329-a493-dfb4cee22503_SiteId">
    <vt:lpwstr>c733f279-2e57-447e-b549-b435d7bcf45e</vt:lpwstr>
  </property>
  <property fmtid="{D5CDD505-2E9C-101B-9397-08002B2CF9AE}" pid="7" name="MSIP_Label_70388465-aeed-4329-a493-dfb4cee22503_ActionId">
    <vt:lpwstr>c09dddd2-dd9a-4658-94bd-9604302b5a94</vt:lpwstr>
  </property>
  <property fmtid="{D5CDD505-2E9C-101B-9397-08002B2CF9AE}" pid="8" name="MSIP_Label_70388465-aeed-4329-a493-dfb4cee22503_ContentBits">
    <vt:lpwstr>0</vt:lpwstr>
  </property>
  <property fmtid="{D5CDD505-2E9C-101B-9397-08002B2CF9AE}" pid="9" name="ContentTypeId">
    <vt:lpwstr>0x01010007D0D48330F6CE4FB6B3AE62FA39CE46</vt:lpwstr>
  </property>
  <property fmtid="{D5CDD505-2E9C-101B-9397-08002B2CF9AE}" pid="10" name="MediaServiceImageTags">
    <vt:lpwstr/>
  </property>
</Properties>
</file>