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126"/>
  <workbookPr/>
  <mc:AlternateContent xmlns:mc="http://schemas.openxmlformats.org/markup-compatibility/2006">
    <mc:Choice Requires="x15">
      <x15ac:absPath xmlns:x15ac="http://schemas.microsoft.com/office/spreadsheetml/2010/11/ac" url="https://d.docs.live.net/50a36cdabb61ed31/Desktop/graduate school/s24_ULI Hines/FINAL DELIVERABLES/"/>
    </mc:Choice>
  </mc:AlternateContent>
  <xr:revisionPtr revIDLastSave="1" documentId="8_{EEA1D3FB-68CF-491D-BCDD-8564D384F39B}" xr6:coauthVersionLast="47" xr6:coauthVersionMax="47" xr10:uidLastSave="{E76E672D-BB15-477C-9A89-AF1863B66880}"/>
  <bookViews>
    <workbookView xWindow="-108" yWindow="-108" windowWidth="23256" windowHeight="12456" tabRatio="711" firstSheet="4" activeTab="7" xr2:uid="{57D26A09-178A-4DE3-AF81-BD17F602B7D1}"/>
  </bookViews>
  <sheets>
    <sheet name="1| Market Research" sheetId="6" r:id="rId1"/>
    <sheet name="2| Assumptions" sheetId="7" r:id="rId2"/>
    <sheet name="A Financial" sheetId="8" state="hidden" r:id="rId3"/>
    <sheet name="3| Building Mix" sheetId="1" r:id="rId4"/>
    <sheet name="4| Development Program" sheetId="2" r:id="rId5"/>
    <sheet name="4a| Phasing Timeline" sheetId="19" r:id="rId6"/>
    <sheet name="4b| Development Summary Stats" sheetId="22" r:id="rId7"/>
    <sheet name="5| Demolitions &amp; Land" sheetId="4" r:id="rId8"/>
    <sheet name="5b| Land Lease Calculations" sheetId="18" r:id="rId9"/>
    <sheet name="6a| Phase 1 Financial" sheetId="11" r:id="rId10"/>
    <sheet name="6b| Phase 1 Draw" sheetId="12" r:id="rId11"/>
    <sheet name="7a| Phase 2 Financial" sheetId="13" r:id="rId12"/>
    <sheet name="7b| Phase 2 Draw" sheetId="14" r:id="rId13"/>
    <sheet name="8a| Phase 3 Financial" sheetId="15" r:id="rId14"/>
    <sheet name="8b| Phase 3 Draw" sheetId="16" r:id="rId15"/>
    <sheet name="9| All Phases Draw" sheetId="21" r:id="rId16"/>
  </sheets>
  <definedNames>
    <definedName name="___a1" localSheetId="2" hidden="1">{"Assump",#N/A,TRUE,"Proforma";"first",#N/A,TRUE,"Proforma";"second",#N/A,TRUE,"Proforma";"lease1",#N/A,TRUE,"Proforma";"lease2",#N/A,TRUE,"Proforma"}</definedName>
    <definedName name="___a1" hidden="1">{"Assump",#N/A,TRUE,"Proforma";"first",#N/A,TRUE,"Proforma";"second",#N/A,TRUE,"Proforma";"lease1",#N/A,TRUE,"Proforma";"lease2",#N/A,TRUE,"Proforma"}</definedName>
    <definedName name="__a1" localSheetId="2" hidden="1">{"Assump",#N/A,TRUE,"Proforma";"first",#N/A,TRUE,"Proforma";"second",#N/A,TRUE,"Proforma";"lease1",#N/A,TRUE,"Proforma";"lease2",#N/A,TRUE,"Proforma"}</definedName>
    <definedName name="__a1" hidden="1">{"Assump",#N/A,TRUE,"Proforma";"first",#N/A,TRUE,"Proforma";"second",#N/A,TRUE,"Proforma";"lease1",#N/A,TRUE,"Proforma";"lease2",#N/A,TRUE,"Proforma"}</definedName>
    <definedName name="_Fill" localSheetId="9" hidden="1">#REF!</definedName>
    <definedName name="_Fill" localSheetId="11" hidden="1">#REF!</definedName>
    <definedName name="_Fill" localSheetId="13" hidden="1">#REF!</definedName>
    <definedName name="_Fill" localSheetId="2" hidden="1">#REF!</definedName>
    <definedName name="_Fill" hidden="1">#REF!</definedName>
    <definedName name="_Key1" localSheetId="9" hidden="1">#REF!</definedName>
    <definedName name="_Key1" localSheetId="11" hidden="1">#REF!</definedName>
    <definedName name="_Key1" localSheetId="13" hidden="1">#REF!</definedName>
    <definedName name="_Key1" localSheetId="2" hidden="1">#REF!</definedName>
    <definedName name="_Key1" hidden="1">#REF!</definedName>
    <definedName name="_Key2" localSheetId="9" hidden="1">#REF!</definedName>
    <definedName name="_Key2" localSheetId="11" hidden="1">#REF!</definedName>
    <definedName name="_Key2" localSheetId="13" hidden="1">#REF!</definedName>
    <definedName name="_Key2" localSheetId="2" hidden="1">#REF!</definedName>
    <definedName name="_Key2" hidden="1">#REF!</definedName>
    <definedName name="_Order1" hidden="1">255</definedName>
    <definedName name="_Order2" hidden="1">255</definedName>
    <definedName name="_Sort" localSheetId="9" hidden="1">#REF!</definedName>
    <definedName name="_Sort" localSheetId="11" hidden="1">#REF!</definedName>
    <definedName name="_Sort" localSheetId="13" hidden="1">#REF!</definedName>
    <definedName name="_Sort" localSheetId="2" hidden="1">#REF!</definedName>
    <definedName name="_Sort" hidden="1">#REF!</definedName>
    <definedName name="_Table1_In1" localSheetId="9" hidden="1">#REF!</definedName>
    <definedName name="_Table1_In1" localSheetId="11" hidden="1">#REF!</definedName>
    <definedName name="_Table1_In1" localSheetId="13" hidden="1">#REF!</definedName>
    <definedName name="_Table1_In1" localSheetId="2" hidden="1">#REF!</definedName>
    <definedName name="_Table1_In1" hidden="1">#REF!</definedName>
    <definedName name="_Table1_Out" localSheetId="9" hidden="1">#REF!</definedName>
    <definedName name="_Table1_Out" localSheetId="11" hidden="1">#REF!</definedName>
    <definedName name="_Table1_Out" localSheetId="13" hidden="1">#REF!</definedName>
    <definedName name="_Table1_Out" localSheetId="2" hidden="1">#REF!</definedName>
    <definedName name="_Table1_Out" hidden="1">#REF!</definedName>
    <definedName name="_Table2_Out" localSheetId="9" hidden="1">#REF!</definedName>
    <definedName name="_Table2_Out" localSheetId="11" hidden="1">#REF!</definedName>
    <definedName name="_Table2_Out" localSheetId="13" hidden="1">#REF!</definedName>
    <definedName name="_Table2_Out" localSheetId="2" hidden="1">#REF!</definedName>
    <definedName name="_Table2_Out" hidden="1">#REF!</definedName>
    <definedName name="_x1" localSheetId="2" hidden="1">{#N/A,#N/A,FALSE,"WATCHDSC";#N/A,#N/A,FALSE,"2LOSSMOD";#N/A,#N/A,FALSE,"2LOSS";#N/A,#N/A,FALSE,"DSC";#N/A,#N/A,FALSE,"OPERAT";#N/A,#N/A,FALSE,"ADJUST";#N/A,#N/A,FALSE,"LEASE EXPIRE"}</definedName>
    <definedName name="_x1" hidden="1">{#N/A,#N/A,FALSE,"WATCHDSC";#N/A,#N/A,FALSE,"2LOSSMOD";#N/A,#N/A,FALSE,"2LOSS";#N/A,#N/A,FALSE,"DSC";#N/A,#N/A,FALSE,"OPERAT";#N/A,#N/A,FALSE,"ADJUST";#N/A,#N/A,FALSE,"LEASE EXPIRE"}</definedName>
    <definedName name="_x2" localSheetId="2" hidden="1">{#N/A,#N/A,FALSE,"WATCHDSC";#N/A,#N/A,FALSE,"2LOSSMOD";#N/A,#N/A,FALSE,"2LOSS";#N/A,#N/A,FALSE,"DSC";#N/A,#N/A,FALSE,"OPERAT";#N/A,#N/A,FALSE,"ADJUST";#N/A,#N/A,FALSE,"LEASE EXPIRE"}</definedName>
    <definedName name="_x2" hidden="1">{#N/A,#N/A,FALSE,"WATCHDSC";#N/A,#N/A,FALSE,"2LOSSMOD";#N/A,#N/A,FALSE,"2LOSS";#N/A,#N/A,FALSE,"DSC";#N/A,#N/A,FALSE,"OPERAT";#N/A,#N/A,FALSE,"ADJUST";#N/A,#N/A,FALSE,"LEASE EXPIRE"}</definedName>
    <definedName name="_x3" localSheetId="2" hidden="1">{#N/A,#N/A,FALSE,"WATCHDSC";#N/A,#N/A,FALSE,"2LOSSMOD";#N/A,#N/A,FALSE,"2LOSS";#N/A,#N/A,FALSE,"DSC";#N/A,#N/A,FALSE,"OPERAT";#N/A,#N/A,FALSE,"ADJUST";#N/A,#N/A,FALSE,"LEASE EXPIRE"}</definedName>
    <definedName name="_x3" hidden="1">{#N/A,#N/A,FALSE,"WATCHDSC";#N/A,#N/A,FALSE,"2LOSSMOD";#N/A,#N/A,FALSE,"2LOSS";#N/A,#N/A,FALSE,"DSC";#N/A,#N/A,FALSE,"OPERAT";#N/A,#N/A,FALSE,"ADJUST";#N/A,#N/A,FALSE,"LEASE EXPIRE"}</definedName>
    <definedName name="a" localSheetId="2" hidden="1">{"Assump",#N/A,TRUE,"Proforma";"first",#N/A,TRUE,"Proforma";"second",#N/A,TRUE,"Proforma";"lease1",#N/A,TRUE,"Proforma";"lease2",#N/A,TRUE,"Proforma"}</definedName>
    <definedName name="a" hidden="1">{"Assump",#N/A,TRUE,"Proforma";"first",#N/A,TRUE,"Proforma";"second",#N/A,TRUE,"Proforma";"lease1",#N/A,TRUE,"Proforma";"lease2",#N/A,TRUE,"Proforma"}</definedName>
    <definedName name="aa" localSheetId="2" hidden="1">{#N/A,#N/A,FALSE,"Exec Sum";#N/A,#N/A,FALSE,"Rent Rate Comp";#N/A,#N/A,FALSE,"Rate, NPV Comp";#N/A,#N/A,FALSE,"Opt A NNN";#N/A,#N/A,FALSE,"15-yr Opt. A Sum";#N/A,#N/A,FALSE,"15-yr Opt A Other Costs";#N/A,#N/A,FALSE,"10-yr Opt. A Sum";#N/A,#N/A,FALSE,"10-yr Opt A Other Costs";#N/A,#N/A,FALSE,"NPV Calc"}</definedName>
    <definedName name="aa" hidden="1">{#N/A,#N/A,FALSE,"Exec Sum";#N/A,#N/A,FALSE,"Rent Rate Comp";#N/A,#N/A,FALSE,"Rate, NPV Comp";#N/A,#N/A,FALSE,"Opt A NNN";#N/A,#N/A,FALSE,"15-yr Opt. A Sum";#N/A,#N/A,FALSE,"15-yr Opt A Other Costs";#N/A,#N/A,FALSE,"10-yr Opt. A Sum";#N/A,#N/A,FALSE,"10-yr Opt A Other Costs";#N/A,#N/A,FALSE,"NPV Calc"}</definedName>
    <definedName name="AADSFD" localSheetId="9">#REF!</definedName>
    <definedName name="AADSFD" localSheetId="11">#REF!</definedName>
    <definedName name="AADSFD" localSheetId="13">#REF!</definedName>
    <definedName name="AADSFD" localSheetId="2">#REF!</definedName>
    <definedName name="AADSFD">#REF!</definedName>
    <definedName name="ac" localSheetId="9">#REF!</definedName>
    <definedName name="ac" localSheetId="11">#REF!</definedName>
    <definedName name="ac" localSheetId="13">#REF!</definedName>
    <definedName name="ac" localSheetId="2">#REF!</definedName>
    <definedName name="ac">#REF!</definedName>
    <definedName name="alt" localSheetId="9">#REF!</definedName>
    <definedName name="alt" localSheetId="11">#REF!</definedName>
    <definedName name="alt" localSheetId="13">#REF!</definedName>
    <definedName name="alt" localSheetId="2">#REF!</definedName>
    <definedName name="alt">#REF!</definedName>
    <definedName name="anscount" hidden="1">1</definedName>
    <definedName name="ASA" localSheetId="9">#REF!</definedName>
    <definedName name="ASA" localSheetId="11">#REF!</definedName>
    <definedName name="ASA" localSheetId="13">#REF!</definedName>
    <definedName name="ASA" localSheetId="2">#REF!</definedName>
    <definedName name="ASA">#REF!</definedName>
    <definedName name="aw" localSheetId="9">#REF!</definedName>
    <definedName name="aw" localSheetId="11">#REF!</definedName>
    <definedName name="aw" localSheetId="13">#REF!</definedName>
    <definedName name="aw" localSheetId="2">#REF!</definedName>
    <definedName name="aw">#REF!</definedName>
    <definedName name="b" localSheetId="2" hidden="1">{"Assump",#N/A,TRUE,"Proforma";"first",#N/A,TRUE,"Proforma";"second",#N/A,TRUE,"Proforma";"lease1",#N/A,TRUE,"Proforma";"lease2",#N/A,TRUE,"Proforma"}</definedName>
    <definedName name="b" hidden="1">{"Assump",#N/A,TRUE,"Proforma";"first",#N/A,TRUE,"Proforma";"second",#N/A,TRUE,"Proforma";"lease1",#N/A,TRUE,"Proforma";"lease2",#N/A,TRUE,"Proforma"}</definedName>
    <definedName name="Body">#REF!</definedName>
    <definedName name="costcode">#REF!</definedName>
    <definedName name="cs" localSheetId="9">#REF!</definedName>
    <definedName name="cs" localSheetId="11">#REF!</definedName>
    <definedName name="cs" localSheetId="13">#REF!</definedName>
    <definedName name="cs" localSheetId="2">#REF!</definedName>
    <definedName name="cs">#REF!</definedName>
    <definedName name="ct" localSheetId="9">#REF!</definedName>
    <definedName name="ct" localSheetId="11">#REF!</definedName>
    <definedName name="ct" localSheetId="13">#REF!</definedName>
    <definedName name="ct" localSheetId="2">#REF!</definedName>
    <definedName name="ct">#REF!</definedName>
    <definedName name="ddgfeerew" localSheetId="9">#REF!</definedName>
    <definedName name="ddgfeerew" localSheetId="11">#REF!</definedName>
    <definedName name="ddgfeerew" localSheetId="13">#REF!</definedName>
    <definedName name="ddgfeerew" localSheetId="2">#REF!</definedName>
    <definedName name="ddgfeerew">#REF!</definedName>
    <definedName name="dflt1">#REF!</definedName>
    <definedName name="dflt5">#REF!</definedName>
    <definedName name="dflt6">#REF!</definedName>
    <definedName name="dfsdf" localSheetId="9">#REF!</definedName>
    <definedName name="dfsdf" localSheetId="11">#REF!</definedName>
    <definedName name="dfsdf" localSheetId="13">#REF!</definedName>
    <definedName name="dfsdf" localSheetId="2">#REF!</definedName>
    <definedName name="dfsdf">#REF!</definedName>
    <definedName name="dw" localSheetId="9">#REF!</definedName>
    <definedName name="dw" localSheetId="11">#REF!</definedName>
    <definedName name="dw" localSheetId="13">#REF!</definedName>
    <definedName name="dw" localSheetId="2">#REF!</definedName>
    <definedName name="dw">#REF!</definedName>
    <definedName name="ee" localSheetId="2" hidden="1">{"Assump",#N/A,TRUE,"Proforma";"first",#N/A,TRUE,"Proforma";"second",#N/A,TRUE,"Proforma";"lease1",#N/A,TRUE,"Proforma";"lease2",#N/A,TRUE,"Proforma"}</definedName>
    <definedName name="ee" hidden="1">{"Assump",#N/A,TRUE,"Proforma";"first",#N/A,TRUE,"Proforma";"second",#N/A,TRUE,"Proforma";"lease1",#N/A,TRUE,"Proforma";"lease2",#N/A,TRUE,"Proforma"}</definedName>
    <definedName name="el" localSheetId="9">#REF!</definedName>
    <definedName name="el" localSheetId="11">#REF!</definedName>
    <definedName name="el" localSheetId="13">#REF!</definedName>
    <definedName name="el" localSheetId="2">#REF!</definedName>
    <definedName name="el">#REF!</definedName>
    <definedName name="ellen" localSheetId="2" hidden="1">{#N/A,#N/A,FALSE,"WATCHDSC";#N/A,#N/A,FALSE,"2LOSSMOD";#N/A,#N/A,FALSE,"2LOSS";#N/A,#N/A,FALSE,"DSC";#N/A,#N/A,FALSE,"OPERAT";#N/A,#N/A,FALSE,"ADJUST";#N/A,#N/A,FALSE,"LEASE EXPIRE"}</definedName>
    <definedName name="ellen" hidden="1">{#N/A,#N/A,FALSE,"WATCHDSC";#N/A,#N/A,FALSE,"2LOSSMOD";#N/A,#N/A,FALSE,"2LOSS";#N/A,#N/A,FALSE,"DSC";#N/A,#N/A,FALSE,"OPERAT";#N/A,#N/A,FALSE,"ADJUST";#N/A,#N/A,FALSE,"LEASE EXPIRE"}</definedName>
    <definedName name="erasdf" localSheetId="2" hidden="1">{"Assump",#N/A,TRUE,"Proforma";"first",#N/A,TRUE,"Proforma";"second",#N/A,TRUE,"Proforma";"lease1",#N/A,TRUE,"Proforma";"lease2",#N/A,TRUE,"Proforma"}</definedName>
    <definedName name="erasdf" hidden="1">{"Assump",#N/A,TRUE,"Proforma";"first",#N/A,TRUE,"Proforma";"second",#N/A,TRUE,"Proforma";"lease1",#N/A,TRUE,"Proforma";"lease2",#N/A,TRUE,"Proforma"}</definedName>
    <definedName name="EW" localSheetId="9">#REF!</definedName>
    <definedName name="EW" localSheetId="11">#REF!</definedName>
    <definedName name="EW" localSheetId="13">#REF!</definedName>
    <definedName name="EW" localSheetId="2">#REF!</definedName>
    <definedName name="EW">#REF!</definedName>
    <definedName name="f" localSheetId="9">#REF!</definedName>
    <definedName name="f" localSheetId="11">#REF!</definedName>
    <definedName name="f" localSheetId="13">#REF!</definedName>
    <definedName name="f" localSheetId="2">#REF!</definedName>
    <definedName name="f">#REF!</definedName>
    <definedName name="fe" localSheetId="9">#REF!</definedName>
    <definedName name="fe" localSheetId="11">#REF!</definedName>
    <definedName name="fe" localSheetId="13">#REF!</definedName>
    <definedName name="fe" localSheetId="2">#REF!</definedName>
    <definedName name="fe">#REF!</definedName>
    <definedName name="FFFFF" localSheetId="9">#REF!</definedName>
    <definedName name="FFFFF" localSheetId="11">#REF!</definedName>
    <definedName name="FFFFF" localSheetId="13">#REF!</definedName>
    <definedName name="FFFFF" localSheetId="2">#REF!</definedName>
    <definedName name="FFFFF">#REF!</definedName>
    <definedName name="FJHJ" localSheetId="9">#REF!</definedName>
    <definedName name="FJHJ" localSheetId="11">#REF!</definedName>
    <definedName name="FJHJ" localSheetId="13">#REF!</definedName>
    <definedName name="FJHJ" localSheetId="2">#REF!</definedName>
    <definedName name="FJHJ">#REF!</definedName>
    <definedName name="fo" localSheetId="9">#REF!</definedName>
    <definedName name="fo" localSheetId="11">#REF!</definedName>
    <definedName name="fo" localSheetId="13">#REF!</definedName>
    <definedName name="fo" localSheetId="2">#REF!</definedName>
    <definedName name="fo">#REF!</definedName>
    <definedName name="FORM" localSheetId="9">#REF!</definedName>
    <definedName name="FORM" localSheetId="11">#REF!</definedName>
    <definedName name="FORM" localSheetId="13">#REF!</definedName>
    <definedName name="FORM" localSheetId="2">#REF!</definedName>
    <definedName name="FORM">#REF!</definedName>
    <definedName name="FURYUR" localSheetId="9">#REF!</definedName>
    <definedName name="FURYUR" localSheetId="11">#REF!</definedName>
    <definedName name="FURYUR" localSheetId="13">#REF!</definedName>
    <definedName name="FURYUR" localSheetId="2">#REF!</definedName>
    <definedName name="FURYUR">#REF!</definedName>
    <definedName name="gl" localSheetId="9">#REF!</definedName>
    <definedName name="gl" localSheetId="11">#REF!</definedName>
    <definedName name="gl" localSheetId="13">#REF!</definedName>
    <definedName name="gl" localSheetId="2">#REF!</definedName>
    <definedName name="gl">#REF!</definedName>
    <definedName name="h" localSheetId="9">#REF!</definedName>
    <definedName name="h" localSheetId="11">#REF!</definedName>
    <definedName name="h" localSheetId="13">#REF!</definedName>
    <definedName name="h" localSheetId="2">#REF!</definedName>
    <definedName name="h">#REF!</definedName>
    <definedName name="hjkhjlkgg" localSheetId="9">#REF!</definedName>
    <definedName name="hjkhjlkgg" localSheetId="11">#REF!</definedName>
    <definedName name="hjkhjlkgg" localSheetId="13">#REF!</definedName>
    <definedName name="hjkhjlkgg" localSheetId="2">#REF!</definedName>
    <definedName name="hjkhjlkgg">#REF!</definedName>
    <definedName name="jkjkl" localSheetId="9">#REF!</definedName>
    <definedName name="jkjkl" localSheetId="11">#REF!</definedName>
    <definedName name="jkjkl" localSheetId="13">#REF!</definedName>
    <definedName name="jkjkl" localSheetId="2">#REF!</definedName>
    <definedName name="jkjkl">#REF!</definedName>
    <definedName name="kb" localSheetId="9">#REF!</definedName>
    <definedName name="kb" localSheetId="11">#REF!</definedName>
    <definedName name="kb" localSheetId="13">#REF!</definedName>
    <definedName name="kb" localSheetId="2">#REF!</definedName>
    <definedName name="kb">#REF!</definedName>
    <definedName name="ke" localSheetId="9">#REF!</definedName>
    <definedName name="ke" localSheetId="11">#REF!</definedName>
    <definedName name="ke" localSheetId="13">#REF!</definedName>
    <definedName name="ke" localSheetId="2">#REF!</definedName>
    <definedName name="ke">#REF!</definedName>
    <definedName name="lk" localSheetId="9">#REF!</definedName>
    <definedName name="lk" localSheetId="11">#REF!</definedName>
    <definedName name="lk" localSheetId="13">#REF!</definedName>
    <definedName name="lk" localSheetId="2">#REF!</definedName>
    <definedName name="lk">#REF!</definedName>
    <definedName name="memo_description">#REF!</definedName>
    <definedName name="ml" localSheetId="9">#REF!</definedName>
    <definedName name="ml" localSheetId="11">#REF!</definedName>
    <definedName name="ml" localSheetId="13">#REF!</definedName>
    <definedName name="ml" localSheetId="2">#REF!</definedName>
    <definedName name="ml">#REF!</definedName>
    <definedName name="mw" localSheetId="9">#REF!</definedName>
    <definedName name="mw" localSheetId="11">#REF!</definedName>
    <definedName name="mw" localSheetId="13">#REF!</definedName>
    <definedName name="mw" localSheetId="2">#REF!</definedName>
    <definedName name="mw">#REF!</definedName>
    <definedName name="NEWDRAW" localSheetId="9">#REF!</definedName>
    <definedName name="NEWDRAW" localSheetId="11">#REF!</definedName>
    <definedName name="NEWDRAW" localSheetId="13">#REF!</definedName>
    <definedName name="NEWDRAW" localSheetId="2">#REF!</definedName>
    <definedName name="NEWDRAW">#REF!</definedName>
    <definedName name="NvsEndTime">36465.4707604167</definedName>
    <definedName name="os" localSheetId="9">#REF!</definedName>
    <definedName name="os" localSheetId="11">#REF!</definedName>
    <definedName name="os" localSheetId="13">#REF!</definedName>
    <definedName name="os" localSheetId="2">#REF!</definedName>
    <definedName name="os">#REF!</definedName>
    <definedName name="p" localSheetId="9">#REF!</definedName>
    <definedName name="p" localSheetId="11">#REF!</definedName>
    <definedName name="p" localSheetId="13">#REF!</definedName>
    <definedName name="p" localSheetId="2">#REF!</definedName>
    <definedName name="p">#REF!</definedName>
    <definedName name="pa" localSheetId="9">#REF!</definedName>
    <definedName name="pa" localSheetId="11">#REF!</definedName>
    <definedName name="pa" localSheetId="13">#REF!</definedName>
    <definedName name="pa" localSheetId="2">#REF!</definedName>
    <definedName name="pa">#REF!</definedName>
    <definedName name="PD" localSheetId="9">#REF!</definedName>
    <definedName name="PD" localSheetId="11">#REF!</definedName>
    <definedName name="PD" localSheetId="13">#REF!</definedName>
    <definedName name="PD" localSheetId="2">#REF!</definedName>
    <definedName name="PD">#REF!</definedName>
    <definedName name="pipeline_status">#REF!</definedName>
    <definedName name="pp" localSheetId="9">#REF!</definedName>
    <definedName name="pp" localSheetId="11">#REF!</definedName>
    <definedName name="pp" localSheetId="13">#REF!</definedName>
    <definedName name="pp" localSheetId="2">#REF!</definedName>
    <definedName name="pp">#REF!</definedName>
    <definedName name="_xlnm.Print_Area" localSheetId="9">'6a| Phase 1 Financial'!$A$4:$E$108</definedName>
    <definedName name="_xlnm.Print_Area" localSheetId="11">'7a| Phase 2 Financial'!$A$4:$E$108</definedName>
    <definedName name="_xlnm.Print_Area" localSheetId="13">'8a| Phase 3 Financial'!$A$4:$E$108</definedName>
    <definedName name="_xlnm.Print_Area" localSheetId="2">'A Financial'!$A$1:$E$98</definedName>
    <definedName name="_xlnm.Print_Area">#REF!</definedName>
    <definedName name="print_area2" localSheetId="9">#REF!</definedName>
    <definedName name="print_area2" localSheetId="11">#REF!</definedName>
    <definedName name="print_area2" localSheetId="13">#REF!</definedName>
    <definedName name="print_area2" localSheetId="2">#REF!</definedName>
    <definedName name="print_area2">#REF!</definedName>
    <definedName name="print_area3" localSheetId="9">#REF!</definedName>
    <definedName name="print_area3" localSheetId="11">#REF!</definedName>
    <definedName name="print_area3" localSheetId="13">#REF!</definedName>
    <definedName name="print_area3" localSheetId="2">#REF!</definedName>
    <definedName name="print_area3">#REF!</definedName>
    <definedName name="print_area4" localSheetId="9">#REF!</definedName>
    <definedName name="print_area4" localSheetId="11">#REF!</definedName>
    <definedName name="print_area4" localSheetId="13">#REF!</definedName>
    <definedName name="print_area4" localSheetId="2">#REF!</definedName>
    <definedName name="print_area4">#REF!</definedName>
    <definedName name="_xlnm.Print_Titles">#N/A</definedName>
    <definedName name="PROFORMA" localSheetId="9">#REF!</definedName>
    <definedName name="PROFORMA" localSheetId="11">#REF!</definedName>
    <definedName name="PROFORMA" localSheetId="13">#REF!</definedName>
    <definedName name="PROFORMA" localSheetId="2">#REF!</definedName>
    <definedName name="PROFORMA">#REF!</definedName>
    <definedName name="Promote_dev_1">#REF!</definedName>
    <definedName name="Property_Types">#REF!</definedName>
    <definedName name="pt" localSheetId="9">#REF!</definedName>
    <definedName name="pt" localSheetId="11">#REF!</definedName>
    <definedName name="pt" localSheetId="13">#REF!</definedName>
    <definedName name="pt" localSheetId="2">#REF!</definedName>
    <definedName name="pt">#REF!</definedName>
    <definedName name="qq" localSheetId="9">#REF!</definedName>
    <definedName name="qq" localSheetId="11">#REF!</definedName>
    <definedName name="qq" localSheetId="13">#REF!</definedName>
    <definedName name="qq" localSheetId="2">#REF!</definedName>
    <definedName name="qq">#REF!</definedName>
    <definedName name="report" localSheetId="2" hidden="1">{#N/A,#N/A,FALSE,"Summary";#N/A,#N/A,FALSE,"Assumptions";#N/A,#N/A,FALSE,"Cash Flow";#N/A,#N/A,FALSE,"Residual Calculation";#N/A,#N/A,FALSE,"Pricing Matrix";#N/A,#N/A,FALSE,"Pricing Matrix II";#N/A,#N/A,FALSE,"Expiration Schedule"}</definedName>
    <definedName name="report" hidden="1">{#N/A,#N/A,FALSE,"Summary";#N/A,#N/A,FALSE,"Assumptions";#N/A,#N/A,FALSE,"Cash Flow";#N/A,#N/A,FALSE,"Residual Calculation";#N/A,#N/A,FALSE,"Pricing Matrix";#N/A,#N/A,FALSE,"Pricing Matrix II";#N/A,#N/A,FALSE,"Expiration Schedule"}</definedName>
    <definedName name="rf" localSheetId="9">#REF!</definedName>
    <definedName name="rf" localSheetId="11">#REF!</definedName>
    <definedName name="rf" localSheetId="13">#REF!</definedName>
    <definedName name="rf" localSheetId="2">#REF!</definedName>
    <definedName name="rf">#REF!</definedName>
    <definedName name="S_U" localSheetId="9">#REF!</definedName>
    <definedName name="S_U" localSheetId="11">#REF!</definedName>
    <definedName name="S_U" localSheetId="13">#REF!</definedName>
    <definedName name="S_U" localSheetId="2">#REF!</definedName>
    <definedName name="S_U">#REF!</definedName>
    <definedName name="Sample1" localSheetId="9">#REF!</definedName>
    <definedName name="Sample1" localSheetId="11">#REF!</definedName>
    <definedName name="Sample1" localSheetId="13">#REF!</definedName>
    <definedName name="Sample1" localSheetId="2">#REF!</definedName>
    <definedName name="Sample1">#REF!</definedName>
    <definedName name="sample2" localSheetId="9">#REF!</definedName>
    <definedName name="sample2" localSheetId="11">#REF!</definedName>
    <definedName name="sample2" localSheetId="13">#REF!</definedName>
    <definedName name="sample2" localSheetId="2">#REF!</definedName>
    <definedName name="sample2">#REF!</definedName>
    <definedName name="sample3" localSheetId="9">#REF!</definedName>
    <definedName name="sample3" localSheetId="11">#REF!</definedName>
    <definedName name="sample3" localSheetId="13">#REF!</definedName>
    <definedName name="sample3" localSheetId="2">#REF!</definedName>
    <definedName name="sample3">#REF!</definedName>
    <definedName name="sdf" localSheetId="2" hidden="1">{"Assump",#N/A,TRUE,"Proforma";"first",#N/A,TRUE,"Proforma";"second",#N/A,TRUE,"Proforma";"lease1",#N/A,TRUE,"Proforma";"lease2",#N/A,TRUE,"Proforma"}</definedName>
    <definedName name="sdf" hidden="1">{"Assump",#N/A,TRUE,"Proforma";"first",#N/A,TRUE,"Proforma";"second",#N/A,TRUE,"Proforma";"lease1",#N/A,TRUE,"Proforma";"lease2",#N/A,TRUE,"Proforma"}</definedName>
    <definedName name="sdfgsfgdsfg" localSheetId="9">#REF!</definedName>
    <definedName name="sdfgsfgdsfg" localSheetId="11">#REF!</definedName>
    <definedName name="sdfgsfgdsfg" localSheetId="13">#REF!</definedName>
    <definedName name="sdfgsfgdsfg" localSheetId="2">#REF!</definedName>
    <definedName name="sdfgsfgdsfg">#REF!</definedName>
    <definedName name="SF">#REF!</definedName>
    <definedName name="sg" localSheetId="9">#REF!</definedName>
    <definedName name="sg" localSheetId="11">#REF!</definedName>
    <definedName name="sg" localSheetId="13">#REF!</definedName>
    <definedName name="sg" localSheetId="2">#REF!</definedName>
    <definedName name="sg">#REF!</definedName>
    <definedName name="si" localSheetId="9">#REF!</definedName>
    <definedName name="si" localSheetId="11">#REF!</definedName>
    <definedName name="si" localSheetId="13">#REF!</definedName>
    <definedName name="si" localSheetId="2">#REF!</definedName>
    <definedName name="si">#REF!</definedName>
    <definedName name="tp" localSheetId="9">#REF!</definedName>
    <definedName name="tp" localSheetId="11">#REF!</definedName>
    <definedName name="tp" localSheetId="13">#REF!</definedName>
    <definedName name="tp" localSheetId="2">#REF!</definedName>
    <definedName name="tp">#REF!</definedName>
    <definedName name="Trended_hard_cost">#REF!</definedName>
    <definedName name="trended_partner_contributions" localSheetId="9">#REF!</definedName>
    <definedName name="trended_partner_contributions" localSheetId="11">#REF!</definedName>
    <definedName name="trended_partner_contributions" localSheetId="13">#REF!</definedName>
    <definedName name="trended_partner_contributions" localSheetId="2">#REF!</definedName>
    <definedName name="trended_partner_contributions">#REF!</definedName>
    <definedName name="TT" localSheetId="9">#REF!</definedName>
    <definedName name="TT" localSheetId="11">#REF!</definedName>
    <definedName name="TT" localSheetId="13">#REF!</definedName>
    <definedName name="TT" localSheetId="2">#REF!</definedName>
    <definedName name="TT">#REF!</definedName>
    <definedName name="units">#REF!</definedName>
    <definedName name="untrended_dates">#REF!</definedName>
    <definedName name="untrended_partner_contributions">#REF!</definedName>
    <definedName name="vital5">#REF!</definedName>
    <definedName name="wetadf" localSheetId="2" hidden="1">{"Assump",#N/A,TRUE,"Proforma";"first",#N/A,TRUE,"Proforma";"second",#N/A,TRUE,"Proforma";"lease1",#N/A,TRUE,"Proforma";"lease2",#N/A,TRUE,"Proforma"}</definedName>
    <definedName name="wetadf" hidden="1">{"Assump",#N/A,TRUE,"Proforma";"first",#N/A,TRUE,"Proforma";"second",#N/A,TRUE,"Proforma";"lease1",#N/A,TRUE,"Proforma";"lease2",#N/A,TRUE,"Proforma"}</definedName>
    <definedName name="wrn.BlackWhite." localSheetId="2" hidden="1">{#N/A,#N/A,FALSE,"NNN sum";#N/A,#N/A,FALSE,"10-yr Opt. A Sum";#N/A,#N/A,FALSE,"10-yr Opt A Other Costs";#N/A,#N/A,FALSE,"Purchase Sum";#N/A,#N/A,FALSE,"Purchase Other Costs"}</definedName>
    <definedName name="wrn.BlackWhite." hidden="1">{#N/A,#N/A,FALSE,"NNN sum";#N/A,#N/A,FALSE,"10-yr Opt. A Sum";#N/A,#N/A,FALSE,"10-yr Opt A Other Costs";#N/A,#N/A,FALSE,"Purchase Sum";#N/A,#N/A,FALSE,"Purchase Other Costs"}</definedName>
    <definedName name="wrn.Complete._.Review." localSheetId="2" hidden="1">{#N/A,#N/A,FALSE,"Occ and Rate";#N/A,#N/A,FALSE,"PF Input";#N/A,#N/A,FALSE,"Capital Input";#N/A,#N/A,FALSE,"Proforma Five Yr";#N/A,#N/A,FALSE,"Calculations";#N/A,#N/A,FALSE,"Transaction Summary-DTW"}</definedName>
    <definedName name="wrn.Complete._.Review." hidden="1">{#N/A,#N/A,FALSE,"Occ and Rate";#N/A,#N/A,FALSE,"PF Input";#N/A,#N/A,FALSE,"Capital Input";#N/A,#N/A,FALSE,"Proforma Five Yr";#N/A,#N/A,FALSE,"Calculations";#N/A,#N/A,FALSE,"Transaction Summary-DTW"}</definedName>
    <definedName name="wrn.cssa." localSheetId="2" hidden="1">{#N/A,#N/A,FALSE,"WATCHDSC";#N/A,#N/A,FALSE,"2LOSSMOD";#N/A,#N/A,FALSE,"2LOSS";#N/A,#N/A,FALSE,"DSC";#N/A,#N/A,FALSE,"OPERAT";#N/A,#N/A,FALSE,"ADJUST";#N/A,#N/A,FALSE,"LEASE EXPIRE"}</definedName>
    <definedName name="wrn.cssa." hidden="1">{#N/A,#N/A,FALSE,"WATCHDSC";#N/A,#N/A,FALSE,"2LOSSMOD";#N/A,#N/A,FALSE,"2LOSS";#N/A,#N/A,FALSE,"DSC";#N/A,#N/A,FALSE,"OPERAT";#N/A,#N/A,FALSE,"ADJUST";#N/A,#N/A,FALSE,"LEASE EXPIRE"}</definedName>
    <definedName name="wrn.data." localSheetId="2" hidden="1">{"data",#N/A,FALSE,"INPUT"}</definedName>
    <definedName name="wrn.data." hidden="1">{"data",#N/A,FALSE,"INPUT"}</definedName>
    <definedName name="wrn.GSA._.PRINT." localSheetId="2" hidden="1">{#N/A,#N/A,FALSE,"DEV COSTS";#N/A,#N/A,FALSE,"10-YR C. F."}</definedName>
    <definedName name="wrn.GSA._.PRINT." hidden="1">{#N/A,#N/A,FALSE,"DEV COSTS";#N/A,#N/A,FALSE,"10-YR C. F."}</definedName>
    <definedName name="wrn.Investment._.Review." localSheetId="2" hidden="1">{#N/A,#N/A,FALSE,"Proforma Five Yr";#N/A,#N/A,FALSE,"Capital Input";#N/A,#N/A,FALSE,"Calculations";#N/A,#N/A,FALSE,"Transaction Summary-DTW"}</definedName>
    <definedName name="wrn.Investment._.Review." hidden="1">{#N/A,#N/A,FALSE,"Proforma Five Yr";#N/A,#N/A,FALSE,"Capital Input";#N/A,#N/A,FALSE,"Calculations";#N/A,#N/A,FALSE,"Transaction Summary-DTW"}</definedName>
    <definedName name="wrn.MODEL." localSheetId="2" hidden="1">{"IS",#N/A,FALSE,"Income Statement";"ISR",#N/A,FALSE,"Income Statement Ratios";"BS",#N/A,FALSE,"Balance Sheet";"BSR",#N/A,FALSE,"Balance Sheet Ratios";"CF",#N/A,FALSE,"Cash Flow";"SALES",#N/A,FALSE,"Sales Analysis";"RR",#N/A,FALSE,"Recent Results"}</definedName>
    <definedName name="wrn.MODEL." hidden="1">{"IS",#N/A,FALSE,"Income Statement";"ISR",#N/A,FALSE,"Income Statement Ratios";"BS",#N/A,FALSE,"Balance Sheet";"BSR",#N/A,FALSE,"Balance Sheet Ratios";"CF",#N/A,FALSE,"Cash Flow";"SALES",#N/A,FALSE,"Sales Analysis";"RR",#N/A,FALSE,"Recent Results"}</definedName>
    <definedName name="wrn.Operations._.Review." localSheetId="2" hidden="1">{#N/A,#N/A,FALSE,"Proforma Five Yr";#N/A,#N/A,FALSE,"Occ and Rate";#N/A,#N/A,FALSE,"PF Input";#N/A,#N/A,FALSE,"Hotcomps"}</definedName>
    <definedName name="wrn.Operations._.Review." hidden="1">{#N/A,#N/A,FALSE,"Proforma Five Yr";#N/A,#N/A,FALSE,"Occ and Rate";#N/A,#N/A,FALSE,"PF Input";#N/A,#N/A,FALSE,"Hotcomps"}</definedName>
    <definedName name="wrn.Phase._.I." localSheetId="2" hidden="1">{#N/A,#N/A,FALSE,"Transaction Summary-DTW";#N/A,#N/A,FALSE,"Proforma Five Yr";#N/A,#N/A,FALSE,"Occ and Rate"}</definedName>
    <definedName name="wrn.Phase._.I." hidden="1">{#N/A,#N/A,FALSE,"Transaction Summary-DTW";#N/A,#N/A,FALSE,"Proforma Five Yr";#N/A,#N/A,FALSE,"Occ and Rate"}</definedName>
    <definedName name="wrn.print." localSheetId="2" hidden="1">{"Assump",#N/A,TRUE,"Proforma";"first",#N/A,TRUE,"Proforma";"second",#N/A,TRUE,"Proforma";"lease1",#N/A,TRUE,"Proforma";"lease2",#N/A,TRUE,"Proforma"}</definedName>
    <definedName name="wrn.print." hidden="1">{"Assump",#N/A,TRUE,"Proforma";"first",#N/A,TRUE,"Proforma";"second",#N/A,TRUE,"Proforma";"lease1",#N/A,TRUE,"Proforma";"lease2",#N/A,TRUE,"Proforma"}</definedName>
    <definedName name="wrn.Proforma._.Review." localSheetId="2" hidden="1">{#N/A,#N/A,FALSE,"Occ and Rate";#N/A,#N/A,FALSE,"PF Input";#N/A,#N/A,FALSE,"Proforma Five Yr";#N/A,#N/A,FALSE,"Hotcomps"}</definedName>
    <definedName name="wrn.Proforma._.Review." hidden="1">{#N/A,#N/A,FALSE,"Occ and Rate";#N/A,#N/A,FALSE,"PF Input";#N/A,#N/A,FALSE,"Proforma Five Yr";#N/A,#N/A,FALSE,"Hotcomps"}</definedName>
    <definedName name="wrn.Report." localSheetId="2" hidden="1">{#N/A,#N/A,FALSE,"Summary";#N/A,#N/A,FALSE,"Assumptions";#N/A,#N/A,FALSE,"Cash Flow";#N/A,#N/A,FALSE,"Residual Calculation";#N/A,#N/A,FALSE,"Pricing Matrix";#N/A,#N/A,FALSE,"Pricing Matrix II";#N/A,#N/A,FALSE,"Expiration Schedule"}</definedName>
    <definedName name="wrn.Report." hidden="1">{#N/A,#N/A,FALSE,"Summary";#N/A,#N/A,FALSE,"Assumptions";#N/A,#N/A,FALSE,"Cash Flow";#N/A,#N/A,FALSE,"Residual Calculation";#N/A,#N/A,FALSE,"Pricing Matrix";#N/A,#N/A,FALSE,"Pricing Matrix II";#N/A,#N/A,FALSE,"Expiration Schedule"}</definedName>
    <definedName name="wrn.Total." localSheetId="2" hidden="1">{#N/A,#N/A,FALSE,"Exec Sum";#N/A,#N/A,FALSE,"Rent Rate Comp";#N/A,#N/A,FALSE,"Rate, NPV Comp";#N/A,#N/A,FALSE,"Opt A NNN";#N/A,#N/A,FALSE,"15-yr Opt. A Sum";#N/A,#N/A,FALSE,"15-yr Opt A Other Costs";#N/A,#N/A,FALSE,"10-yr Opt. A Sum";#N/A,#N/A,FALSE,"10-yr Opt A Other Costs";#N/A,#N/A,FALSE,"NPV Calc"}</definedName>
    <definedName name="wrn.Total." hidden="1">{#N/A,#N/A,FALSE,"Exec Sum";#N/A,#N/A,FALSE,"Rent Rate Comp";#N/A,#N/A,FALSE,"Rate, NPV Comp";#N/A,#N/A,FALSE,"Opt A NNN";#N/A,#N/A,FALSE,"15-yr Opt. A Sum";#N/A,#N/A,FALSE,"15-yr Opt A Other Costs";#N/A,#N/A,FALSE,"10-yr Opt. A Sum";#N/A,#N/A,FALSE,"10-yr Opt A Other Costs";#N/A,#N/A,FALSE,"NPV Calc"}</definedName>
    <definedName name="wrn.TOTAL._.SHEETS." localSheetId="2" hidden="1">{#N/A,#N/A,FALSE,"DEV COSTS";#N/A,#N/A,FALSE,"10-YR C. F."}</definedName>
    <definedName name="wrn.TOTAL._.SHEETS." hidden="1">{#N/A,#N/A,FALSE,"DEV COSTS";#N/A,#N/A,FALSE,"10-YR C. F."}</definedName>
    <definedName name="wrn.WeeklyStatus." localSheetId="2" hidden="1">{#N/A,#N/A,FALSE,"StatusReport"}</definedName>
    <definedName name="wrn.WeeklyStatus." hidden="1">{#N/A,#N/A,FALSE,"StatusReport"}</definedName>
    <definedName name="wrn.YTD.Clsngs.Subdiv.Dte." localSheetId="2" hidden="1">{"Smry.sbtl.subdiv.clsdte",#N/A,FALSE,"97clsngs.612"}</definedName>
    <definedName name="wrn.YTD.Clsngs.Subdiv.Dte." hidden="1">{"Smry.sbtl.subdiv.clsdte",#N/A,FALSE,"97clsngs.612"}</definedName>
    <definedName name="x" localSheetId="2" hidden="1">{#N/A,#N/A,FALSE,"WATCHDSC";#N/A,#N/A,FALSE,"2LOSSMOD";#N/A,#N/A,FALSE,"2LOSS";#N/A,#N/A,FALSE,"DSC";#N/A,#N/A,FALSE,"OPERAT";#N/A,#N/A,FALSE,"ADJUST";#N/A,#N/A,FALSE,"LEASE EXPIRE"}</definedName>
    <definedName name="x" hidden="1">{#N/A,#N/A,FALSE,"WATCHDSC";#N/A,#N/A,FALSE,"2LOSSMOD";#N/A,#N/A,FALSE,"2LOSS";#N/A,#N/A,FALSE,"DSC";#N/A,#N/A,FALSE,"OPERAT";#N/A,#N/A,FALSE,"ADJUST";#N/A,#N/A,FALSE,"LEASE EXPIRE"}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8" i="22" l="1"/>
  <c r="G7" i="22"/>
  <c r="G6" i="22"/>
  <c r="G9" i="22" s="1"/>
  <c r="W61" i="2"/>
  <c r="AH8" i="21"/>
  <c r="AI8" i="21"/>
  <c r="AJ8" i="21"/>
  <c r="AK8" i="21"/>
  <c r="AL8" i="21"/>
  <c r="AM8" i="21"/>
  <c r="AN8" i="21"/>
  <c r="AO8" i="21"/>
  <c r="AQ8" i="21"/>
  <c r="AR8" i="21"/>
  <c r="AS8" i="21"/>
  <c r="AT8" i="21"/>
  <c r="AU8" i="21"/>
  <c r="D7" i="21"/>
  <c r="E7" i="21" s="1"/>
  <c r="F7" i="21" s="1"/>
  <c r="G7" i="21" s="1"/>
  <c r="H7" i="21" s="1"/>
  <c r="I7" i="21" s="1"/>
  <c r="J7" i="21" s="1"/>
  <c r="K7" i="21" s="1"/>
  <c r="L7" i="21" s="1"/>
  <c r="M7" i="21" s="1"/>
  <c r="N7" i="21" s="1"/>
  <c r="O7" i="21" s="1"/>
  <c r="P7" i="21" s="1"/>
  <c r="Q7" i="21" s="1"/>
  <c r="R7" i="21" s="1"/>
  <c r="S7" i="21" s="1"/>
  <c r="T7" i="21" s="1"/>
  <c r="U7" i="21" s="1"/>
  <c r="V7" i="21" s="1"/>
  <c r="W7" i="21" s="1"/>
  <c r="X7" i="21" s="1"/>
  <c r="Y7" i="21" s="1"/>
  <c r="Z7" i="21" s="1"/>
  <c r="AA7" i="21" s="1"/>
  <c r="AB7" i="21" s="1"/>
  <c r="AC7" i="21" s="1"/>
  <c r="AD7" i="21" s="1"/>
  <c r="AE7" i="21" s="1"/>
  <c r="AF7" i="21" s="1"/>
  <c r="AG7" i="21" s="1"/>
  <c r="AH7" i="21" s="1"/>
  <c r="AI7" i="21" s="1"/>
  <c r="AJ7" i="21" s="1"/>
  <c r="AK7" i="21" s="1"/>
  <c r="AL7" i="21" s="1"/>
  <c r="AM7" i="21" s="1"/>
  <c r="AN7" i="21" s="1"/>
  <c r="AO7" i="21" s="1"/>
  <c r="AP7" i="21" s="1"/>
  <c r="AQ7" i="21" s="1"/>
  <c r="AR7" i="21" s="1"/>
  <c r="AS7" i="21" s="1"/>
  <c r="AT7" i="21" s="1"/>
  <c r="AU7" i="21" s="1"/>
  <c r="C28" i="12"/>
  <c r="D28" i="12"/>
  <c r="E28" i="12"/>
  <c r="F28" i="12"/>
  <c r="G28" i="12"/>
  <c r="H28" i="12"/>
  <c r="I28" i="12"/>
  <c r="J28" i="12"/>
  <c r="K28" i="12"/>
  <c r="L28" i="12"/>
  <c r="M28" i="12"/>
  <c r="N28" i="12"/>
  <c r="O28" i="12"/>
  <c r="P28" i="12"/>
  <c r="Q28" i="12"/>
  <c r="R22" i="12"/>
  <c r="Q22" i="12"/>
  <c r="K15" i="12"/>
  <c r="J15" i="12"/>
  <c r="L15" i="12"/>
  <c r="I15" i="12"/>
  <c r="H15" i="12"/>
  <c r="R15" i="12"/>
  <c r="Q15" i="12"/>
  <c r="P15" i="12"/>
  <c r="AJ39" i="16"/>
  <c r="AK39" i="16"/>
  <c r="AL39" i="16"/>
  <c r="AM39" i="16"/>
  <c r="AN39" i="16"/>
  <c r="AO39" i="16"/>
  <c r="D5" i="16"/>
  <c r="E5" i="16"/>
  <c r="F5" i="16"/>
  <c r="C5" i="16"/>
  <c r="D5" i="14"/>
  <c r="E5" i="14"/>
  <c r="F5" i="14"/>
  <c r="C5" i="14"/>
  <c r="E5" i="12"/>
  <c r="F5" i="12"/>
  <c r="D5" i="12"/>
  <c r="C5" i="12"/>
  <c r="I12" i="6"/>
  <c r="I13" i="6"/>
  <c r="I14" i="6"/>
  <c r="I15" i="6"/>
  <c r="I16" i="6"/>
  <c r="I17" i="6"/>
  <c r="I18" i="6"/>
  <c r="I19" i="6"/>
  <c r="I20" i="6"/>
  <c r="I21" i="6"/>
  <c r="I22" i="6"/>
  <c r="I11" i="6"/>
  <c r="J12" i="6"/>
  <c r="J13" i="6"/>
  <c r="J14" i="6"/>
  <c r="J15" i="6"/>
  <c r="J16" i="6"/>
  <c r="J17" i="6"/>
  <c r="J18" i="6"/>
  <c r="J19" i="6"/>
  <c r="J20" i="6"/>
  <c r="J21" i="6"/>
  <c r="J22" i="6"/>
  <c r="J11" i="6"/>
  <c r="B43" i="15" l="1"/>
  <c r="B43" i="13"/>
  <c r="B43" i="11"/>
  <c r="W10" i="2"/>
  <c r="C59" i="15"/>
  <c r="C59" i="13"/>
  <c r="B33" i="15"/>
  <c r="B33" i="13"/>
  <c r="B30" i="15"/>
  <c r="B30" i="13"/>
  <c r="B29" i="15"/>
  <c r="AI61" i="2"/>
  <c r="I10" i="2"/>
  <c r="I9" i="2"/>
  <c r="I8" i="2"/>
  <c r="I7" i="2"/>
  <c r="J13" i="4"/>
  <c r="U121" i="2" s="1"/>
  <c r="J14" i="4"/>
  <c r="J15" i="4"/>
  <c r="J16" i="4"/>
  <c r="J17" i="4"/>
  <c r="J18" i="4"/>
  <c r="J19" i="4"/>
  <c r="J20" i="4"/>
  <c r="J21" i="4"/>
  <c r="J22" i="4"/>
  <c r="J23" i="4"/>
  <c r="J24" i="4"/>
  <c r="J12" i="4"/>
  <c r="W9" i="2"/>
  <c r="W8" i="2"/>
  <c r="AK142" i="2"/>
  <c r="AJ142" i="2"/>
  <c r="AI142" i="2"/>
  <c r="AE142" i="2"/>
  <c r="AC142" i="2"/>
  <c r="AK135" i="2"/>
  <c r="AJ135" i="2"/>
  <c r="AI135" i="2"/>
  <c r="AE135" i="2"/>
  <c r="AC135" i="2"/>
  <c r="AK128" i="2"/>
  <c r="AJ128" i="2"/>
  <c r="AI128" i="2"/>
  <c r="AE128" i="2"/>
  <c r="AC128" i="2"/>
  <c r="AK96" i="2"/>
  <c r="AJ96" i="2"/>
  <c r="AI96" i="2"/>
  <c r="AE96" i="2"/>
  <c r="AC96" i="2"/>
  <c r="AK89" i="2"/>
  <c r="AJ89" i="2"/>
  <c r="AI89" i="2"/>
  <c r="AE89" i="2"/>
  <c r="AC89" i="2"/>
  <c r="AK82" i="2"/>
  <c r="AJ82" i="2"/>
  <c r="AI82" i="2"/>
  <c r="AE82" i="2"/>
  <c r="AC82" i="2"/>
  <c r="AK75" i="2"/>
  <c r="AJ75" i="2"/>
  <c r="AI75" i="2"/>
  <c r="AE75" i="2"/>
  <c r="AC75" i="2"/>
  <c r="AK68" i="2"/>
  <c r="AJ68" i="2"/>
  <c r="AI68" i="2"/>
  <c r="AE68" i="2"/>
  <c r="AC68" i="2"/>
  <c r="AK61" i="2"/>
  <c r="AJ61" i="2"/>
  <c r="AE61" i="2"/>
  <c r="AC61" i="2"/>
  <c r="AK121" i="2"/>
  <c r="AJ121" i="2"/>
  <c r="AI121" i="2"/>
  <c r="AE121" i="2"/>
  <c r="AC121" i="2"/>
  <c r="AK114" i="2"/>
  <c r="AJ114" i="2"/>
  <c r="AI114" i="2"/>
  <c r="AE114" i="2"/>
  <c r="AC114" i="2"/>
  <c r="AK107" i="2"/>
  <c r="AJ107" i="2"/>
  <c r="AI107" i="2"/>
  <c r="AE107" i="2"/>
  <c r="AC107" i="2"/>
  <c r="AK50" i="2"/>
  <c r="AJ50" i="2"/>
  <c r="AI50" i="2"/>
  <c r="AE50" i="2"/>
  <c r="AC50" i="2"/>
  <c r="AK43" i="2"/>
  <c r="AJ43" i="2"/>
  <c r="AI43" i="2"/>
  <c r="AE43" i="2"/>
  <c r="AC43" i="2"/>
  <c r="AK36" i="2"/>
  <c r="AJ36" i="2"/>
  <c r="AI36" i="2"/>
  <c r="AE36" i="2"/>
  <c r="AC36" i="2"/>
  <c r="AK29" i="2"/>
  <c r="AJ29" i="2"/>
  <c r="AI29" i="2"/>
  <c r="AE29" i="2"/>
  <c r="AC29" i="2"/>
  <c r="AK22" i="2"/>
  <c r="AJ22" i="2"/>
  <c r="AI22" i="2"/>
  <c r="AE22" i="2"/>
  <c r="AC22" i="2"/>
  <c r="X142" i="2"/>
  <c r="X135" i="2"/>
  <c r="X128" i="2"/>
  <c r="X96" i="2"/>
  <c r="X89" i="2"/>
  <c r="X82" i="2"/>
  <c r="X75" i="2"/>
  <c r="X68" i="2"/>
  <c r="X61" i="2"/>
  <c r="X121" i="2"/>
  <c r="X114" i="2"/>
  <c r="X107" i="2"/>
  <c r="X50" i="2"/>
  <c r="X43" i="2"/>
  <c r="X36" i="2"/>
  <c r="X29" i="2"/>
  <c r="X22" i="2"/>
  <c r="A87" i="11"/>
  <c r="A87" i="13"/>
  <c r="A87" i="15"/>
  <c r="A35" i="15"/>
  <c r="A35" i="13"/>
  <c r="A35" i="11"/>
  <c r="J39" i="1"/>
  <c r="W142" i="2" s="1"/>
  <c r="J37" i="1"/>
  <c r="W50" i="2" s="1"/>
  <c r="J35" i="1"/>
  <c r="W96" i="2" s="1"/>
  <c r="J31" i="1"/>
  <c r="W135" i="2" s="1"/>
  <c r="J21" i="1"/>
  <c r="W75" i="2" s="1"/>
  <c r="J15" i="1"/>
  <c r="W29" i="2" s="1"/>
  <c r="J9" i="1"/>
  <c r="W121" i="2" s="1"/>
  <c r="J7" i="1"/>
  <c r="W22" i="2" s="1"/>
  <c r="C17" i="1"/>
  <c r="C23" i="1"/>
  <c r="D58" i="7"/>
  <c r="C58" i="7"/>
  <c r="B58" i="7"/>
  <c r="D52" i="7"/>
  <c r="C52" i="7"/>
  <c r="B52" i="7"/>
  <c r="B64" i="7"/>
  <c r="C29" i="7"/>
  <c r="C16" i="7"/>
  <c r="C13" i="7"/>
  <c r="D50" i="15"/>
  <c r="D50" i="13"/>
  <c r="D50" i="11"/>
  <c r="E33" i="18"/>
  <c r="F33" i="18"/>
  <c r="G33" i="18"/>
  <c r="H33" i="18"/>
  <c r="I33" i="18"/>
  <c r="J33" i="18"/>
  <c r="K33" i="18"/>
  <c r="L33" i="18"/>
  <c r="M33" i="18"/>
  <c r="N33" i="18"/>
  <c r="O33" i="18"/>
  <c r="P33" i="18"/>
  <c r="Q33" i="18"/>
  <c r="R33" i="18"/>
  <c r="S33" i="18"/>
  <c r="T33" i="18"/>
  <c r="U33" i="18"/>
  <c r="V33" i="18"/>
  <c r="W33" i="18"/>
  <c r="X33" i="18"/>
  <c r="Y33" i="18"/>
  <c r="Z33" i="18"/>
  <c r="AA33" i="18"/>
  <c r="AB33" i="18"/>
  <c r="AC33" i="18"/>
  <c r="AD33" i="18"/>
  <c r="AE33" i="18"/>
  <c r="AF33" i="18"/>
  <c r="AG33" i="18"/>
  <c r="AH33" i="18"/>
  <c r="AI33" i="18"/>
  <c r="AJ33" i="18"/>
  <c r="AK33" i="18"/>
  <c r="AL33" i="18"/>
  <c r="AM33" i="18"/>
  <c r="AN33" i="18"/>
  <c r="AO33" i="18"/>
  <c r="AP33" i="18"/>
  <c r="AQ33" i="18"/>
  <c r="AR33" i="18"/>
  <c r="AS33" i="18"/>
  <c r="AT33" i="18"/>
  <c r="AU33" i="18"/>
  <c r="AV33" i="18"/>
  <c r="AW33" i="18"/>
  <c r="AX33" i="18"/>
  <c r="AY33" i="18"/>
  <c r="AZ33" i="18"/>
  <c r="BA33" i="18"/>
  <c r="BB33" i="18"/>
  <c r="BC33" i="18"/>
  <c r="BD33" i="18"/>
  <c r="BE33" i="18"/>
  <c r="BF33" i="18"/>
  <c r="BG33" i="18"/>
  <c r="BH33" i="18"/>
  <c r="BI33" i="18"/>
  <c r="BJ33" i="18"/>
  <c r="BK33" i="18"/>
  <c r="BL33" i="18"/>
  <c r="BM33" i="18"/>
  <c r="BN33" i="18"/>
  <c r="BO33" i="18"/>
  <c r="BP33" i="18"/>
  <c r="BQ33" i="18"/>
  <c r="BR33" i="18"/>
  <c r="BS33" i="18"/>
  <c r="BT33" i="18"/>
  <c r="BU33" i="18"/>
  <c r="BV33" i="18"/>
  <c r="BW33" i="18"/>
  <c r="BX33" i="18"/>
  <c r="BY33" i="18"/>
  <c r="BZ33" i="18"/>
  <c r="CA33" i="18"/>
  <c r="CB33" i="18"/>
  <c r="CC33" i="18"/>
  <c r="CD33" i="18"/>
  <c r="CE33" i="18"/>
  <c r="CF33" i="18"/>
  <c r="CG33" i="18"/>
  <c r="CH33" i="18"/>
  <c r="CI33" i="18"/>
  <c r="CJ33" i="18"/>
  <c r="CK33" i="18"/>
  <c r="CL33" i="18"/>
  <c r="CM33" i="18"/>
  <c r="CN33" i="18"/>
  <c r="CO33" i="18"/>
  <c r="CP33" i="18"/>
  <c r="CQ33" i="18"/>
  <c r="CR33" i="18"/>
  <c r="CS33" i="18"/>
  <c r="CT33" i="18"/>
  <c r="CU33" i="18"/>
  <c r="CV33" i="18"/>
  <c r="CW33" i="18"/>
  <c r="D33" i="18"/>
  <c r="E22" i="18"/>
  <c r="F22" i="18"/>
  <c r="G22" i="18"/>
  <c r="H22" i="18"/>
  <c r="I22" i="18"/>
  <c r="J22" i="18"/>
  <c r="K22" i="18"/>
  <c r="L22" i="18"/>
  <c r="M22" i="18"/>
  <c r="N22" i="18"/>
  <c r="O22" i="18"/>
  <c r="P22" i="18"/>
  <c r="Q22" i="18"/>
  <c r="R22" i="18"/>
  <c r="S22" i="18"/>
  <c r="T22" i="18"/>
  <c r="U22" i="18"/>
  <c r="V22" i="18"/>
  <c r="W22" i="18"/>
  <c r="X22" i="18"/>
  <c r="Y22" i="18"/>
  <c r="Z22" i="18"/>
  <c r="AA22" i="18"/>
  <c r="AB22" i="18"/>
  <c r="AC22" i="18"/>
  <c r="AD22" i="18"/>
  <c r="AE22" i="18"/>
  <c r="AF22" i="18"/>
  <c r="AG22" i="18"/>
  <c r="AH22" i="18"/>
  <c r="AI22" i="18"/>
  <c r="AJ22" i="18"/>
  <c r="AK22" i="18"/>
  <c r="AL22" i="18"/>
  <c r="AM22" i="18"/>
  <c r="AN22" i="18"/>
  <c r="AO22" i="18"/>
  <c r="AP22" i="18"/>
  <c r="AQ22" i="18"/>
  <c r="AR22" i="18"/>
  <c r="AS22" i="18"/>
  <c r="AT22" i="18"/>
  <c r="AU22" i="18"/>
  <c r="AV22" i="18"/>
  <c r="AW22" i="18"/>
  <c r="AX22" i="18"/>
  <c r="AY22" i="18"/>
  <c r="AZ22" i="18"/>
  <c r="BA22" i="18"/>
  <c r="BB22" i="18"/>
  <c r="BC22" i="18"/>
  <c r="BD22" i="18"/>
  <c r="BE22" i="18"/>
  <c r="BF22" i="18"/>
  <c r="BG22" i="18"/>
  <c r="BH22" i="18"/>
  <c r="BI22" i="18"/>
  <c r="BJ22" i="18"/>
  <c r="BK22" i="18"/>
  <c r="BL22" i="18"/>
  <c r="BM22" i="18"/>
  <c r="BN22" i="18"/>
  <c r="BO22" i="18"/>
  <c r="BP22" i="18"/>
  <c r="BQ22" i="18"/>
  <c r="BR22" i="18"/>
  <c r="BS22" i="18"/>
  <c r="BT22" i="18"/>
  <c r="BU22" i="18"/>
  <c r="BV22" i="18"/>
  <c r="BW22" i="18"/>
  <c r="BX22" i="18"/>
  <c r="BY22" i="18"/>
  <c r="BZ22" i="18"/>
  <c r="CA22" i="18"/>
  <c r="CB22" i="18"/>
  <c r="CC22" i="18"/>
  <c r="CD22" i="18"/>
  <c r="CE22" i="18"/>
  <c r="CF22" i="18"/>
  <c r="CG22" i="18"/>
  <c r="CH22" i="18"/>
  <c r="CI22" i="18"/>
  <c r="CJ22" i="18"/>
  <c r="CK22" i="18"/>
  <c r="CL22" i="18"/>
  <c r="CM22" i="18"/>
  <c r="CN22" i="18"/>
  <c r="CO22" i="18"/>
  <c r="CP22" i="18"/>
  <c r="CQ22" i="18"/>
  <c r="CR22" i="18"/>
  <c r="CS22" i="18"/>
  <c r="CT22" i="18"/>
  <c r="CU22" i="18"/>
  <c r="CV22" i="18"/>
  <c r="CW22" i="18"/>
  <c r="D22" i="18"/>
  <c r="CW11" i="18"/>
  <c r="CV11" i="18"/>
  <c r="CU11" i="18"/>
  <c r="CT11" i="18"/>
  <c r="CS11" i="18"/>
  <c r="CR11" i="18"/>
  <c r="CQ11" i="18"/>
  <c r="CP11" i="18"/>
  <c r="CO11" i="18"/>
  <c r="CN11" i="18"/>
  <c r="CM11" i="18"/>
  <c r="CL11" i="18"/>
  <c r="CK11" i="18"/>
  <c r="CJ11" i="18"/>
  <c r="CI11" i="18"/>
  <c r="CH11" i="18"/>
  <c r="CG11" i="18"/>
  <c r="CF11" i="18"/>
  <c r="CE11" i="18"/>
  <c r="CD11" i="18"/>
  <c r="CC11" i="18"/>
  <c r="CB11" i="18"/>
  <c r="CA11" i="18"/>
  <c r="BZ11" i="18"/>
  <c r="BY11" i="18"/>
  <c r="BX11" i="18"/>
  <c r="BW11" i="18"/>
  <c r="BV11" i="18"/>
  <c r="BU11" i="18"/>
  <c r="BT11" i="18"/>
  <c r="BS11" i="18"/>
  <c r="BR11" i="18"/>
  <c r="BQ11" i="18"/>
  <c r="BP11" i="18"/>
  <c r="BO11" i="18"/>
  <c r="BN11" i="18"/>
  <c r="BM11" i="18"/>
  <c r="BL11" i="18"/>
  <c r="BK11" i="18"/>
  <c r="BJ11" i="18"/>
  <c r="BI11" i="18"/>
  <c r="BH11" i="18"/>
  <c r="BG11" i="18"/>
  <c r="BF11" i="18"/>
  <c r="BE11" i="18"/>
  <c r="BD11" i="18"/>
  <c r="BC11" i="18"/>
  <c r="BB11" i="18"/>
  <c r="BA11" i="18"/>
  <c r="AZ11" i="18"/>
  <c r="AY11" i="18"/>
  <c r="AX11" i="18"/>
  <c r="AW11" i="18"/>
  <c r="AV11" i="18"/>
  <c r="AU11" i="18"/>
  <c r="AT11" i="18"/>
  <c r="AS11" i="18"/>
  <c r="AR11" i="18"/>
  <c r="AQ11" i="18"/>
  <c r="AP11" i="18"/>
  <c r="AO11" i="18"/>
  <c r="AN11" i="18"/>
  <c r="AM11" i="18"/>
  <c r="AL11" i="18"/>
  <c r="AK11" i="18"/>
  <c r="AJ11" i="18"/>
  <c r="AI11" i="18"/>
  <c r="AH11" i="18"/>
  <c r="AG11" i="18"/>
  <c r="AF11" i="18"/>
  <c r="AE11" i="18"/>
  <c r="AD11" i="18"/>
  <c r="AC11" i="18"/>
  <c r="AB11" i="18"/>
  <c r="AA11" i="18"/>
  <c r="Z11" i="18"/>
  <c r="Y11" i="18"/>
  <c r="X11" i="18"/>
  <c r="W11" i="18"/>
  <c r="V11" i="18"/>
  <c r="U11" i="18"/>
  <c r="T11" i="18"/>
  <c r="S11" i="18"/>
  <c r="R11" i="18"/>
  <c r="Q11" i="18"/>
  <c r="P11" i="18"/>
  <c r="O11" i="18"/>
  <c r="N11" i="18"/>
  <c r="M11" i="18"/>
  <c r="L11" i="18"/>
  <c r="K11" i="18"/>
  <c r="J11" i="18"/>
  <c r="I11" i="18"/>
  <c r="H11" i="18"/>
  <c r="G11" i="18"/>
  <c r="F11" i="18"/>
  <c r="E11" i="18"/>
  <c r="D11" i="18"/>
  <c r="B57" i="15" l="1"/>
  <c r="B57" i="13"/>
  <c r="B57" i="11"/>
  <c r="D13" i="18"/>
  <c r="U107" i="2"/>
  <c r="U114" i="2"/>
  <c r="W36" i="2"/>
  <c r="W43" i="2"/>
  <c r="W107" i="2"/>
  <c r="W114" i="2"/>
  <c r="W128" i="2"/>
  <c r="W68" i="2"/>
  <c r="W82" i="2"/>
  <c r="W89" i="2"/>
  <c r="D36" i="18"/>
  <c r="D24" i="18"/>
  <c r="C83" i="13"/>
  <c r="R142" i="2"/>
  <c r="R135" i="2"/>
  <c r="R128" i="2"/>
  <c r="R89" i="2"/>
  <c r="R82" i="2"/>
  <c r="R75" i="2"/>
  <c r="R68" i="2"/>
  <c r="R121" i="2"/>
  <c r="R114" i="2"/>
  <c r="R107" i="2"/>
  <c r="R50" i="2"/>
  <c r="R43" i="2"/>
  <c r="R36" i="2"/>
  <c r="R29" i="2"/>
  <c r="R22" i="2"/>
  <c r="B30" i="11"/>
  <c r="B29" i="11"/>
  <c r="D43" i="11" s="1"/>
  <c r="M9" i="2"/>
  <c r="M10" i="2"/>
  <c r="M8" i="2"/>
  <c r="M7" i="2"/>
  <c r="C62" i="11" l="1"/>
  <c r="C62" i="13"/>
  <c r="B14" i="14" s="1"/>
  <c r="C62" i="15"/>
  <c r="B14" i="16" s="1"/>
  <c r="U142" i="2"/>
  <c r="U96" i="2"/>
  <c r="U135" i="2"/>
  <c r="U128" i="2"/>
  <c r="D37" i="18" s="1"/>
  <c r="U43" i="2"/>
  <c r="U36" i="2"/>
  <c r="U29" i="2"/>
  <c r="B12" i="16"/>
  <c r="BC12" i="16" s="1"/>
  <c r="AX39" i="16"/>
  <c r="AW39" i="16"/>
  <c r="AV39" i="16"/>
  <c r="AU39" i="16"/>
  <c r="AT39" i="16"/>
  <c r="AS39" i="16"/>
  <c r="AR39" i="16"/>
  <c r="AQ39" i="16"/>
  <c r="AI39" i="16"/>
  <c r="AH39" i="16"/>
  <c r="AG39" i="16"/>
  <c r="B36" i="16"/>
  <c r="B28" i="16"/>
  <c r="A28" i="16"/>
  <c r="B27" i="16"/>
  <c r="A27" i="16"/>
  <c r="B26" i="16"/>
  <c r="AH26" i="16" s="1"/>
  <c r="A26" i="16"/>
  <c r="A25" i="16"/>
  <c r="A24" i="16"/>
  <c r="A23" i="16"/>
  <c r="B22" i="16"/>
  <c r="A22" i="16"/>
  <c r="A21" i="16"/>
  <c r="BB20" i="16"/>
  <c r="B20" i="16"/>
  <c r="BC20" i="16" s="1"/>
  <c r="A20" i="16"/>
  <c r="A19" i="16"/>
  <c r="A18" i="16"/>
  <c r="A17" i="16"/>
  <c r="A16" i="16"/>
  <c r="B15" i="16"/>
  <c r="A15" i="16"/>
  <c r="A14" i="16"/>
  <c r="BB13" i="16"/>
  <c r="A13" i="16"/>
  <c r="BB12" i="16"/>
  <c r="A12" i="16"/>
  <c r="A11" i="16"/>
  <c r="A10" i="16"/>
  <c r="A9" i="16"/>
  <c r="A8" i="16"/>
  <c r="F7" i="16"/>
  <c r="G7" i="16" s="1"/>
  <c r="D6" i="16"/>
  <c r="E6" i="16" s="1"/>
  <c r="F6" i="16" s="1"/>
  <c r="G6" i="16" s="1"/>
  <c r="H6" i="16" s="1"/>
  <c r="I6" i="16" s="1"/>
  <c r="J6" i="16" s="1"/>
  <c r="K6" i="16" s="1"/>
  <c r="L6" i="16" s="1"/>
  <c r="M6" i="16" s="1"/>
  <c r="N6" i="16" s="1"/>
  <c r="O6" i="16" s="1"/>
  <c r="P6" i="16" s="1"/>
  <c r="Q6" i="16" s="1"/>
  <c r="A94" i="15"/>
  <c r="A88" i="15"/>
  <c r="B75" i="15"/>
  <c r="B74" i="15"/>
  <c r="B73" i="15"/>
  <c r="B71" i="15"/>
  <c r="B69" i="15"/>
  <c r="B67" i="15"/>
  <c r="B66" i="15"/>
  <c r="B65" i="15"/>
  <c r="B64" i="15"/>
  <c r="B61" i="15"/>
  <c r="B58" i="15"/>
  <c r="D19" i="15"/>
  <c r="D18" i="15"/>
  <c r="D17" i="15"/>
  <c r="D16" i="15"/>
  <c r="D11" i="15"/>
  <c r="D10" i="15"/>
  <c r="D9" i="15"/>
  <c r="D8" i="15"/>
  <c r="C91" i="15"/>
  <c r="B36" i="14"/>
  <c r="B28" i="14"/>
  <c r="AW28" i="14" s="1"/>
  <c r="A28" i="14"/>
  <c r="B27" i="14"/>
  <c r="A27" i="14"/>
  <c r="B26" i="14"/>
  <c r="T26" i="14" s="1"/>
  <c r="A26" i="14"/>
  <c r="A25" i="14"/>
  <c r="A24" i="14"/>
  <c r="A23" i="14"/>
  <c r="B22" i="14"/>
  <c r="AW22" i="14" s="1"/>
  <c r="A22" i="14"/>
  <c r="A21" i="14"/>
  <c r="AV20" i="14"/>
  <c r="B20" i="14"/>
  <c r="AW20" i="14" s="1"/>
  <c r="AX20" i="14" s="1"/>
  <c r="A20" i="14"/>
  <c r="A19" i="14"/>
  <c r="A18" i="14"/>
  <c r="A17" i="14"/>
  <c r="A16" i="14"/>
  <c r="B15" i="14"/>
  <c r="A15" i="14"/>
  <c r="A14" i="14"/>
  <c r="AV13" i="14"/>
  <c r="A13" i="14"/>
  <c r="AV12" i="14"/>
  <c r="A12" i="14"/>
  <c r="A11" i="14"/>
  <c r="A10" i="14"/>
  <c r="A9" i="14"/>
  <c r="A8" i="14"/>
  <c r="F7" i="14"/>
  <c r="G7" i="14" s="1"/>
  <c r="H7" i="14" s="1"/>
  <c r="I7" i="14" s="1"/>
  <c r="J7" i="14" s="1"/>
  <c r="K7" i="14" s="1"/>
  <c r="L7" i="14" s="1"/>
  <c r="M7" i="14" s="1"/>
  <c r="N7" i="14" s="1"/>
  <c r="O7" i="14" s="1"/>
  <c r="P7" i="14" s="1"/>
  <c r="AV7" i="14" s="1"/>
  <c r="D6" i="14"/>
  <c r="E6" i="14" s="1"/>
  <c r="F6" i="14" s="1"/>
  <c r="G6" i="14" s="1"/>
  <c r="H6" i="14" s="1"/>
  <c r="I6" i="14" s="1"/>
  <c r="J6" i="14" s="1"/>
  <c r="K6" i="14" s="1"/>
  <c r="L6" i="14" s="1"/>
  <c r="M6" i="14" s="1"/>
  <c r="N6" i="14" s="1"/>
  <c r="O6" i="14" s="1"/>
  <c r="P6" i="14" s="1"/>
  <c r="Q6" i="14" s="1"/>
  <c r="R6" i="14" s="1"/>
  <c r="S6" i="14" s="1"/>
  <c r="T6" i="14" s="1"/>
  <c r="U6" i="14" s="1"/>
  <c r="V6" i="14" s="1"/>
  <c r="W6" i="14" s="1"/>
  <c r="X6" i="14" s="1"/>
  <c r="Y6" i="14" s="1"/>
  <c r="Z6" i="14" s="1"/>
  <c r="AA6" i="14" s="1"/>
  <c r="AB6" i="14" s="1"/>
  <c r="AC6" i="14" s="1"/>
  <c r="AD6" i="14" s="1"/>
  <c r="AE6" i="14" s="1"/>
  <c r="AF6" i="14" s="1"/>
  <c r="AG6" i="14" s="1"/>
  <c r="AH6" i="14" s="1"/>
  <c r="AI6" i="14" s="1"/>
  <c r="AJ6" i="14" s="1"/>
  <c r="AK6" i="14" s="1"/>
  <c r="AL6" i="14" s="1"/>
  <c r="AM6" i="14" s="1"/>
  <c r="AN6" i="14" s="1"/>
  <c r="AO6" i="14" s="1"/>
  <c r="AP6" i="14" s="1"/>
  <c r="AQ6" i="14" s="1"/>
  <c r="AR6" i="14" s="1"/>
  <c r="AS6" i="14" s="1"/>
  <c r="AT6" i="14" s="1"/>
  <c r="AU6" i="14" s="1"/>
  <c r="A94" i="13"/>
  <c r="A88" i="13"/>
  <c r="B75" i="13"/>
  <c r="B74" i="13"/>
  <c r="B73" i="13"/>
  <c r="B71" i="13"/>
  <c r="B69" i="13"/>
  <c r="B67" i="13"/>
  <c r="B66" i="13"/>
  <c r="B65" i="13"/>
  <c r="B64" i="13"/>
  <c r="B61" i="13"/>
  <c r="B58" i="13"/>
  <c r="D19" i="13"/>
  <c r="D18" i="13"/>
  <c r="D17" i="13"/>
  <c r="D16" i="13"/>
  <c r="D11" i="13"/>
  <c r="D10" i="13"/>
  <c r="D9" i="13"/>
  <c r="D8" i="13"/>
  <c r="C37" i="13"/>
  <c r="A94" i="11"/>
  <c r="B64" i="11"/>
  <c r="B69" i="11"/>
  <c r="B75" i="11"/>
  <c r="B74" i="11"/>
  <c r="B73" i="11"/>
  <c r="B71" i="11"/>
  <c r="B67" i="11"/>
  <c r="B66" i="11"/>
  <c r="B65" i="11"/>
  <c r="B61" i="11"/>
  <c r="B58" i="11"/>
  <c r="B33" i="11"/>
  <c r="O25" i="4"/>
  <c r="D17" i="11"/>
  <c r="D18" i="11"/>
  <c r="D19" i="11"/>
  <c r="D16" i="11"/>
  <c r="D9" i="11"/>
  <c r="D10" i="11"/>
  <c r="D11" i="11"/>
  <c r="D8" i="11"/>
  <c r="N10" i="2"/>
  <c r="N9" i="2"/>
  <c r="N8" i="2"/>
  <c r="N7" i="2"/>
  <c r="AR39" i="12"/>
  <c r="AQ39" i="12"/>
  <c r="AP39" i="12"/>
  <c r="AO39" i="12"/>
  <c r="AN39" i="12"/>
  <c r="AM39" i="12"/>
  <c r="AL39" i="12"/>
  <c r="AK39" i="12"/>
  <c r="AI39" i="12"/>
  <c r="AH39" i="12"/>
  <c r="AG39" i="12"/>
  <c r="B36" i="12"/>
  <c r="B28" i="12"/>
  <c r="AC28" i="12" s="1"/>
  <c r="A28" i="12"/>
  <c r="B27" i="12"/>
  <c r="A27" i="12"/>
  <c r="B26" i="12"/>
  <c r="A26" i="12"/>
  <c r="A25" i="12"/>
  <c r="A24" i="12"/>
  <c r="A23" i="12"/>
  <c r="B22" i="12"/>
  <c r="A22" i="12"/>
  <c r="A21" i="12"/>
  <c r="AV20" i="12"/>
  <c r="B20" i="12"/>
  <c r="AW20" i="12" s="1"/>
  <c r="A20" i="12"/>
  <c r="A19" i="12"/>
  <c r="A18" i="12"/>
  <c r="A17" i="12"/>
  <c r="A16" i="12"/>
  <c r="B15" i="12"/>
  <c r="A15" i="12"/>
  <c r="A14" i="12"/>
  <c r="AV13" i="12"/>
  <c r="A13" i="12"/>
  <c r="AV12" i="12"/>
  <c r="A12" i="12"/>
  <c r="A11" i="12"/>
  <c r="A10" i="12"/>
  <c r="A9" i="12"/>
  <c r="A8" i="12"/>
  <c r="E6" i="12"/>
  <c r="F6" i="12" s="1"/>
  <c r="G6" i="12" s="1"/>
  <c r="H6" i="12" s="1"/>
  <c r="I6" i="12" s="1"/>
  <c r="J6" i="12" s="1"/>
  <c r="K6" i="12" s="1"/>
  <c r="L6" i="12" s="1"/>
  <c r="M6" i="12" s="1"/>
  <c r="N6" i="12" s="1"/>
  <c r="O6" i="12" s="1"/>
  <c r="P6" i="12" s="1"/>
  <c r="Q6" i="12" s="1"/>
  <c r="R6" i="12" s="1"/>
  <c r="S6" i="12" s="1"/>
  <c r="T6" i="12" s="1"/>
  <c r="U6" i="12" s="1"/>
  <c r="V6" i="12" s="1"/>
  <c r="W6" i="12" s="1"/>
  <c r="X6" i="12" s="1"/>
  <c r="Y6" i="12" s="1"/>
  <c r="Z6" i="12" s="1"/>
  <c r="AA6" i="12" s="1"/>
  <c r="AB6" i="12" s="1"/>
  <c r="AC6" i="12" s="1"/>
  <c r="AD6" i="12" s="1"/>
  <c r="AE6" i="12" s="1"/>
  <c r="AF6" i="12" s="1"/>
  <c r="AG6" i="12" s="1"/>
  <c r="AH6" i="12" s="1"/>
  <c r="AI6" i="12" s="1"/>
  <c r="AJ6" i="12" s="1"/>
  <c r="AK6" i="12" s="1"/>
  <c r="AL6" i="12" s="1"/>
  <c r="AM6" i="12" s="1"/>
  <c r="AN6" i="12" s="1"/>
  <c r="AO6" i="12" s="1"/>
  <c r="AP6" i="12" s="1"/>
  <c r="AQ6" i="12" s="1"/>
  <c r="AR6" i="12" s="1"/>
  <c r="AS6" i="12" s="1"/>
  <c r="AT6" i="12" s="1"/>
  <c r="AU6" i="12" s="1"/>
  <c r="D6" i="12"/>
  <c r="C26" i="12" l="1"/>
  <c r="S27" i="12"/>
  <c r="R27" i="12"/>
  <c r="Q27" i="12"/>
  <c r="P27" i="12"/>
  <c r="O27" i="12"/>
  <c r="N27" i="12"/>
  <c r="M27" i="12"/>
  <c r="L27" i="12"/>
  <c r="K27" i="12"/>
  <c r="BC22" i="16"/>
  <c r="AM22" i="16"/>
  <c r="AN22" i="16"/>
  <c r="BC15" i="16"/>
  <c r="AK15" i="16"/>
  <c r="AN15" i="16"/>
  <c r="AL15" i="16"/>
  <c r="AJ15" i="16"/>
  <c r="AE15" i="16"/>
  <c r="AI15" i="16"/>
  <c r="AH15" i="16"/>
  <c r="AM15" i="16"/>
  <c r="AG15" i="16"/>
  <c r="AF15" i="16"/>
  <c r="AD27" i="16"/>
  <c r="AF27" i="16"/>
  <c r="AO27" i="16"/>
  <c r="AN27" i="16"/>
  <c r="AP27" i="16"/>
  <c r="AM27" i="16"/>
  <c r="AE27" i="16"/>
  <c r="AL27" i="16"/>
  <c r="AK27" i="16"/>
  <c r="AJ27" i="16"/>
  <c r="AI27" i="16"/>
  <c r="AH27" i="16"/>
  <c r="AG27" i="16"/>
  <c r="BC14" i="16"/>
  <c r="AP14" i="16"/>
  <c r="AO14" i="16"/>
  <c r="AN14" i="16"/>
  <c r="BB14" i="16" s="1"/>
  <c r="BC28" i="16"/>
  <c r="AM28" i="16"/>
  <c r="AN28" i="16"/>
  <c r="AH28" i="16"/>
  <c r="AJ28" i="16"/>
  <c r="AK28" i="16"/>
  <c r="AL28" i="16"/>
  <c r="AO28" i="16"/>
  <c r="AP28" i="16"/>
  <c r="AI28" i="16"/>
  <c r="AF28" i="16"/>
  <c r="Q28" i="16"/>
  <c r="AG28" i="16"/>
  <c r="AW15" i="14"/>
  <c r="V15" i="14"/>
  <c r="U15" i="14"/>
  <c r="R15" i="14"/>
  <c r="P15" i="14"/>
  <c r="T15" i="14"/>
  <c r="S15" i="14"/>
  <c r="Q15" i="14"/>
  <c r="W15" i="14"/>
  <c r="X15" i="14"/>
  <c r="U27" i="14"/>
  <c r="AB27" i="14"/>
  <c r="AA27" i="14"/>
  <c r="AC27" i="14"/>
  <c r="AD27" i="14"/>
  <c r="V27" i="14"/>
  <c r="AW14" i="14"/>
  <c r="Y14" i="14"/>
  <c r="Z14" i="14"/>
  <c r="AC14" i="14"/>
  <c r="AE14" i="14"/>
  <c r="AF14" i="14"/>
  <c r="AG14" i="14"/>
  <c r="AA14" i="14"/>
  <c r="AB14" i="14"/>
  <c r="AD14" i="14"/>
  <c r="X14" i="14"/>
  <c r="BD14" i="16"/>
  <c r="BD20" i="16"/>
  <c r="R6" i="16"/>
  <c r="S6" i="16" s="1"/>
  <c r="T6" i="16" s="1"/>
  <c r="U6" i="16" s="1"/>
  <c r="V6" i="16" s="1"/>
  <c r="W6" i="16" s="1"/>
  <c r="X6" i="16" s="1"/>
  <c r="Y6" i="16" s="1"/>
  <c r="Z6" i="16" s="1"/>
  <c r="AA6" i="16" s="1"/>
  <c r="AB6" i="16" s="1"/>
  <c r="AC6" i="16" s="1"/>
  <c r="AD6" i="16" s="1"/>
  <c r="AE6" i="16" s="1"/>
  <c r="AF6" i="16" s="1"/>
  <c r="AG6" i="16" s="1"/>
  <c r="AH6" i="16" s="1"/>
  <c r="D38" i="18"/>
  <c r="C37" i="15"/>
  <c r="C54" i="15"/>
  <c r="C83" i="15"/>
  <c r="BD12" i="16"/>
  <c r="AX20" i="12"/>
  <c r="U28" i="16"/>
  <c r="W28" i="16"/>
  <c r="X28" i="16"/>
  <c r="Y28" i="16"/>
  <c r="AD28" i="16"/>
  <c r="R28" i="16"/>
  <c r="T28" i="16"/>
  <c r="Z28" i="16"/>
  <c r="AA28" i="16"/>
  <c r="AC28" i="16"/>
  <c r="BC27" i="16"/>
  <c r="H7" i="16"/>
  <c r="I7" i="16" s="1"/>
  <c r="J7" i="16" s="1"/>
  <c r="K7" i="16" s="1"/>
  <c r="L7" i="16" s="1"/>
  <c r="M7" i="16" s="1"/>
  <c r="N7" i="16" s="1"/>
  <c r="O7" i="16" s="1"/>
  <c r="P7" i="16" s="1"/>
  <c r="BC26" i="16"/>
  <c r="D26" i="16"/>
  <c r="C26" i="16"/>
  <c r="AC27" i="16"/>
  <c r="BB27" i="16" s="1"/>
  <c r="AB28" i="16"/>
  <c r="S28" i="16"/>
  <c r="AE28" i="16"/>
  <c r="V28" i="16"/>
  <c r="X28" i="14"/>
  <c r="Y27" i="14"/>
  <c r="Z28" i="14"/>
  <c r="Z27" i="14"/>
  <c r="AA28" i="14"/>
  <c r="X27" i="14"/>
  <c r="O15" i="14"/>
  <c r="AW27" i="14"/>
  <c r="U28" i="14"/>
  <c r="W28" i="14"/>
  <c r="Y28" i="14"/>
  <c r="AW26" i="14"/>
  <c r="D26" i="14"/>
  <c r="C91" i="13"/>
  <c r="C26" i="14"/>
  <c r="C54" i="13"/>
  <c r="AE22" i="14"/>
  <c r="AB28" i="14"/>
  <c r="AF22" i="14"/>
  <c r="Q28" i="14"/>
  <c r="AC28" i="14"/>
  <c r="AE27" i="14"/>
  <c r="R28" i="14"/>
  <c r="AD28" i="14"/>
  <c r="AF27" i="14"/>
  <c r="S28" i="14"/>
  <c r="AE28" i="14"/>
  <c r="AG27" i="14"/>
  <c r="T28" i="14"/>
  <c r="AF28" i="14"/>
  <c r="W27" i="14"/>
  <c r="V28" i="14"/>
  <c r="X28" i="12"/>
  <c r="Y28" i="12"/>
  <c r="Z28" i="12"/>
  <c r="AD28" i="12"/>
  <c r="AW27" i="12"/>
  <c r="AA28" i="12"/>
  <c r="AW22" i="12"/>
  <c r="S28" i="12"/>
  <c r="U28" i="12"/>
  <c r="M15" i="12"/>
  <c r="N15" i="12"/>
  <c r="O15" i="12"/>
  <c r="AW26" i="12"/>
  <c r="AW15" i="12"/>
  <c r="D26" i="12"/>
  <c r="J26" i="12" s="1"/>
  <c r="AV22" i="12"/>
  <c r="R28" i="12"/>
  <c r="B14" i="12"/>
  <c r="C83" i="11"/>
  <c r="C54" i="11"/>
  <c r="C37" i="11"/>
  <c r="C91" i="11"/>
  <c r="A88" i="11"/>
  <c r="AB28" i="12"/>
  <c r="W28" i="12"/>
  <c r="AW28" i="12"/>
  <c r="V28" i="12"/>
  <c r="AF28" i="12"/>
  <c r="T28" i="12"/>
  <c r="AE28" i="12"/>
  <c r="AW14" i="12" l="1"/>
  <c r="J14" i="12"/>
  <c r="K14" i="12"/>
  <c r="M14" i="12"/>
  <c r="S14" i="12"/>
  <c r="L14" i="12"/>
  <c r="P14" i="12"/>
  <c r="Q14" i="12"/>
  <c r="N14" i="12"/>
  <c r="O14" i="12"/>
  <c r="R14" i="12"/>
  <c r="AV14" i="14"/>
  <c r="AX14" i="14" s="1"/>
  <c r="BB7" i="16"/>
  <c r="AI6" i="16"/>
  <c r="BB15" i="16"/>
  <c r="BD15" i="16" s="1"/>
  <c r="BB22" i="16"/>
  <c r="BD22" i="16" s="1"/>
  <c r="AV26" i="12"/>
  <c r="AX26" i="12" s="1"/>
  <c r="BB28" i="16"/>
  <c r="BD28" i="16" s="1"/>
  <c r="BB26" i="16"/>
  <c r="BD26" i="16" s="1"/>
  <c r="BD27" i="16"/>
  <c r="AX22" i="12"/>
  <c r="AV15" i="14"/>
  <c r="AX15" i="14" s="1"/>
  <c r="AV27" i="14"/>
  <c r="AX27" i="14" s="1"/>
  <c r="AV28" i="14"/>
  <c r="AX28" i="14" s="1"/>
  <c r="AV26" i="14"/>
  <c r="AX26" i="14" s="1"/>
  <c r="AV22" i="14"/>
  <c r="AX22" i="14" s="1"/>
  <c r="AV28" i="12"/>
  <c r="AX28" i="12" s="1"/>
  <c r="AV7" i="12"/>
  <c r="AV27" i="12"/>
  <c r="AX27" i="12" s="1"/>
  <c r="AV15" i="12"/>
  <c r="AX15" i="12" s="1"/>
  <c r="AV14" i="12" l="1"/>
  <c r="AX14" i="12" s="1"/>
  <c r="AJ6" i="16"/>
  <c r="AK6" i="16" s="1"/>
  <c r="AL6" i="16" s="1"/>
  <c r="AM6" i="16" s="1"/>
  <c r="AN6" i="16" s="1"/>
  <c r="AO6" i="16" s="1"/>
  <c r="AP6" i="16" s="1"/>
  <c r="AQ6" i="16" s="1"/>
  <c r="AR6" i="16" s="1"/>
  <c r="AS6" i="16" s="1"/>
  <c r="AT6" i="16" s="1"/>
  <c r="AU6" i="16" s="1"/>
  <c r="AV6" i="16" s="1"/>
  <c r="AW6" i="16" s="1"/>
  <c r="AX6" i="16" s="1"/>
  <c r="AY6" i="16" s="1"/>
  <c r="AZ6" i="16" s="1"/>
  <c r="BA6" i="16" s="1"/>
  <c r="I40" i="1"/>
  <c r="C39" i="1"/>
  <c r="C37" i="1"/>
  <c r="I38" i="1"/>
  <c r="I34" i="1"/>
  <c r="C33" i="1"/>
  <c r="I32" i="1"/>
  <c r="C31" i="1"/>
  <c r="I30" i="1"/>
  <c r="C29" i="1"/>
  <c r="C27" i="1"/>
  <c r="C25" i="1"/>
  <c r="I24" i="1"/>
  <c r="I20" i="1"/>
  <c r="C19" i="1"/>
  <c r="I18" i="1"/>
  <c r="C15" i="1"/>
  <c r="I14" i="1"/>
  <c r="C13" i="1"/>
  <c r="C11" i="1"/>
  <c r="I10" i="1"/>
  <c r="C9" i="1"/>
  <c r="T50" i="2" l="1"/>
  <c r="T22" i="2"/>
  <c r="U50" i="2"/>
  <c r="U22" i="2"/>
  <c r="D14" i="18" s="1"/>
  <c r="D15" i="18" s="1"/>
  <c r="J25" i="4"/>
  <c r="K50" i="2" l="1"/>
  <c r="AG50" i="2" s="1"/>
  <c r="D46" i="2"/>
  <c r="D47" i="2" s="1"/>
  <c r="E47" i="2" s="1"/>
  <c r="G47" i="2" s="1"/>
  <c r="H38" i="1"/>
  <c r="A77" i="8"/>
  <c r="B98" i="8"/>
  <c r="A27" i="8"/>
  <c r="D16" i="8"/>
  <c r="F8" i="8"/>
  <c r="G8" i="8" s="1"/>
  <c r="I7" i="8"/>
  <c r="C5" i="8"/>
  <c r="B5" i="8"/>
  <c r="C28" i="8"/>
  <c r="D23" i="4"/>
  <c r="T142" i="2" s="1"/>
  <c r="D22" i="4"/>
  <c r="D21" i="4"/>
  <c r="D18" i="4"/>
  <c r="D17" i="4"/>
  <c r="T96" i="2" s="1"/>
  <c r="D16" i="4"/>
  <c r="D15" i="4"/>
  <c r="D14" i="4"/>
  <c r="D13" i="4"/>
  <c r="D64" i="7"/>
  <c r="D65" i="7" s="1"/>
  <c r="C64" i="7"/>
  <c r="C65" i="7" s="1"/>
  <c r="B65" i="7"/>
  <c r="D59" i="7"/>
  <c r="C59" i="7"/>
  <c r="B59" i="7"/>
  <c r="D53" i="7"/>
  <c r="C53" i="7"/>
  <c r="B53" i="7"/>
  <c r="E51" i="7"/>
  <c r="F14" i="7"/>
  <c r="H13" i="7"/>
  <c r="C14" i="7"/>
  <c r="D14" i="7" s="1"/>
  <c r="H12" i="7"/>
  <c r="H11" i="7"/>
  <c r="C11" i="7"/>
  <c r="D11" i="7" s="1"/>
  <c r="D10" i="7"/>
  <c r="I7" i="1"/>
  <c r="K22" i="2" s="1"/>
  <c r="H8" i="1"/>
  <c r="I8" i="1" s="1"/>
  <c r="D18" i="2" s="1"/>
  <c r="E7" i="1"/>
  <c r="K128" i="2"/>
  <c r="AG128" i="2" s="1"/>
  <c r="S10" i="2"/>
  <c r="C117" i="2"/>
  <c r="C110" i="2"/>
  <c r="C103" i="2"/>
  <c r="H10" i="2"/>
  <c r="J10" i="2" s="1"/>
  <c r="H8" i="2"/>
  <c r="J8" i="2" s="1"/>
  <c r="H9" i="2"/>
  <c r="J9" i="2" s="1"/>
  <c r="H7" i="2"/>
  <c r="J7" i="2" s="1"/>
  <c r="G10" i="2"/>
  <c r="G8" i="2"/>
  <c r="G9" i="2"/>
  <c r="G7" i="2"/>
  <c r="D10" i="2"/>
  <c r="D85" i="2"/>
  <c r="D86" i="2" s="1"/>
  <c r="E86" i="2" s="1"/>
  <c r="G86" i="2" s="1"/>
  <c r="K89" i="2"/>
  <c r="AG89" i="2" s="1"/>
  <c r="I11" i="1"/>
  <c r="I15" i="1"/>
  <c r="K36" i="2"/>
  <c r="AG36" i="2" s="1"/>
  <c r="K43" i="2"/>
  <c r="AG43" i="2" s="1"/>
  <c r="K68" i="2"/>
  <c r="AG68" i="2" s="1"/>
  <c r="I25" i="1"/>
  <c r="I27" i="1"/>
  <c r="K135" i="2"/>
  <c r="AG135" i="2" s="1"/>
  <c r="K142" i="2"/>
  <c r="AG142" i="2" s="1"/>
  <c r="K107" i="2"/>
  <c r="H10" i="1"/>
  <c r="D103" i="2" s="1"/>
  <c r="H12" i="1"/>
  <c r="I12" i="1" s="1"/>
  <c r="D110" i="2" s="1"/>
  <c r="D112" i="2" s="1"/>
  <c r="E112" i="2" s="1"/>
  <c r="G112" i="2" s="1"/>
  <c r="H14" i="1"/>
  <c r="D117" i="2" s="1"/>
  <c r="H16" i="1"/>
  <c r="I16" i="1" s="1"/>
  <c r="K114" i="2" s="1"/>
  <c r="AG114" i="2" s="1"/>
  <c r="H18" i="1"/>
  <c r="D32" i="2" s="1"/>
  <c r="D34" i="2" s="1"/>
  <c r="E34" i="2" s="1"/>
  <c r="G34" i="2" s="1"/>
  <c r="H20" i="1"/>
  <c r="D39" i="2" s="1"/>
  <c r="D42" i="2" s="1"/>
  <c r="E42" i="2" s="1"/>
  <c r="G42" i="2" s="1"/>
  <c r="H22" i="1"/>
  <c r="H24" i="1"/>
  <c r="D64" i="2" s="1"/>
  <c r="D66" i="2" s="1"/>
  <c r="E66" i="2" s="1"/>
  <c r="G66" i="2" s="1"/>
  <c r="H26" i="1"/>
  <c r="H28" i="1"/>
  <c r="H30" i="1"/>
  <c r="H32" i="1"/>
  <c r="H34" i="1"/>
  <c r="D131" i="2" s="1"/>
  <c r="D132" i="2" s="1"/>
  <c r="E132" i="2" s="1"/>
  <c r="G132" i="2" s="1"/>
  <c r="H36" i="1"/>
  <c r="H40" i="1"/>
  <c r="D138" i="2" s="1"/>
  <c r="AG22" i="2" l="1"/>
  <c r="D21" i="2"/>
  <c r="E21" i="2" s="1"/>
  <c r="G21" i="2" s="1"/>
  <c r="D106" i="2"/>
  <c r="E106" i="2" s="1"/>
  <c r="G106" i="2" s="1"/>
  <c r="AG107" i="2"/>
  <c r="B11" i="16"/>
  <c r="T135" i="2"/>
  <c r="T128" i="2"/>
  <c r="T107" i="2"/>
  <c r="T114" i="2"/>
  <c r="T121" i="2"/>
  <c r="T29" i="2"/>
  <c r="T43" i="2"/>
  <c r="T36" i="2"/>
  <c r="C66" i="7"/>
  <c r="C67" i="7" s="1"/>
  <c r="C68" i="7" s="1"/>
  <c r="D66" i="7"/>
  <c r="D67" i="7" s="1"/>
  <c r="D68" i="7" s="1"/>
  <c r="E58" i="7"/>
  <c r="E59" i="7" s="1"/>
  <c r="E52" i="7"/>
  <c r="D54" i="7"/>
  <c r="D55" i="7" s="1"/>
  <c r="D56" i="7" s="1"/>
  <c r="D60" i="7"/>
  <c r="D61" i="7" s="1"/>
  <c r="D62" i="7" s="1"/>
  <c r="B66" i="7"/>
  <c r="B67" i="7" s="1"/>
  <c r="B68" i="7" s="1"/>
  <c r="B54" i="7"/>
  <c r="B55" i="7" s="1"/>
  <c r="B56" i="7" s="1"/>
  <c r="B60" i="7"/>
  <c r="B61" i="7" s="1"/>
  <c r="B62" i="7" s="1"/>
  <c r="C54" i="7"/>
  <c r="C55" i="7" s="1"/>
  <c r="C56" i="7" s="1"/>
  <c r="C60" i="7"/>
  <c r="C61" i="7" s="1"/>
  <c r="C62" i="7" s="1"/>
  <c r="L75" i="2"/>
  <c r="C26" i="13"/>
  <c r="C26" i="11"/>
  <c r="C26" i="15"/>
  <c r="D15" i="15"/>
  <c r="D15" i="13"/>
  <c r="D15" i="11"/>
  <c r="D12" i="11"/>
  <c r="D12" i="15"/>
  <c r="D12" i="13"/>
  <c r="D14" i="11"/>
  <c r="D14" i="13"/>
  <c r="D14" i="15"/>
  <c r="D13" i="13"/>
  <c r="D13" i="11"/>
  <c r="D13" i="15"/>
  <c r="P22" i="2"/>
  <c r="B11" i="14"/>
  <c r="D25" i="4"/>
  <c r="K75" i="2"/>
  <c r="AG75" i="2" s="1"/>
  <c r="I26" i="1"/>
  <c r="D71" i="2" s="1"/>
  <c r="K82" i="2"/>
  <c r="AG82" i="2" s="1"/>
  <c r="I28" i="1"/>
  <c r="D78" i="2" s="1"/>
  <c r="D80" i="2" s="1"/>
  <c r="E80" i="2" s="1"/>
  <c r="C53" i="11"/>
  <c r="C53" i="13"/>
  <c r="C53" i="15"/>
  <c r="E64" i="7"/>
  <c r="E65" i="7" s="1"/>
  <c r="C8" i="11"/>
  <c r="C12" i="11" s="1"/>
  <c r="C8" i="13"/>
  <c r="C8" i="15"/>
  <c r="C52" i="13"/>
  <c r="C52" i="11"/>
  <c r="C52" i="15"/>
  <c r="E53" i="7"/>
  <c r="H112" i="2"/>
  <c r="H106" i="2"/>
  <c r="H66" i="2"/>
  <c r="H86" i="2"/>
  <c r="H21" i="2"/>
  <c r="H34" i="2"/>
  <c r="H132" i="2"/>
  <c r="H42" i="2"/>
  <c r="H47" i="2"/>
  <c r="P50" i="2"/>
  <c r="P89" i="2"/>
  <c r="P43" i="2"/>
  <c r="P114" i="2"/>
  <c r="S114" i="2" s="1"/>
  <c r="AA114" i="2" s="1"/>
  <c r="F6" i="8"/>
  <c r="G6" i="8" s="1"/>
  <c r="E8" i="8"/>
  <c r="F5" i="8"/>
  <c r="G5" i="8" s="1"/>
  <c r="P135" i="2"/>
  <c r="F7" i="8"/>
  <c r="G7" i="8" s="1"/>
  <c r="E6" i="8"/>
  <c r="E7" i="8"/>
  <c r="P107" i="2"/>
  <c r="D48" i="2"/>
  <c r="E48" i="2" s="1"/>
  <c r="G48" i="2" s="1"/>
  <c r="P68" i="2"/>
  <c r="D50" i="2"/>
  <c r="E50" i="2" s="1"/>
  <c r="G50" i="2" s="1"/>
  <c r="L29" i="2"/>
  <c r="L96" i="2"/>
  <c r="P36" i="2"/>
  <c r="L50" i="2"/>
  <c r="M50" i="2" s="1"/>
  <c r="AH50" i="2" s="1"/>
  <c r="D49" i="2"/>
  <c r="E49" i="2" s="1"/>
  <c r="G49" i="2" s="1"/>
  <c r="D25" i="2"/>
  <c r="D27" i="2" s="1"/>
  <c r="E27" i="2" s="1"/>
  <c r="G27" i="2" s="1"/>
  <c r="P142" i="2"/>
  <c r="C11" i="8"/>
  <c r="E5" i="8"/>
  <c r="C43" i="8"/>
  <c r="B15" i="8"/>
  <c r="B22" i="8"/>
  <c r="C72" i="8"/>
  <c r="B11" i="8"/>
  <c r="C50" i="8" s="1"/>
  <c r="C80" i="8"/>
  <c r="B18" i="8"/>
  <c r="L89" i="2"/>
  <c r="M89" i="2" s="1"/>
  <c r="AH89" i="2" s="1"/>
  <c r="L114" i="2"/>
  <c r="M114" i="2" s="1"/>
  <c r="AH114" i="2" s="1"/>
  <c r="L128" i="2"/>
  <c r="M128" i="2" s="1"/>
  <c r="AH128" i="2" s="1"/>
  <c r="L82" i="2"/>
  <c r="L107" i="2"/>
  <c r="M107" i="2" s="1"/>
  <c r="AH107" i="2" s="1"/>
  <c r="L121" i="2"/>
  <c r="L135" i="2"/>
  <c r="M135" i="2" s="1"/>
  <c r="AH135" i="2" s="1"/>
  <c r="L36" i="2"/>
  <c r="M36" i="2" s="1"/>
  <c r="AH36" i="2" s="1"/>
  <c r="L43" i="2"/>
  <c r="M43" i="2" s="1"/>
  <c r="AH43" i="2" s="1"/>
  <c r="L61" i="2"/>
  <c r="L22" i="2"/>
  <c r="M22" i="2" s="1"/>
  <c r="AH22" i="2" s="1"/>
  <c r="L142" i="2"/>
  <c r="M142" i="2" s="1"/>
  <c r="AH142" i="2" s="1"/>
  <c r="L68" i="2"/>
  <c r="M68" i="2" s="1"/>
  <c r="AH68" i="2" s="1"/>
  <c r="D13" i="7"/>
  <c r="D22" i="2"/>
  <c r="E22" i="2" s="1"/>
  <c r="G22" i="2" s="1"/>
  <c r="D19" i="2"/>
  <c r="E19" i="2" s="1"/>
  <c r="G19" i="2" s="1"/>
  <c r="D20" i="2"/>
  <c r="E20" i="2" s="1"/>
  <c r="G20" i="2" s="1"/>
  <c r="D124" i="2"/>
  <c r="D125" i="2" s="1"/>
  <c r="E125" i="2" s="1"/>
  <c r="G125" i="2" s="1"/>
  <c r="K29" i="2"/>
  <c r="F6" i="22" s="1"/>
  <c r="K121" i="2"/>
  <c r="AG121" i="2" s="1"/>
  <c r="D142" i="2"/>
  <c r="E142" i="2" s="1"/>
  <c r="G142" i="2" s="1"/>
  <c r="D41" i="2"/>
  <c r="E41" i="2" s="1"/>
  <c r="G41" i="2" s="1"/>
  <c r="D121" i="2"/>
  <c r="E121" i="2" s="1"/>
  <c r="G121" i="2" s="1"/>
  <c r="D140" i="2"/>
  <c r="E140" i="2" s="1"/>
  <c r="G140" i="2" s="1"/>
  <c r="D141" i="2"/>
  <c r="E141" i="2" s="1"/>
  <c r="G141" i="2" s="1"/>
  <c r="D139" i="2"/>
  <c r="E139" i="2" s="1"/>
  <c r="G139" i="2" s="1"/>
  <c r="D134" i="2"/>
  <c r="E134" i="2" s="1"/>
  <c r="G134" i="2" s="1"/>
  <c r="D135" i="2"/>
  <c r="E135" i="2" s="1"/>
  <c r="G135" i="2" s="1"/>
  <c r="D133" i="2"/>
  <c r="E133" i="2" s="1"/>
  <c r="G133" i="2" s="1"/>
  <c r="D88" i="2"/>
  <c r="E88" i="2" s="1"/>
  <c r="G88" i="2" s="1"/>
  <c r="D89" i="2"/>
  <c r="E89" i="2" s="1"/>
  <c r="G89" i="2" s="1"/>
  <c r="D87" i="2"/>
  <c r="E87" i="2" s="1"/>
  <c r="G87" i="2" s="1"/>
  <c r="D67" i="2"/>
  <c r="E67" i="2" s="1"/>
  <c r="G67" i="2" s="1"/>
  <c r="D68" i="2"/>
  <c r="E68" i="2" s="1"/>
  <c r="G68" i="2" s="1"/>
  <c r="D65" i="2"/>
  <c r="E65" i="2" s="1"/>
  <c r="G65" i="2" s="1"/>
  <c r="D43" i="2"/>
  <c r="E43" i="2" s="1"/>
  <c r="G43" i="2" s="1"/>
  <c r="D40" i="2"/>
  <c r="E40" i="2" s="1"/>
  <c r="D35" i="2"/>
  <c r="E35" i="2" s="1"/>
  <c r="G35" i="2" s="1"/>
  <c r="D36" i="2"/>
  <c r="E36" i="2" s="1"/>
  <c r="G36" i="2" s="1"/>
  <c r="D33" i="2"/>
  <c r="E33" i="2" s="1"/>
  <c r="G33" i="2" s="1"/>
  <c r="D118" i="2"/>
  <c r="E118" i="2" s="1"/>
  <c r="G118" i="2" s="1"/>
  <c r="D114" i="2"/>
  <c r="E114" i="2" s="1"/>
  <c r="G114" i="2" s="1"/>
  <c r="D113" i="2"/>
  <c r="E113" i="2" s="1"/>
  <c r="G113" i="2" s="1"/>
  <c r="D119" i="2"/>
  <c r="E119" i="2" s="1"/>
  <c r="G119" i="2" s="1"/>
  <c r="D111" i="2"/>
  <c r="E111" i="2" s="1"/>
  <c r="G111" i="2" s="1"/>
  <c r="D120" i="2"/>
  <c r="D104" i="2"/>
  <c r="E104" i="2" s="1"/>
  <c r="G104" i="2" s="1"/>
  <c r="D105" i="2"/>
  <c r="D107" i="2"/>
  <c r="E107" i="2" s="1"/>
  <c r="G107" i="2" s="1"/>
  <c r="AD43" i="2" l="1"/>
  <c r="G40" i="2"/>
  <c r="H80" i="2"/>
  <c r="G80" i="2"/>
  <c r="AD142" i="2"/>
  <c r="E6" i="22"/>
  <c r="F8" i="22"/>
  <c r="AD68" i="2"/>
  <c r="E8" i="22"/>
  <c r="O8" i="22" s="1"/>
  <c r="BC11" i="16"/>
  <c r="AG11" i="16"/>
  <c r="BB11" i="16" s="1"/>
  <c r="AW11" i="14"/>
  <c r="S11" i="14"/>
  <c r="AV11" i="14" s="1"/>
  <c r="B26" i="15"/>
  <c r="D26" i="15" s="1"/>
  <c r="D27" i="15" s="1"/>
  <c r="AD114" i="2"/>
  <c r="AD50" i="2"/>
  <c r="B26" i="11"/>
  <c r="AG29" i="2"/>
  <c r="AD36" i="2"/>
  <c r="AD89" i="2"/>
  <c r="AD135" i="2"/>
  <c r="AD22" i="2"/>
  <c r="C59" i="11"/>
  <c r="B11" i="12" s="1"/>
  <c r="E60" i="7"/>
  <c r="E61" i="7" s="1"/>
  <c r="E62" i="7" s="1"/>
  <c r="E54" i="7"/>
  <c r="E55" i="7" s="1"/>
  <c r="E56" i="7" s="1"/>
  <c r="E66" i="7"/>
  <c r="E67" i="7" s="1"/>
  <c r="E68" i="7" s="1"/>
  <c r="B108" i="15"/>
  <c r="B108" i="11"/>
  <c r="B108" i="13"/>
  <c r="F34" i="2"/>
  <c r="I34" i="2" s="1"/>
  <c r="F42" i="2"/>
  <c r="I42" i="2" s="1"/>
  <c r="C16" i="11"/>
  <c r="F132" i="2"/>
  <c r="I132" i="2" s="1"/>
  <c r="M75" i="2"/>
  <c r="AH75" i="2" s="1"/>
  <c r="F86" i="2"/>
  <c r="I86" i="2" s="1"/>
  <c r="D72" i="2"/>
  <c r="E72" i="2" s="1"/>
  <c r="G72" i="2" s="1"/>
  <c r="P75" i="2"/>
  <c r="S75" i="2" s="1"/>
  <c r="AB75" i="2" s="1"/>
  <c r="D73" i="2"/>
  <c r="E73" i="2" s="1"/>
  <c r="D75" i="2"/>
  <c r="E75" i="2" s="1"/>
  <c r="G75" i="2" s="1"/>
  <c r="F66" i="2"/>
  <c r="I66" i="2" s="1"/>
  <c r="D82" i="2"/>
  <c r="E82" i="2" s="1"/>
  <c r="D79" i="2"/>
  <c r="E79" i="2" s="1"/>
  <c r="G79" i="2" s="1"/>
  <c r="D81" i="2"/>
  <c r="E81" i="2" s="1"/>
  <c r="F80" i="2"/>
  <c r="I80" i="2" s="1"/>
  <c r="M82" i="2"/>
  <c r="AH82" i="2" s="1"/>
  <c r="P82" i="2"/>
  <c r="S82" i="2" s="1"/>
  <c r="Z82" i="2" s="1"/>
  <c r="F21" i="2"/>
  <c r="I21" i="2" s="1"/>
  <c r="F47" i="2"/>
  <c r="I47" i="2" s="1"/>
  <c r="D74" i="2"/>
  <c r="E74" i="2" s="1"/>
  <c r="G74" i="2" s="1"/>
  <c r="C12" i="15"/>
  <c r="C16" i="15"/>
  <c r="C9" i="11"/>
  <c r="C13" i="11" s="1"/>
  <c r="C9" i="13"/>
  <c r="C9" i="15"/>
  <c r="C16" i="13"/>
  <c r="C12" i="13"/>
  <c r="H35" i="2"/>
  <c r="H27" i="2"/>
  <c r="H107" i="2"/>
  <c r="H87" i="2"/>
  <c r="H119" i="2"/>
  <c r="H113" i="2"/>
  <c r="H133" i="2"/>
  <c r="F106" i="2"/>
  <c r="H22" i="2"/>
  <c r="H104" i="2"/>
  <c r="H65" i="2"/>
  <c r="H135" i="2"/>
  <c r="H36" i="2"/>
  <c r="H142" i="2"/>
  <c r="H88" i="2"/>
  <c r="H114" i="2"/>
  <c r="H118" i="2"/>
  <c r="H68" i="2"/>
  <c r="H134" i="2"/>
  <c r="H121" i="2"/>
  <c r="H40" i="2"/>
  <c r="H49" i="2"/>
  <c r="H67" i="2"/>
  <c r="H139" i="2"/>
  <c r="H41" i="2"/>
  <c r="H125" i="2"/>
  <c r="H48" i="2"/>
  <c r="H43" i="2"/>
  <c r="H111" i="2"/>
  <c r="H141" i="2"/>
  <c r="H20" i="2"/>
  <c r="H89" i="2"/>
  <c r="H33" i="2"/>
  <c r="H140" i="2"/>
  <c r="H19" i="2"/>
  <c r="H50" i="2"/>
  <c r="F112" i="2"/>
  <c r="I112" i="2" s="1"/>
  <c r="S22" i="2"/>
  <c r="AA22" i="2" s="1"/>
  <c r="S142" i="2"/>
  <c r="Z142" i="2" s="1"/>
  <c r="S50" i="2"/>
  <c r="AB50" i="2" s="1"/>
  <c r="S135" i="2"/>
  <c r="AB135" i="2" s="1"/>
  <c r="D126" i="2"/>
  <c r="E126" i="2" s="1"/>
  <c r="G126" i="2" s="1"/>
  <c r="S89" i="2"/>
  <c r="Z89" i="2" s="1"/>
  <c r="S68" i="2"/>
  <c r="Z68" i="2" s="1"/>
  <c r="S43" i="2"/>
  <c r="Z43" i="2" s="1"/>
  <c r="S36" i="2"/>
  <c r="Z36" i="2" s="1"/>
  <c r="AB114" i="2"/>
  <c r="Z114" i="2"/>
  <c r="S107" i="2"/>
  <c r="AA107" i="2" s="1"/>
  <c r="E11" i="8"/>
  <c r="D30" i="8" s="1"/>
  <c r="D26" i="2"/>
  <c r="E26" i="2" s="1"/>
  <c r="G26" i="2" s="1"/>
  <c r="D29" i="2"/>
  <c r="E29" i="2" s="1"/>
  <c r="G29" i="2" s="1"/>
  <c r="D28" i="2"/>
  <c r="E28" i="2" s="1"/>
  <c r="G28" i="2" s="1"/>
  <c r="B17" i="8"/>
  <c r="D15" i="8"/>
  <c r="D17" i="8" s="1"/>
  <c r="D63" i="8"/>
  <c r="D49" i="8"/>
  <c r="D59" i="8"/>
  <c r="D65" i="8"/>
  <c r="D53" i="8"/>
  <c r="C58" i="8"/>
  <c r="D58" i="8" s="1"/>
  <c r="D64" i="8"/>
  <c r="D57" i="8"/>
  <c r="D51" i="8"/>
  <c r="B19" i="8"/>
  <c r="D50" i="8"/>
  <c r="B24" i="8"/>
  <c r="C45" i="8"/>
  <c r="C12" i="8"/>
  <c r="M121" i="2"/>
  <c r="AH121" i="2" s="1"/>
  <c r="P121" i="2"/>
  <c r="M29" i="2"/>
  <c r="AH29" i="2" s="1"/>
  <c r="P29" i="2"/>
  <c r="C56" i="11" s="1"/>
  <c r="D127" i="2"/>
  <c r="E127" i="2" s="1"/>
  <c r="G127" i="2" s="1"/>
  <c r="P128" i="2"/>
  <c r="C17" i="7"/>
  <c r="D17" i="7" s="1"/>
  <c r="D16" i="7"/>
  <c r="D128" i="2"/>
  <c r="E128" i="2" s="1"/>
  <c r="G128" i="2" s="1"/>
  <c r="E120" i="2"/>
  <c r="E105" i="2"/>
  <c r="AD107" i="2" l="1"/>
  <c r="G105" i="2"/>
  <c r="AD121" i="2"/>
  <c r="G120" i="2"/>
  <c r="C56" i="15"/>
  <c r="J6" i="22"/>
  <c r="H81" i="2"/>
  <c r="G81" i="2"/>
  <c r="H82" i="2"/>
  <c r="G82" i="2"/>
  <c r="H73" i="2"/>
  <c r="G73" i="2"/>
  <c r="D6" i="22"/>
  <c r="O6" i="22"/>
  <c r="D8" i="22"/>
  <c r="AW11" i="12"/>
  <c r="I11" i="12"/>
  <c r="AV11" i="12" s="1"/>
  <c r="BD11" i="16"/>
  <c r="AX11" i="14"/>
  <c r="B27" i="15"/>
  <c r="C72" i="15" s="1"/>
  <c r="B16" i="15"/>
  <c r="E16" i="15" s="1"/>
  <c r="B19" i="15"/>
  <c r="AD128" i="2"/>
  <c r="AD29" i="2"/>
  <c r="AD82" i="2"/>
  <c r="AD75" i="2"/>
  <c r="B13" i="11"/>
  <c r="B17" i="11"/>
  <c r="F27" i="2"/>
  <c r="I27" i="2" s="1"/>
  <c r="F133" i="2"/>
  <c r="I133" i="2" s="1"/>
  <c r="F33" i="2"/>
  <c r="I33" i="2" s="1"/>
  <c r="F134" i="2"/>
  <c r="I134" i="2" s="1"/>
  <c r="F68" i="2"/>
  <c r="I68" i="2" s="1"/>
  <c r="F20" i="2"/>
  <c r="I20" i="2" s="1"/>
  <c r="F50" i="2"/>
  <c r="I50" i="2" s="1"/>
  <c r="F118" i="2"/>
  <c r="I118" i="2" s="1"/>
  <c r="F140" i="2"/>
  <c r="I140" i="2" s="1"/>
  <c r="F139" i="2"/>
  <c r="I139" i="2" s="1"/>
  <c r="F135" i="2"/>
  <c r="I135" i="2" s="1"/>
  <c r="H75" i="2"/>
  <c r="F75" i="2" s="1"/>
  <c r="I75" i="2" s="1"/>
  <c r="F73" i="2"/>
  <c r="I73" i="2" s="1"/>
  <c r="F121" i="2"/>
  <c r="I121" i="2" s="1"/>
  <c r="F142" i="2"/>
  <c r="I142" i="2" s="1"/>
  <c r="F119" i="2"/>
  <c r="I119" i="2" s="1"/>
  <c r="F125" i="2"/>
  <c r="B12" i="15" s="1"/>
  <c r="F36" i="2"/>
  <c r="I36" i="2" s="1"/>
  <c r="F111" i="2"/>
  <c r="I111" i="2" s="1"/>
  <c r="F48" i="2"/>
  <c r="I48" i="2" s="1"/>
  <c r="F35" i="2"/>
  <c r="I35" i="2" s="1"/>
  <c r="F114" i="2"/>
  <c r="I114" i="2" s="1"/>
  <c r="F82" i="2"/>
  <c r="I82" i="2" s="1"/>
  <c r="F81" i="2"/>
  <c r="I81" i="2" s="1"/>
  <c r="F65" i="2"/>
  <c r="I65" i="2" s="1"/>
  <c r="H79" i="2"/>
  <c r="F89" i="2"/>
  <c r="I89" i="2" s="1"/>
  <c r="F40" i="2"/>
  <c r="I40" i="2" s="1"/>
  <c r="H72" i="2"/>
  <c r="C17" i="11"/>
  <c r="F104" i="2"/>
  <c r="F88" i="2"/>
  <c r="I88" i="2" s="1"/>
  <c r="F49" i="2"/>
  <c r="I49" i="2" s="1"/>
  <c r="F22" i="2"/>
  <c r="H74" i="2"/>
  <c r="F74" i="2" s="1"/>
  <c r="I74" i="2" s="1"/>
  <c r="E13" i="11"/>
  <c r="I106" i="2"/>
  <c r="F141" i="2"/>
  <c r="I141" i="2" s="1"/>
  <c r="F19" i="2"/>
  <c r="F41" i="2"/>
  <c r="I41" i="2" s="1"/>
  <c r="F43" i="2"/>
  <c r="I43" i="2" s="1"/>
  <c r="F87" i="2"/>
  <c r="I87" i="2" s="1"/>
  <c r="F67" i="2"/>
  <c r="I67" i="2" s="1"/>
  <c r="B8" i="16"/>
  <c r="C58" i="15"/>
  <c r="C64" i="15" s="1"/>
  <c r="C17" i="15"/>
  <c r="C13" i="15"/>
  <c r="C13" i="13"/>
  <c r="C17" i="13"/>
  <c r="C10" i="11"/>
  <c r="C14" i="11" s="1"/>
  <c r="C10" i="13"/>
  <c r="C10" i="15"/>
  <c r="D40" i="15"/>
  <c r="C73" i="15"/>
  <c r="C58" i="11"/>
  <c r="C65" i="11" s="1"/>
  <c r="B8" i="12"/>
  <c r="D26" i="11"/>
  <c r="D27" i="11" s="1"/>
  <c r="C73" i="11" s="1"/>
  <c r="B27" i="11"/>
  <c r="B12" i="12"/>
  <c r="AW12" i="12" s="1"/>
  <c r="AX12" i="12" s="1"/>
  <c r="H126" i="2"/>
  <c r="H127" i="2"/>
  <c r="H26" i="2"/>
  <c r="H105" i="2"/>
  <c r="H120" i="2"/>
  <c r="F107" i="2"/>
  <c r="H28" i="2"/>
  <c r="B18" i="11" s="1"/>
  <c r="B14" i="11"/>
  <c r="H128" i="2"/>
  <c r="H29" i="2"/>
  <c r="B19" i="11" s="1"/>
  <c r="F29" i="2"/>
  <c r="I29" i="2" s="1"/>
  <c r="F113" i="2"/>
  <c r="I113" i="2" s="1"/>
  <c r="AB22" i="2"/>
  <c r="Z22" i="2"/>
  <c r="AA142" i="2"/>
  <c r="AB142" i="2"/>
  <c r="AA50" i="2"/>
  <c r="Z50" i="2"/>
  <c r="AA135" i="2"/>
  <c r="Z135" i="2"/>
  <c r="S128" i="2"/>
  <c r="AA128" i="2" s="1"/>
  <c r="AB89" i="2"/>
  <c r="AA89" i="2"/>
  <c r="AA82" i="2"/>
  <c r="AB82" i="2"/>
  <c r="AA75" i="2"/>
  <c r="Z75" i="2"/>
  <c r="AA68" i="2"/>
  <c r="AB68" i="2"/>
  <c r="AA43" i="2"/>
  <c r="AB43" i="2"/>
  <c r="AA36" i="2"/>
  <c r="AB36" i="2"/>
  <c r="S29" i="2"/>
  <c r="S121" i="2"/>
  <c r="AB121" i="2" s="1"/>
  <c r="AB107" i="2"/>
  <c r="Z107" i="2"/>
  <c r="C47" i="8"/>
  <c r="D47" i="8" s="1"/>
  <c r="C54" i="8"/>
  <c r="D12" i="8"/>
  <c r="D34" i="8"/>
  <c r="C30" i="8"/>
  <c r="B30" i="8"/>
  <c r="D31" i="8"/>
  <c r="D32" i="8" s="1"/>
  <c r="C62" i="8"/>
  <c r="D62" i="8" s="1"/>
  <c r="D45" i="8"/>
  <c r="C52" i="8"/>
  <c r="D52" i="8" s="1"/>
  <c r="C17" i="8"/>
  <c r="A31" i="8"/>
  <c r="B20" i="8"/>
  <c r="B21" i="8" s="1"/>
  <c r="C61" i="8"/>
  <c r="D61" i="8" s="1"/>
  <c r="D19" i="7"/>
  <c r="C20" i="7"/>
  <c r="D20" i="7" s="1"/>
  <c r="L8" i="22" l="1"/>
  <c r="B16" i="11"/>
  <c r="L6" i="22"/>
  <c r="J8" i="22"/>
  <c r="I19" i="2"/>
  <c r="B8" i="15"/>
  <c r="E8" i="15" s="1"/>
  <c r="B18" i="15"/>
  <c r="B17" i="15"/>
  <c r="E17" i="15" s="1"/>
  <c r="AX11" i="12"/>
  <c r="AK8" i="16"/>
  <c r="AG8" i="16"/>
  <c r="AL8" i="16"/>
  <c r="AH8" i="16"/>
  <c r="AI8" i="16"/>
  <c r="AJ8" i="16"/>
  <c r="AM8" i="16"/>
  <c r="BC8" i="16"/>
  <c r="AN8" i="16"/>
  <c r="AO8" i="16"/>
  <c r="AP8" i="16"/>
  <c r="H8" i="16"/>
  <c r="C27" i="15"/>
  <c r="A40" i="15"/>
  <c r="B11" i="15"/>
  <c r="F79" i="2"/>
  <c r="I79" i="2" s="1"/>
  <c r="J82" i="2" s="1"/>
  <c r="N82" i="2" s="1"/>
  <c r="J89" i="2"/>
  <c r="N89" i="2" s="1"/>
  <c r="Y142" i="2"/>
  <c r="Y135" i="2"/>
  <c r="Y128" i="2"/>
  <c r="B11" i="11"/>
  <c r="B9" i="11"/>
  <c r="E9" i="11" s="1"/>
  <c r="B15" i="11"/>
  <c r="B12" i="11"/>
  <c r="E12" i="11" s="1"/>
  <c r="E17" i="11"/>
  <c r="E12" i="15"/>
  <c r="F26" i="2"/>
  <c r="I26" i="2" s="1"/>
  <c r="J114" i="2"/>
  <c r="N114" i="2" s="1"/>
  <c r="F72" i="2"/>
  <c r="I72" i="2" s="1"/>
  <c r="J75" i="2" s="1"/>
  <c r="N75" i="2" s="1"/>
  <c r="F120" i="2"/>
  <c r="I120" i="2" s="1"/>
  <c r="J121" i="2" s="1"/>
  <c r="N121" i="2" s="1"/>
  <c r="I125" i="2"/>
  <c r="F128" i="2"/>
  <c r="B15" i="15" s="1"/>
  <c r="I104" i="2"/>
  <c r="I107" i="2"/>
  <c r="F127" i="2"/>
  <c r="B14" i="15" s="1"/>
  <c r="F126" i="2"/>
  <c r="B13" i="15" s="1"/>
  <c r="E16" i="11"/>
  <c r="F28" i="2"/>
  <c r="B10" i="11" s="1"/>
  <c r="E14" i="11"/>
  <c r="I22" i="2"/>
  <c r="V43" i="2"/>
  <c r="V114" i="2"/>
  <c r="V22" i="2"/>
  <c r="C18" i="11"/>
  <c r="E18" i="11" s="1"/>
  <c r="C14" i="13"/>
  <c r="C18" i="13"/>
  <c r="B10" i="16"/>
  <c r="C67" i="15"/>
  <c r="B16" i="16"/>
  <c r="AE16" i="16" s="1"/>
  <c r="B25" i="16"/>
  <c r="C65" i="15"/>
  <c r="B24" i="16"/>
  <c r="V8" i="16"/>
  <c r="AF8" i="16"/>
  <c r="AA8" i="16"/>
  <c r="P8" i="16"/>
  <c r="Z8" i="16"/>
  <c r="S8" i="16"/>
  <c r="O8" i="16"/>
  <c r="C8" i="16"/>
  <c r="R8" i="16"/>
  <c r="X8" i="16"/>
  <c r="Q8" i="16"/>
  <c r="T8" i="16"/>
  <c r="AB8" i="16"/>
  <c r="U8" i="16"/>
  <c r="AE8" i="16"/>
  <c r="D8" i="16"/>
  <c r="G8" i="16"/>
  <c r="AD8" i="16"/>
  <c r="Y8" i="16"/>
  <c r="F8" i="16"/>
  <c r="W8" i="16"/>
  <c r="AC8" i="16"/>
  <c r="E8" i="16"/>
  <c r="L8" i="16"/>
  <c r="K8" i="16"/>
  <c r="I8" i="16"/>
  <c r="M8" i="16"/>
  <c r="N8" i="16"/>
  <c r="J8" i="16"/>
  <c r="C14" i="15"/>
  <c r="C18" i="15"/>
  <c r="C11" i="11"/>
  <c r="C19" i="11" s="1"/>
  <c r="E19" i="11" s="1"/>
  <c r="C11" i="13"/>
  <c r="C11" i="15"/>
  <c r="C67" i="11"/>
  <c r="B17" i="12"/>
  <c r="A40" i="11"/>
  <c r="C72" i="11"/>
  <c r="C27" i="11"/>
  <c r="D40" i="11"/>
  <c r="Z128" i="2"/>
  <c r="M8" i="12"/>
  <c r="C8" i="12"/>
  <c r="L8" i="12"/>
  <c r="AF8" i="12"/>
  <c r="K8" i="12"/>
  <c r="H8" i="12"/>
  <c r="W8" i="12"/>
  <c r="I8" i="12"/>
  <c r="V8" i="12"/>
  <c r="P8" i="12"/>
  <c r="AW8" i="12"/>
  <c r="Z8" i="12"/>
  <c r="T8" i="12"/>
  <c r="E8" i="12"/>
  <c r="G8" i="12"/>
  <c r="S8" i="12"/>
  <c r="AB8" i="12"/>
  <c r="J8" i="12"/>
  <c r="Y8" i="12"/>
  <c r="F8" i="12"/>
  <c r="Q8" i="12"/>
  <c r="R8" i="12"/>
  <c r="AE8" i="12"/>
  <c r="AD8" i="12"/>
  <c r="D8" i="12"/>
  <c r="O8" i="12"/>
  <c r="X8" i="12"/>
  <c r="AA8" i="12"/>
  <c r="N8" i="12"/>
  <c r="U8" i="12"/>
  <c r="AC8" i="12"/>
  <c r="B10" i="12"/>
  <c r="C64" i="11"/>
  <c r="F105" i="2"/>
  <c r="B9" i="15" s="1"/>
  <c r="E9" i="15" s="1"/>
  <c r="V36" i="2"/>
  <c r="V142" i="2"/>
  <c r="J50" i="2"/>
  <c r="N50" i="2" s="1"/>
  <c r="V50" i="2"/>
  <c r="V135" i="2"/>
  <c r="AB128" i="2"/>
  <c r="V89" i="2"/>
  <c r="V68" i="2"/>
  <c r="J36" i="2"/>
  <c r="N36" i="2" s="1"/>
  <c r="AB29" i="2"/>
  <c r="AA29" i="2"/>
  <c r="Z29" i="2"/>
  <c r="Z121" i="2"/>
  <c r="AA121" i="2"/>
  <c r="C46" i="8"/>
  <c r="B26" i="8"/>
  <c r="B27" i="8" s="1"/>
  <c r="D36" i="8"/>
  <c r="D37" i="8"/>
  <c r="D40" i="8"/>
  <c r="C56" i="8"/>
  <c r="D56" i="8" s="1"/>
  <c r="D54" i="8"/>
  <c r="C34" i="8"/>
  <c r="J135" i="2"/>
  <c r="N135" i="2" s="1"/>
  <c r="J68" i="2"/>
  <c r="N68" i="2" s="1"/>
  <c r="J142" i="2"/>
  <c r="N142" i="2" s="1"/>
  <c r="J43" i="2"/>
  <c r="N43" i="2" s="1"/>
  <c r="H6" i="22" l="1"/>
  <c r="H8" i="22"/>
  <c r="E17" i="12"/>
  <c r="O17" i="12"/>
  <c r="N17" i="12"/>
  <c r="AN24" i="16"/>
  <c r="AM24" i="16"/>
  <c r="AL24" i="16"/>
  <c r="AK24" i="16"/>
  <c r="AO10" i="16"/>
  <c r="AL10" i="16"/>
  <c r="AN10" i="16"/>
  <c r="AP10" i="16"/>
  <c r="AJ10" i="16"/>
  <c r="AM10" i="16"/>
  <c r="AG10" i="16"/>
  <c r="AH10" i="16"/>
  <c r="AI10" i="16"/>
  <c r="AK10" i="16"/>
  <c r="AN25" i="16"/>
  <c r="AM25" i="16"/>
  <c r="AO25" i="16"/>
  <c r="B10" i="15"/>
  <c r="E10" i="15" s="1"/>
  <c r="V82" i="2"/>
  <c r="Y50" i="2"/>
  <c r="Y43" i="2"/>
  <c r="Y36" i="2"/>
  <c r="Y29" i="2"/>
  <c r="Y22" i="2"/>
  <c r="V107" i="2"/>
  <c r="B8" i="11"/>
  <c r="E8" i="11" s="1"/>
  <c r="C15" i="11"/>
  <c r="E15" i="11" s="1"/>
  <c r="V75" i="2"/>
  <c r="J22" i="2"/>
  <c r="N22" i="2" s="1"/>
  <c r="E11" i="11"/>
  <c r="I28" i="2"/>
  <c r="J29" i="2" s="1"/>
  <c r="N29" i="2" s="1"/>
  <c r="E10" i="11"/>
  <c r="I105" i="2"/>
  <c r="J107" i="2" s="1"/>
  <c r="N107" i="2" s="1"/>
  <c r="I126" i="2"/>
  <c r="I127" i="2"/>
  <c r="E14" i="15"/>
  <c r="V29" i="2"/>
  <c r="V128" i="2"/>
  <c r="I128" i="2"/>
  <c r="C19" i="13"/>
  <c r="C15" i="13"/>
  <c r="BB16" i="16"/>
  <c r="BC16" i="16"/>
  <c r="BC24" i="16"/>
  <c r="B31" i="15"/>
  <c r="C57" i="15" s="1"/>
  <c r="D43" i="15"/>
  <c r="C19" i="15"/>
  <c r="E19" i="15" s="1"/>
  <c r="C15" i="15"/>
  <c r="E11" i="15"/>
  <c r="E18" i="15"/>
  <c r="BB8" i="16"/>
  <c r="BD8" i="16" s="1"/>
  <c r="B17" i="16"/>
  <c r="BC25" i="16"/>
  <c r="AP25" i="16"/>
  <c r="B19" i="16"/>
  <c r="Q10" i="16"/>
  <c r="AB10" i="16"/>
  <c r="BC10" i="16"/>
  <c r="R10" i="16"/>
  <c r="J10" i="16"/>
  <c r="E10" i="16"/>
  <c r="X10" i="16"/>
  <c r="AA10" i="16"/>
  <c r="T10" i="16"/>
  <c r="AE10" i="16"/>
  <c r="W10" i="16"/>
  <c r="S10" i="16"/>
  <c r="D10" i="16"/>
  <c r="AD10" i="16"/>
  <c r="V10" i="16"/>
  <c r="F10" i="16"/>
  <c r="U10" i="16"/>
  <c r="AF10" i="16"/>
  <c r="C10" i="16"/>
  <c r="Z10" i="16"/>
  <c r="AC10" i="16"/>
  <c r="Y10" i="16"/>
  <c r="G10" i="16"/>
  <c r="K10" i="16"/>
  <c r="H10" i="16"/>
  <c r="I10" i="16"/>
  <c r="P10" i="16"/>
  <c r="M10" i="16"/>
  <c r="N10" i="16"/>
  <c r="O10" i="16"/>
  <c r="L10" i="16"/>
  <c r="B19" i="12"/>
  <c r="AD19" i="12" s="1"/>
  <c r="B31" i="11"/>
  <c r="C57" i="11" s="1"/>
  <c r="AV8" i="12"/>
  <c r="AX8" i="12" s="1"/>
  <c r="B25" i="12"/>
  <c r="B16" i="12"/>
  <c r="B24" i="12"/>
  <c r="E10" i="12"/>
  <c r="K10" i="12"/>
  <c r="R10" i="12"/>
  <c r="AB10" i="12"/>
  <c r="AD10" i="12"/>
  <c r="I10" i="12"/>
  <c r="P10" i="12"/>
  <c r="AA10" i="12"/>
  <c r="AC10" i="12"/>
  <c r="H10" i="12"/>
  <c r="AW10" i="12"/>
  <c r="O10" i="12"/>
  <c r="Z10" i="12"/>
  <c r="V10" i="12"/>
  <c r="W10" i="12"/>
  <c r="F10" i="12"/>
  <c r="J10" i="12"/>
  <c r="U10" i="12"/>
  <c r="Y10" i="12"/>
  <c r="AE10" i="12"/>
  <c r="Q10" i="12"/>
  <c r="D10" i="12"/>
  <c r="C10" i="12"/>
  <c r="S10" i="12"/>
  <c r="G10" i="12"/>
  <c r="T10" i="12"/>
  <c r="N10" i="12"/>
  <c r="M10" i="12"/>
  <c r="L10" i="12"/>
  <c r="AF10" i="12"/>
  <c r="X10" i="12"/>
  <c r="Q17" i="12"/>
  <c r="L17" i="12"/>
  <c r="I17" i="12"/>
  <c r="H17" i="12"/>
  <c r="G17" i="12"/>
  <c r="F17" i="12"/>
  <c r="P17" i="12"/>
  <c r="D17" i="12"/>
  <c r="AW17" i="12"/>
  <c r="M17" i="12"/>
  <c r="K17" i="12"/>
  <c r="J17" i="12"/>
  <c r="R17" i="12"/>
  <c r="D38" i="8"/>
  <c r="B38" i="8" s="1"/>
  <c r="V121" i="2"/>
  <c r="C40" i="8"/>
  <c r="C60" i="8"/>
  <c r="D60" i="8" s="1"/>
  <c r="B40" i="8"/>
  <c r="C35" i="8"/>
  <c r="B35" i="8"/>
  <c r="D46" i="8"/>
  <c r="C55" i="8"/>
  <c r="D55" i="8" s="1"/>
  <c r="N8" i="22" l="1"/>
  <c r="I8" i="22"/>
  <c r="N6" i="22"/>
  <c r="K6" i="22"/>
  <c r="M6" i="22"/>
  <c r="M8" i="22"/>
  <c r="K8" i="22"/>
  <c r="R25" i="12"/>
  <c r="O25" i="12"/>
  <c r="Q25" i="12"/>
  <c r="P25" i="12"/>
  <c r="Q24" i="12"/>
  <c r="P24" i="12"/>
  <c r="O24" i="12"/>
  <c r="N24" i="12"/>
  <c r="AG19" i="16"/>
  <c r="AP19" i="16"/>
  <c r="AH19" i="16"/>
  <c r="AO19" i="16"/>
  <c r="AI19" i="16"/>
  <c r="AJ19" i="16"/>
  <c r="AN19" i="16"/>
  <c r="AF19" i="16"/>
  <c r="AK19" i="16"/>
  <c r="AL19" i="16"/>
  <c r="AM19" i="16"/>
  <c r="AN17" i="16"/>
  <c r="AH17" i="16"/>
  <c r="AG17" i="16"/>
  <c r="AM17" i="16"/>
  <c r="AL17" i="16"/>
  <c r="AC17" i="16"/>
  <c r="AF17" i="16"/>
  <c r="AK17" i="16"/>
  <c r="AJ17" i="16"/>
  <c r="AI17" i="16"/>
  <c r="AE17" i="16"/>
  <c r="AD17" i="16"/>
  <c r="C38" i="8"/>
  <c r="D41" i="8"/>
  <c r="E22" i="11"/>
  <c r="D39" i="11" s="1"/>
  <c r="D41" i="11" s="1"/>
  <c r="D49" i="11" s="1"/>
  <c r="E15" i="15"/>
  <c r="AC19" i="12"/>
  <c r="J19" i="12"/>
  <c r="C22" i="11"/>
  <c r="X19" i="12"/>
  <c r="N19" i="12"/>
  <c r="S19" i="12"/>
  <c r="Q19" i="12"/>
  <c r="E19" i="12"/>
  <c r="R19" i="12"/>
  <c r="AA19" i="12"/>
  <c r="J128" i="2"/>
  <c r="N128" i="2" s="1"/>
  <c r="I19" i="12"/>
  <c r="P19" i="12"/>
  <c r="B22" i="11"/>
  <c r="B50" i="11" s="1"/>
  <c r="T19" i="12"/>
  <c r="G19" i="12"/>
  <c r="H19" i="12"/>
  <c r="F19" i="12"/>
  <c r="B22" i="15"/>
  <c r="B50" i="15" s="1"/>
  <c r="E13" i="15"/>
  <c r="AW19" i="12"/>
  <c r="K19" i="12"/>
  <c r="AB19" i="12"/>
  <c r="BB24" i="16"/>
  <c r="BD24" i="16" s="1"/>
  <c r="C22" i="15"/>
  <c r="BD16" i="16"/>
  <c r="L19" i="12"/>
  <c r="C19" i="12"/>
  <c r="AF19" i="12"/>
  <c r="BB10" i="16"/>
  <c r="BD10" i="16" s="1"/>
  <c r="BB25" i="16"/>
  <c r="BD25" i="16" s="1"/>
  <c r="V19" i="12"/>
  <c r="O19" i="12"/>
  <c r="F19" i="16"/>
  <c r="AA19" i="16"/>
  <c r="U19" i="16"/>
  <c r="D19" i="16"/>
  <c r="V19" i="16"/>
  <c r="T19" i="16"/>
  <c r="E19" i="16"/>
  <c r="BC19" i="16"/>
  <c r="H19" i="16"/>
  <c r="K19" i="16"/>
  <c r="N19" i="16"/>
  <c r="C19" i="16"/>
  <c r="G19" i="16"/>
  <c r="Y19" i="16"/>
  <c r="M19" i="16"/>
  <c r="AD19" i="16"/>
  <c r="R19" i="16"/>
  <c r="L19" i="16"/>
  <c r="I19" i="16"/>
  <c r="AC19" i="16"/>
  <c r="W19" i="16"/>
  <c r="Q19" i="16"/>
  <c r="O19" i="16"/>
  <c r="P19" i="16"/>
  <c r="AE19" i="16"/>
  <c r="Z19" i="16"/>
  <c r="J19" i="16"/>
  <c r="S19" i="16"/>
  <c r="AB19" i="16"/>
  <c r="X19" i="16"/>
  <c r="M19" i="12"/>
  <c r="W19" i="12"/>
  <c r="D19" i="12"/>
  <c r="U19" i="12"/>
  <c r="B35" i="15"/>
  <c r="BC17" i="16"/>
  <c r="Z19" i="12"/>
  <c r="Y19" i="12"/>
  <c r="AE19" i="12"/>
  <c r="AV10" i="12"/>
  <c r="AX10" i="12" s="1"/>
  <c r="AW24" i="12"/>
  <c r="AW16" i="12"/>
  <c r="H16" i="12"/>
  <c r="AV16" i="12" s="1"/>
  <c r="AW25" i="12"/>
  <c r="B35" i="11"/>
  <c r="AV17" i="12"/>
  <c r="AX17" i="12" s="1"/>
  <c r="C66" i="8"/>
  <c r="D66" i="8" s="1"/>
  <c r="B76" i="8"/>
  <c r="B97" i="8" s="1"/>
  <c r="D42" i="8"/>
  <c r="F44" i="8" s="1"/>
  <c r="B41" i="8"/>
  <c r="I6" i="22" l="1"/>
  <c r="B77" i="8"/>
  <c r="C43" i="11"/>
  <c r="C50" i="11"/>
  <c r="B34" i="15"/>
  <c r="B36" i="15" s="1"/>
  <c r="C50" i="15"/>
  <c r="D44" i="11"/>
  <c r="E22" i="15"/>
  <c r="D39" i="15" s="1"/>
  <c r="D41" i="15" s="1"/>
  <c r="D49" i="15" s="1"/>
  <c r="B39" i="11"/>
  <c r="D23" i="11"/>
  <c r="C39" i="11"/>
  <c r="C23" i="11"/>
  <c r="B34" i="11"/>
  <c r="B36" i="11" s="1"/>
  <c r="AX16" i="12"/>
  <c r="C61" i="11"/>
  <c r="D70" i="11"/>
  <c r="D68" i="11"/>
  <c r="D75" i="11"/>
  <c r="D74" i="11"/>
  <c r="D76" i="11"/>
  <c r="D63" i="11"/>
  <c r="C69" i="11"/>
  <c r="D62" i="11"/>
  <c r="D56" i="11"/>
  <c r="D60" i="11"/>
  <c r="D58" i="11"/>
  <c r="D65" i="11"/>
  <c r="D67" i="11"/>
  <c r="D64" i="11"/>
  <c r="D72" i="11"/>
  <c r="D73" i="11"/>
  <c r="D60" i="15"/>
  <c r="D62" i="15"/>
  <c r="D76" i="15"/>
  <c r="C61" i="15"/>
  <c r="C66" i="15" s="1"/>
  <c r="D70" i="15"/>
  <c r="D74" i="15"/>
  <c r="D68" i="15"/>
  <c r="D63" i="15"/>
  <c r="C69" i="15"/>
  <c r="D75" i="15"/>
  <c r="D56" i="15"/>
  <c r="D73" i="15"/>
  <c r="D58" i="15"/>
  <c r="D64" i="15"/>
  <c r="D72" i="15"/>
  <c r="D65" i="15"/>
  <c r="D67" i="15"/>
  <c r="C23" i="15"/>
  <c r="C43" i="15"/>
  <c r="AV19" i="12"/>
  <c r="AX19" i="12" s="1"/>
  <c r="BB19" i="16"/>
  <c r="BD19" i="16" s="1"/>
  <c r="BB17" i="16"/>
  <c r="BD17" i="16" s="1"/>
  <c r="D57" i="15"/>
  <c r="B9" i="16"/>
  <c r="D46" i="11"/>
  <c r="AV24" i="12"/>
  <c r="AX24" i="12" s="1"/>
  <c r="AV25" i="12"/>
  <c r="AX25" i="12" s="1"/>
  <c r="D57" i="11"/>
  <c r="B9" i="12"/>
  <c r="B82" i="8"/>
  <c r="B70" i="8"/>
  <c r="B74" i="8" s="1"/>
  <c r="B68" i="8"/>
  <c r="B69" i="8"/>
  <c r="B78" i="8"/>
  <c r="C76" i="8"/>
  <c r="B85" i="8"/>
  <c r="G64" i="8"/>
  <c r="G63" i="8"/>
  <c r="C77" i="8"/>
  <c r="B86" i="8"/>
  <c r="AM9" i="16" l="1"/>
  <c r="AG9" i="16"/>
  <c r="AN9" i="16"/>
  <c r="AJ9" i="16"/>
  <c r="AO9" i="16"/>
  <c r="AP9" i="16"/>
  <c r="AI9" i="16"/>
  <c r="AH9" i="16"/>
  <c r="AK9" i="16"/>
  <c r="AL9" i="16"/>
  <c r="C66" i="11"/>
  <c r="D66" i="11" s="1"/>
  <c r="D23" i="15"/>
  <c r="B39" i="15"/>
  <c r="C39" i="15"/>
  <c r="D69" i="15"/>
  <c r="B21" i="16"/>
  <c r="AJ21" i="16" s="1"/>
  <c r="D61" i="11"/>
  <c r="B13" i="12"/>
  <c r="AW13" i="12" s="1"/>
  <c r="AX13" i="12" s="1"/>
  <c r="D61" i="15"/>
  <c r="B13" i="16"/>
  <c r="BC13" i="16" s="1"/>
  <c r="BD13" i="16" s="1"/>
  <c r="D69" i="11"/>
  <c r="B21" i="12"/>
  <c r="B18" i="16"/>
  <c r="D66" i="15"/>
  <c r="AD9" i="16"/>
  <c r="X9" i="16"/>
  <c r="I9" i="16"/>
  <c r="Q9" i="16"/>
  <c r="O9" i="16"/>
  <c r="T9" i="16"/>
  <c r="W9" i="16"/>
  <c r="D9" i="16"/>
  <c r="G9" i="16"/>
  <c r="Y9" i="16"/>
  <c r="M9" i="16"/>
  <c r="R9" i="16"/>
  <c r="L9" i="16"/>
  <c r="F9" i="16"/>
  <c r="AA9" i="16"/>
  <c r="U9" i="16"/>
  <c r="AC9" i="16"/>
  <c r="V9" i="16"/>
  <c r="E9" i="16"/>
  <c r="AF9" i="16"/>
  <c r="K9" i="16"/>
  <c r="AB9" i="16"/>
  <c r="H9" i="16"/>
  <c r="J9" i="16"/>
  <c r="AE9" i="16"/>
  <c r="Z9" i="16"/>
  <c r="C9" i="16"/>
  <c r="S9" i="16"/>
  <c r="N9" i="16"/>
  <c r="BC9" i="16"/>
  <c r="P9" i="16"/>
  <c r="D44" i="15"/>
  <c r="D46" i="15"/>
  <c r="C44" i="11"/>
  <c r="B44" i="11"/>
  <c r="D45" i="11"/>
  <c r="D47" i="11" s="1"/>
  <c r="D51" i="11" s="1"/>
  <c r="H9" i="12"/>
  <c r="M9" i="12"/>
  <c r="AD9" i="12"/>
  <c r="P9" i="12"/>
  <c r="AC9" i="12"/>
  <c r="J9" i="12"/>
  <c r="W9" i="12"/>
  <c r="K9" i="12"/>
  <c r="F9" i="12"/>
  <c r="V9" i="12"/>
  <c r="AA9" i="12"/>
  <c r="Z9" i="12"/>
  <c r="X9" i="12"/>
  <c r="E9" i="12"/>
  <c r="AB9" i="12"/>
  <c r="AW9" i="12"/>
  <c r="L9" i="12"/>
  <c r="G9" i="12"/>
  <c r="U9" i="12"/>
  <c r="AF9" i="12"/>
  <c r="Y9" i="12"/>
  <c r="R9" i="12"/>
  <c r="T9" i="12"/>
  <c r="D9" i="12"/>
  <c r="S9" i="12"/>
  <c r="Q9" i="12"/>
  <c r="C9" i="12"/>
  <c r="N9" i="12"/>
  <c r="AE9" i="12"/>
  <c r="O9" i="12"/>
  <c r="I9" i="12"/>
  <c r="C71" i="11"/>
  <c r="C49" i="11"/>
  <c r="B49" i="11"/>
  <c r="C78" i="8"/>
  <c r="C74" i="8"/>
  <c r="B75" i="8"/>
  <c r="C75" i="8" s="1"/>
  <c r="B89" i="8"/>
  <c r="B83" i="8"/>
  <c r="B84" i="8" s="1"/>
  <c r="AO18" i="16" l="1"/>
  <c r="AP18" i="16"/>
  <c r="AG18" i="16"/>
  <c r="AH18" i="16"/>
  <c r="AI18" i="16"/>
  <c r="AI29" i="16" s="1"/>
  <c r="AJ18" i="16"/>
  <c r="AJ29" i="16" s="1"/>
  <c r="AJ44" i="16" s="1"/>
  <c r="AJ12" i="21" s="1"/>
  <c r="AK18" i="16"/>
  <c r="AK29" i="16" s="1"/>
  <c r="AK44" i="16" s="1"/>
  <c r="AL18" i="16"/>
  <c r="AL29" i="16" s="1"/>
  <c r="AL44" i="16" s="1"/>
  <c r="AM18" i="16"/>
  <c r="AF18" i="16"/>
  <c r="AF29" i="16" s="1"/>
  <c r="AF44" i="16" s="1"/>
  <c r="AN18" i="16"/>
  <c r="B18" i="12"/>
  <c r="AA18" i="12" s="1"/>
  <c r="AA29" i="12" s="1"/>
  <c r="AA44" i="12" s="1"/>
  <c r="C77" i="11"/>
  <c r="B78" i="11" s="1"/>
  <c r="AF50" i="2"/>
  <c r="AL50" i="2" s="1"/>
  <c r="AF43" i="2"/>
  <c r="AL43" i="2" s="1"/>
  <c r="AF36" i="2"/>
  <c r="AL36" i="2" s="1"/>
  <c r="AF29" i="2"/>
  <c r="AL29" i="2" s="1"/>
  <c r="AF22" i="2"/>
  <c r="AL22" i="2" s="1"/>
  <c r="D52" i="11"/>
  <c r="BC21" i="16"/>
  <c r="AW21" i="12"/>
  <c r="P21" i="12"/>
  <c r="V21" i="12" s="1"/>
  <c r="AV21" i="12" s="1"/>
  <c r="B44" i="15"/>
  <c r="C44" i="15"/>
  <c r="D45" i="15"/>
  <c r="D47" i="15" s="1"/>
  <c r="D51" i="15" s="1"/>
  <c r="C71" i="15"/>
  <c r="B49" i="15"/>
  <c r="C49" i="15"/>
  <c r="BB9" i="16"/>
  <c r="BD9" i="16" s="1"/>
  <c r="AC18" i="16"/>
  <c r="AC29" i="16" s="1"/>
  <c r="AC44" i="16" s="1"/>
  <c r="W18" i="16"/>
  <c r="W29" i="16" s="1"/>
  <c r="W44" i="16" s="1"/>
  <c r="E18" i="16"/>
  <c r="E29" i="16" s="1"/>
  <c r="E44" i="16" s="1"/>
  <c r="T18" i="16"/>
  <c r="T29" i="16" s="1"/>
  <c r="T44" i="16" s="1"/>
  <c r="AB18" i="16"/>
  <c r="AB29" i="16" s="1"/>
  <c r="AB44" i="16" s="1"/>
  <c r="J18" i="16"/>
  <c r="J29" i="16" s="1"/>
  <c r="J44" i="16" s="1"/>
  <c r="H18" i="16"/>
  <c r="H29" i="16" s="1"/>
  <c r="H44" i="16" s="1"/>
  <c r="P18" i="16"/>
  <c r="I18" i="16"/>
  <c r="I29" i="16" s="1"/>
  <c r="I44" i="16" s="1"/>
  <c r="S18" i="16"/>
  <c r="S29" i="16" s="1"/>
  <c r="S44" i="16" s="1"/>
  <c r="AA18" i="16"/>
  <c r="AA29" i="16" s="1"/>
  <c r="AA44" i="16" s="1"/>
  <c r="BC18" i="16"/>
  <c r="G18" i="16"/>
  <c r="G29" i="16" s="1"/>
  <c r="G44" i="16" s="1"/>
  <c r="C18" i="16"/>
  <c r="Z18" i="16"/>
  <c r="Z29" i="16" s="1"/>
  <c r="Z44" i="16" s="1"/>
  <c r="AD18" i="16"/>
  <c r="AD29" i="16" s="1"/>
  <c r="AD44" i="16" s="1"/>
  <c r="V18" i="16"/>
  <c r="R18" i="16"/>
  <c r="R29" i="16" s="1"/>
  <c r="R44" i="16" s="1"/>
  <c r="M18" i="16"/>
  <c r="M29" i="16" s="1"/>
  <c r="M44" i="16" s="1"/>
  <c r="Q18" i="16"/>
  <c r="Q29" i="16" s="1"/>
  <c r="Q44" i="16" s="1"/>
  <c r="K18" i="16"/>
  <c r="K29" i="16" s="1"/>
  <c r="K44" i="16" s="1"/>
  <c r="U18" i="16"/>
  <c r="U29" i="16" s="1"/>
  <c r="U44" i="16" s="1"/>
  <c r="AE18" i="16"/>
  <c r="AE29" i="16" s="1"/>
  <c r="AE44" i="16" s="1"/>
  <c r="D18" i="16"/>
  <c r="D29" i="16" s="1"/>
  <c r="D44" i="16" s="1"/>
  <c r="N18" i="16"/>
  <c r="N29" i="16" s="1"/>
  <c r="N44" i="16" s="1"/>
  <c r="Y18" i="16"/>
  <c r="Y29" i="16" s="1"/>
  <c r="Y44" i="16" s="1"/>
  <c r="F18" i="16"/>
  <c r="F29" i="16" s="1"/>
  <c r="F44" i="16" s="1"/>
  <c r="X18" i="16"/>
  <c r="X29" i="16" s="1"/>
  <c r="X44" i="16" s="1"/>
  <c r="O18" i="16"/>
  <c r="O29" i="16" s="1"/>
  <c r="O44" i="16" s="1"/>
  <c r="L18" i="16"/>
  <c r="L29" i="16" s="1"/>
  <c r="L44" i="16" s="1"/>
  <c r="AV9" i="12"/>
  <c r="AX9" i="12" s="1"/>
  <c r="B47" i="11"/>
  <c r="C47" i="11"/>
  <c r="B23" i="12"/>
  <c r="D71" i="11"/>
  <c r="B90" i="8"/>
  <c r="B87" i="8"/>
  <c r="B94" i="8" s="1"/>
  <c r="T82" i="2"/>
  <c r="T68" i="2"/>
  <c r="T75" i="2"/>
  <c r="T89" i="2"/>
  <c r="U68" i="2"/>
  <c r="U75" i="2"/>
  <c r="U82" i="2"/>
  <c r="U89" i="2"/>
  <c r="U61" i="2"/>
  <c r="C21" i="1"/>
  <c r="I21" i="1" s="1"/>
  <c r="K61" i="2" s="1"/>
  <c r="T61" i="2"/>
  <c r="AG61" i="2" l="1"/>
  <c r="P23" i="12"/>
  <c r="O23" i="12"/>
  <c r="Q23" i="12"/>
  <c r="N23" i="12"/>
  <c r="O18" i="12"/>
  <c r="AF18" i="12"/>
  <c r="AF29" i="12" s="1"/>
  <c r="AF44" i="12" s="1"/>
  <c r="AE18" i="12"/>
  <c r="AE29" i="12" s="1"/>
  <c r="AE44" i="12" s="1"/>
  <c r="AW18" i="12"/>
  <c r="F18" i="12"/>
  <c r="F29" i="12" s="1"/>
  <c r="F44" i="12" s="1"/>
  <c r="U18" i="12"/>
  <c r="U29" i="12" s="1"/>
  <c r="U44" i="12" s="1"/>
  <c r="S18" i="12"/>
  <c r="S29" i="12" s="1"/>
  <c r="H18" i="12"/>
  <c r="H29" i="12" s="1"/>
  <c r="H44" i="12" s="1"/>
  <c r="R18" i="12"/>
  <c r="R29" i="12" s="1"/>
  <c r="R44" i="12" s="1"/>
  <c r="I18" i="12"/>
  <c r="I29" i="12" s="1"/>
  <c r="I44" i="12" s="1"/>
  <c r="Y18" i="12"/>
  <c r="Y29" i="12" s="1"/>
  <c r="Y44" i="12" s="1"/>
  <c r="D18" i="12"/>
  <c r="D29" i="12" s="1"/>
  <c r="D44" i="12" s="1"/>
  <c r="AD18" i="12"/>
  <c r="AD29" i="12" s="1"/>
  <c r="AD44" i="12" s="1"/>
  <c r="M18" i="12"/>
  <c r="M29" i="12" s="1"/>
  <c r="M44" i="12" s="1"/>
  <c r="AC18" i="12"/>
  <c r="AC29" i="12" s="1"/>
  <c r="AC44" i="12" s="1"/>
  <c r="Q18" i="12"/>
  <c r="Z18" i="12"/>
  <c r="Z29" i="12" s="1"/>
  <c r="Z44" i="12" s="1"/>
  <c r="W18" i="12"/>
  <c r="W29" i="12" s="1"/>
  <c r="W44" i="12" s="1"/>
  <c r="K18" i="12"/>
  <c r="K29" i="12" s="1"/>
  <c r="K44" i="12" s="1"/>
  <c r="P18" i="12"/>
  <c r="L18" i="12"/>
  <c r="L29" i="12" s="1"/>
  <c r="L44" i="12" s="1"/>
  <c r="G18" i="12"/>
  <c r="G29" i="12" s="1"/>
  <c r="G44" i="12" s="1"/>
  <c r="B79" i="11"/>
  <c r="J18" i="12"/>
  <c r="J29" i="12" s="1"/>
  <c r="J44" i="12" s="1"/>
  <c r="C18" i="12"/>
  <c r="C29" i="12" s="1"/>
  <c r="C44" i="12" s="1"/>
  <c r="V18" i="12"/>
  <c r="V29" i="12" s="1"/>
  <c r="V44" i="12" s="1"/>
  <c r="N18" i="12"/>
  <c r="B29" i="12"/>
  <c r="AB18" i="12"/>
  <c r="AB29" i="12" s="1"/>
  <c r="AB44" i="12" s="1"/>
  <c r="T18" i="12"/>
  <c r="T29" i="12" s="1"/>
  <c r="T44" i="12" s="1"/>
  <c r="E18" i="12"/>
  <c r="E29" i="12" s="1"/>
  <c r="E44" i="12" s="1"/>
  <c r="X18" i="12"/>
  <c r="X29" i="12" s="1"/>
  <c r="X44" i="12" s="1"/>
  <c r="D25" i="18"/>
  <c r="D26" i="18" s="1"/>
  <c r="AF142" i="2"/>
  <c r="AL142" i="2" s="1"/>
  <c r="AF135" i="2"/>
  <c r="AL135" i="2" s="1"/>
  <c r="AF128" i="2"/>
  <c r="AL128" i="2" s="1"/>
  <c r="D52" i="15"/>
  <c r="B93" i="15" s="1"/>
  <c r="P29" i="16"/>
  <c r="P44" i="16" s="1"/>
  <c r="AX21" i="12"/>
  <c r="I22" i="1"/>
  <c r="D57" i="2" s="1"/>
  <c r="V29" i="16"/>
  <c r="V44" i="16" s="1"/>
  <c r="B47" i="15"/>
  <c r="C47" i="15"/>
  <c r="B23" i="16"/>
  <c r="D71" i="15"/>
  <c r="C77" i="15"/>
  <c r="C29" i="16"/>
  <c r="BB18" i="16"/>
  <c r="BD18" i="16" s="1"/>
  <c r="D77" i="11"/>
  <c r="AJ29" i="12"/>
  <c r="AW23" i="12"/>
  <c r="AI29" i="12"/>
  <c r="AI44" i="12" s="1"/>
  <c r="AH29" i="12"/>
  <c r="AH44" i="12" s="1"/>
  <c r="B81" i="11"/>
  <c r="B85" i="11" s="1"/>
  <c r="B51" i="11"/>
  <c r="M61" i="2"/>
  <c r="AH61" i="2" s="1"/>
  <c r="Q29" i="12" l="1"/>
  <c r="Q44" i="12" s="1"/>
  <c r="P29" i="12"/>
  <c r="P44" i="12" s="1"/>
  <c r="P61" i="2"/>
  <c r="S61" i="2" s="1"/>
  <c r="AA61" i="2" s="1"/>
  <c r="N29" i="12"/>
  <c r="N44" i="12" s="1"/>
  <c r="O29" i="12"/>
  <c r="O44" i="12" s="1"/>
  <c r="AN23" i="16"/>
  <c r="AN29" i="16" s="1"/>
  <c r="AN44" i="16" s="1"/>
  <c r="AM23" i="16"/>
  <c r="AM29" i="16" s="1"/>
  <c r="AM44" i="16" s="1"/>
  <c r="AO23" i="16"/>
  <c r="AO29" i="16" s="1"/>
  <c r="AO44" i="16" s="1"/>
  <c r="AP23" i="16"/>
  <c r="AP29" i="16" s="1"/>
  <c r="AV18" i="12"/>
  <c r="AX18" i="12" s="1"/>
  <c r="B80" i="15"/>
  <c r="D59" i="2"/>
  <c r="E59" i="2" s="1"/>
  <c r="G59" i="2" s="1"/>
  <c r="D61" i="2"/>
  <c r="E61" i="2" s="1"/>
  <c r="D60" i="2"/>
  <c r="E60" i="2" s="1"/>
  <c r="D58" i="2"/>
  <c r="E58" i="2" s="1"/>
  <c r="G58" i="2" s="1"/>
  <c r="BB21" i="16"/>
  <c r="BD21" i="16" s="1"/>
  <c r="B79" i="15"/>
  <c r="D77" i="15"/>
  <c r="B51" i="15"/>
  <c r="B78" i="15"/>
  <c r="BC23" i="16"/>
  <c r="AH29" i="16"/>
  <c r="AH44" i="16" s="1"/>
  <c r="AH12" i="21" s="1"/>
  <c r="AI44" i="16"/>
  <c r="AI12" i="21" s="1"/>
  <c r="B29" i="16"/>
  <c r="C32" i="16"/>
  <c r="C44" i="16"/>
  <c r="B100" i="15"/>
  <c r="B94" i="15"/>
  <c r="B95" i="15" s="1"/>
  <c r="B81" i="15"/>
  <c r="B85" i="15" s="1"/>
  <c r="B30" i="16" s="1"/>
  <c r="B12" i="14"/>
  <c r="AW12" i="14" s="1"/>
  <c r="AX12" i="14" s="1"/>
  <c r="B30" i="12"/>
  <c r="B31" i="12" s="1"/>
  <c r="B86" i="11"/>
  <c r="B88" i="11" s="1"/>
  <c r="B97" i="11" s="1"/>
  <c r="AG29" i="12"/>
  <c r="AG44" i="12" s="1"/>
  <c r="AV23" i="12"/>
  <c r="C32" i="12"/>
  <c r="B93" i="11"/>
  <c r="B80" i="11"/>
  <c r="AW29" i="12"/>
  <c r="H59" i="2"/>
  <c r="H60" i="2" l="1"/>
  <c r="G60" i="2"/>
  <c r="H61" i="2"/>
  <c r="G61" i="2"/>
  <c r="C39" i="12"/>
  <c r="AV29" i="12"/>
  <c r="H58" i="2"/>
  <c r="AD61" i="2"/>
  <c r="F59" i="2"/>
  <c r="R60" i="2"/>
  <c r="B31" i="16"/>
  <c r="AG29" i="16"/>
  <c r="AG44" i="16" s="1"/>
  <c r="BB23" i="16"/>
  <c r="BB29" i="16" s="1"/>
  <c r="B43" i="16"/>
  <c r="AP44" i="16" s="1"/>
  <c r="B101" i="15"/>
  <c r="B86" i="15"/>
  <c r="BC29" i="16"/>
  <c r="C33" i="16"/>
  <c r="C39" i="16"/>
  <c r="B87" i="11"/>
  <c r="B94" i="11"/>
  <c r="B95" i="11" s="1"/>
  <c r="B43" i="12" s="1"/>
  <c r="S44" i="12" s="1"/>
  <c r="B100" i="11"/>
  <c r="B33" i="12"/>
  <c r="C88" i="11"/>
  <c r="C33" i="12"/>
  <c r="AX23" i="12"/>
  <c r="Z61" i="2"/>
  <c r="F60" i="2"/>
  <c r="AB61" i="2"/>
  <c r="C35" i="1"/>
  <c r="I36" i="1" s="1"/>
  <c r="D92" i="2" s="1"/>
  <c r="E7" i="22" s="1"/>
  <c r="E9" i="22" l="1"/>
  <c r="F58" i="2"/>
  <c r="R61" i="2"/>
  <c r="F61" i="2"/>
  <c r="I59" i="2"/>
  <c r="B96" i="11"/>
  <c r="B98" i="11" s="1"/>
  <c r="B105" i="11" s="1"/>
  <c r="G74" i="11"/>
  <c r="I60" i="2"/>
  <c r="BD23" i="16"/>
  <c r="B88" i="15"/>
  <c r="B87" i="15"/>
  <c r="B107" i="11"/>
  <c r="C87" i="11"/>
  <c r="C89" i="11" s="1"/>
  <c r="B89" i="11"/>
  <c r="G75" i="11"/>
  <c r="B34" i="12"/>
  <c r="B35" i="12" s="1"/>
  <c r="AN44" i="12"/>
  <c r="AN12" i="21" s="1"/>
  <c r="AM44" i="12"/>
  <c r="AM12" i="21" s="1"/>
  <c r="AL44" i="12"/>
  <c r="AL12" i="21" s="1"/>
  <c r="AK44" i="12"/>
  <c r="AK12" i="21" s="1"/>
  <c r="AT44" i="12"/>
  <c r="AU44" i="12"/>
  <c r="AS44" i="12"/>
  <c r="AQ44" i="12"/>
  <c r="AP44" i="12"/>
  <c r="AP12" i="21" s="1"/>
  <c r="AR44" i="12"/>
  <c r="AO44" i="12"/>
  <c r="AO12" i="21" s="1"/>
  <c r="D32" i="12"/>
  <c r="B101" i="11"/>
  <c r="D96" i="2"/>
  <c r="E96" i="2" s="1"/>
  <c r="G96" i="2" s="1"/>
  <c r="D95" i="2"/>
  <c r="E95" i="2" s="1"/>
  <c r="G95" i="2" s="1"/>
  <c r="D94" i="2"/>
  <c r="E94" i="2" s="1"/>
  <c r="G94" i="2" s="1"/>
  <c r="D93" i="2"/>
  <c r="E93" i="2" s="1"/>
  <c r="G93" i="2" s="1"/>
  <c r="J7" i="22" s="1"/>
  <c r="J9" i="22" s="1"/>
  <c r="I35" i="1"/>
  <c r="K96" i="2" s="1"/>
  <c r="F7" i="22" l="1"/>
  <c r="B26" i="13"/>
  <c r="D26" i="13" s="1"/>
  <c r="D27" i="13" s="1"/>
  <c r="V61" i="2"/>
  <c r="I58" i="2"/>
  <c r="AD96" i="2"/>
  <c r="AG96" i="2"/>
  <c r="I61" i="2"/>
  <c r="B96" i="15"/>
  <c r="B34" i="16"/>
  <c r="B89" i="15"/>
  <c r="C87" i="15"/>
  <c r="G74" i="15"/>
  <c r="G75" i="15"/>
  <c r="B107" i="15"/>
  <c r="B33" i="16"/>
  <c r="C88" i="15"/>
  <c r="B97" i="15"/>
  <c r="B38" i="12"/>
  <c r="S39" i="12" s="1"/>
  <c r="D39" i="12"/>
  <c r="D33" i="12"/>
  <c r="E32" i="12" s="1"/>
  <c r="E39" i="12" s="1"/>
  <c r="B44" i="12"/>
  <c r="B45" i="12" s="1"/>
  <c r="B46" i="12" s="1"/>
  <c r="B14" i="13"/>
  <c r="H95" i="2"/>
  <c r="B18" i="13" s="1"/>
  <c r="H93" i="2"/>
  <c r="B12" i="13"/>
  <c r="H94" i="2"/>
  <c r="B17" i="13" s="1"/>
  <c r="B13" i="13"/>
  <c r="H96" i="2"/>
  <c r="B19" i="13" s="1"/>
  <c r="B15" i="13"/>
  <c r="M96" i="2"/>
  <c r="AH96" i="2" s="1"/>
  <c r="P96" i="2"/>
  <c r="C56" i="13" s="1"/>
  <c r="R95" i="2"/>
  <c r="B29" i="13" s="1"/>
  <c r="B16" i="13" l="1"/>
  <c r="L7" i="22"/>
  <c r="L9" i="22" s="1"/>
  <c r="J61" i="2"/>
  <c r="N61" i="2" s="1"/>
  <c r="D7" i="22"/>
  <c r="D9" i="22" s="1"/>
  <c r="F9" i="22"/>
  <c r="O9" i="22" s="1"/>
  <c r="O7" i="22"/>
  <c r="B27" i="13"/>
  <c r="C72" i="13" s="1"/>
  <c r="E12" i="13"/>
  <c r="E16" i="13"/>
  <c r="E19" i="13"/>
  <c r="E17" i="13"/>
  <c r="E14" i="13"/>
  <c r="R96" i="2"/>
  <c r="C89" i="15"/>
  <c r="F93" i="2"/>
  <c r="F94" i="2"/>
  <c r="B9" i="13" s="1"/>
  <c r="E13" i="13"/>
  <c r="F95" i="2"/>
  <c r="B10" i="13" s="1"/>
  <c r="E18" i="13"/>
  <c r="F96" i="2"/>
  <c r="B11" i="13" s="1"/>
  <c r="E15" i="13"/>
  <c r="AS44" i="16"/>
  <c r="AS12" i="21" s="1"/>
  <c r="AU44" i="16"/>
  <c r="AU12" i="21" s="1"/>
  <c r="AR44" i="16"/>
  <c r="AR12" i="21" s="1"/>
  <c r="AQ44" i="16"/>
  <c r="AQ12" i="21" s="1"/>
  <c r="BA44" i="16"/>
  <c r="AZ44" i="16"/>
  <c r="AX44" i="16"/>
  <c r="AY44" i="16"/>
  <c r="AV44" i="16"/>
  <c r="AT44" i="16"/>
  <c r="AT12" i="21" s="1"/>
  <c r="AW44" i="16"/>
  <c r="D32" i="16"/>
  <c r="B35" i="16"/>
  <c r="B38" i="16"/>
  <c r="AP39" i="16" s="1"/>
  <c r="AP8" i="21" s="1"/>
  <c r="B98" i="15"/>
  <c r="B105" i="15" s="1"/>
  <c r="D43" i="13"/>
  <c r="B31" i="13"/>
  <c r="C58" i="13"/>
  <c r="C65" i="13" s="1"/>
  <c r="B8" i="14"/>
  <c r="AG8" i="14" s="1"/>
  <c r="D40" i="13"/>
  <c r="C73" i="13"/>
  <c r="E33" i="12"/>
  <c r="F32" i="12" s="1"/>
  <c r="F39" i="12" s="1"/>
  <c r="S96" i="2"/>
  <c r="Z96" i="2" s="1"/>
  <c r="B8" i="13" l="1"/>
  <c r="H7" i="22"/>
  <c r="H9" i="22" s="1"/>
  <c r="C27" i="13"/>
  <c r="A40" i="13"/>
  <c r="I93" i="2"/>
  <c r="E8" i="13"/>
  <c r="C67" i="13"/>
  <c r="B19" i="14" s="1"/>
  <c r="AG19" i="14" s="1"/>
  <c r="V96" i="2"/>
  <c r="I96" i="2"/>
  <c r="E11" i="13"/>
  <c r="I95" i="2"/>
  <c r="E10" i="13"/>
  <c r="I94" i="2"/>
  <c r="E9" i="13"/>
  <c r="D39" i="16"/>
  <c r="D33" i="16"/>
  <c r="E32" i="16" s="1"/>
  <c r="E39" i="16" s="1"/>
  <c r="B44" i="16"/>
  <c r="B45" i="16" s="1"/>
  <c r="B46" i="16" s="1"/>
  <c r="C64" i="13"/>
  <c r="AD8" i="14"/>
  <c r="Z8" i="14"/>
  <c r="I8" i="14"/>
  <c r="Y8" i="14"/>
  <c r="AC8" i="14"/>
  <c r="R8" i="14"/>
  <c r="N8" i="14"/>
  <c r="F8" i="14"/>
  <c r="Q8" i="14"/>
  <c r="X8" i="14"/>
  <c r="E8" i="14"/>
  <c r="AW8" i="14"/>
  <c r="AF8" i="14"/>
  <c r="AB8" i="14"/>
  <c r="U8" i="14"/>
  <c r="T8" i="14"/>
  <c r="P8" i="14"/>
  <c r="K8" i="14"/>
  <c r="H8" i="14"/>
  <c r="D8" i="14"/>
  <c r="W8" i="14"/>
  <c r="AE8" i="14"/>
  <c r="AA8" i="14"/>
  <c r="V8" i="14"/>
  <c r="S8" i="14"/>
  <c r="O8" i="14"/>
  <c r="L8" i="14"/>
  <c r="G8" i="14"/>
  <c r="C8" i="14"/>
  <c r="J8" i="14"/>
  <c r="M8" i="14"/>
  <c r="B10" i="14"/>
  <c r="AG10" i="14" s="1"/>
  <c r="B25" i="14"/>
  <c r="B24" i="14"/>
  <c r="B35" i="13"/>
  <c r="C57" i="13"/>
  <c r="B17" i="14"/>
  <c r="F33" i="12"/>
  <c r="G32" i="12" s="1"/>
  <c r="G33" i="12" s="1"/>
  <c r="H32" i="12" s="1"/>
  <c r="AB96" i="2"/>
  <c r="AA96" i="2"/>
  <c r="N7" i="22" l="1"/>
  <c r="U17" i="14"/>
  <c r="V17" i="14"/>
  <c r="AB17" i="14"/>
  <c r="AC17" i="14"/>
  <c r="AD17" i="14"/>
  <c r="AE17" i="14"/>
  <c r="Z17" i="14"/>
  <c r="T17" i="14"/>
  <c r="W17" i="14"/>
  <c r="X17" i="14"/>
  <c r="Y17" i="14"/>
  <c r="AA17" i="14"/>
  <c r="AF17" i="14"/>
  <c r="AF25" i="14"/>
  <c r="AE25" i="14"/>
  <c r="AD25" i="14"/>
  <c r="AG25" i="14"/>
  <c r="B16" i="14"/>
  <c r="R16" i="14" s="1"/>
  <c r="Y114" i="2"/>
  <c r="Y107" i="2"/>
  <c r="Y61" i="2"/>
  <c r="Y96" i="2"/>
  <c r="Y89" i="2"/>
  <c r="Y82" i="2"/>
  <c r="Y75" i="2"/>
  <c r="Y68" i="2"/>
  <c r="Y121" i="2"/>
  <c r="J96" i="2"/>
  <c r="N96" i="2" s="1"/>
  <c r="C22" i="13"/>
  <c r="C50" i="13" s="1"/>
  <c r="E22" i="13"/>
  <c r="B22" i="13"/>
  <c r="E33" i="16"/>
  <c r="F32" i="16" s="1"/>
  <c r="J10" i="14"/>
  <c r="AC10" i="14"/>
  <c r="K10" i="14"/>
  <c r="U10" i="14"/>
  <c r="Q10" i="14"/>
  <c r="X10" i="14"/>
  <c r="I10" i="14"/>
  <c r="E10" i="14"/>
  <c r="W10" i="14"/>
  <c r="M10" i="14"/>
  <c r="T10" i="14"/>
  <c r="P10" i="14"/>
  <c r="Y10" i="14"/>
  <c r="H10" i="14"/>
  <c r="D10" i="14"/>
  <c r="AE10" i="14"/>
  <c r="AA10" i="14"/>
  <c r="S10" i="14"/>
  <c r="O10" i="14"/>
  <c r="G10" i="14"/>
  <c r="C10" i="14"/>
  <c r="AD10" i="14"/>
  <c r="Z10" i="14"/>
  <c r="AW10" i="14"/>
  <c r="R10" i="14"/>
  <c r="N10" i="14"/>
  <c r="V10" i="14"/>
  <c r="F10" i="14"/>
  <c r="L10" i="14"/>
  <c r="AF10" i="14"/>
  <c r="AB10" i="14"/>
  <c r="G39" i="12"/>
  <c r="AW25" i="14"/>
  <c r="AV8" i="14"/>
  <c r="AX8" i="14" s="1"/>
  <c r="AW16" i="14"/>
  <c r="AV16" i="14"/>
  <c r="AD24" i="14"/>
  <c r="AF24" i="14"/>
  <c r="AE24" i="14"/>
  <c r="AC24" i="14"/>
  <c r="AW24" i="14"/>
  <c r="S17" i="14"/>
  <c r="R17" i="14"/>
  <c r="Q17" i="14"/>
  <c r="AW17" i="14"/>
  <c r="P17" i="14"/>
  <c r="O17" i="14"/>
  <c r="AC19" i="14"/>
  <c r="M19" i="14"/>
  <c r="I19" i="14"/>
  <c r="E19" i="14"/>
  <c r="AF19" i="14"/>
  <c r="T19" i="14"/>
  <c r="P19" i="14"/>
  <c r="AE19" i="14"/>
  <c r="V19" i="14"/>
  <c r="C19" i="14"/>
  <c r="AD19" i="14"/>
  <c r="Z19" i="14"/>
  <c r="R19" i="14"/>
  <c r="N19" i="14"/>
  <c r="U19" i="14"/>
  <c r="Q19" i="14"/>
  <c r="J19" i="14"/>
  <c r="X19" i="14"/>
  <c r="AB19" i="14"/>
  <c r="W19" i="14"/>
  <c r="K19" i="14"/>
  <c r="H19" i="14"/>
  <c r="D19" i="14"/>
  <c r="AW19" i="14"/>
  <c r="AA19" i="14"/>
  <c r="S19" i="14"/>
  <c r="O19" i="14"/>
  <c r="L19" i="14"/>
  <c r="G19" i="14"/>
  <c r="F19" i="14"/>
  <c r="Y19" i="14"/>
  <c r="B9" i="14"/>
  <c r="AG9" i="14" s="1"/>
  <c r="H39" i="12"/>
  <c r="H33" i="12"/>
  <c r="I32" i="12" s="1"/>
  <c r="I7" i="22" l="1"/>
  <c r="N9" i="22"/>
  <c r="K7" i="22"/>
  <c r="M7" i="22"/>
  <c r="D64" i="13"/>
  <c r="B50" i="13"/>
  <c r="D57" i="13"/>
  <c r="D23" i="13"/>
  <c r="D39" i="13"/>
  <c r="C23" i="13"/>
  <c r="B34" i="13"/>
  <c r="B36" i="13" s="1"/>
  <c r="C43" i="13"/>
  <c r="C69" i="13"/>
  <c r="D75" i="13"/>
  <c r="D76" i="13"/>
  <c r="D63" i="13"/>
  <c r="D62" i="13"/>
  <c r="D74" i="13"/>
  <c r="D68" i="13"/>
  <c r="C61" i="13"/>
  <c r="D70" i="13"/>
  <c r="D60" i="13"/>
  <c r="D56" i="13"/>
  <c r="D67" i="13"/>
  <c r="D65" i="13"/>
  <c r="D73" i="13"/>
  <c r="D72" i="13"/>
  <c r="D58" i="13"/>
  <c r="F39" i="16"/>
  <c r="F33" i="16"/>
  <c r="G32" i="16" s="1"/>
  <c r="G33" i="16" s="1"/>
  <c r="H32" i="16" s="1"/>
  <c r="AV24" i="14"/>
  <c r="AX24" i="14" s="1"/>
  <c r="AV25" i="14"/>
  <c r="AX25" i="14" s="1"/>
  <c r="H9" i="14"/>
  <c r="AA9" i="14"/>
  <c r="AF9" i="14"/>
  <c r="R9" i="14"/>
  <c r="I9" i="14"/>
  <c r="P9" i="14"/>
  <c r="J9" i="14"/>
  <c r="Z9" i="14"/>
  <c r="E9" i="14"/>
  <c r="AD9" i="14"/>
  <c r="C9" i="14"/>
  <c r="U9" i="14"/>
  <c r="S9" i="14"/>
  <c r="AC9" i="14"/>
  <c r="T9" i="14"/>
  <c r="F9" i="14"/>
  <c r="V9" i="14"/>
  <c r="G9" i="14"/>
  <c r="Q9" i="14"/>
  <c r="W9" i="14"/>
  <c r="O9" i="14"/>
  <c r="AW9" i="14"/>
  <c r="M9" i="14"/>
  <c r="L9" i="14"/>
  <c r="AE9" i="14"/>
  <c r="Y9" i="14"/>
  <c r="K9" i="14"/>
  <c r="X9" i="14"/>
  <c r="D9" i="14"/>
  <c r="AB9" i="14"/>
  <c r="N9" i="14"/>
  <c r="AV10" i="14"/>
  <c r="AX10" i="14" s="1"/>
  <c r="AV17" i="14"/>
  <c r="AX17" i="14" s="1"/>
  <c r="AX16" i="14"/>
  <c r="AV19" i="14"/>
  <c r="AX19" i="14" s="1"/>
  <c r="I39" i="12"/>
  <c r="I33" i="12"/>
  <c r="K9" i="22" l="1"/>
  <c r="M9" i="22"/>
  <c r="I9" i="22"/>
  <c r="J32" i="12"/>
  <c r="J33" i="12" s="1"/>
  <c r="K32" i="12" s="1"/>
  <c r="B21" i="14"/>
  <c r="Q21" i="14" s="1"/>
  <c r="D69" i="13"/>
  <c r="C39" i="13"/>
  <c r="B39" i="13"/>
  <c r="D41" i="13"/>
  <c r="D49" i="13" s="1"/>
  <c r="B13" i="14"/>
  <c r="AW13" i="14" s="1"/>
  <c r="AX13" i="14" s="1"/>
  <c r="D61" i="13"/>
  <c r="C66" i="13"/>
  <c r="H39" i="16"/>
  <c r="H33" i="16"/>
  <c r="I32" i="16" s="1"/>
  <c r="I39" i="16" s="1"/>
  <c r="G39" i="16"/>
  <c r="AV9" i="14"/>
  <c r="AX9" i="14" s="1"/>
  <c r="J39" i="12" l="1"/>
  <c r="K33" i="12"/>
  <c r="L32" i="12" s="1"/>
  <c r="L39" i="12" s="1"/>
  <c r="K39" i="12"/>
  <c r="D66" i="13"/>
  <c r="B18" i="14"/>
  <c r="AG18" i="14" s="1"/>
  <c r="D46" i="13"/>
  <c r="D44" i="13"/>
  <c r="AW21" i="14"/>
  <c r="I33" i="16"/>
  <c r="J32" i="16" s="1"/>
  <c r="L33" i="12" l="1"/>
  <c r="M32" i="12" s="1"/>
  <c r="M39" i="12" s="1"/>
  <c r="B44" i="13"/>
  <c r="D45" i="13"/>
  <c r="D47" i="13" s="1"/>
  <c r="D51" i="13" s="1"/>
  <c r="C44" i="13"/>
  <c r="C71" i="13"/>
  <c r="C49" i="13"/>
  <c r="B49" i="13"/>
  <c r="E18" i="14"/>
  <c r="E29" i="14" s="1"/>
  <c r="E44" i="14" s="1"/>
  <c r="E12" i="21" s="1"/>
  <c r="AA18" i="14"/>
  <c r="AA29" i="14" s="1"/>
  <c r="AA44" i="14" s="1"/>
  <c r="AA12" i="21" s="1"/>
  <c r="N18" i="14"/>
  <c r="N29" i="14" s="1"/>
  <c r="N44" i="14" s="1"/>
  <c r="N12" i="21" s="1"/>
  <c r="F18" i="14"/>
  <c r="F29" i="14" s="1"/>
  <c r="F44" i="14" s="1"/>
  <c r="F12" i="21" s="1"/>
  <c r="Z18" i="14"/>
  <c r="Z29" i="14" s="1"/>
  <c r="Z44" i="14" s="1"/>
  <c r="Z12" i="21" s="1"/>
  <c r="L18" i="14"/>
  <c r="L29" i="14" s="1"/>
  <c r="L44" i="14" s="1"/>
  <c r="L12" i="21" s="1"/>
  <c r="I18" i="14"/>
  <c r="I29" i="14" s="1"/>
  <c r="I44" i="14" s="1"/>
  <c r="I12" i="21" s="1"/>
  <c r="AB18" i="14"/>
  <c r="AB29" i="14" s="1"/>
  <c r="AB44" i="14" s="1"/>
  <c r="AB12" i="21" s="1"/>
  <c r="O18" i="14"/>
  <c r="O29" i="14" s="1"/>
  <c r="O44" i="14" s="1"/>
  <c r="O12" i="21" s="1"/>
  <c r="D18" i="14"/>
  <c r="D29" i="14" s="1"/>
  <c r="D44" i="14" s="1"/>
  <c r="D12" i="21" s="1"/>
  <c r="AF18" i="14"/>
  <c r="S18" i="14"/>
  <c r="S29" i="14" s="1"/>
  <c r="S44" i="14" s="1"/>
  <c r="S12" i="21" s="1"/>
  <c r="Y18" i="14"/>
  <c r="Y29" i="14" s="1"/>
  <c r="Y44" i="14" s="1"/>
  <c r="Y12" i="21" s="1"/>
  <c r="AC18" i="14"/>
  <c r="AC29" i="14" s="1"/>
  <c r="AC44" i="14" s="1"/>
  <c r="AC12" i="21" s="1"/>
  <c r="H18" i="14"/>
  <c r="H29" i="14" s="1"/>
  <c r="H44" i="14" s="1"/>
  <c r="H12" i="21" s="1"/>
  <c r="W18" i="14"/>
  <c r="W29" i="14" s="1"/>
  <c r="W44" i="14" s="1"/>
  <c r="W12" i="21" s="1"/>
  <c r="AE18" i="14"/>
  <c r="R18" i="14"/>
  <c r="R29" i="14" s="1"/>
  <c r="R44" i="14" s="1"/>
  <c r="R12" i="21" s="1"/>
  <c r="AW18" i="14"/>
  <c r="V18" i="14"/>
  <c r="M18" i="14"/>
  <c r="M29" i="14" s="1"/>
  <c r="M44" i="14" s="1"/>
  <c r="M12" i="21" s="1"/>
  <c r="T18" i="14"/>
  <c r="T29" i="14" s="1"/>
  <c r="T44" i="14" s="1"/>
  <c r="T12" i="21" s="1"/>
  <c r="G18" i="14"/>
  <c r="G29" i="14" s="1"/>
  <c r="G44" i="14" s="1"/>
  <c r="G12" i="21" s="1"/>
  <c r="Q18" i="14"/>
  <c r="Q29" i="14" s="1"/>
  <c r="Q44" i="14" s="1"/>
  <c r="Q12" i="21" s="1"/>
  <c r="P18" i="14"/>
  <c r="P29" i="14" s="1"/>
  <c r="P44" i="14" s="1"/>
  <c r="P12" i="21" s="1"/>
  <c r="C18" i="14"/>
  <c r="X18" i="14"/>
  <c r="X29" i="14" s="1"/>
  <c r="X44" i="14" s="1"/>
  <c r="X12" i="21" s="1"/>
  <c r="J18" i="14"/>
  <c r="J29" i="14" s="1"/>
  <c r="J44" i="14" s="1"/>
  <c r="J12" i="21" s="1"/>
  <c r="U18" i="14"/>
  <c r="U29" i="14" s="1"/>
  <c r="U44" i="14" s="1"/>
  <c r="U12" i="21" s="1"/>
  <c r="AD18" i="14"/>
  <c r="K18" i="14"/>
  <c r="K29" i="14" s="1"/>
  <c r="K44" i="14" s="1"/>
  <c r="K12" i="21" s="1"/>
  <c r="V21" i="14"/>
  <c r="AV21" i="14" s="1"/>
  <c r="AX21" i="14" s="1"/>
  <c r="J39" i="16"/>
  <c r="J33" i="16"/>
  <c r="K32" i="16" s="1"/>
  <c r="M33" i="12" l="1"/>
  <c r="N32" i="12" s="1"/>
  <c r="N33" i="12" s="1"/>
  <c r="O32" i="12" s="1"/>
  <c r="AF96" i="2"/>
  <c r="AL96" i="2" s="1"/>
  <c r="AF89" i="2"/>
  <c r="AL89" i="2" s="1"/>
  <c r="AF82" i="2"/>
  <c r="AL82" i="2" s="1"/>
  <c r="AF75" i="2"/>
  <c r="AL75" i="2" s="1"/>
  <c r="AF68" i="2"/>
  <c r="AL68" i="2" s="1"/>
  <c r="AF61" i="2"/>
  <c r="AL61" i="2" s="1"/>
  <c r="AF121" i="2"/>
  <c r="AL121" i="2" s="1"/>
  <c r="AF114" i="2"/>
  <c r="AL114" i="2" s="1"/>
  <c r="AF107" i="2"/>
  <c r="AL107" i="2" s="1"/>
  <c r="D52" i="13"/>
  <c r="B80" i="13" s="1"/>
  <c r="AV18" i="14"/>
  <c r="C29" i="14"/>
  <c r="V29" i="14"/>
  <c r="V44" i="14" s="1"/>
  <c r="V12" i="21" s="1"/>
  <c r="B47" i="13"/>
  <c r="C47" i="13"/>
  <c r="B23" i="14"/>
  <c r="D71" i="13"/>
  <c r="C77" i="13"/>
  <c r="K39" i="16"/>
  <c r="K33" i="16"/>
  <c r="L32" i="16" s="1"/>
  <c r="N39" i="12"/>
  <c r="AD23" i="14" l="1"/>
  <c r="AD29" i="14" s="1"/>
  <c r="AD44" i="14" s="1"/>
  <c r="AD12" i="21" s="1"/>
  <c r="AG23" i="14"/>
  <c r="AF23" i="14"/>
  <c r="AF29" i="14" s="1"/>
  <c r="AF44" i="14" s="1"/>
  <c r="AF12" i="21" s="1"/>
  <c r="AE23" i="14"/>
  <c r="AE29" i="14" s="1"/>
  <c r="AE44" i="14" s="1"/>
  <c r="AE12" i="21" s="1"/>
  <c r="B78" i="13"/>
  <c r="B79" i="13"/>
  <c r="B93" i="13"/>
  <c r="B94" i="13" s="1"/>
  <c r="B95" i="13" s="1"/>
  <c r="B81" i="13"/>
  <c r="B85" i="13" s="1"/>
  <c r="B30" i="14" s="1"/>
  <c r="B51" i="13"/>
  <c r="C32" i="14"/>
  <c r="C44" i="14"/>
  <c r="C12" i="21" s="1"/>
  <c r="AW23" i="14"/>
  <c r="AJ29" i="14"/>
  <c r="AI29" i="14"/>
  <c r="AH29" i="14"/>
  <c r="B29" i="14"/>
  <c r="D77" i="13"/>
  <c r="AX18" i="14"/>
  <c r="L39" i="16"/>
  <c r="L33" i="16"/>
  <c r="M32" i="16" s="1"/>
  <c r="M33" i="16" s="1"/>
  <c r="N32" i="16" s="1"/>
  <c r="N39" i="16" s="1"/>
  <c r="O39" i="12"/>
  <c r="O33" i="12"/>
  <c r="P32" i="12" s="1"/>
  <c r="B43" i="14" l="1"/>
  <c r="B100" i="13"/>
  <c r="B31" i="14"/>
  <c r="B86" i="13"/>
  <c r="B87" i="13" s="1"/>
  <c r="C39" i="14"/>
  <c r="C8" i="21" s="1"/>
  <c r="C33" i="14"/>
  <c r="AW29" i="14"/>
  <c r="B101" i="13"/>
  <c r="AG29" i="14"/>
  <c r="AG44" i="14" s="1"/>
  <c r="AV23" i="14"/>
  <c r="AV29" i="14" s="1"/>
  <c r="M39" i="16"/>
  <c r="N33" i="16"/>
  <c r="O32" i="16" s="1"/>
  <c r="P33" i="12"/>
  <c r="Q32" i="12" s="1"/>
  <c r="P39" i="12"/>
  <c r="B44" i="14" l="1"/>
  <c r="B45" i="14" s="1"/>
  <c r="B46" i="14" s="1"/>
  <c r="AG12" i="21"/>
  <c r="B12" i="21" s="1"/>
  <c r="B13" i="21" s="1"/>
  <c r="B14" i="21" s="1"/>
  <c r="B88" i="13"/>
  <c r="B97" i="13" s="1"/>
  <c r="AX23" i="14"/>
  <c r="B34" i="14"/>
  <c r="G75" i="13"/>
  <c r="B96" i="13"/>
  <c r="C87" i="13"/>
  <c r="G74" i="13"/>
  <c r="B107" i="13"/>
  <c r="O39" i="16"/>
  <c r="O33" i="16"/>
  <c r="P32" i="16" s="1"/>
  <c r="Q39" i="12"/>
  <c r="Q33" i="12"/>
  <c r="R32" i="12" s="1"/>
  <c r="R39" i="12" s="1"/>
  <c r="B33" i="14" l="1"/>
  <c r="D32" i="14" s="1"/>
  <c r="D33" i="14" s="1"/>
  <c r="E32" i="14" s="1"/>
  <c r="E39" i="14" s="1"/>
  <c r="E8" i="21" s="1"/>
  <c r="C88" i="13"/>
  <c r="C89" i="13" s="1"/>
  <c r="B89" i="13"/>
  <c r="B98" i="13"/>
  <c r="B105" i="13" s="1"/>
  <c r="B38" i="14"/>
  <c r="AG39" i="14" s="1"/>
  <c r="AG8" i="21" s="1"/>
  <c r="B35" i="14"/>
  <c r="P39" i="16"/>
  <c r="P33" i="16"/>
  <c r="Q32" i="16" s="1"/>
  <c r="R33" i="12"/>
  <c r="S32" i="12" s="1"/>
  <c r="D39" i="14" l="1"/>
  <c r="D8" i="21" s="1"/>
  <c r="E33" i="14"/>
  <c r="F32" i="14" s="1"/>
  <c r="Q39" i="16"/>
  <c r="Q33" i="16"/>
  <c r="R32" i="16" s="1"/>
  <c r="S33" i="12"/>
  <c r="F39" i="14" l="1"/>
  <c r="F8" i="21" s="1"/>
  <c r="F33" i="14"/>
  <c r="G32" i="14" s="1"/>
  <c r="R39" i="16"/>
  <c r="R33" i="16"/>
  <c r="S32" i="16" s="1"/>
  <c r="T39" i="12"/>
  <c r="G33" i="14" l="1"/>
  <c r="H32" i="14" s="1"/>
  <c r="G39" i="14"/>
  <c r="G8" i="21" s="1"/>
  <c r="S39" i="16"/>
  <c r="S33" i="16"/>
  <c r="T32" i="16" s="1"/>
  <c r="U39" i="12"/>
  <c r="H39" i="14" l="1"/>
  <c r="H8" i="21" s="1"/>
  <c r="H33" i="14"/>
  <c r="I32" i="14" s="1"/>
  <c r="I39" i="14" s="1"/>
  <c r="I8" i="21" s="1"/>
  <c r="T39" i="16"/>
  <c r="T33" i="16"/>
  <c r="U32" i="16" s="1"/>
  <c r="V39" i="12"/>
  <c r="I33" i="14" l="1"/>
  <c r="J32" i="14" s="1"/>
  <c r="J39" i="14" s="1"/>
  <c r="J8" i="21" s="1"/>
  <c r="U39" i="16"/>
  <c r="U33" i="16"/>
  <c r="V32" i="16" s="1"/>
  <c r="W39" i="12"/>
  <c r="J33" i="14" l="1"/>
  <c r="K32" i="14" s="1"/>
  <c r="K39" i="14" s="1"/>
  <c r="K8" i="21" s="1"/>
  <c r="V39" i="16"/>
  <c r="V33" i="16"/>
  <c r="W32" i="16" s="1"/>
  <c r="X39" i="12"/>
  <c r="K33" i="14" l="1"/>
  <c r="L32" i="14" s="1"/>
  <c r="L39" i="14" s="1"/>
  <c r="L8" i="21" s="1"/>
  <c r="W39" i="16"/>
  <c r="W33" i="16"/>
  <c r="X32" i="16" s="1"/>
  <c r="Y39" i="12"/>
  <c r="Z39" i="12"/>
  <c r="L33" i="14" l="1"/>
  <c r="M32" i="14" s="1"/>
  <c r="M39" i="14" s="1"/>
  <c r="M8" i="21" s="1"/>
  <c r="X39" i="16"/>
  <c r="X33" i="16"/>
  <c r="Y32" i="16" s="1"/>
  <c r="AA39" i="12"/>
  <c r="M33" i="14" l="1"/>
  <c r="N32" i="14" s="1"/>
  <c r="N39" i="14" s="1"/>
  <c r="N8" i="21" s="1"/>
  <c r="Y39" i="16"/>
  <c r="Y33" i="16"/>
  <c r="Z32" i="16" s="1"/>
  <c r="N33" i="14" l="1"/>
  <c r="O32" i="14" s="1"/>
  <c r="O39" i="14" s="1"/>
  <c r="O8" i="21" s="1"/>
  <c r="Z39" i="16"/>
  <c r="Z33" i="16"/>
  <c r="AA32" i="16" s="1"/>
  <c r="AB39" i="12"/>
  <c r="O33" i="14" l="1"/>
  <c r="P32" i="14" s="1"/>
  <c r="P33" i="14" s="1"/>
  <c r="Q32" i="14" s="1"/>
  <c r="Q39" i="14" s="1"/>
  <c r="Q8" i="21" s="1"/>
  <c r="AA39" i="16"/>
  <c r="AA33" i="16"/>
  <c r="AB32" i="16" s="1"/>
  <c r="AC39" i="12"/>
  <c r="P39" i="14" l="1"/>
  <c r="P8" i="21" s="1"/>
  <c r="Q33" i="14"/>
  <c r="R32" i="14" s="1"/>
  <c r="AB39" i="16"/>
  <c r="AB33" i="16"/>
  <c r="AC32" i="16" s="1"/>
  <c r="AD39" i="12"/>
  <c r="R39" i="14" l="1"/>
  <c r="R8" i="21" s="1"/>
  <c r="R33" i="14"/>
  <c r="S32" i="14" s="1"/>
  <c r="AC39" i="16"/>
  <c r="AC33" i="16"/>
  <c r="AD32" i="16" s="1"/>
  <c r="AE39" i="12"/>
  <c r="S39" i="14" l="1"/>
  <c r="S8" i="21" s="1"/>
  <c r="S33" i="14"/>
  <c r="T32" i="14" s="1"/>
  <c r="AD39" i="16"/>
  <c r="AD33" i="16"/>
  <c r="AE32" i="16" s="1"/>
  <c r="AF39" i="12"/>
  <c r="B39" i="12" s="1"/>
  <c r="B32" i="12"/>
  <c r="B40" i="12" l="1"/>
  <c r="B41" i="12" s="1"/>
  <c r="B106" i="11" s="1"/>
  <c r="T33" i="14"/>
  <c r="U32" i="14" s="1"/>
  <c r="T39" i="14"/>
  <c r="T8" i="21" s="1"/>
  <c r="AE39" i="16"/>
  <c r="AE33" i="16"/>
  <c r="AF32" i="16" s="1"/>
  <c r="AO33" i="16" s="1"/>
  <c r="AN33" i="16" l="1"/>
  <c r="AM33" i="16"/>
  <c r="AL33" i="16"/>
  <c r="AK33" i="16"/>
  <c r="AJ33" i="16"/>
  <c r="U39" i="14"/>
  <c r="U8" i="21" s="1"/>
  <c r="U33" i="14"/>
  <c r="V32" i="14" s="1"/>
  <c r="V39" i="14" s="1"/>
  <c r="V8" i="21" s="1"/>
  <c r="AF39" i="16"/>
  <c r="B39" i="16" s="1"/>
  <c r="B32" i="16"/>
  <c r="AP33" i="16"/>
  <c r="AG33" i="16"/>
  <c r="AH33" i="16"/>
  <c r="AF33" i="16"/>
  <c r="AI33" i="16"/>
  <c r="B40" i="16" l="1"/>
  <c r="B41" i="16" s="1"/>
  <c r="B106" i="15" s="1"/>
  <c r="V33" i="14"/>
  <c r="W32" i="14" s="1"/>
  <c r="W33" i="14" l="1"/>
  <c r="X32" i="14" s="1"/>
  <c r="W39" i="14"/>
  <c r="W8" i="21" s="1"/>
  <c r="X39" i="14" l="1"/>
  <c r="X8" i="21" s="1"/>
  <c r="X33" i="14"/>
  <c r="Y32" i="14" s="1"/>
  <c r="Y39" i="14" l="1"/>
  <c r="Y8" i="21" s="1"/>
  <c r="Y33" i="14"/>
  <c r="Z32" i="14" s="1"/>
  <c r="Z39" i="14" l="1"/>
  <c r="Z8" i="21" s="1"/>
  <c r="Z33" i="14"/>
  <c r="AA32" i="14" s="1"/>
  <c r="AA39" i="14" l="1"/>
  <c r="AA8" i="21" s="1"/>
  <c r="AA33" i="14"/>
  <c r="AB32" i="14" s="1"/>
  <c r="AB39" i="14" l="1"/>
  <c r="AB8" i="21" s="1"/>
  <c r="AB33" i="14"/>
  <c r="AC32" i="14" s="1"/>
  <c r="AC33" i="14" l="1"/>
  <c r="AD32" i="14" s="1"/>
  <c r="AC39" i="14"/>
  <c r="AC8" i="21" s="1"/>
  <c r="AD39" i="14" l="1"/>
  <c r="AD8" i="21" s="1"/>
  <c r="AD33" i="14"/>
  <c r="AE32" i="14" s="1"/>
  <c r="AE39" i="14" l="1"/>
  <c r="AE8" i="21" s="1"/>
  <c r="AE33" i="14"/>
  <c r="AF32" i="14" s="1"/>
  <c r="AF33" i="14" s="1"/>
  <c r="AG32" i="14" s="1"/>
  <c r="AF39" i="14" l="1"/>
  <c r="AG33" i="14"/>
  <c r="B32" i="14"/>
  <c r="B39" i="14" l="1"/>
  <c r="B40" i="14" s="1"/>
  <c r="B41" i="14" s="1"/>
  <c r="B106" i="13" s="1"/>
  <c r="AF8" i="21"/>
  <c r="B8" i="21" s="1"/>
  <c r="B9" i="21" s="1"/>
  <c r="B10" i="21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tc={B14017BA-7EC3-4C4E-B265-AE8CFF88FC01}</author>
    <author>tc={099E557D-BD93-4AC4-A494-37BD30BD2FF1}</author>
    <author>tc={A96B705B-CBC1-44FC-BFFF-6036466FF905}</author>
    <author>tc={FA3531A5-09AF-4200-82F0-74DAAC1B8015}</author>
    <author>tc={24B1537D-420C-4142-9C0C-3E80A6611393}</author>
    <author>tc={2CCB00FB-91F6-4899-9AF7-DF966ECD8DDF}</author>
  </authors>
  <commentList>
    <comment ref="G8" authorId="0" shapeId="0" xr:uid="{B14017BA-7EC3-4C4E-B265-AE8CFF88FC01}">
      <text>
        <t>[Threaded comment]
Your version of Excel allows you to read this threaded comment; however, any edits to it will get removed if the file is opened in a newer version of Excel. Learn more: https://go.microsoft.com/fwlink/?linkid=870924
Comment:
    Ask porter - should we just do 2 beds cause who would rent this vs a 2bd?</t>
      </text>
    </comment>
    <comment ref="A37" authorId="1" shapeId="0" xr:uid="{099E557D-BD93-4AC4-A494-37BD30BD2FF1}">
      <text>
        <t>[Threaded comment]
Your version of Excel allows you to read this threaded comment; however, any edits to it will get removed if the file is opened in a newer version of Excel. Learn more: https://go.microsoft.com/fwlink/?linkid=870924
Comment:
    Based on market research</t>
      </text>
    </comment>
    <comment ref="B46" authorId="2" shapeId="0" xr:uid="{A96B705B-CBC1-44FC-BFFF-6036466FF905}">
      <text>
        <t>[Threaded comment]
Your version of Excel allows you to read this threaded comment; however, any edits to it will get removed if the file is opened in a newer version of Excel. Learn more: https://go.microsoft.com/fwlink/?linkid=870924
Comment:
    Unbundled to rentals at current goat hill garage (phase 1)</t>
      </text>
    </comment>
    <comment ref="B50" authorId="3" shapeId="0" xr:uid="{FA3531A5-09AF-4200-82F0-74DAAC1B8015}">
      <text>
        <t>[Threaded comment]
Your version of Excel allows you to read this threaded comment; however, any edits to it will get removed if the file is opened in a newer version of Excel. Learn more: https://go.microsoft.com/fwlink/?linkid=870924
Comment:
    Seattle sdci dept of const and insp</t>
      </text>
    </comment>
    <comment ref="C52" authorId="4" shapeId="0" xr:uid="{24B1537D-420C-4142-9C0C-3E80A6611393}">
      <text>
        <t>[Threaded comment]
Your version of Excel allows you to read this threaded comment; however, any edits to it will get removed if the file is opened in a newer version of Excel. Learn more: https://go.microsoft.com/fwlink/?linkid=870924
Comment:
    1% deal</t>
      </text>
    </comment>
    <comment ref="A83" authorId="5" shapeId="0" xr:uid="{2CCB00FB-91F6-4899-9AF7-DF966ECD8DDF}">
      <text>
        <t>[Threaded comment]
Your version of Excel allows you to read this threaded comment; however, any edits to it will get removed if the file is opened in a newer version of Excel. Learn more: https://go.microsoft.com/fwlink/?linkid=870924
Comment:
    Need to confirm transfer taxes and brokerage commissions combined are 3% or less</t>
      </text>
    </comment>
  </commentList>
</comments>
</file>

<file path=xl/sharedStrings.xml><?xml version="1.0" encoding="utf-8"?>
<sst xmlns="http://schemas.openxmlformats.org/spreadsheetml/2006/main" count="2046" uniqueCount="554">
  <si>
    <t>TEAM # 2024-14347</t>
  </si>
  <si>
    <t>Meander Development Proforma</t>
  </si>
  <si>
    <t>1| Market Research</t>
  </si>
  <si>
    <t>Construction Costs Research</t>
  </si>
  <si>
    <t>Key Takeaways (2026 Values - Start of Construction)</t>
  </si>
  <si>
    <t>City Cost Index - Comparative Mass Timber Construction</t>
  </si>
  <si>
    <t>Source:</t>
  </si>
  <si>
    <t>Source: Everett Washington Construction Unit Prices</t>
  </si>
  <si>
    <t>Multifamily</t>
  </si>
  <si>
    <t>Office</t>
  </si>
  <si>
    <t>Retail</t>
  </si>
  <si>
    <t>Source: RSMeans City Cost Index</t>
  </si>
  <si>
    <t>WA</t>
  </si>
  <si>
    <t>Market Multifamily Rent PSF</t>
  </si>
  <si>
    <t>Class A Office Rents PSF Downtown</t>
  </si>
  <si>
    <t>Class A Retail Rents PSF Downtown</t>
  </si>
  <si>
    <t>Market Studio Rent (per Unit)</t>
  </si>
  <si>
    <t>Rent Growth</t>
  </si>
  <si>
    <t>.5%-2.5%</t>
  </si>
  <si>
    <t>Average: 96.28</t>
  </si>
  <si>
    <t>Hard costs</t>
  </si>
  <si>
    <t>Washington</t>
  </si>
  <si>
    <t>California</t>
  </si>
  <si>
    <t xml:space="preserve">Wisconsin </t>
  </si>
  <si>
    <t>Market 1BR Rent (per Unit)</t>
  </si>
  <si>
    <t>Vacancy Seattle CBD</t>
  </si>
  <si>
    <t>21%-34%</t>
  </si>
  <si>
    <t>2.5%-28%</t>
  </si>
  <si>
    <t>Above Grade Parking</t>
  </si>
  <si>
    <t>Market 2BR Rent (per Unit)</t>
  </si>
  <si>
    <t>Market Absorbtion (SF)</t>
  </si>
  <si>
    <t>Demolition</t>
  </si>
  <si>
    <t>Market 3BR Rent (per Unit)</t>
  </si>
  <si>
    <t>Cap Rates</t>
  </si>
  <si>
    <t>6.25%-7%</t>
  </si>
  <si>
    <t>5.5%-7%</t>
  </si>
  <si>
    <t>Street Improvement</t>
  </si>
  <si>
    <t>6%-11%</t>
  </si>
  <si>
    <t>For Rent</t>
  </si>
  <si>
    <t>High rise, gross</t>
  </si>
  <si>
    <t>4.5%-5%</t>
  </si>
  <si>
    <t>Affordable</t>
  </si>
  <si>
    <t>Wood frame, gross</t>
  </si>
  <si>
    <t>SRO</t>
  </si>
  <si>
    <t>Before TI</t>
  </si>
  <si>
    <t>Bridge by itself</t>
  </si>
  <si>
    <t>Bridge amenities</t>
  </si>
  <si>
    <t>Skate Park</t>
  </si>
  <si>
    <t>Retail shell</t>
  </si>
  <si>
    <t>Retail finishes</t>
  </si>
  <si>
    <t>Mulitfamily Rent, Vacancy, and Cap Rates</t>
  </si>
  <si>
    <t>Source: Costar - Seattle CBD</t>
  </si>
  <si>
    <t>Source: California Department of Housing and Community Development</t>
  </si>
  <si>
    <t>Office Rent, Vacancy, and Cap Rates</t>
  </si>
  <si>
    <t>Retail Rent, Vacancy, and Cap Rates</t>
  </si>
  <si>
    <t>2| Assumptions</t>
  </si>
  <si>
    <t>Rents, Sales prices, NOI and cap rates</t>
  </si>
  <si>
    <t>Market Rate Housing Rents and Sales Prices</t>
  </si>
  <si>
    <t>Exit Assumptions</t>
  </si>
  <si>
    <t>Studio</t>
  </si>
  <si>
    <t>Rents/SF</t>
  </si>
  <si>
    <t>Rents/Month</t>
  </si>
  <si>
    <t>Cap Rate</t>
  </si>
  <si>
    <t>Average Size in SF</t>
  </si>
  <si>
    <t>Affordable Rental</t>
  </si>
  <si>
    <t>Rent or Price PSF</t>
  </si>
  <si>
    <t>Market Rate Rental</t>
  </si>
  <si>
    <t>1BR</t>
  </si>
  <si>
    <t>Rent per SF(NNN)</t>
  </si>
  <si>
    <t>Ground floor retail</t>
  </si>
  <si>
    <t>Parking</t>
  </si>
  <si>
    <t>2BR</t>
  </si>
  <si>
    <t xml:space="preserve">Seattle Average </t>
  </si>
  <si>
    <t xml:space="preserve">  Sale Costs</t>
  </si>
  <si>
    <t>NOI Calculation</t>
  </si>
  <si>
    <t>Additional Mixed use revenues after parking</t>
  </si>
  <si>
    <t>Leverage Assumptions</t>
  </si>
  <si>
    <t>3BR</t>
  </si>
  <si>
    <t>Suburban retail office</t>
  </si>
  <si>
    <t>Debt percentage</t>
  </si>
  <si>
    <t>Mixed Use Expense Estimate</t>
  </si>
  <si>
    <t>Residential mixed use</t>
  </si>
  <si>
    <t>High Rise Residential</t>
  </si>
  <si>
    <t>Project Cost Estimating parameters</t>
  </si>
  <si>
    <t>Parking Mix</t>
  </si>
  <si>
    <t>Type</t>
  </si>
  <si>
    <t>Basis</t>
  </si>
  <si>
    <r>
      <t xml:space="preserve">  Maximum Parking Ratio Requirements; </t>
    </r>
    <r>
      <rPr>
        <i/>
        <u/>
        <sz val="10"/>
        <rFont val="Arial"/>
        <family val="2"/>
      </rPr>
      <t>No minimum per 23.49.019</t>
    </r>
  </si>
  <si>
    <t>Type I Hard Costs for Construction - Assembly (1-2 Stories)</t>
  </si>
  <si>
    <t xml:space="preserve">     Residential (per unit)</t>
  </si>
  <si>
    <t>Type I Hard Cost for Subgrade Construction - Stroage (1-Stories)</t>
  </si>
  <si>
    <t xml:space="preserve">     Retail/Office (per 1,000 sf):</t>
  </si>
  <si>
    <t>Type IV Hard Costs for Construction - (3-6 Stories)</t>
  </si>
  <si>
    <t>Underground, Structure and Surface</t>
  </si>
  <si>
    <t>Type IV Hard Costs for Construction - High Rise (7-_Stories)</t>
  </si>
  <si>
    <t xml:space="preserve">    SF per space(including circulation)</t>
  </si>
  <si>
    <t>Infrastructure Costs for Landscaping</t>
  </si>
  <si>
    <t xml:space="preserve">    $/space </t>
  </si>
  <si>
    <t>Hard Costs for Renovations</t>
  </si>
  <si>
    <t xml:space="preserve">  Below Grade Structured Parking</t>
  </si>
  <si>
    <t>Parking Costs</t>
  </si>
  <si>
    <t>See Parking Mix table</t>
  </si>
  <si>
    <t xml:space="preserve">  Surface Parking</t>
  </si>
  <si>
    <t>Hard Cost Contingency</t>
  </si>
  <si>
    <t>Lifts</t>
  </si>
  <si>
    <t>Municipal Fees and Allowances (typically $37,500 per unit, assumed waived for ten years)</t>
  </si>
  <si>
    <t>Share of Infrastructure</t>
  </si>
  <si>
    <t>Estimated allocation from FPC</t>
  </si>
  <si>
    <t xml:space="preserve">    $/space</t>
  </si>
  <si>
    <t>Legal</t>
  </si>
  <si>
    <t>Estimate</t>
  </si>
  <si>
    <t>Monthly Rent / Space</t>
  </si>
  <si>
    <t>Land Closing Costs/commissions</t>
  </si>
  <si>
    <t xml:space="preserve">    Unbundled rent/space</t>
  </si>
  <si>
    <t xml:space="preserve">Design </t>
  </si>
  <si>
    <t xml:space="preserve">     Public garage</t>
  </si>
  <si>
    <t xml:space="preserve"> </t>
  </si>
  <si>
    <t>Developer Fee</t>
  </si>
  <si>
    <t xml:space="preserve">  Affordable </t>
  </si>
  <si>
    <t>Construction Management Fee</t>
  </si>
  <si>
    <t xml:space="preserve">  Suburban Surface</t>
  </si>
  <si>
    <t>Taxes during construction</t>
  </si>
  <si>
    <t>Estimated waived for ten years</t>
  </si>
  <si>
    <t>Insurance</t>
  </si>
  <si>
    <t>Marketing, FFE and Preleasing</t>
  </si>
  <si>
    <t>Operating Deficit</t>
  </si>
  <si>
    <t>Commercial Tenant Improvements</t>
  </si>
  <si>
    <t>Retail and office brokerage</t>
  </si>
  <si>
    <t>Construction Loan Origination</t>
  </si>
  <si>
    <t>Selling Costs</t>
  </si>
  <si>
    <t>Construction Interest</t>
  </si>
  <si>
    <t>Affordable Rents--by income and census tract</t>
  </si>
  <si>
    <t>Census Tract</t>
  </si>
  <si>
    <t>Tract 85</t>
  </si>
  <si>
    <t>Tract 81.02</t>
  </si>
  <si>
    <t>Tract 92</t>
  </si>
  <si>
    <t>Average</t>
  </si>
  <si>
    <t>2022 Median Income</t>
  </si>
  <si>
    <t>Low Income: 60% of median</t>
  </si>
  <si>
    <t>30% spent on Housing</t>
  </si>
  <si>
    <t xml:space="preserve">  less Utility Allowance</t>
  </si>
  <si>
    <t>Remainder for Rent</t>
  </si>
  <si>
    <t>Monthly</t>
  </si>
  <si>
    <t>Low Income: 80% of median</t>
  </si>
  <si>
    <t>Moderate Income: 110% of median</t>
  </si>
  <si>
    <t>35% spent on Housing</t>
  </si>
  <si>
    <t>Remainder for Mortgage</t>
  </si>
  <si>
    <t>DEVELOPMENT PLAN</t>
  </si>
  <si>
    <t>Component A</t>
  </si>
  <si>
    <t>Quick Rent Adjuster</t>
  </si>
  <si>
    <t>For Rent Residential</t>
  </si>
  <si>
    <t># of Units</t>
  </si>
  <si>
    <t>Net Rentable Square Feet (NRSF)</t>
  </si>
  <si>
    <t>$/SF/Mo.</t>
  </si>
  <si>
    <t>Total Annual</t>
  </si>
  <si>
    <t>Per Unit</t>
  </si>
  <si>
    <t>Per Roommate</t>
  </si>
  <si>
    <t>Building Dimensions</t>
  </si>
  <si>
    <t>Studios</t>
  </si>
  <si>
    <t>sqft</t>
  </si>
  <si>
    <t>1 bedroom/1 bath</t>
  </si>
  <si>
    <t>floors</t>
  </si>
  <si>
    <t>2 bedroom/2 bath</t>
  </si>
  <si>
    <t>sqft per floor</t>
  </si>
  <si>
    <t>3 bedroom/3 bath</t>
  </si>
  <si>
    <t>apartment floors yield (excluding passageways)</t>
  </si>
  <si>
    <t>retail floors yield (excluding passageways)</t>
  </si>
  <si>
    <t>Totals:</t>
  </si>
  <si>
    <t>Averages:</t>
  </si>
  <si>
    <t>COMMERCIAL SPACE</t>
  </si>
  <si>
    <t>Square Feet</t>
  </si>
  <si>
    <t>NNN Rent</t>
  </si>
  <si>
    <t>Total Commercial</t>
  </si>
  <si>
    <t>PARKING</t>
  </si>
  <si>
    <t>Residential</t>
  </si>
  <si>
    <t>Commercial</t>
  </si>
  <si>
    <t>Total Parking</t>
  </si>
  <si>
    <t>Fit to Parcel (Layout Calculator)</t>
  </si>
  <si>
    <t>Total Land area</t>
  </si>
  <si>
    <t>Total Leasable SF (residential +commercial)</t>
  </si>
  <si>
    <t>NET OPERATING INCOME</t>
  </si>
  <si>
    <t>INCOME</t>
  </si>
  <si>
    <t>$/SF Res</t>
  </si>
  <si>
    <t>Un-Trended</t>
  </si>
  <si>
    <t>Gross Residential Rental Income</t>
  </si>
  <si>
    <t>Commercial RENT</t>
  </si>
  <si>
    <t>Gross Income</t>
  </si>
  <si>
    <t>Other Income</t>
  </si>
  <si>
    <t>$/unit</t>
  </si>
  <si>
    <t>$/SF</t>
  </si>
  <si>
    <t>Parking Income-residential only</t>
  </si>
  <si>
    <t>Additional Income</t>
  </si>
  <si>
    <t>Total Other Income</t>
  </si>
  <si>
    <t>Effective Gross Income</t>
  </si>
  <si>
    <t>EXPENSES</t>
  </si>
  <si>
    <t>Per SF</t>
  </si>
  <si>
    <t>Total Operating Expenses</t>
  </si>
  <si>
    <t>Net Operating Income</t>
  </si>
  <si>
    <t>TOTAL PROJECT VALUE</t>
  </si>
  <si>
    <t>Market Cap Rate=</t>
  </si>
  <si>
    <t>PROJECT COSTS</t>
  </si>
  <si>
    <t>"no fee turnaround"</t>
  </si>
  <si>
    <t>BASIS</t>
  </si>
  <si>
    <t xml:space="preserve">   Budget     </t>
  </si>
  <si>
    <t>Renovations</t>
  </si>
  <si>
    <t>Parking stalls</t>
  </si>
  <si>
    <t>LAND</t>
  </si>
  <si>
    <t>Land cost</t>
  </si>
  <si>
    <t>Municipal Fees and Allowances</t>
  </si>
  <si>
    <t>Infrastructure allocation</t>
  </si>
  <si>
    <t>Parcel allocation</t>
  </si>
  <si>
    <t>Taxes</t>
  </si>
  <si>
    <t>Retail Tenant Improvements</t>
  </si>
  <si>
    <t>Retail brokerage</t>
  </si>
  <si>
    <t>Apply % to estimated Debt to avoid circular reference</t>
  </si>
  <si>
    <t>Additional Contingency</t>
  </si>
  <si>
    <t>Total Project Cost</t>
  </si>
  <si>
    <t>Yield on cost</t>
  </si>
  <si>
    <t>Return on cost</t>
  </si>
  <si>
    <t>Negative indicates shortfall</t>
  </si>
  <si>
    <t>FINANCING</t>
  </si>
  <si>
    <t>Total</t>
  </si>
  <si>
    <t>Gap Funding reduction</t>
  </si>
  <si>
    <t>Private financing Amount</t>
  </si>
  <si>
    <t>Total Sources</t>
  </si>
  <si>
    <t>SALES ANALYSIS</t>
  </si>
  <si>
    <t>Untrended</t>
  </si>
  <si>
    <t>Gross Sales Proceeds</t>
  </si>
  <si>
    <t>Net Sales Proceeds</t>
  </si>
  <si>
    <t>LESS: Construction Debt</t>
  </si>
  <si>
    <t>LESS: Investor Equity</t>
  </si>
  <si>
    <t>Net Profit</t>
  </si>
  <si>
    <t>Sales Price per Unit</t>
  </si>
  <si>
    <t>Gross Price</t>
  </si>
  <si>
    <t>Net Price</t>
  </si>
  <si>
    <t>YIELD INDICATORS</t>
  </si>
  <si>
    <t>Equity multiple</t>
  </si>
  <si>
    <t>Leveraged Project IRR</t>
  </si>
  <si>
    <t>UnLeveraged Project IRR</t>
  </si>
  <si>
    <t>Debt Yield</t>
  </si>
  <si>
    <t>Exit Cap Rate</t>
  </si>
  <si>
    <t>3|Building Mix</t>
  </si>
  <si>
    <t>Building</t>
  </si>
  <si>
    <t>Floor Area (SF)</t>
  </si>
  <si>
    <t>Floors</t>
  </si>
  <si>
    <t>Total Area (SF)</t>
  </si>
  <si>
    <t>Use Area (SF)</t>
  </si>
  <si>
    <t>Landscaped Area Per Parcel (SF)</t>
  </si>
  <si>
    <t>A1</t>
  </si>
  <si>
    <t>Retail Floors</t>
  </si>
  <si>
    <t>Residential Floors</t>
  </si>
  <si>
    <t>B1</t>
  </si>
  <si>
    <t>B2</t>
  </si>
  <si>
    <t>B3</t>
  </si>
  <si>
    <t>C1</t>
  </si>
  <si>
    <t>C2</t>
  </si>
  <si>
    <t>C3</t>
  </si>
  <si>
    <t>D1</t>
  </si>
  <si>
    <t>D2</t>
  </si>
  <si>
    <t>D3</t>
  </si>
  <si>
    <t>D4</t>
  </si>
  <si>
    <t>D5</t>
  </si>
  <si>
    <t>E1</t>
  </si>
  <si>
    <t>E2</t>
  </si>
  <si>
    <t>G1</t>
  </si>
  <si>
    <t>H1</t>
  </si>
  <si>
    <t>L1</t>
  </si>
  <si>
    <t>4| Development Program</t>
  </si>
  <si>
    <t>Housing</t>
  </si>
  <si>
    <t>Market Rate Assumptions</t>
  </si>
  <si>
    <t>Affordable Rate Assumptions</t>
  </si>
  <si>
    <t>Luxury Rate Assumptions</t>
  </si>
  <si>
    <t>Unit Mix per Residential Building</t>
  </si>
  <si>
    <t>Annual Unit Revenue</t>
  </si>
  <si>
    <t>Monthly Affordability Requirements</t>
  </si>
  <si>
    <t>Rent per SF (Annual)</t>
  </si>
  <si>
    <t>Construction</t>
  </si>
  <si>
    <t>Ground Floor Retail</t>
  </si>
  <si>
    <t>Type IV Hard Costs for Construction - High Rise (7-25 Stories)</t>
  </si>
  <si>
    <t>Traditional Retail</t>
  </si>
  <si>
    <t>Phase 1</t>
  </si>
  <si>
    <t>Residential Area</t>
  </si>
  <si>
    <t>Units</t>
  </si>
  <si>
    <t>Market Rate Units</t>
  </si>
  <si>
    <t>Affordable Rate Units</t>
  </si>
  <si>
    <t>Luxury Units</t>
  </si>
  <si>
    <t>Unit Type Revenue</t>
  </si>
  <si>
    <t>Total Housing Revenues</t>
  </si>
  <si>
    <t>Retail Area</t>
  </si>
  <si>
    <t>Rent per SF</t>
  </si>
  <si>
    <t>Total Retail Revenues</t>
  </si>
  <si>
    <t>Total Revenue</t>
  </si>
  <si>
    <t>Parking Stalls</t>
  </si>
  <si>
    <t>Hard Cost Contingencies</t>
  </si>
  <si>
    <t>Allocated Demolition (Proportional)</t>
  </si>
  <si>
    <t>Allocated Land (Proportional)</t>
  </si>
  <si>
    <t>Land Closing Costs</t>
  </si>
  <si>
    <t>Design</t>
  </si>
  <si>
    <t>Developer Fees</t>
  </si>
  <si>
    <t>Construction Management Fees</t>
  </si>
  <si>
    <t>Retail Brokerage</t>
  </si>
  <si>
    <t>Total Costs</t>
  </si>
  <si>
    <t>Comm. Stall Count:</t>
  </si>
  <si>
    <t>Res. Stall Count:</t>
  </si>
  <si>
    <t>Phase 2</t>
  </si>
  <si>
    <t>Phase 3</t>
  </si>
  <si>
    <t>Construction/Renovations</t>
  </si>
  <si>
    <t>4a| Phasing Timeline</t>
  </si>
  <si>
    <t>Schedule</t>
  </si>
  <si>
    <t>Development Component</t>
  </si>
  <si>
    <t>Pre-Development</t>
  </si>
  <si>
    <t>Closeout</t>
  </si>
  <si>
    <t>01/1/25 to 6/30/26</t>
  </si>
  <si>
    <t>7/1/26 to 9/30/26</t>
  </si>
  <si>
    <t>10/1/26 to 9/30/28</t>
  </si>
  <si>
    <t>10/1/28 to 3/31/29</t>
  </si>
  <si>
    <t>1/1/28 to 12/31/28</t>
  </si>
  <si>
    <t>1/1/29 to 3/31/29</t>
  </si>
  <si>
    <t>4/1/29 to 3/31/32</t>
  </si>
  <si>
    <t>4/1/32 to 9/30/32</t>
  </si>
  <si>
    <t>7/1/31 to 6/30/32</t>
  </si>
  <si>
    <t>7/1/32 to 9/30/32</t>
  </si>
  <si>
    <t>10/1/32 to 6/30/34</t>
  </si>
  <si>
    <t>7/1/34 to 12/31/34</t>
  </si>
  <si>
    <t>4b| Development Summary Statistics</t>
  </si>
  <si>
    <t xml:space="preserve">Residential  Area (SF) </t>
  </si>
  <si>
    <t>Retail Area (SF)</t>
  </si>
  <si>
    <t>Public Area (SF)</t>
  </si>
  <si>
    <t>% Market Rate</t>
  </si>
  <si>
    <t>Affordable Units</t>
  </si>
  <si>
    <t>% Affordable</t>
  </si>
  <si>
    <t>% Luxury</t>
  </si>
  <si>
    <t>Total Units</t>
  </si>
  <si>
    <t>FAR</t>
  </si>
  <si>
    <t>5| Demolitions &amp; Land</t>
  </si>
  <si>
    <t>Demolition Estimates</t>
  </si>
  <si>
    <t>Up to 3 stories</t>
  </si>
  <si>
    <t>3 to 9 stories</t>
  </si>
  <si>
    <t>9 and up</t>
  </si>
  <si>
    <t>Discount Applied for Wholesale County Owned Parcels</t>
  </si>
  <si>
    <t>Land Costs (King Co Estimates)</t>
  </si>
  <si>
    <t>County owned parcel?</t>
  </si>
  <si>
    <t>Purchase Costs with County Discounts applied</t>
  </si>
  <si>
    <t>Description</t>
  </si>
  <si>
    <t>Lot Area in SF</t>
  </si>
  <si>
    <t>Parcel A</t>
  </si>
  <si>
    <t>Yes</t>
  </si>
  <si>
    <t>King Co Courthouse</t>
  </si>
  <si>
    <t>Parcel B</t>
  </si>
  <si>
    <t>King Co Admin</t>
  </si>
  <si>
    <t>Parcel C</t>
  </si>
  <si>
    <t>King Co Jail</t>
  </si>
  <si>
    <t>Parcel D</t>
  </si>
  <si>
    <t>Goat Hill Garage + unnamed park</t>
  </si>
  <si>
    <t>Parcel E</t>
  </si>
  <si>
    <t>King Co Chinook Building</t>
  </si>
  <si>
    <t>Parcel F</t>
  </si>
  <si>
    <t>Lacey O'Malley Bail Bond Agency</t>
  </si>
  <si>
    <t>Parcel G</t>
  </si>
  <si>
    <t>Salvation Army Day Center</t>
  </si>
  <si>
    <t>Parcel H</t>
  </si>
  <si>
    <t>No</t>
  </si>
  <si>
    <t>Yesler Building</t>
  </si>
  <si>
    <t>Parcel I</t>
  </si>
  <si>
    <t>Surface lot</t>
  </si>
  <si>
    <t>Parcel J</t>
  </si>
  <si>
    <t>Corrections Department-Work Release</t>
  </si>
  <si>
    <t>Parcel K</t>
  </si>
  <si>
    <t>Small Parking Garage</t>
  </si>
  <si>
    <t>Parcel L</t>
  </si>
  <si>
    <t>Federal (Passport) Building</t>
  </si>
  <si>
    <t>Parcel M</t>
  </si>
  <si>
    <t>5b| Land Lease Calculations</t>
  </si>
  <si>
    <t>GROUND LEASE 99 YRS</t>
  </si>
  <si>
    <t>Anticipated Annual Payments</t>
  </si>
  <si>
    <t>Year 1</t>
  </si>
  <si>
    <t>Year 2</t>
  </si>
  <si>
    <t>Year 3</t>
  </si>
  <si>
    <t>Year 4</t>
  </si>
  <si>
    <t>Year 5</t>
  </si>
  <si>
    <t>Year 6</t>
  </si>
  <si>
    <t>Year 7</t>
  </si>
  <si>
    <t>Year 8</t>
  </si>
  <si>
    <t>Year 9</t>
  </si>
  <si>
    <t>Year 10</t>
  </si>
  <si>
    <t>Year 11</t>
  </si>
  <si>
    <t>Year 12</t>
  </si>
  <si>
    <t>Year 13</t>
  </si>
  <si>
    <t>Year 14</t>
  </si>
  <si>
    <t>Year 15</t>
  </si>
  <si>
    <t>Year 16</t>
  </si>
  <si>
    <t>Year 17</t>
  </si>
  <si>
    <t>Year 18</t>
  </si>
  <si>
    <t>Year 19</t>
  </si>
  <si>
    <t>Year 20</t>
  </si>
  <si>
    <t>Year 21</t>
  </si>
  <si>
    <t>Year 22</t>
  </si>
  <si>
    <t>Year 23</t>
  </si>
  <si>
    <t>Year 24</t>
  </si>
  <si>
    <t>Year 25</t>
  </si>
  <si>
    <t>Year 26</t>
  </si>
  <si>
    <t>Year 27</t>
  </si>
  <si>
    <t>Year 28</t>
  </si>
  <si>
    <t>Year 29</t>
  </si>
  <si>
    <t>Year 30</t>
  </si>
  <si>
    <t>Year 31</t>
  </si>
  <si>
    <t>Year 32</t>
  </si>
  <si>
    <t>Year 33</t>
  </si>
  <si>
    <t>Year 34</t>
  </si>
  <si>
    <t>Year 35</t>
  </si>
  <si>
    <t>Year 36</t>
  </si>
  <si>
    <t>Year 37</t>
  </si>
  <si>
    <t>Year 38</t>
  </si>
  <si>
    <t>Year 39</t>
  </si>
  <si>
    <t>Year 40</t>
  </si>
  <si>
    <t>Year 41</t>
  </si>
  <si>
    <t>Year 42</t>
  </si>
  <si>
    <t>Year 43</t>
  </si>
  <si>
    <t>Year 44</t>
  </si>
  <si>
    <t>Year 45</t>
  </si>
  <si>
    <t>Year 46</t>
  </si>
  <si>
    <t>Year 47</t>
  </si>
  <si>
    <t>Year 48</t>
  </si>
  <si>
    <t>Year 49</t>
  </si>
  <si>
    <t>Year 50</t>
  </si>
  <si>
    <t>Year 51</t>
  </si>
  <si>
    <t>Year 52</t>
  </si>
  <si>
    <t>Year 53</t>
  </si>
  <si>
    <t>Year 54</t>
  </si>
  <si>
    <t>Year 55</t>
  </si>
  <si>
    <t>Year 56</t>
  </si>
  <si>
    <t>Year 57</t>
  </si>
  <si>
    <t>Year 58</t>
  </si>
  <si>
    <t>Year 59</t>
  </si>
  <si>
    <t>Year 60</t>
  </si>
  <si>
    <t>Year 61</t>
  </si>
  <si>
    <t>Year 62</t>
  </si>
  <si>
    <t>Year 63</t>
  </si>
  <si>
    <t>Year 64</t>
  </si>
  <si>
    <t>Year 65</t>
  </si>
  <si>
    <t>Year 66</t>
  </si>
  <si>
    <t>Year 67</t>
  </si>
  <si>
    <t>Year 68</t>
  </si>
  <si>
    <t>Year 69</t>
  </si>
  <si>
    <t>Year 70</t>
  </si>
  <si>
    <t>Year 71</t>
  </si>
  <si>
    <t>Year 72</t>
  </si>
  <si>
    <t>Year 73</t>
  </si>
  <si>
    <t>Year 74</t>
  </si>
  <si>
    <t>Year 75</t>
  </si>
  <si>
    <t>Year 76</t>
  </si>
  <si>
    <t>Year 77</t>
  </si>
  <si>
    <t>Year 78</t>
  </si>
  <si>
    <t>Year 79</t>
  </si>
  <si>
    <t>Year 80</t>
  </si>
  <si>
    <t>Year 81</t>
  </si>
  <si>
    <t>Year 82</t>
  </si>
  <si>
    <t>Year 83</t>
  </si>
  <si>
    <t>Year 84</t>
  </si>
  <si>
    <t>Year 85</t>
  </si>
  <si>
    <t>Year 86</t>
  </si>
  <si>
    <t>Year 87</t>
  </si>
  <si>
    <t>Year 88</t>
  </si>
  <si>
    <t>Year 89</t>
  </si>
  <si>
    <t>Year 90</t>
  </si>
  <si>
    <t>Year 91</t>
  </si>
  <si>
    <t>Year 92</t>
  </si>
  <si>
    <t>Year 93</t>
  </si>
  <si>
    <t>Year 94</t>
  </si>
  <si>
    <t>Year 95</t>
  </si>
  <si>
    <t>Year 96</t>
  </si>
  <si>
    <t>Year 97</t>
  </si>
  <si>
    <t>Year 98</t>
  </si>
  <si>
    <t>Year 99</t>
  </si>
  <si>
    <t>Land Value at 4% discount</t>
  </si>
  <si>
    <t>Phase 1 Land &amp; Property Costs Purchase</t>
  </si>
  <si>
    <t>Check</t>
  </si>
  <si>
    <t>Phase 2 Land &amp; Property Costs Purchase</t>
  </si>
  <si>
    <t>Phase 3 Land &amp; Property Costs Purchase</t>
  </si>
  <si>
    <t>6a| Phase 1 Financial</t>
  </si>
  <si>
    <t>DEVELOPMENT PLAN - PHASE 1</t>
  </si>
  <si>
    <t>NRSF</t>
  </si>
  <si>
    <t>Market Rate Studios</t>
  </si>
  <si>
    <t>Market Rate 1 bedroom/1 bath</t>
  </si>
  <si>
    <t>Market Rate 2 bedroom/2 bath</t>
  </si>
  <si>
    <t>Market Rate 3 bedroom/3 bath</t>
  </si>
  <si>
    <t>Affordable Studios</t>
  </si>
  <si>
    <t>Affordable 1 bedroom/1 bath</t>
  </si>
  <si>
    <t>Affordable 2 bedroom/2 bath</t>
  </si>
  <si>
    <t>Affordable 3 bedroom/3 bath</t>
  </si>
  <si>
    <t>Luxury Studios</t>
  </si>
  <si>
    <t>Luxury 1 bedroom/1 bath</t>
  </si>
  <si>
    <t>Luxury 2 bedroom/2 bath</t>
  </si>
  <si>
    <t>Luxury 3 bedroom/3 bath</t>
  </si>
  <si>
    <t>Land Lease</t>
  </si>
  <si>
    <t>Market Cap Rate Residential=</t>
  </si>
  <si>
    <t>Market Cap Rate Commercial=</t>
  </si>
  <si>
    <t>PROJECT COST</t>
  </si>
  <si>
    <t>Hard Costs for Construction</t>
  </si>
  <si>
    <t>Varies per type (see Assumptions)</t>
  </si>
  <si>
    <t>N/A - Land Lease in OpEx</t>
  </si>
  <si>
    <t>Apply percentage to estimated Debt to avoid circular reference</t>
  </si>
  <si>
    <t>SALES ANALYSIS Phase 1</t>
  </si>
  <si>
    <t>6b| Phase 1 Draw</t>
  </si>
  <si>
    <t>Schedule----&gt;</t>
  </si>
  <si>
    <t>Close-out</t>
  </si>
  <si>
    <t>Duration----&gt;</t>
  </si>
  <si>
    <t>Pre-Development Ends</t>
  </si>
  <si>
    <t>Perform Demolition</t>
  </si>
  <si>
    <t>Begin Construction</t>
  </si>
  <si>
    <t>End Construction</t>
  </si>
  <si>
    <t>Begin Close-out</t>
  </si>
  <si>
    <t>End Close-out</t>
  </si>
  <si>
    <t>&lt;---- columns to unhide for longer development period</t>
  </si>
  <si>
    <t>TOTAL</t>
  </si>
  <si>
    <t>TOTAL EXPENDED</t>
  </si>
  <si>
    <t>TOTAL COST</t>
  </si>
  <si>
    <t>Hard Cost Draw Percentage</t>
  </si>
  <si>
    <t>difference</t>
  </si>
  <si>
    <t>Gap Funding</t>
  </si>
  <si>
    <t>Net Total Private Financing</t>
  </si>
  <si>
    <t>Equity DRAW</t>
  </si>
  <si>
    <t>TOTAL Equity</t>
  </si>
  <si>
    <t>Permanent loan debt (based on private capital net of gap funding)</t>
  </si>
  <si>
    <t>Total annual debt service @4.5%</t>
  </si>
  <si>
    <t>Operating cash flow during closeout</t>
  </si>
  <si>
    <t>Leveraged</t>
  </si>
  <si>
    <t>Net Proceeds from Sale after debt repayment</t>
  </si>
  <si>
    <t>Leveraged Quarterly cash flow</t>
  </si>
  <si>
    <t>Leveraged Quarterly IRR</t>
  </si>
  <si>
    <t>Leveraged Annual IRR</t>
  </si>
  <si>
    <t>Unleveraged</t>
  </si>
  <si>
    <t>Total Net proceeds from Sale+GAP FUNDING</t>
  </si>
  <si>
    <t>UNLeveraged QUARTERLY TOTAL Cash flow</t>
  </si>
  <si>
    <t>UNLeveraged QUARTERLY IRR</t>
  </si>
  <si>
    <t>UNLeveraged Annual IRR</t>
  </si>
  <si>
    <t>7a| Phase 2 Financial</t>
  </si>
  <si>
    <t>DEVELOPMENT PLAN - PHASE 2</t>
  </si>
  <si>
    <t>SALES ANALYSIS Phase 2</t>
  </si>
  <si>
    <t>7b| Phase 2 Draw</t>
  </si>
  <si>
    <t>Begin Pre-Development</t>
  </si>
  <si>
    <t>End Pre-Development</t>
  </si>
  <si>
    <t>Begin Closeout</t>
  </si>
  <si>
    <t>End Closeout</t>
  </si>
  <si>
    <t>8a| Phase 3 Financial</t>
  </si>
  <si>
    <t>DEVELOPMENT PLAN - PHASE 3</t>
  </si>
  <si>
    <t>SALES ANALYSIS Phase 3</t>
  </si>
  <si>
    <t>8b| Phase 3 Draw</t>
  </si>
  <si>
    <t>9| All Phases Draw</t>
  </si>
  <si>
    <t>ALL Draw-all phases</t>
  </si>
  <si>
    <t>Quarter----&gt;</t>
  </si>
  <si>
    <t>UNLeveraged Quarterly TOTAL Cash flow</t>
  </si>
  <si>
    <t>UNLeveraged Quarterly IRR</t>
  </si>
  <si>
    <t>City Hall Park (redevelope only)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</si>
</sst>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0">
    <numFmt numFmtId="5" formatCode="&quot;$&quot;#,##0_);\(&quot;$&quot;#,##0\)"/>
    <numFmt numFmtId="6" formatCode="&quot;$&quot;#,##0_);[Red]\(&quot;$&quot;#,##0\)"/>
    <numFmt numFmtId="7" formatCode="&quot;$&quot;#,##0.00_);\(&quot;$&quot;#,##0.00\)"/>
    <numFmt numFmtId="8" formatCode="&quot;$&quot;#,##0.00_);[Red]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&quot;Studio---&quot;#%"/>
    <numFmt numFmtId="165" formatCode="0.0%"/>
    <numFmt numFmtId="166" formatCode="&quot;$&quot;###\ &quot;per SF net lease or sale&quot;"/>
    <numFmt numFmtId="167" formatCode="_(&quot;$&quot;* #,##0_);_(&quot;$&quot;* \(#,##0\);_(&quot;$&quot;* &quot;-&quot;??_);_(@_)"/>
    <numFmt numFmtId="168" formatCode="###.#&quot;x&quot;"/>
    <numFmt numFmtId="169" formatCode="&quot;$&quot;#,##0"/>
    <numFmt numFmtId="170" formatCode="_(* #,##0_);_(* \(#,##0\);_(* &quot;-&quot;??_);_(@_)"/>
    <numFmt numFmtId="171" formatCode="&quot;$&quot;#,##0.00"/>
    <numFmt numFmtId="172" formatCode="##.0%\ &quot;of gross revenue&quot;"/>
    <numFmt numFmtId="173" formatCode="&quot;$&quot;###\ &quot;per SF net leasable&quot;"/>
    <numFmt numFmtId="174" formatCode="##%\ &quot;of GMP costs&quot;"/>
    <numFmt numFmtId="175" formatCode="&quot;$&quot;##,###\ &quot;per unit&quot;"/>
    <numFmt numFmtId="176" formatCode="0.0000"/>
    <numFmt numFmtId="177" formatCode="##%\ &quot;of total hard costs&quot;"/>
    <numFmt numFmtId="178" formatCode="##%\ &quot;of Project Budget&quot;"/>
    <numFmt numFmtId="179" formatCode="#\ &quot;Months of OPEX&quot;"/>
    <numFmt numFmtId="180" formatCode="&quot;$&quot;###\ &quot;per SF of retail&quot;"/>
    <numFmt numFmtId="181" formatCode="#%\ &quot;on a five year term&quot;"/>
    <numFmt numFmtId="182" formatCode="##.00%\ &quot;of loan amount&quot;"/>
    <numFmt numFmtId="183" formatCode="#.##%\ "/>
    <numFmt numFmtId="184" formatCode="##%\ &quot;of loan amount&quot;"/>
    <numFmt numFmtId="185" formatCode="&quot;Density=&quot;#\ &quot;Units/Acre&quot;"/>
    <numFmt numFmtId="186" formatCode="&quot;$&quot;#,##0;[Red]\-&quot;$&quot;#,##0"/>
    <numFmt numFmtId="187" formatCode="###\ &quot;Units&quot;"/>
    <numFmt numFmtId="188" formatCode="##,###&quot; SF&quot;"/>
    <numFmt numFmtId="189" formatCode="###&quot; SF&quot;"/>
    <numFmt numFmtId="190" formatCode="&quot;Parking area at&quot;\ ###\ &quot;sf per stall&quot;"/>
    <numFmt numFmtId="191" formatCode="&quot;Building area at&quot;\ ##%\ &quot;circulation&quot;"/>
    <numFmt numFmtId="192" formatCode="&quot;Building footprint at&quot;\ ##\ &quot;stories&quot;"/>
    <numFmt numFmtId="193" formatCode="#,###\ &quot;SF Retail Income&quot;"/>
    <numFmt numFmtId="194" formatCode="&quot;LESS:&quot;\ #%\ &quot;Vacancy&quot;"/>
    <numFmt numFmtId="195" formatCode="&quot;$&quot;##,###\ &quot;per stall&quot;"/>
    <numFmt numFmtId="196" formatCode="&quot;Fee/unit=&quot;&quot;$&quot;##,###"/>
    <numFmt numFmtId="197" formatCode="#.#%\ &quot;of soft costs&quot;"/>
    <numFmt numFmtId="198" formatCode="&quot;Feasible Project Costs at&quot;\ ##%\ &quot;ROC&quot;"/>
    <numFmt numFmtId="199" formatCode="&quot;Gap at&quot;\ ##%"/>
    <numFmt numFmtId="200" formatCode="&quot;Residual land value at&quot;\ ##%\ &quot;ROC&quot;"/>
    <numFmt numFmtId="201" formatCode="##%\ \ \ &quot;Debt&quot;"/>
    <numFmt numFmtId="202" formatCode="##%\ \ \ &quot;Equity&quot;"/>
    <numFmt numFmtId="203" formatCode="&quot;LESS:&quot;\ #%\ \ &quot;Selling Costs&quot;"/>
    <numFmt numFmtId="204" formatCode="0.0"/>
    <numFmt numFmtId="205" formatCode="[$-409]mmm\-yy;@"/>
    <numFmt numFmtId="206" formatCode="&quot;$&quot;###\ &quot;per SF&quot;"/>
    <numFmt numFmtId="207" formatCode="m/d/yy;@"/>
  </numFmts>
  <fonts count="50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0"/>
      <name val="Arial"/>
      <family val="2"/>
    </font>
    <font>
      <b/>
      <sz val="11"/>
      <color theme="0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b/>
      <sz val="10"/>
      <color rgb="FF00B0F0"/>
      <name val="Arial"/>
      <family val="2"/>
    </font>
    <font>
      <b/>
      <sz val="10"/>
      <name val="Arial"/>
      <family val="2"/>
    </font>
    <font>
      <sz val="12"/>
      <color theme="1"/>
      <name val="Aptos Narrow"/>
      <family val="2"/>
      <scheme val="minor"/>
    </font>
    <font>
      <sz val="12"/>
      <color rgb="FF00B0F0"/>
      <name val="Aptos Narrow"/>
      <family val="2"/>
      <scheme val="minor"/>
    </font>
    <font>
      <b/>
      <sz val="12"/>
      <color rgb="FFFF0000"/>
      <name val="Aptos Narrow"/>
      <family val="2"/>
      <scheme val="minor"/>
    </font>
    <font>
      <b/>
      <sz val="12"/>
      <color theme="0"/>
      <name val="Aptos Narrow"/>
      <family val="2"/>
      <scheme val="minor"/>
    </font>
    <font>
      <u/>
      <sz val="12"/>
      <color theme="10"/>
      <name val="Aptos Narrow"/>
      <family val="2"/>
      <scheme val="minor"/>
    </font>
    <font>
      <b/>
      <u/>
      <sz val="12"/>
      <color theme="0"/>
      <name val="Aptos Narrow"/>
      <family val="2"/>
      <scheme val="minor"/>
    </font>
    <font>
      <b/>
      <sz val="12"/>
      <color rgb="FF4C4C4C"/>
      <name val="Aptos Narrow"/>
      <family val="2"/>
      <scheme val="minor"/>
    </font>
    <font>
      <sz val="11"/>
      <color rgb="FF444444"/>
      <name val="Calibri"/>
      <family val="2"/>
    </font>
    <font>
      <sz val="12"/>
      <color rgb="FF4C4C4C"/>
      <name val="Aptos Narrow"/>
      <family val="2"/>
      <scheme val="minor"/>
    </font>
    <font>
      <sz val="12"/>
      <color theme="1"/>
      <name val="PT Sans Narrow"/>
      <family val="2"/>
    </font>
    <font>
      <sz val="11"/>
      <color rgb="FF000000"/>
      <name val="Calibri"/>
      <family val="2"/>
    </font>
    <font>
      <sz val="12"/>
      <color theme="1"/>
      <name val="PT Sans Narrow"/>
      <family val="2"/>
      <charset val="204"/>
    </font>
    <font>
      <sz val="12"/>
      <color rgb="FF4C4C4C"/>
      <name val="PT Sans Narrow"/>
      <family val="2"/>
      <charset val="204"/>
    </font>
    <font>
      <b/>
      <sz val="12"/>
      <color rgb="FFC61225"/>
      <name val="PT Sans Narrow"/>
      <family val="2"/>
      <charset val="204"/>
    </font>
    <font>
      <b/>
      <sz val="12"/>
      <color rgb="FF4C4C4C"/>
      <name val="PT Sans Narrow"/>
      <family val="2"/>
      <charset val="204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10"/>
      <color rgb="FF00B0F0"/>
      <name val="Arial"/>
      <family val="2"/>
    </font>
    <font>
      <u/>
      <sz val="10"/>
      <name val="Arial"/>
      <family val="2"/>
    </font>
    <font>
      <sz val="12"/>
      <name val="Times New Roman"/>
      <family val="1"/>
    </font>
    <font>
      <b/>
      <sz val="10"/>
      <color theme="0"/>
      <name val="Arial"/>
      <family val="2"/>
    </font>
    <font>
      <b/>
      <sz val="10"/>
      <color indexed="8"/>
      <name val="Arial"/>
      <family val="2"/>
    </font>
    <font>
      <b/>
      <sz val="12"/>
      <color theme="0"/>
      <name val="Arial"/>
      <family val="2"/>
    </font>
    <font>
      <sz val="10"/>
      <color indexed="8"/>
      <name val="Arial"/>
      <family val="2"/>
    </font>
    <font>
      <sz val="10"/>
      <color theme="0"/>
      <name val="Arial"/>
      <family val="2"/>
    </font>
    <font>
      <b/>
      <sz val="10"/>
      <color rgb="FFFFFF00"/>
      <name val="Arial"/>
      <family val="2"/>
    </font>
    <font>
      <sz val="10"/>
      <color theme="9" tint="-0.249977111117893"/>
      <name val="Arial"/>
      <family val="2"/>
    </font>
    <font>
      <u/>
      <sz val="11"/>
      <color theme="10"/>
      <name val="Aptos Narrow"/>
      <family val="2"/>
      <scheme val="minor"/>
    </font>
    <font>
      <u/>
      <sz val="11"/>
      <color theme="0"/>
      <name val="Aptos Narrow"/>
      <family val="2"/>
      <scheme val="minor"/>
    </font>
    <font>
      <b/>
      <sz val="10"/>
      <color rgb="FF0432FF"/>
      <name val="Arial"/>
      <family val="2"/>
    </font>
    <font>
      <sz val="10"/>
      <color theme="3"/>
      <name val="Arial"/>
      <family val="2"/>
    </font>
    <font>
      <b/>
      <sz val="10"/>
      <color rgb="FF0070C0"/>
      <name val="Arial"/>
      <family val="2"/>
    </font>
    <font>
      <sz val="12"/>
      <color theme="4"/>
      <name val="Aptos Narrow"/>
      <family val="2"/>
      <scheme val="minor"/>
    </font>
    <font>
      <sz val="8"/>
      <name val="Aptos Narrow"/>
      <family val="2"/>
      <scheme val="minor"/>
    </font>
    <font>
      <b/>
      <sz val="10"/>
      <color theme="3" tint="0.249977111117893"/>
      <name val="Arial"/>
      <family val="2"/>
    </font>
    <font>
      <i/>
      <u/>
      <sz val="10"/>
      <name val="Arial"/>
      <family val="2"/>
    </font>
    <font>
      <b/>
      <sz val="10"/>
      <color theme="4" tint="0.39997558519241921"/>
      <name val="Arial"/>
      <family val="2"/>
    </font>
    <font>
      <sz val="20"/>
      <color theme="0"/>
      <name val="Aptos Narrow"/>
      <family val="2"/>
      <scheme val="minor"/>
    </font>
    <font>
      <b/>
      <sz val="14"/>
      <color rgb="FFFFFFFF"/>
      <name val="Arial"/>
      <family val="2"/>
    </font>
    <font>
      <b/>
      <sz val="11"/>
      <color rgb="FF000000"/>
      <name val="Arial"/>
      <family val="2"/>
    </font>
    <font>
      <sz val="11"/>
      <color rgb="FF00B0F0"/>
      <name val="Arial"/>
      <family val="2"/>
    </font>
    <font>
      <sz val="11"/>
      <color rgb="FF000000"/>
      <name val="Arial"/>
      <family val="2"/>
    </font>
    <font>
      <sz val="12"/>
      <color rgb="FFFFFFFF"/>
      <name val="Aptos Narrow"/>
      <family val="2"/>
      <scheme val="minor"/>
    </font>
  </fonts>
  <fills count="2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3" tint="0.499984740745262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6" tint="-0.49998474074526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7" tint="-0.499984740745262"/>
        <bgColor indexed="64"/>
      </patternFill>
    </fill>
    <fill>
      <patternFill patternType="solid">
        <fgColor rgb="FF295860"/>
        <bgColor indexed="64"/>
      </patternFill>
    </fill>
    <fill>
      <patternFill patternType="solid">
        <fgColor rgb="FF65764C"/>
        <bgColor indexed="64"/>
      </patternFill>
    </fill>
    <fill>
      <patternFill patternType="solid">
        <fgColor rgb="FFC8A2CA"/>
        <bgColor indexed="64"/>
      </patternFill>
    </fill>
    <fill>
      <patternFill patternType="solid">
        <fgColor rgb="FFE2A99B"/>
        <bgColor indexed="64"/>
      </patternFill>
    </fill>
    <fill>
      <patternFill patternType="solid">
        <fgColor rgb="FF538DD5"/>
        <bgColor rgb="FF000000"/>
      </patternFill>
    </fill>
  </fills>
  <borders count="10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/>
      <top/>
      <bottom style="medium">
        <color indexed="64"/>
      </bottom>
      <diagonal/>
    </border>
    <border>
      <left/>
      <right style="thin">
        <color auto="1"/>
      </right>
      <top/>
      <bottom style="medium">
        <color indexed="64"/>
      </bottom>
      <diagonal/>
    </border>
    <border>
      <left/>
      <right style="thin">
        <color auto="1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indexed="64"/>
      </left>
      <right style="medium">
        <color indexed="64"/>
      </right>
      <top style="thin">
        <color auto="1"/>
      </top>
      <bottom style="double">
        <color auto="1"/>
      </bottom>
      <diagonal/>
    </border>
    <border>
      <left/>
      <right style="medium">
        <color auto="1"/>
      </right>
      <top/>
      <bottom style="double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double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double">
        <color auto="1"/>
      </bottom>
      <diagonal/>
    </border>
    <border>
      <left style="medium">
        <color auto="1"/>
      </left>
      <right style="thin">
        <color auto="1"/>
      </right>
      <top style="double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medium">
        <color indexed="64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/>
      <bottom style="double">
        <color auto="1"/>
      </bottom>
      <diagonal/>
    </border>
    <border>
      <left style="thin">
        <color auto="1"/>
      </left>
      <right/>
      <top/>
      <bottom style="double">
        <color auto="1"/>
      </bottom>
      <diagonal/>
    </border>
    <border>
      <left style="medium">
        <color auto="1"/>
      </left>
      <right style="medium">
        <color auto="1"/>
      </right>
      <top/>
      <bottom style="double">
        <color auto="1"/>
      </bottom>
      <diagonal/>
    </border>
    <border>
      <left style="thin">
        <color auto="1"/>
      </left>
      <right/>
      <top style="double">
        <color auto="1"/>
      </top>
      <bottom style="double">
        <color auto="1"/>
      </bottom>
      <diagonal/>
    </border>
    <border>
      <left/>
      <right style="medium">
        <color auto="1"/>
      </right>
      <top style="double">
        <color auto="1"/>
      </top>
      <bottom style="double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auto="1"/>
      </bottom>
      <diagonal/>
    </border>
    <border>
      <left style="medium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double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double">
        <color auto="1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auto="1"/>
      </right>
      <top style="thin">
        <color indexed="64"/>
      </top>
      <bottom style="medium">
        <color indexed="64"/>
      </bottom>
      <diagonal/>
    </border>
    <border>
      <left style="medium">
        <color auto="1"/>
      </left>
      <right style="medium">
        <color indexed="64"/>
      </right>
      <top/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indexed="64"/>
      </left>
      <right style="medium">
        <color indexed="64"/>
      </right>
      <top style="thin">
        <color auto="1"/>
      </top>
      <bottom/>
      <diagonal/>
    </border>
    <border>
      <left style="medium">
        <color rgb="FF000000"/>
      </left>
      <right style="thin">
        <color indexed="64"/>
      </right>
      <top style="medium">
        <color rgb="FF000000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rgb="FF000000"/>
      </top>
      <bottom style="thin">
        <color indexed="64"/>
      </bottom>
      <diagonal/>
    </border>
    <border>
      <left style="thin">
        <color indexed="64"/>
      </left>
      <right style="medium">
        <color rgb="FF000000"/>
      </right>
      <top style="medium">
        <color rgb="FF000000"/>
      </top>
      <bottom style="thin">
        <color indexed="64"/>
      </bottom>
      <diagonal/>
    </border>
    <border>
      <left style="medium">
        <color rgb="FF000000"/>
      </left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 style="medium">
        <color rgb="FF000000"/>
      </right>
      <top/>
      <bottom style="thin">
        <color indexed="64"/>
      </bottom>
      <diagonal/>
    </border>
    <border>
      <left style="medium">
        <color rgb="FF00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rgb="FF000000"/>
      </right>
      <top style="thin">
        <color indexed="64"/>
      </top>
      <bottom style="thin">
        <color indexed="64"/>
      </bottom>
      <diagonal/>
    </border>
    <border>
      <left style="medium">
        <color rgb="FF000000"/>
      </left>
      <right style="thin">
        <color indexed="64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medium">
        <color rgb="FF000000"/>
      </right>
      <top style="thin">
        <color auto="1"/>
      </top>
      <bottom style="double">
        <color auto="1"/>
      </bottom>
      <diagonal/>
    </border>
    <border>
      <left style="medium">
        <color rgb="FF000000"/>
      </left>
      <right style="thin">
        <color indexed="64"/>
      </right>
      <top style="thin">
        <color indexed="64"/>
      </top>
      <bottom style="medium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rgb="FF000000"/>
      </bottom>
      <diagonal/>
    </border>
    <border>
      <left style="thin">
        <color indexed="64"/>
      </left>
      <right style="medium">
        <color rgb="FF000000"/>
      </right>
      <top style="thin">
        <color indexed="64"/>
      </top>
      <bottom style="medium">
        <color rgb="FF000000"/>
      </bottom>
      <diagonal/>
    </border>
    <border>
      <left style="medium">
        <color rgb="FF000000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rgb="FF000000"/>
      </right>
      <top style="thin">
        <color indexed="64"/>
      </top>
      <bottom/>
      <diagonal/>
    </border>
    <border>
      <left style="medium">
        <color rgb="FF000000"/>
      </left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rgb="FF000000"/>
      </left>
      <right/>
      <top style="medium">
        <color rgb="FF000000"/>
      </top>
      <bottom style="medium">
        <color indexed="64"/>
      </bottom>
      <diagonal/>
    </border>
    <border>
      <left/>
      <right style="medium">
        <color rgb="FF000000"/>
      </right>
      <top style="medium">
        <color rgb="FF000000"/>
      </top>
      <bottom style="medium">
        <color indexed="64"/>
      </bottom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thin">
        <color indexed="64"/>
      </bottom>
      <diagonal/>
    </border>
    <border>
      <left style="medium">
        <color rgb="FF000000"/>
      </left>
      <right style="medium">
        <color rgb="FF000000"/>
      </right>
      <top style="thin">
        <color indexed="64"/>
      </top>
      <bottom style="thin">
        <color indexed="64"/>
      </bottom>
      <diagonal/>
    </border>
    <border>
      <left style="medium">
        <color rgb="FF000000"/>
      </left>
      <right style="medium">
        <color rgb="FF000000"/>
      </right>
      <top style="thin">
        <color indexed="64"/>
      </top>
      <bottom style="medium">
        <color rgb="FF000000"/>
      </bottom>
      <diagonal/>
    </border>
  </borders>
  <cellStyleXfs count="13">
    <xf numFmtId="0" fontId="0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0" fontId="11" fillId="0" borderId="0" applyNumberForma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34" fillId="0" borderId="0" applyNumberFormat="0" applyFill="0" applyBorder="0" applyAlignment="0" applyProtection="0"/>
  </cellStyleXfs>
  <cellXfs count="860">
    <xf numFmtId="0" fontId="0" fillId="0" borderId="0" xfId="0"/>
    <xf numFmtId="0" fontId="0" fillId="0" borderId="0" xfId="0" applyAlignment="1">
      <alignment horizontal="center"/>
    </xf>
    <xf numFmtId="0" fontId="0" fillId="0" borderId="1" xfId="0" applyBorder="1" applyAlignment="1">
      <alignment horizontal="center"/>
    </xf>
    <xf numFmtId="0" fontId="2" fillId="0" borderId="1" xfId="0" applyFont="1" applyBorder="1" applyAlignment="1">
      <alignment horizontal="center" wrapText="1"/>
    </xf>
    <xf numFmtId="0" fontId="2" fillId="0" borderId="1" xfId="0" applyFont="1" applyBorder="1" applyAlignment="1">
      <alignment horizontal="center"/>
    </xf>
    <xf numFmtId="38" fontId="2" fillId="0" borderId="2" xfId="3" applyNumberFormat="1" applyFont="1" applyFill="1" applyBorder="1" applyAlignment="1">
      <alignment horizontal="center"/>
    </xf>
    <xf numFmtId="8" fontId="2" fillId="0" borderId="2" xfId="0" applyNumberFormat="1" applyFont="1" applyBorder="1" applyAlignment="1">
      <alignment horizontal="center"/>
    </xf>
    <xf numFmtId="38" fontId="2" fillId="0" borderId="1" xfId="3" applyNumberFormat="1" applyFont="1" applyFill="1" applyBorder="1" applyAlignment="1">
      <alignment horizontal="center"/>
    </xf>
    <xf numFmtId="8" fontId="2" fillId="0" borderId="1" xfId="0" applyNumberFormat="1" applyFont="1" applyBorder="1" applyAlignment="1">
      <alignment horizontal="center"/>
    </xf>
    <xf numFmtId="164" fontId="2" fillId="0" borderId="1" xfId="0" applyNumberFormat="1" applyFont="1" applyBorder="1" applyAlignment="1">
      <alignment horizontal="center"/>
    </xf>
    <xf numFmtId="8" fontId="0" fillId="0" borderId="1" xfId="0" applyNumberFormat="1" applyBorder="1" applyAlignment="1">
      <alignment horizontal="center"/>
    </xf>
    <xf numFmtId="165" fontId="0" fillId="0" borderId="1" xfId="2" applyNumberFormat="1" applyFont="1" applyBorder="1" applyAlignment="1">
      <alignment horizontal="center"/>
    </xf>
    <xf numFmtId="0" fontId="0" fillId="0" borderId="5" xfId="0" applyBorder="1"/>
    <xf numFmtId="0" fontId="0" fillId="0" borderId="6" xfId="0" applyBorder="1"/>
    <xf numFmtId="0" fontId="0" fillId="0" borderId="8" xfId="0" applyBorder="1"/>
    <xf numFmtId="0" fontId="0" fillId="0" borderId="9" xfId="0" applyBorder="1"/>
    <xf numFmtId="0" fontId="2" fillId="0" borderId="2" xfId="0" applyFont="1" applyBorder="1" applyAlignment="1">
      <alignment horizontal="center" wrapText="1"/>
    </xf>
    <xf numFmtId="0" fontId="2" fillId="0" borderId="2" xfId="0" applyFont="1" applyBorder="1" applyAlignment="1">
      <alignment horizontal="center"/>
    </xf>
    <xf numFmtId="0" fontId="0" fillId="0" borderId="2" xfId="0" applyBorder="1" applyAlignment="1">
      <alignment horizontal="center"/>
    </xf>
    <xf numFmtId="44" fontId="0" fillId="0" borderId="1" xfId="1" applyFont="1" applyBorder="1" applyAlignment="1">
      <alignment horizontal="center"/>
    </xf>
    <xf numFmtId="44" fontId="0" fillId="0" borderId="1" xfId="0" applyNumberFormat="1" applyBorder="1" applyAlignment="1">
      <alignment horizontal="center"/>
    </xf>
    <xf numFmtId="0" fontId="2" fillId="0" borderId="1" xfId="0" applyFont="1" applyBorder="1" applyAlignment="1">
      <alignment wrapText="1"/>
    </xf>
    <xf numFmtId="166" fontId="2" fillId="0" borderId="1" xfId="0" applyNumberFormat="1" applyFont="1" applyBorder="1" applyAlignment="1">
      <alignment horizontal="center"/>
    </xf>
    <xf numFmtId="0" fontId="7" fillId="0" borderId="0" xfId="5"/>
    <xf numFmtId="0" fontId="7" fillId="0" borderId="0" xfId="5" applyAlignment="1">
      <alignment horizontal="center"/>
    </xf>
    <xf numFmtId="169" fontId="7" fillId="0" borderId="0" xfId="5" applyNumberFormat="1" applyAlignment="1">
      <alignment horizontal="center"/>
    </xf>
    <xf numFmtId="0" fontId="0" fillId="0" borderId="27" xfId="0" applyBorder="1"/>
    <xf numFmtId="167" fontId="0" fillId="0" borderId="1" xfId="1" applyNumberFormat="1" applyFont="1" applyBorder="1" applyAlignment="1">
      <alignment horizontal="center"/>
    </xf>
    <xf numFmtId="0" fontId="9" fillId="4" borderId="0" xfId="5" applyFont="1" applyFill="1"/>
    <xf numFmtId="0" fontId="7" fillId="4" borderId="0" xfId="5" applyFill="1"/>
    <xf numFmtId="0" fontId="7" fillId="4" borderId="0" xfId="5" applyFill="1" applyAlignment="1">
      <alignment horizontal="center"/>
    </xf>
    <xf numFmtId="0" fontId="13" fillId="0" borderId="0" xfId="5" applyFont="1"/>
    <xf numFmtId="0" fontId="14" fillId="0" borderId="0" xfId="0" applyFont="1" applyAlignment="1">
      <alignment horizontal="center"/>
    </xf>
    <xf numFmtId="167" fontId="0" fillId="0" borderId="0" xfId="6" applyNumberFormat="1" applyFont="1" applyFill="1"/>
    <xf numFmtId="0" fontId="15" fillId="0" borderId="0" xfId="5" applyFont="1"/>
    <xf numFmtId="6" fontId="7" fillId="0" borderId="0" xfId="5" applyNumberFormat="1"/>
    <xf numFmtId="44" fontId="0" fillId="0" borderId="0" xfId="6" applyFont="1" applyFill="1"/>
    <xf numFmtId="0" fontId="17" fillId="0" borderId="0" xfId="0" applyFont="1" applyAlignment="1">
      <alignment horizontal="center"/>
    </xf>
    <xf numFmtId="6" fontId="18" fillId="0" borderId="0" xfId="5" applyNumberFormat="1" applyFont="1"/>
    <xf numFmtId="0" fontId="14" fillId="0" borderId="0" xfId="0" applyFont="1"/>
    <xf numFmtId="0" fontId="18" fillId="0" borderId="0" xfId="5" applyFont="1"/>
    <xf numFmtId="167" fontId="7" fillId="0" borderId="0" xfId="5" applyNumberFormat="1"/>
    <xf numFmtId="8" fontId="7" fillId="4" borderId="0" xfId="5" applyNumberFormat="1" applyFill="1" applyAlignment="1">
      <alignment horizontal="center"/>
    </xf>
    <xf numFmtId="169" fontId="0" fillId="0" borderId="0" xfId="6" applyNumberFormat="1" applyFont="1" applyFill="1" applyBorder="1" applyAlignment="1">
      <alignment horizontal="center"/>
    </xf>
    <xf numFmtId="169" fontId="0" fillId="4" borderId="0" xfId="6" applyNumberFormat="1" applyFont="1" applyFill="1" applyBorder="1" applyAlignment="1">
      <alignment horizontal="center"/>
    </xf>
    <xf numFmtId="0" fontId="22" fillId="4" borderId="0" xfId="5" applyFont="1" applyFill="1"/>
    <xf numFmtId="14" fontId="24" fillId="4" borderId="0" xfId="5" applyNumberFormat="1" applyFont="1" applyFill="1" applyAlignment="1">
      <alignment horizontal="center"/>
    </xf>
    <xf numFmtId="14" fontId="22" fillId="4" borderId="0" xfId="5" applyNumberFormat="1" applyFont="1" applyFill="1" applyAlignment="1">
      <alignment horizontal="center"/>
    </xf>
    <xf numFmtId="0" fontId="22" fillId="4" borderId="0" xfId="5" applyFont="1" applyFill="1" applyAlignment="1">
      <alignment horizontal="left" vertical="center" indent="1"/>
    </xf>
    <xf numFmtId="0" fontId="6" fillId="4" borderId="34" xfId="5" applyFont="1" applyFill="1" applyBorder="1" applyAlignment="1">
      <alignment vertical="center"/>
    </xf>
    <xf numFmtId="0" fontId="6" fillId="4" borderId="0" xfId="5" applyFont="1" applyFill="1" applyAlignment="1">
      <alignment vertical="center"/>
    </xf>
    <xf numFmtId="0" fontId="6" fillId="4" borderId="0" xfId="5" applyFont="1" applyFill="1" applyAlignment="1">
      <alignment horizontal="center" vertical="center"/>
    </xf>
    <xf numFmtId="0" fontId="6" fillId="4" borderId="35" xfId="5" applyFont="1" applyFill="1" applyBorder="1" applyAlignment="1">
      <alignment horizontal="center" vertical="center"/>
    </xf>
    <xf numFmtId="0" fontId="25" fillId="4" borderId="4" xfId="5" applyFont="1" applyFill="1" applyBorder="1" applyAlignment="1">
      <alignment horizontal="left" vertical="center"/>
    </xf>
    <xf numFmtId="0" fontId="2" fillId="4" borderId="6" xfId="5" applyFont="1" applyFill="1" applyBorder="1" applyAlignment="1">
      <alignment horizontal="center" vertical="center"/>
    </xf>
    <xf numFmtId="0" fontId="6" fillId="4" borderId="11" xfId="5" applyFont="1" applyFill="1" applyBorder="1" applyAlignment="1">
      <alignment horizontal="center" vertical="center"/>
    </xf>
    <xf numFmtId="37" fontId="6" fillId="4" borderId="1" xfId="5" applyNumberFormat="1" applyFont="1" applyFill="1" applyBorder="1" applyAlignment="1">
      <alignment horizontal="center" vertical="center"/>
    </xf>
    <xf numFmtId="0" fontId="22" fillId="4" borderId="35" xfId="5" applyFont="1" applyFill="1" applyBorder="1" applyAlignment="1">
      <alignment vertical="center"/>
    </xf>
    <xf numFmtId="0" fontId="2" fillId="4" borderId="26" xfId="5" applyFont="1" applyFill="1" applyBorder="1" applyAlignment="1">
      <alignment horizontal="left" vertical="center" indent="1"/>
    </xf>
    <xf numFmtId="0" fontId="6" fillId="4" borderId="27" xfId="5" applyFont="1" applyFill="1" applyBorder="1" applyAlignment="1">
      <alignment horizontal="center" vertical="center"/>
    </xf>
    <xf numFmtId="0" fontId="22" fillId="4" borderId="34" xfId="5" applyFont="1" applyFill="1" applyBorder="1"/>
    <xf numFmtId="0" fontId="22" fillId="4" borderId="34" xfId="5" applyFont="1" applyFill="1" applyBorder="1" applyAlignment="1">
      <alignment horizontal="left" vertical="center" indent="1"/>
    </xf>
    <xf numFmtId="0" fontId="25" fillId="4" borderId="26" xfId="5" applyFont="1" applyFill="1" applyBorder="1" applyAlignment="1">
      <alignment horizontal="left" vertical="center"/>
    </xf>
    <xf numFmtId="0" fontId="2" fillId="4" borderId="27" xfId="5" applyFont="1" applyFill="1" applyBorder="1" applyAlignment="1">
      <alignment horizontal="center" vertical="center"/>
    </xf>
    <xf numFmtId="37" fontId="22" fillId="6" borderId="11" xfId="5" applyNumberFormat="1" applyFont="1" applyFill="1" applyBorder="1" applyAlignment="1">
      <alignment horizontal="center" vertical="center"/>
    </xf>
    <xf numFmtId="0" fontId="22" fillId="0" borderId="0" xfId="0" applyFont="1"/>
    <xf numFmtId="0" fontId="6" fillId="4" borderId="31" xfId="5" applyFont="1" applyFill="1" applyBorder="1" applyAlignment="1">
      <alignment vertical="center"/>
    </xf>
    <xf numFmtId="0" fontId="6" fillId="4" borderId="33" xfId="5" applyFont="1" applyFill="1" applyBorder="1" applyAlignment="1">
      <alignment horizontal="center" vertical="center"/>
    </xf>
    <xf numFmtId="0" fontId="2" fillId="4" borderId="31" xfId="5" applyFont="1" applyFill="1" applyBorder="1" applyAlignment="1">
      <alignment horizontal="left" vertical="center"/>
    </xf>
    <xf numFmtId="0" fontId="2" fillId="4" borderId="26" xfId="5" applyFont="1" applyFill="1" applyBorder="1" applyAlignment="1">
      <alignment horizontal="left" vertical="center"/>
    </xf>
    <xf numFmtId="0" fontId="22" fillId="6" borderId="1" xfId="5" applyFont="1" applyFill="1" applyBorder="1" applyAlignment="1">
      <alignment horizontal="center"/>
    </xf>
    <xf numFmtId="14" fontId="22" fillId="4" borderId="36" xfId="5" applyNumberFormat="1" applyFont="1" applyFill="1" applyBorder="1" applyAlignment="1">
      <alignment horizontal="left"/>
    </xf>
    <xf numFmtId="0" fontId="2" fillId="4" borderId="27" xfId="5" applyFont="1" applyFill="1" applyBorder="1" applyAlignment="1">
      <alignment vertical="center"/>
    </xf>
    <xf numFmtId="14" fontId="23" fillId="4" borderId="0" xfId="5" applyNumberFormat="1" applyFont="1" applyFill="1" applyAlignment="1">
      <alignment horizontal="center"/>
    </xf>
    <xf numFmtId="0" fontId="23" fillId="4" borderId="0" xfId="5" applyFont="1" applyFill="1" applyAlignment="1">
      <alignment horizontal="center" vertical="center"/>
    </xf>
    <xf numFmtId="0" fontId="22" fillId="0" borderId="0" xfId="5" applyFont="1"/>
    <xf numFmtId="0" fontId="2" fillId="4" borderId="42" xfId="5" applyFont="1" applyFill="1" applyBorder="1" applyAlignment="1">
      <alignment horizontal="left" vertical="center" indent="1"/>
    </xf>
    <xf numFmtId="0" fontId="2" fillId="4" borderId="43" xfId="5" applyFont="1" applyFill="1" applyBorder="1" applyAlignment="1">
      <alignment vertical="center"/>
    </xf>
    <xf numFmtId="0" fontId="2" fillId="4" borderId="0" xfId="5" applyFont="1" applyFill="1" applyAlignment="1">
      <alignment horizontal="left" vertical="center" indent="1"/>
    </xf>
    <xf numFmtId="0" fontId="2" fillId="4" borderId="0" xfId="5" applyFont="1" applyFill="1" applyAlignment="1">
      <alignment vertical="center"/>
    </xf>
    <xf numFmtId="5" fontId="22" fillId="4" borderId="0" xfId="5" applyNumberFormat="1" applyFont="1" applyFill="1" applyAlignment="1">
      <alignment horizontal="center" vertical="center"/>
    </xf>
    <xf numFmtId="0" fontId="22" fillId="4" borderId="37" xfId="5" applyFont="1" applyFill="1" applyBorder="1" applyAlignment="1">
      <alignment horizontal="left" vertical="center" indent="1"/>
    </xf>
    <xf numFmtId="0" fontId="2" fillId="4" borderId="31" xfId="5" applyFont="1" applyFill="1" applyBorder="1" applyAlignment="1">
      <alignment vertical="center"/>
    </xf>
    <xf numFmtId="0" fontId="2" fillId="4" borderId="32" xfId="5" applyFont="1" applyFill="1" applyBorder="1" applyAlignment="1">
      <alignment vertical="center"/>
    </xf>
    <xf numFmtId="9" fontId="24" fillId="4" borderId="0" xfId="5" applyNumberFormat="1" applyFont="1" applyFill="1" applyAlignment="1">
      <alignment horizontal="center" vertical="center"/>
    </xf>
    <xf numFmtId="0" fontId="2" fillId="4" borderId="34" xfId="5" applyFont="1" applyFill="1" applyBorder="1" applyAlignment="1">
      <alignment vertical="center"/>
    </xf>
    <xf numFmtId="0" fontId="22" fillId="4" borderId="0" xfId="5" applyFont="1" applyFill="1" applyAlignment="1">
      <alignment vertical="center"/>
    </xf>
    <xf numFmtId="0" fontId="25" fillId="4" borderId="34" xfId="5" applyFont="1" applyFill="1" applyBorder="1" applyAlignment="1">
      <alignment horizontal="left" vertical="center" indent="1"/>
    </xf>
    <xf numFmtId="0" fontId="23" fillId="4" borderId="35" xfId="5" applyFont="1" applyFill="1" applyBorder="1"/>
    <xf numFmtId="0" fontId="2" fillId="4" borderId="34" xfId="5" applyFont="1" applyFill="1" applyBorder="1" applyAlignment="1">
      <alignment horizontal="left" vertical="center" indent="1"/>
    </xf>
    <xf numFmtId="176" fontId="22" fillId="4" borderId="0" xfId="5" applyNumberFormat="1" applyFont="1" applyFill="1"/>
    <xf numFmtId="0" fontId="2" fillId="0" borderId="15" xfId="0" applyFont="1" applyBorder="1"/>
    <xf numFmtId="169" fontId="22" fillId="4" borderId="34" xfId="5" applyNumberFormat="1" applyFont="1" applyFill="1" applyBorder="1"/>
    <xf numFmtId="169" fontId="6" fillId="4" borderId="0" xfId="5" applyNumberFormat="1" applyFont="1" applyFill="1" applyAlignment="1">
      <alignment horizontal="center" vertical="center"/>
    </xf>
    <xf numFmtId="0" fontId="2" fillId="4" borderId="36" xfId="5" applyFont="1" applyFill="1" applyBorder="1" applyAlignment="1">
      <alignment horizontal="left" vertical="center" indent="1"/>
    </xf>
    <xf numFmtId="0" fontId="2" fillId="4" borderId="37" xfId="5" applyFont="1" applyFill="1" applyBorder="1" applyAlignment="1">
      <alignment vertical="center"/>
    </xf>
    <xf numFmtId="0" fontId="6" fillId="0" borderId="18" xfId="0" applyFont="1" applyBorder="1" applyAlignment="1">
      <alignment horizontal="right"/>
    </xf>
    <xf numFmtId="0" fontId="2" fillId="0" borderId="45" xfId="0" applyFont="1" applyBorder="1"/>
    <xf numFmtId="6" fontId="22" fillId="0" borderId="1" xfId="0" applyNumberFormat="1" applyFont="1" applyBorder="1"/>
    <xf numFmtId="0" fontId="6" fillId="0" borderId="36" xfId="0" applyFont="1" applyBorder="1"/>
    <xf numFmtId="0" fontId="3" fillId="8" borderId="1" xfId="0" applyFont="1" applyFill="1" applyBorder="1"/>
    <xf numFmtId="0" fontId="0" fillId="0" borderId="1" xfId="0" applyBorder="1" applyAlignment="1">
      <alignment horizontal="right"/>
    </xf>
    <xf numFmtId="167" fontId="0" fillId="0" borderId="1" xfId="1" applyNumberFormat="1" applyFont="1" applyBorder="1"/>
    <xf numFmtId="0" fontId="6" fillId="0" borderId="0" xfId="10" applyFont="1"/>
    <xf numFmtId="0" fontId="6" fillId="0" borderId="0" xfId="10" applyFont="1" applyAlignment="1">
      <alignment horizontal="right"/>
    </xf>
    <xf numFmtId="170" fontId="22" fillId="0" borderId="0" xfId="0" applyNumberFormat="1" applyFont="1" applyAlignment="1">
      <alignment horizontal="center"/>
    </xf>
    <xf numFmtId="1" fontId="28" fillId="0" borderId="0" xfId="0" applyNumberFormat="1" applyFont="1" applyAlignment="1">
      <alignment horizontal="left"/>
    </xf>
    <xf numFmtId="185" fontId="27" fillId="7" borderId="34" xfId="0" applyNumberFormat="1" applyFont="1" applyFill="1" applyBorder="1" applyAlignment="1">
      <alignment horizontal="center"/>
    </xf>
    <xf numFmtId="185" fontId="27" fillId="7" borderId="0" xfId="0" applyNumberFormat="1" applyFont="1" applyFill="1" applyAlignment="1">
      <alignment horizontal="center"/>
    </xf>
    <xf numFmtId="165" fontId="5" fillId="0" borderId="1" xfId="8" applyNumberFormat="1" applyFont="1" applyBorder="1" applyAlignment="1">
      <alignment horizontal="center"/>
    </xf>
    <xf numFmtId="0" fontId="6" fillId="0" borderId="1" xfId="9" applyFont="1" applyBorder="1"/>
    <xf numFmtId="0" fontId="27" fillId="7" borderId="34" xfId="0" applyFont="1" applyFill="1" applyBorder="1" applyAlignment="1">
      <alignment horizontal="left"/>
    </xf>
    <xf numFmtId="0" fontId="27" fillId="7" borderId="0" xfId="0" applyFont="1" applyFill="1" applyAlignment="1">
      <alignment horizontal="center"/>
    </xf>
    <xf numFmtId="0" fontId="27" fillId="7" borderId="0" xfId="0" applyFont="1" applyFill="1" applyAlignment="1">
      <alignment horizontal="center" wrapText="1"/>
    </xf>
    <xf numFmtId="0" fontId="27" fillId="7" borderId="35" xfId="0" applyFont="1" applyFill="1" applyBorder="1" applyAlignment="1">
      <alignment horizontal="center"/>
    </xf>
    <xf numFmtId="164" fontId="2" fillId="0" borderId="15" xfId="0" applyNumberFormat="1" applyFont="1" applyBorder="1" applyAlignment="1">
      <alignment horizontal="left"/>
    </xf>
    <xf numFmtId="38" fontId="5" fillId="3" borderId="1" xfId="3" applyNumberFormat="1" applyFont="1" applyFill="1" applyBorder="1" applyAlignment="1">
      <alignment horizontal="center"/>
    </xf>
    <xf numFmtId="38" fontId="2" fillId="3" borderId="1" xfId="3" applyNumberFormat="1" applyFont="1" applyFill="1" applyBorder="1" applyAlignment="1">
      <alignment horizontal="center"/>
    </xf>
    <xf numFmtId="8" fontId="2" fillId="3" borderId="1" xfId="0" applyNumberFormat="1" applyFont="1" applyFill="1" applyBorder="1" applyAlignment="1">
      <alignment horizontal="center"/>
    </xf>
    <xf numFmtId="186" fontId="2" fillId="3" borderId="1" xfId="3" applyNumberFormat="1" applyFont="1" applyFill="1" applyBorder="1" applyAlignment="1">
      <alignment horizontal="center"/>
    </xf>
    <xf numFmtId="0" fontId="22" fillId="3" borderId="1" xfId="0" applyFont="1" applyFill="1" applyBorder="1" applyAlignment="1">
      <alignment horizontal="left"/>
    </xf>
    <xf numFmtId="164" fontId="2" fillId="0" borderId="18" xfId="0" applyNumberFormat="1" applyFont="1" applyBorder="1" applyAlignment="1">
      <alignment horizontal="left"/>
    </xf>
    <xf numFmtId="38" fontId="5" fillId="3" borderId="2" xfId="3" applyNumberFormat="1" applyFont="1" applyFill="1" applyBorder="1" applyAlignment="1">
      <alignment horizontal="center"/>
    </xf>
    <xf numFmtId="38" fontId="2" fillId="3" borderId="2" xfId="3" applyNumberFormat="1" applyFont="1" applyFill="1" applyBorder="1" applyAlignment="1">
      <alignment horizontal="center"/>
    </xf>
    <xf numFmtId="0" fontId="22" fillId="0" borderId="0" xfId="0" applyFont="1" applyAlignment="1">
      <alignment horizontal="left"/>
    </xf>
    <xf numFmtId="9" fontId="5" fillId="3" borderId="1" xfId="8" applyFont="1" applyFill="1" applyBorder="1" applyAlignment="1">
      <alignment horizontal="center"/>
    </xf>
    <xf numFmtId="38" fontId="2" fillId="0" borderId="1" xfId="3" applyNumberFormat="1" applyFont="1" applyBorder="1" applyAlignment="1">
      <alignment horizontal="center"/>
    </xf>
    <xf numFmtId="8" fontId="22" fillId="0" borderId="1" xfId="0" applyNumberFormat="1" applyFont="1" applyBorder="1" applyAlignment="1">
      <alignment horizontal="center"/>
    </xf>
    <xf numFmtId="186" fontId="2" fillId="0" borderId="1" xfId="3" applyNumberFormat="1" applyFont="1" applyBorder="1" applyAlignment="1">
      <alignment horizontal="center"/>
    </xf>
    <xf numFmtId="186" fontId="2" fillId="0" borderId="12" xfId="3" applyNumberFormat="1" applyFont="1" applyBorder="1" applyAlignment="1">
      <alignment horizontal="center"/>
    </xf>
    <xf numFmtId="0" fontId="2" fillId="0" borderId="50" xfId="0" applyFont="1" applyBorder="1"/>
    <xf numFmtId="187" fontId="6" fillId="3" borderId="51" xfId="3" applyNumberFormat="1" applyFont="1" applyFill="1" applyBorder="1" applyAlignment="1">
      <alignment horizontal="center"/>
    </xf>
    <xf numFmtId="188" fontId="6" fillId="3" borderId="51" xfId="3" applyNumberFormat="1" applyFont="1" applyFill="1" applyBorder="1" applyAlignment="1">
      <alignment horizontal="center" vertical="center"/>
    </xf>
    <xf numFmtId="0" fontId="2" fillId="6" borderId="51" xfId="0" applyFont="1" applyFill="1" applyBorder="1" applyAlignment="1">
      <alignment horizontal="center"/>
    </xf>
    <xf numFmtId="6" fontId="23" fillId="3" borderId="1" xfId="0" applyNumberFormat="1" applyFont="1" applyFill="1" applyBorder="1" applyAlignment="1">
      <alignment horizontal="center"/>
    </xf>
    <xf numFmtId="0" fontId="2" fillId="0" borderId="52" xfId="0" applyFont="1" applyBorder="1"/>
    <xf numFmtId="170" fontId="2" fillId="6" borderId="53" xfId="3" applyNumberFormat="1" applyFont="1" applyFill="1" applyBorder="1" applyAlignment="1">
      <alignment horizontal="center"/>
    </xf>
    <xf numFmtId="189" fontId="6" fillId="3" borderId="53" xfId="3" applyNumberFormat="1" applyFont="1" applyFill="1" applyBorder="1" applyAlignment="1">
      <alignment horizontal="center" vertical="center"/>
    </xf>
    <xf numFmtId="171" fontId="6" fillId="3" borderId="53" xfId="9" applyNumberFormat="1" applyFont="1" applyFill="1" applyBorder="1" applyAlignment="1">
      <alignment horizontal="center"/>
    </xf>
    <xf numFmtId="0" fontId="2" fillId="6" borderId="29" xfId="0" applyFont="1" applyFill="1" applyBorder="1"/>
    <xf numFmtId="6" fontId="22" fillId="0" borderId="0" xfId="0" applyNumberFormat="1" applyFont="1"/>
    <xf numFmtId="0" fontId="2" fillId="0" borderId="9" xfId="0" applyFont="1" applyBorder="1"/>
    <xf numFmtId="170" fontId="2" fillId="0" borderId="2" xfId="3" applyNumberFormat="1" applyFont="1" applyFill="1" applyBorder="1" applyAlignment="1">
      <alignment horizontal="center"/>
    </xf>
    <xf numFmtId="189" fontId="6" fillId="0" borderId="2" xfId="3" applyNumberFormat="1" applyFont="1" applyFill="1" applyBorder="1" applyAlignment="1">
      <alignment horizontal="center" vertical="center"/>
    </xf>
    <xf numFmtId="171" fontId="6" fillId="0" borderId="2" xfId="9" applyNumberFormat="1" applyFont="1" applyBorder="1" applyAlignment="1">
      <alignment horizontal="center"/>
    </xf>
    <xf numFmtId="0" fontId="30" fillId="0" borderId="15" xfId="11" applyFont="1" applyBorder="1"/>
    <xf numFmtId="3" fontId="5" fillId="3" borderId="1" xfId="11" applyNumberFormat="1" applyFont="1" applyFill="1" applyBorder="1" applyAlignment="1">
      <alignment horizontal="center"/>
    </xf>
    <xf numFmtId="8" fontId="2" fillId="3" borderId="1" xfId="0" applyNumberFormat="1" applyFont="1" applyFill="1" applyBorder="1"/>
    <xf numFmtId="6" fontId="2" fillId="3" borderId="1" xfId="0" applyNumberFormat="1" applyFont="1" applyFill="1" applyBorder="1"/>
    <xf numFmtId="8" fontId="22" fillId="0" borderId="0" xfId="0" applyNumberFormat="1" applyFont="1"/>
    <xf numFmtId="0" fontId="30" fillId="0" borderId="45" xfId="11" applyFont="1" applyBorder="1"/>
    <xf numFmtId="3" fontId="5" fillId="3" borderId="46" xfId="11" applyNumberFormat="1" applyFont="1" applyFill="1" applyBorder="1" applyAlignment="1">
      <alignment horizontal="center"/>
    </xf>
    <xf numFmtId="8" fontId="2" fillId="3" borderId="46" xfId="0" applyNumberFormat="1" applyFont="1" applyFill="1" applyBorder="1"/>
    <xf numFmtId="6" fontId="2" fillId="3" borderId="46" xfId="0" applyNumberFormat="1" applyFont="1" applyFill="1" applyBorder="1"/>
    <xf numFmtId="0" fontId="2" fillId="0" borderId="54" xfId="0" applyFont="1" applyBorder="1"/>
    <xf numFmtId="3" fontId="2" fillId="3" borderId="55" xfId="0" applyNumberFormat="1" applyFont="1" applyFill="1" applyBorder="1" applyAlignment="1">
      <alignment horizontal="center"/>
    </xf>
    <xf numFmtId="8" fontId="2" fillId="3" borderId="2" xfId="0" applyNumberFormat="1" applyFont="1" applyFill="1" applyBorder="1"/>
    <xf numFmtId="6" fontId="2" fillId="3" borderId="2" xfId="0" applyNumberFormat="1" applyFont="1" applyFill="1" applyBorder="1"/>
    <xf numFmtId="0" fontId="27" fillId="7" borderId="31" xfId="0" applyFont="1" applyFill="1" applyBorder="1" applyAlignment="1">
      <alignment horizontal="left"/>
    </xf>
    <xf numFmtId="3" fontId="27" fillId="7" borderId="33" xfId="0" applyNumberFormat="1" applyFont="1" applyFill="1" applyBorder="1"/>
    <xf numFmtId="3" fontId="5" fillId="3" borderId="16" xfId="0" applyNumberFormat="1" applyFont="1" applyFill="1" applyBorder="1"/>
    <xf numFmtId="8" fontId="2" fillId="0" borderId="0" xfId="0" applyNumberFormat="1" applyFont="1"/>
    <xf numFmtId="6" fontId="2" fillId="0" borderId="0" xfId="0" applyNumberFormat="1" applyFont="1"/>
    <xf numFmtId="0" fontId="2" fillId="0" borderId="28" xfId="0" applyFont="1" applyBorder="1"/>
    <xf numFmtId="3" fontId="2" fillId="3" borderId="30" xfId="0" applyNumberFormat="1" applyFont="1" applyFill="1" applyBorder="1"/>
    <xf numFmtId="0" fontId="27" fillId="7" borderId="31" xfId="0" applyFont="1" applyFill="1" applyBorder="1"/>
    <xf numFmtId="185" fontId="27" fillId="7" borderId="31" xfId="0" applyNumberFormat="1" applyFont="1" applyFill="1" applyBorder="1"/>
    <xf numFmtId="0" fontId="2" fillId="0" borderId="0" xfId="0" applyFont="1"/>
    <xf numFmtId="0" fontId="2" fillId="0" borderId="15" xfId="0" applyFont="1" applyBorder="1" applyAlignment="1">
      <alignment horizontal="right"/>
    </xf>
    <xf numFmtId="170" fontId="2" fillId="3" borderId="16" xfId="3" applyNumberFormat="1" applyFont="1" applyFill="1" applyBorder="1" applyAlignment="1">
      <alignment horizontal="center"/>
    </xf>
    <xf numFmtId="189" fontId="6" fillId="0" borderId="0" xfId="3" applyNumberFormat="1" applyFont="1" applyFill="1" applyBorder="1" applyAlignment="1">
      <alignment horizontal="center" vertical="center"/>
    </xf>
    <xf numFmtId="171" fontId="6" fillId="0" borderId="0" xfId="9" applyNumberFormat="1" applyFont="1" applyAlignment="1">
      <alignment horizontal="center"/>
    </xf>
    <xf numFmtId="190" fontId="2" fillId="0" borderId="15" xfId="0" applyNumberFormat="1" applyFont="1" applyBorder="1" applyAlignment="1">
      <alignment horizontal="right"/>
    </xf>
    <xf numFmtId="191" fontId="5" fillId="0" borderId="15" xfId="0" applyNumberFormat="1" applyFont="1" applyBorder="1" applyAlignment="1">
      <alignment horizontal="right"/>
    </xf>
    <xf numFmtId="170" fontId="2" fillId="0" borderId="16" xfId="3" applyNumberFormat="1" applyFont="1" applyFill="1" applyBorder="1" applyAlignment="1">
      <alignment horizontal="center"/>
    </xf>
    <xf numFmtId="192" fontId="5" fillId="0" borderId="20" xfId="0" applyNumberFormat="1" applyFont="1" applyBorder="1"/>
    <xf numFmtId="170" fontId="2" fillId="0" borderId="22" xfId="3" applyNumberFormat="1" applyFont="1" applyFill="1" applyBorder="1" applyAlignment="1">
      <alignment horizontal="center"/>
    </xf>
    <xf numFmtId="185" fontId="27" fillId="10" borderId="40" xfId="0" applyNumberFormat="1" applyFont="1" applyFill="1" applyBorder="1"/>
    <xf numFmtId="0" fontId="27" fillId="10" borderId="41" xfId="0" applyFont="1" applyFill="1" applyBorder="1"/>
    <xf numFmtId="0" fontId="27" fillId="7" borderId="39" xfId="0" applyFont="1" applyFill="1" applyBorder="1" applyAlignment="1">
      <alignment horizontal="left"/>
    </xf>
    <xf numFmtId="0" fontId="27" fillId="7" borderId="40" xfId="0" applyFont="1" applyFill="1" applyBorder="1" applyAlignment="1">
      <alignment horizontal="center"/>
    </xf>
    <xf numFmtId="0" fontId="27" fillId="7" borderId="41" xfId="0" applyFont="1" applyFill="1" applyBorder="1" applyAlignment="1">
      <alignment horizontal="center"/>
    </xf>
    <xf numFmtId="0" fontId="2" fillId="3" borderId="18" xfId="0" applyFont="1" applyFill="1" applyBorder="1"/>
    <xf numFmtId="5" fontId="2" fillId="3" borderId="2" xfId="3" applyNumberFormat="1" applyFont="1" applyFill="1" applyBorder="1" applyAlignment="1">
      <alignment horizontal="center"/>
    </xf>
    <xf numFmtId="171" fontId="2" fillId="3" borderId="2" xfId="3" applyNumberFormat="1" applyFont="1" applyFill="1" applyBorder="1" applyAlignment="1">
      <alignment horizontal="center"/>
    </xf>
    <xf numFmtId="5" fontId="2" fillId="3" borderId="23" xfId="3" applyNumberFormat="1" applyFont="1" applyFill="1" applyBorder="1" applyAlignment="1">
      <alignment horizontal="center"/>
    </xf>
    <xf numFmtId="193" fontId="2" fillId="3" borderId="17" xfId="0" applyNumberFormat="1" applyFont="1" applyFill="1" applyBorder="1" applyAlignment="1">
      <alignment horizontal="left"/>
    </xf>
    <xf numFmtId="5" fontId="2" fillId="3" borderId="57" xfId="3" applyNumberFormat="1" applyFont="1" applyFill="1" applyBorder="1" applyAlignment="1">
      <alignment horizontal="center"/>
    </xf>
    <xf numFmtId="193" fontId="2" fillId="3" borderId="1" xfId="0" applyNumberFormat="1" applyFont="1" applyFill="1" applyBorder="1" applyAlignment="1">
      <alignment horizontal="left"/>
    </xf>
    <xf numFmtId="5" fontId="6" fillId="3" borderId="1" xfId="3" applyNumberFormat="1" applyFont="1" applyFill="1" applyBorder="1" applyAlignment="1">
      <alignment horizontal="center"/>
    </xf>
    <xf numFmtId="193" fontId="6" fillId="0" borderId="3" xfId="0" applyNumberFormat="1" applyFont="1" applyBorder="1" applyAlignment="1">
      <alignment horizontal="left"/>
    </xf>
    <xf numFmtId="5" fontId="6" fillId="0" borderId="1" xfId="3" applyNumberFormat="1" applyFont="1" applyBorder="1" applyAlignment="1">
      <alignment horizontal="center"/>
    </xf>
    <xf numFmtId="193" fontId="2" fillId="0" borderId="1" xfId="0" applyNumberFormat="1" applyFont="1" applyBorder="1" applyAlignment="1">
      <alignment horizontal="left"/>
    </xf>
    <xf numFmtId="5" fontId="2" fillId="3" borderId="1" xfId="3" applyNumberFormat="1" applyFont="1" applyFill="1" applyBorder="1" applyAlignment="1">
      <alignment horizontal="center"/>
    </xf>
    <xf numFmtId="7" fontId="2" fillId="3" borderId="1" xfId="3" applyNumberFormat="1" applyFont="1" applyFill="1" applyBorder="1" applyAlignment="1">
      <alignment horizontal="center"/>
    </xf>
    <xf numFmtId="5" fontId="2" fillId="0" borderId="1" xfId="3" applyNumberFormat="1" applyFont="1" applyBorder="1" applyAlignment="1">
      <alignment horizontal="center"/>
    </xf>
    <xf numFmtId="7" fontId="2" fillId="0" borderId="1" xfId="3" applyNumberFormat="1" applyFont="1" applyBorder="1" applyAlignment="1">
      <alignment horizontal="center"/>
    </xf>
    <xf numFmtId="0" fontId="2" fillId="0" borderId="58" xfId="0" applyFont="1" applyBorder="1"/>
    <xf numFmtId="5" fontId="6" fillId="0" borderId="60" xfId="3" applyNumberFormat="1" applyFont="1" applyBorder="1" applyAlignment="1">
      <alignment horizontal="center"/>
    </xf>
    <xf numFmtId="194" fontId="5" fillId="3" borderId="58" xfId="0" applyNumberFormat="1" applyFont="1" applyFill="1" applyBorder="1" applyAlignment="1">
      <alignment horizontal="left"/>
    </xf>
    <xf numFmtId="5" fontId="2" fillId="3" borderId="60" xfId="3" applyNumberFormat="1" applyFont="1" applyFill="1" applyBorder="1" applyAlignment="1">
      <alignment horizontal="center"/>
    </xf>
    <xf numFmtId="5" fontId="6" fillId="11" borderId="28" xfId="3" applyNumberFormat="1" applyFont="1" applyFill="1" applyBorder="1" applyAlignment="1">
      <alignment horizontal="left"/>
    </xf>
    <xf numFmtId="5" fontId="6" fillId="11" borderId="29" xfId="3" applyNumberFormat="1" applyFont="1" applyFill="1" applyBorder="1" applyAlignment="1">
      <alignment horizontal="center"/>
    </xf>
    <xf numFmtId="171" fontId="6" fillId="11" borderId="30" xfId="3" applyNumberFormat="1" applyFont="1" applyFill="1" applyBorder="1" applyAlignment="1">
      <alignment horizontal="center"/>
    </xf>
    <xf numFmtId="5" fontId="6" fillId="11" borderId="63" xfId="3" applyNumberFormat="1" applyFont="1" applyFill="1" applyBorder="1" applyAlignment="1">
      <alignment horizontal="center"/>
    </xf>
    <xf numFmtId="0" fontId="27" fillId="7" borderId="64" xfId="0" applyFont="1" applyFill="1" applyBorder="1" applyAlignment="1">
      <alignment horizontal="center"/>
    </xf>
    <xf numFmtId="0" fontId="23" fillId="0" borderId="2" xfId="0" applyFont="1" applyBorder="1" applyAlignment="1">
      <alignment horizontal="left"/>
    </xf>
    <xf numFmtId="5" fontId="23" fillId="3" borderId="2" xfId="0" applyNumberFormat="1" applyFont="1" applyFill="1" applyBorder="1" applyAlignment="1">
      <alignment horizontal="center"/>
    </xf>
    <xf numFmtId="5" fontId="23" fillId="0" borderId="2" xfId="0" applyNumberFormat="1" applyFont="1" applyBorder="1" applyAlignment="1">
      <alignment horizontal="center"/>
    </xf>
    <xf numFmtId="0" fontId="23" fillId="12" borderId="39" xfId="0" applyFont="1" applyFill="1" applyBorder="1"/>
    <xf numFmtId="169" fontId="23" fillId="12" borderId="40" xfId="0" applyNumberFormat="1" applyFont="1" applyFill="1" applyBorder="1" applyAlignment="1">
      <alignment horizontal="center"/>
    </xf>
    <xf numFmtId="171" fontId="23" fillId="12" borderId="40" xfId="0" applyNumberFormat="1" applyFont="1" applyFill="1" applyBorder="1" applyAlignment="1">
      <alignment horizontal="center"/>
    </xf>
    <xf numFmtId="0" fontId="27" fillId="7" borderId="37" xfId="9" applyFont="1" applyFill="1" applyBorder="1"/>
    <xf numFmtId="0" fontId="31" fillId="7" borderId="29" xfId="9" applyFont="1" applyFill="1" applyBorder="1" applyAlignment="1">
      <alignment horizontal="right" wrapText="1"/>
    </xf>
    <xf numFmtId="10" fontId="32" fillId="7" borderId="29" xfId="9" applyNumberFormat="1" applyFont="1" applyFill="1" applyBorder="1" applyAlignment="1">
      <alignment horizontal="center"/>
    </xf>
    <xf numFmtId="169" fontId="27" fillId="7" borderId="22" xfId="9" applyNumberFormat="1" applyFont="1" applyFill="1" applyBorder="1"/>
    <xf numFmtId="0" fontId="22" fillId="3" borderId="0" xfId="0" applyFont="1" applyFill="1"/>
    <xf numFmtId="169" fontId="22" fillId="3" borderId="0" xfId="0" applyNumberFormat="1" applyFont="1" applyFill="1"/>
    <xf numFmtId="0" fontId="2" fillId="3" borderId="13" xfId="0" applyFont="1" applyFill="1" applyBorder="1" applyAlignment="1">
      <alignment wrapText="1"/>
    </xf>
    <xf numFmtId="173" fontId="2" fillId="3" borderId="1" xfId="0" applyNumberFormat="1" applyFont="1" applyFill="1" applyBorder="1" applyAlignment="1">
      <alignment horizontal="center"/>
    </xf>
    <xf numFmtId="5" fontId="2" fillId="3" borderId="19" xfId="3" applyNumberFormat="1" applyFont="1" applyFill="1" applyBorder="1" applyAlignment="1">
      <alignment horizontal="center"/>
    </xf>
    <xf numFmtId="0" fontId="2" fillId="3" borderId="18" xfId="0" applyFont="1" applyFill="1" applyBorder="1" applyAlignment="1">
      <alignment wrapText="1"/>
    </xf>
    <xf numFmtId="195" fontId="2" fillId="3" borderId="1" xfId="0" applyNumberFormat="1" applyFont="1" applyFill="1" applyBorder="1" applyAlignment="1">
      <alignment horizontal="center"/>
    </xf>
    <xf numFmtId="174" fontId="5" fillId="3" borderId="1" xfId="0" applyNumberFormat="1" applyFont="1" applyFill="1" applyBorder="1" applyAlignment="1">
      <alignment horizontal="center"/>
    </xf>
    <xf numFmtId="0" fontId="22" fillId="3" borderId="1" xfId="0" applyFont="1" applyFill="1" applyBorder="1" applyAlignment="1">
      <alignment horizontal="center" wrapText="1"/>
    </xf>
    <xf numFmtId="5" fontId="5" fillId="3" borderId="2" xfId="3" applyNumberFormat="1" applyFont="1" applyFill="1" applyBorder="1" applyAlignment="1">
      <alignment horizontal="center"/>
    </xf>
    <xf numFmtId="196" fontId="5" fillId="3" borderId="1" xfId="0" applyNumberFormat="1" applyFont="1" applyFill="1" applyBorder="1" applyAlignment="1">
      <alignment horizontal="center"/>
    </xf>
    <xf numFmtId="175" fontId="2" fillId="3" borderId="1" xfId="0" applyNumberFormat="1" applyFont="1" applyFill="1" applyBorder="1" applyAlignment="1">
      <alignment horizontal="center"/>
    </xf>
    <xf numFmtId="0" fontId="2" fillId="3" borderId="15" xfId="0" applyFont="1" applyFill="1" applyBorder="1"/>
    <xf numFmtId="0" fontId="22" fillId="3" borderId="1" xfId="0" applyFont="1" applyFill="1" applyBorder="1" applyAlignment="1">
      <alignment horizontal="center"/>
    </xf>
    <xf numFmtId="5" fontId="5" fillId="3" borderId="1" xfId="3" applyNumberFormat="1" applyFont="1" applyFill="1" applyBorder="1" applyAlignment="1">
      <alignment horizontal="center"/>
    </xf>
    <xf numFmtId="0" fontId="22" fillId="0" borderId="1" xfId="0" applyFont="1" applyBorder="1" applyAlignment="1">
      <alignment horizontal="center"/>
    </xf>
    <xf numFmtId="5" fontId="5" fillId="0" borderId="1" xfId="3" applyNumberFormat="1" applyFont="1" applyFill="1" applyBorder="1" applyAlignment="1">
      <alignment horizontal="center"/>
    </xf>
    <xf numFmtId="10" fontId="22" fillId="0" borderId="0" xfId="8" applyNumberFormat="1" applyFont="1"/>
    <xf numFmtId="177" fontId="5" fillId="3" borderId="1" xfId="0" applyNumberFormat="1" applyFont="1" applyFill="1" applyBorder="1" applyAlignment="1">
      <alignment horizontal="center"/>
    </xf>
    <xf numFmtId="178" fontId="5" fillId="0" borderId="1" xfId="0" applyNumberFormat="1" applyFont="1" applyBorder="1" applyAlignment="1">
      <alignment horizontal="center"/>
    </xf>
    <xf numFmtId="5" fontId="22" fillId="0" borderId="1" xfId="3" applyNumberFormat="1" applyFont="1" applyFill="1" applyBorder="1" applyAlignment="1">
      <alignment horizontal="center"/>
    </xf>
    <xf numFmtId="177" fontId="5" fillId="0" borderId="1" xfId="0" applyNumberFormat="1" applyFont="1" applyBorder="1" applyAlignment="1">
      <alignment horizontal="center"/>
    </xf>
    <xf numFmtId="5" fontId="2" fillId="0" borderId="1" xfId="3" applyNumberFormat="1" applyFont="1" applyFill="1" applyBorder="1" applyAlignment="1">
      <alignment horizontal="center"/>
    </xf>
    <xf numFmtId="10" fontId="22" fillId="0" borderId="1" xfId="8" applyNumberFormat="1" applyFont="1" applyBorder="1" applyAlignment="1">
      <alignment horizontal="center"/>
    </xf>
    <xf numFmtId="175" fontId="5" fillId="0" borderId="1" xfId="0" applyNumberFormat="1" applyFont="1" applyBorder="1" applyAlignment="1">
      <alignment horizontal="center"/>
    </xf>
    <xf numFmtId="179" fontId="5" fillId="0" borderId="1" xfId="0" applyNumberFormat="1" applyFont="1" applyBorder="1" applyAlignment="1">
      <alignment horizontal="center"/>
    </xf>
    <xf numFmtId="180" fontId="5" fillId="0" borderId="0" xfId="0" applyNumberFormat="1" applyFont="1" applyAlignment="1">
      <alignment horizontal="center"/>
    </xf>
    <xf numFmtId="181" fontId="5" fillId="0" borderId="1" xfId="0" applyNumberFormat="1" applyFont="1" applyBorder="1" applyAlignment="1">
      <alignment horizontal="center"/>
    </xf>
    <xf numFmtId="182" fontId="5" fillId="0" borderId="1" xfId="0" applyNumberFormat="1" applyFont="1" applyBorder="1" applyAlignment="1">
      <alignment horizontal="center"/>
    </xf>
    <xf numFmtId="7" fontId="22" fillId="2" borderId="0" xfId="0" applyNumberFormat="1" applyFont="1" applyFill="1"/>
    <xf numFmtId="183" fontId="2" fillId="0" borderId="15" xfId="0" applyNumberFormat="1" applyFont="1" applyBorder="1"/>
    <xf numFmtId="184" fontId="5" fillId="3" borderId="1" xfId="0" applyNumberFormat="1" applyFont="1" applyFill="1" applyBorder="1" applyAlignment="1">
      <alignment horizontal="center"/>
    </xf>
    <xf numFmtId="5" fontId="22" fillId="2" borderId="0" xfId="0" applyNumberFormat="1" applyFont="1" applyFill="1"/>
    <xf numFmtId="197" fontId="22" fillId="0" borderId="46" xfId="8" applyNumberFormat="1" applyFont="1" applyBorder="1" applyAlignment="1">
      <alignment horizontal="center"/>
    </xf>
    <xf numFmtId="5" fontId="5" fillId="0" borderId="46" xfId="3" applyNumberFormat="1" applyFont="1" applyFill="1" applyBorder="1" applyAlignment="1">
      <alignment horizontal="center"/>
    </xf>
    <xf numFmtId="5" fontId="2" fillId="0" borderId="46" xfId="3" applyNumberFormat="1" applyFont="1" applyBorder="1" applyAlignment="1">
      <alignment horizontal="center"/>
    </xf>
    <xf numFmtId="0" fontId="6" fillId="11" borderId="55" xfId="0" applyFont="1" applyFill="1" applyBorder="1"/>
    <xf numFmtId="0" fontId="22" fillId="11" borderId="55" xfId="0" applyFont="1" applyFill="1" applyBorder="1"/>
    <xf numFmtId="5" fontId="6" fillId="11" borderId="2" xfId="3" applyNumberFormat="1" applyFont="1" applyFill="1" applyBorder="1" applyAlignment="1">
      <alignment horizontal="center"/>
    </xf>
    <xf numFmtId="0" fontId="6" fillId="11" borderId="13" xfId="0" applyFont="1" applyFill="1" applyBorder="1"/>
    <xf numFmtId="165" fontId="6" fillId="11" borderId="14" xfId="8" applyNumberFormat="1" applyFont="1" applyFill="1" applyBorder="1" applyAlignment="1">
      <alignment horizontal="center"/>
    </xf>
    <xf numFmtId="0" fontId="6" fillId="11" borderId="15" xfId="0" applyFont="1" applyFill="1" applyBorder="1"/>
    <xf numFmtId="165" fontId="6" fillId="11" borderId="16" xfId="8" applyNumberFormat="1" applyFont="1" applyFill="1" applyBorder="1" applyAlignment="1">
      <alignment horizontal="center"/>
    </xf>
    <xf numFmtId="169" fontId="22" fillId="0" borderId="0" xfId="0" applyNumberFormat="1" applyFont="1"/>
    <xf numFmtId="7" fontId="22" fillId="0" borderId="0" xfId="0" applyNumberFormat="1" applyFont="1"/>
    <xf numFmtId="198" fontId="5" fillId="11" borderId="20" xfId="0" applyNumberFormat="1" applyFont="1" applyFill="1" applyBorder="1" applyAlignment="1">
      <alignment horizontal="left"/>
    </xf>
    <xf numFmtId="6" fontId="6" fillId="11" borderId="22" xfId="8" applyNumberFormat="1" applyFont="1" applyFill="1" applyBorder="1" applyAlignment="1">
      <alignment horizontal="center"/>
    </xf>
    <xf numFmtId="199" fontId="5" fillId="11" borderId="15" xfId="0" applyNumberFormat="1" applyFont="1" applyFill="1" applyBorder="1" applyAlignment="1">
      <alignment horizontal="left"/>
    </xf>
    <xf numFmtId="0" fontId="33" fillId="0" borderId="0" xfId="0" applyFont="1"/>
    <xf numFmtId="200" fontId="6" fillId="0" borderId="0" xfId="0" applyNumberFormat="1" applyFont="1"/>
    <xf numFmtId="6" fontId="6" fillId="0" borderId="0" xfId="8" applyNumberFormat="1" applyFont="1" applyFill="1" applyBorder="1" applyAlignment="1">
      <alignment horizontal="center"/>
    </xf>
    <xf numFmtId="185" fontId="27" fillId="14" borderId="41" xfId="0" applyNumberFormat="1" applyFont="1" applyFill="1" applyBorder="1"/>
    <xf numFmtId="0" fontId="23" fillId="0" borderId="36" xfId="0" applyFont="1" applyBorder="1" applyAlignment="1">
      <alignment horizontal="left"/>
    </xf>
    <xf numFmtId="0" fontId="23" fillId="0" borderId="37" xfId="0" applyFont="1" applyBorder="1" applyAlignment="1">
      <alignment horizontal="center"/>
    </xf>
    <xf numFmtId="0" fontId="23" fillId="0" borderId="38" xfId="0" applyFont="1" applyBorder="1" applyAlignment="1">
      <alignment horizontal="center"/>
    </xf>
    <xf numFmtId="0" fontId="23" fillId="0" borderId="2" xfId="0" applyFont="1" applyBorder="1" applyAlignment="1">
      <alignment horizontal="right"/>
    </xf>
    <xf numFmtId="6" fontId="23" fillId="0" borderId="2" xfId="0" applyNumberFormat="1" applyFont="1" applyBorder="1" applyAlignment="1">
      <alignment horizontal="center" vertical="center"/>
    </xf>
    <xf numFmtId="6" fontId="23" fillId="0" borderId="1" xfId="0" applyNumberFormat="1" applyFont="1" applyBorder="1" applyAlignment="1">
      <alignment horizontal="center" vertical="center"/>
    </xf>
    <xf numFmtId="0" fontId="23" fillId="0" borderId="9" xfId="0" applyFont="1" applyBorder="1" applyAlignment="1">
      <alignment horizontal="right"/>
    </xf>
    <xf numFmtId="201" fontId="6" fillId="0" borderId="18" xfId="0" applyNumberFormat="1" applyFont="1" applyBorder="1" applyAlignment="1">
      <alignment horizontal="right"/>
    </xf>
    <xf numFmtId="5" fontId="2" fillId="0" borderId="2" xfId="3" applyNumberFormat="1" applyFont="1" applyBorder="1" applyAlignment="1">
      <alignment horizontal="center" vertical="center"/>
    </xf>
    <xf numFmtId="5" fontId="2" fillId="0" borderId="23" xfId="3" applyNumberFormat="1" applyFont="1" applyBorder="1" applyAlignment="1">
      <alignment horizontal="center" vertical="center"/>
    </xf>
    <xf numFmtId="202" fontId="2" fillId="0" borderId="45" xfId="0" applyNumberFormat="1" applyFont="1" applyBorder="1" applyAlignment="1">
      <alignment horizontal="right"/>
    </xf>
    <xf numFmtId="5" fontId="2" fillId="0" borderId="47" xfId="3" applyNumberFormat="1" applyFont="1" applyBorder="1" applyAlignment="1">
      <alignment horizontal="center" vertical="center"/>
    </xf>
    <xf numFmtId="5" fontId="6" fillId="0" borderId="2" xfId="0" applyNumberFormat="1" applyFont="1" applyBorder="1" applyAlignment="1">
      <alignment horizontal="center" vertical="center"/>
    </xf>
    <xf numFmtId="5" fontId="6" fillId="0" borderId="23" xfId="0" applyNumberFormat="1" applyFont="1" applyBorder="1" applyAlignment="1">
      <alignment horizontal="center" vertical="center"/>
    </xf>
    <xf numFmtId="0" fontId="27" fillId="0" borderId="36" xfId="0" applyFont="1" applyBorder="1" applyAlignment="1">
      <alignment horizontal="center"/>
    </xf>
    <xf numFmtId="0" fontId="27" fillId="0" borderId="37" xfId="0" applyFont="1" applyBorder="1" applyAlignment="1">
      <alignment horizontal="center"/>
    </xf>
    <xf numFmtId="0" fontId="27" fillId="0" borderId="38" xfId="0" applyFont="1" applyBorder="1" applyAlignment="1">
      <alignment horizontal="center"/>
    </xf>
    <xf numFmtId="0" fontId="22" fillId="0" borderId="34" xfId="0" applyFont="1" applyBorder="1" applyAlignment="1">
      <alignment horizontal="right"/>
    </xf>
    <xf numFmtId="0" fontId="23" fillId="0" borderId="65" xfId="0" applyFont="1" applyBorder="1" applyAlignment="1">
      <alignment horizontal="center"/>
    </xf>
    <xf numFmtId="0" fontId="2" fillId="0" borderId="66" xfId="0" applyFont="1" applyBorder="1"/>
    <xf numFmtId="37" fontId="2" fillId="0" borderId="67" xfId="3" applyNumberFormat="1" applyFont="1" applyBorder="1" applyAlignment="1">
      <alignment horizontal="center"/>
    </xf>
    <xf numFmtId="37" fontId="2" fillId="0" borderId="67" xfId="3" applyNumberFormat="1" applyFont="1" applyBorder="1"/>
    <xf numFmtId="203" fontId="5" fillId="0" borderId="68" xfId="0" applyNumberFormat="1" applyFont="1" applyBorder="1" applyAlignment="1" applyProtection="1">
      <alignment horizontal="left"/>
      <protection locked="0"/>
    </xf>
    <xf numFmtId="5" fontId="2" fillId="0" borderId="69" xfId="3" applyNumberFormat="1" applyFont="1" applyBorder="1" applyAlignment="1">
      <alignment horizontal="center"/>
    </xf>
    <xf numFmtId="37" fontId="2" fillId="0" borderId="69" xfId="3" applyNumberFormat="1" applyFont="1" applyBorder="1"/>
    <xf numFmtId="0" fontId="2" fillId="0" borderId="36" xfId="0" applyFont="1" applyBorder="1"/>
    <xf numFmtId="37" fontId="2" fillId="0" borderId="63" xfId="3" applyNumberFormat="1" applyFont="1" applyBorder="1" applyAlignment="1">
      <alignment horizontal="center"/>
    </xf>
    <xf numFmtId="37" fontId="2" fillId="0" borderId="63" xfId="3" applyNumberFormat="1" applyFont="1" applyBorder="1"/>
    <xf numFmtId="171" fontId="22" fillId="0" borderId="0" xfId="0" applyNumberFormat="1" applyFont="1"/>
    <xf numFmtId="0" fontId="2" fillId="0" borderId="68" xfId="0" applyFont="1" applyBorder="1"/>
    <xf numFmtId="37" fontId="2" fillId="0" borderId="69" xfId="3" applyNumberFormat="1" applyFont="1" applyBorder="1" applyAlignment="1">
      <alignment horizontal="center"/>
    </xf>
    <xf numFmtId="169" fontId="6" fillId="0" borderId="63" xfId="3" applyNumberFormat="1" applyFont="1" applyBorder="1" applyAlignment="1">
      <alignment horizontal="center"/>
    </xf>
    <xf numFmtId="169" fontId="6" fillId="0" borderId="63" xfId="3" applyNumberFormat="1" applyFont="1" applyBorder="1"/>
    <xf numFmtId="5" fontId="22" fillId="0" borderId="0" xfId="0" applyNumberFormat="1" applyFont="1"/>
    <xf numFmtId="0" fontId="2" fillId="0" borderId="70" xfId="0" applyFont="1" applyBorder="1" applyAlignment="1">
      <alignment horizontal="right"/>
    </xf>
    <xf numFmtId="169" fontId="22" fillId="0" borderId="71" xfId="1" applyNumberFormat="1" applyFont="1" applyBorder="1" applyAlignment="1">
      <alignment horizontal="center"/>
    </xf>
    <xf numFmtId="169" fontId="22" fillId="0" borderId="72" xfId="0" applyNumberFormat="1" applyFont="1" applyBorder="1" applyAlignment="1">
      <alignment horizontal="right"/>
    </xf>
    <xf numFmtId="169" fontId="22" fillId="0" borderId="73" xfId="0" applyNumberFormat="1" applyFont="1" applyBorder="1" applyAlignment="1">
      <alignment horizontal="center"/>
    </xf>
    <xf numFmtId="0" fontId="27" fillId="0" borderId="63" xfId="0" applyFont="1" applyBorder="1" applyAlignment="1">
      <alignment horizontal="center"/>
    </xf>
    <xf numFmtId="0" fontId="27" fillId="0" borderId="34" xfId="0" applyFont="1" applyBorder="1" applyAlignment="1">
      <alignment horizontal="center"/>
    </xf>
    <xf numFmtId="0" fontId="2" fillId="0" borderId="70" xfId="0" applyFont="1" applyBorder="1"/>
    <xf numFmtId="204" fontId="2" fillId="0" borderId="71" xfId="8" applyNumberFormat="1" applyFont="1" applyFill="1" applyBorder="1" applyAlignment="1">
      <alignment horizontal="center"/>
    </xf>
    <xf numFmtId="0" fontId="6" fillId="0" borderId="70" xfId="0" applyFont="1" applyBorder="1"/>
    <xf numFmtId="9" fontId="6" fillId="0" borderId="71" xfId="0" applyNumberFormat="1" applyFont="1" applyBorder="1" applyAlignment="1">
      <alignment horizontal="center"/>
    </xf>
    <xf numFmtId="0" fontId="22" fillId="0" borderId="0" xfId="0" applyFont="1" applyAlignment="1">
      <alignment horizontal="right"/>
    </xf>
    <xf numFmtId="9" fontId="2" fillId="0" borderId="71" xfId="0" applyNumberFormat="1" applyFont="1" applyBorder="1" applyAlignment="1">
      <alignment horizontal="center"/>
    </xf>
    <xf numFmtId="10" fontId="2" fillId="0" borderId="71" xfId="0" applyNumberFormat="1" applyFont="1" applyBorder="1" applyAlignment="1">
      <alignment horizontal="center"/>
    </xf>
    <xf numFmtId="1" fontId="0" fillId="0" borderId="1" xfId="0" applyNumberFormat="1" applyBorder="1" applyAlignment="1">
      <alignment horizontal="center"/>
    </xf>
    <xf numFmtId="0" fontId="4" fillId="0" borderId="1" xfId="0" applyFont="1" applyBorder="1" applyAlignment="1">
      <alignment horizontal="center"/>
    </xf>
    <xf numFmtId="8" fontId="4" fillId="0" borderId="1" xfId="0" applyNumberFormat="1" applyFont="1" applyBorder="1" applyAlignment="1">
      <alignment horizontal="center"/>
    </xf>
    <xf numFmtId="0" fontId="0" fillId="0" borderId="1" xfId="0" applyBorder="1"/>
    <xf numFmtId="167" fontId="0" fillId="0" borderId="1" xfId="0" applyNumberFormat="1" applyBorder="1"/>
    <xf numFmtId="0" fontId="0" fillId="0" borderId="3" xfId="0" applyBorder="1"/>
    <xf numFmtId="0" fontId="4" fillId="0" borderId="1" xfId="0" applyFont="1" applyBorder="1"/>
    <xf numFmtId="0" fontId="0" fillId="0" borderId="0" xfId="0" applyAlignment="1">
      <alignment horizontal="right"/>
    </xf>
    <xf numFmtId="8" fontId="0" fillId="0" borderId="0" xfId="0" applyNumberFormat="1" applyAlignment="1">
      <alignment horizontal="center"/>
    </xf>
    <xf numFmtId="0" fontId="7" fillId="5" borderId="0" xfId="5" applyFill="1" applyAlignment="1">
      <alignment horizontal="center" vertical="center" wrapText="1"/>
    </xf>
    <xf numFmtId="9" fontId="7" fillId="0" borderId="0" xfId="5" applyNumberFormat="1" applyAlignment="1">
      <alignment horizontal="center"/>
    </xf>
    <xf numFmtId="0" fontId="7" fillId="4" borderId="0" xfId="5" applyFill="1" applyAlignment="1">
      <alignment horizontal="center" vertical="center" wrapText="1"/>
    </xf>
    <xf numFmtId="0" fontId="19" fillId="0" borderId="0" xfId="5" applyFont="1"/>
    <xf numFmtId="0" fontId="20" fillId="0" borderId="0" xfId="5" applyFont="1"/>
    <xf numFmtId="0" fontId="21" fillId="0" borderId="0" xfId="5" applyFont="1"/>
    <xf numFmtId="6" fontId="19" fillId="0" borderId="0" xfId="5" applyNumberFormat="1" applyFont="1"/>
    <xf numFmtId="191" fontId="2" fillId="0" borderId="15" xfId="0" applyNumberFormat="1" applyFont="1" applyBorder="1" applyAlignment="1">
      <alignment horizontal="right"/>
    </xf>
    <xf numFmtId="199" fontId="6" fillId="11" borderId="15" xfId="0" applyNumberFormat="1" applyFont="1" applyFill="1" applyBorder="1"/>
    <xf numFmtId="14" fontId="6" fillId="15" borderId="13" xfId="0" applyNumberFormat="1" applyFont="1" applyFill="1" applyBorder="1" applyAlignment="1">
      <alignment horizontal="right" vertical="center"/>
    </xf>
    <xf numFmtId="0" fontId="6" fillId="15" borderId="19" xfId="5" applyFont="1" applyFill="1" applyBorder="1" applyAlignment="1">
      <alignment horizontal="center"/>
    </xf>
    <xf numFmtId="0" fontId="6" fillId="15" borderId="14" xfId="5" applyFont="1" applyFill="1" applyBorder="1" applyAlignment="1">
      <alignment horizontal="center"/>
    </xf>
    <xf numFmtId="14" fontId="6" fillId="15" borderId="20" xfId="0" applyNumberFormat="1" applyFont="1" applyFill="1" applyBorder="1" applyAlignment="1">
      <alignment horizontal="right" vertical="center"/>
    </xf>
    <xf numFmtId="14" fontId="6" fillId="15" borderId="21" xfId="5" applyNumberFormat="1" applyFont="1" applyFill="1" applyBorder="1" applyAlignment="1">
      <alignment horizontal="center"/>
    </xf>
    <xf numFmtId="0" fontId="23" fillId="0" borderId="0" xfId="0" applyFont="1"/>
    <xf numFmtId="0" fontId="22" fillId="0" borderId="77" xfId="0" applyFont="1" applyBorder="1" applyAlignment="1">
      <alignment horizontal="center"/>
    </xf>
    <xf numFmtId="205" fontId="23" fillId="0" borderId="2" xfId="0" applyNumberFormat="1" applyFont="1" applyBorder="1" applyAlignment="1">
      <alignment horizontal="center"/>
    </xf>
    <xf numFmtId="205" fontId="23" fillId="0" borderId="2" xfId="0" applyNumberFormat="1" applyFont="1" applyBorder="1"/>
    <xf numFmtId="205" fontId="23" fillId="0" borderId="1" xfId="0" applyNumberFormat="1" applyFont="1" applyBorder="1"/>
    <xf numFmtId="205" fontId="22" fillId="0" borderId="12" xfId="0" applyNumberFormat="1" applyFont="1" applyBorder="1"/>
    <xf numFmtId="205" fontId="22" fillId="0" borderId="1" xfId="0" applyNumberFormat="1" applyFont="1" applyBorder="1" applyAlignment="1">
      <alignment horizontal="center"/>
    </xf>
    <xf numFmtId="205" fontId="22" fillId="0" borderId="1" xfId="0" applyNumberFormat="1" applyFont="1" applyBorder="1"/>
    <xf numFmtId="0" fontId="22" fillId="15" borderId="39" xfId="0" applyFont="1" applyFill="1" applyBorder="1"/>
    <xf numFmtId="10" fontId="22" fillId="15" borderId="31" xfId="0" applyNumberFormat="1" applyFont="1" applyFill="1" applyBorder="1"/>
    <xf numFmtId="165" fontId="5" fillId="15" borderId="25" xfId="0" applyNumberFormat="1" applyFont="1" applyFill="1" applyBorder="1"/>
    <xf numFmtId="165" fontId="5" fillId="15" borderId="29" xfId="0" applyNumberFormat="1" applyFont="1" applyFill="1" applyBorder="1"/>
    <xf numFmtId="165" fontId="6" fillId="15" borderId="25" xfId="0" applyNumberFormat="1" applyFont="1" applyFill="1" applyBorder="1"/>
    <xf numFmtId="165" fontId="36" fillId="15" borderId="55" xfId="0" applyNumberFormat="1" applyFont="1" applyFill="1" applyBorder="1"/>
    <xf numFmtId="9" fontId="6" fillId="0" borderId="55" xfId="0" applyNumberFormat="1" applyFont="1" applyBorder="1" applyAlignment="1">
      <alignment horizontal="center"/>
    </xf>
    <xf numFmtId="0" fontId="22" fillId="0" borderId="4" xfId="0" applyFont="1" applyBorder="1"/>
    <xf numFmtId="5" fontId="22" fillId="0" borderId="4" xfId="0" applyNumberFormat="1" applyFont="1" applyBorder="1"/>
    <xf numFmtId="5" fontId="24" fillId="0" borderId="1" xfId="0" applyNumberFormat="1" applyFont="1" applyBorder="1"/>
    <xf numFmtId="5" fontId="22" fillId="0" borderId="2" xfId="0" applyNumberFormat="1" applyFont="1" applyBorder="1"/>
    <xf numFmtId="5" fontId="22" fillId="0" borderId="1" xfId="0" applyNumberFormat="1" applyFont="1" applyBorder="1"/>
    <xf numFmtId="38" fontId="5" fillId="0" borderId="1" xfId="0" applyNumberFormat="1" applyFont="1" applyBorder="1"/>
    <xf numFmtId="5" fontId="5" fillId="0" borderId="1" xfId="0" applyNumberFormat="1" applyFont="1" applyBorder="1"/>
    <xf numFmtId="0" fontId="5" fillId="0" borderId="1" xfId="0" applyFont="1" applyBorder="1"/>
    <xf numFmtId="0" fontId="5" fillId="0" borderId="0" xfId="0" applyFont="1"/>
    <xf numFmtId="0" fontId="5" fillId="0" borderId="11" xfId="0" applyFont="1" applyBorder="1"/>
    <xf numFmtId="0" fontId="5" fillId="0" borderId="10" xfId="0" applyFont="1" applyBorder="1"/>
    <xf numFmtId="38" fontId="5" fillId="0" borderId="11" xfId="0" applyNumberFormat="1" applyFont="1" applyBorder="1"/>
    <xf numFmtId="38" fontId="24" fillId="0" borderId="1" xfId="0" applyNumberFormat="1" applyFont="1" applyBorder="1"/>
    <xf numFmtId="5" fontId="5" fillId="0" borderId="11" xfId="0" applyNumberFormat="1" applyFont="1" applyBorder="1"/>
    <xf numFmtId="5" fontId="5" fillId="0" borderId="10" xfId="0" applyNumberFormat="1" applyFont="1" applyBorder="1"/>
    <xf numFmtId="7" fontId="5" fillId="0" borderId="1" xfId="0" applyNumberFormat="1" applyFont="1" applyBorder="1"/>
    <xf numFmtId="0" fontId="24" fillId="0" borderId="0" xfId="0" applyFont="1"/>
    <xf numFmtId="0" fontId="24" fillId="0" borderId="1" xfId="0" applyFont="1" applyBorder="1"/>
    <xf numFmtId="0" fontId="24" fillId="0" borderId="11" xfId="0" applyFont="1" applyBorder="1"/>
    <xf numFmtId="0" fontId="24" fillId="0" borderId="10" xfId="0" applyFont="1" applyBorder="1"/>
    <xf numFmtId="0" fontId="22" fillId="0" borderId="11" xfId="0" applyFont="1" applyBorder="1"/>
    <xf numFmtId="5" fontId="24" fillId="0" borderId="11" xfId="0" applyNumberFormat="1" applyFont="1" applyBorder="1"/>
    <xf numFmtId="5" fontId="22" fillId="0" borderId="11" xfId="0" applyNumberFormat="1" applyFont="1" applyBorder="1"/>
    <xf numFmtId="5" fontId="5" fillId="0" borderId="3" xfId="0" applyNumberFormat="1" applyFont="1" applyBorder="1"/>
    <xf numFmtId="5" fontId="24" fillId="0" borderId="10" xfId="0" applyNumberFormat="1" applyFont="1" applyBorder="1"/>
    <xf numFmtId="6" fontId="24" fillId="0" borderId="1" xfId="0" applyNumberFormat="1" applyFont="1" applyBorder="1"/>
    <xf numFmtId="169" fontId="24" fillId="0" borderId="1" xfId="0" applyNumberFormat="1" applyFont="1" applyBorder="1"/>
    <xf numFmtId="169" fontId="24" fillId="0" borderId="0" xfId="0" applyNumberFormat="1" applyFont="1"/>
    <xf numFmtId="38" fontId="24" fillId="0" borderId="11" xfId="0" applyNumberFormat="1" applyFont="1" applyBorder="1"/>
    <xf numFmtId="5" fontId="24" fillId="0" borderId="1" xfId="0" applyNumberFormat="1" applyFont="1" applyBorder="1" applyAlignment="1">
      <alignment horizontal="center" wrapText="1"/>
    </xf>
    <xf numFmtId="0" fontId="22" fillId="0" borderId="46" xfId="0" applyFont="1" applyBorder="1"/>
    <xf numFmtId="5" fontId="22" fillId="0" borderId="46" xfId="0" applyNumberFormat="1" applyFont="1" applyBorder="1"/>
    <xf numFmtId="5" fontId="24" fillId="0" borderId="46" xfId="0" applyNumberFormat="1" applyFont="1" applyBorder="1"/>
    <xf numFmtId="0" fontId="24" fillId="0" borderId="78" xfId="0" applyFont="1" applyBorder="1"/>
    <xf numFmtId="0" fontId="24" fillId="0" borderId="46" xfId="0" applyFont="1" applyBorder="1"/>
    <xf numFmtId="0" fontId="24" fillId="0" borderId="12" xfId="0" applyFont="1" applyBorder="1"/>
    <xf numFmtId="0" fontId="24" fillId="0" borderId="6" xfId="0" applyFont="1" applyBorder="1"/>
    <xf numFmtId="0" fontId="22" fillId="0" borderId="55" xfId="0" applyFont="1" applyBorder="1"/>
    <xf numFmtId="38" fontId="23" fillId="0" borderId="55" xfId="0" applyNumberFormat="1" applyFont="1" applyBorder="1"/>
    <xf numFmtId="5" fontId="23" fillId="0" borderId="2" xfId="0" applyNumberFormat="1" applyFont="1" applyBorder="1"/>
    <xf numFmtId="5" fontId="23" fillId="0" borderId="7" xfId="0" applyNumberFormat="1" applyFont="1" applyBorder="1"/>
    <xf numFmtId="5" fontId="23" fillId="0" borderId="24" xfId="0" applyNumberFormat="1" applyFont="1" applyBorder="1"/>
    <xf numFmtId="5" fontId="23" fillId="0" borderId="25" xfId="0" applyNumberFormat="1" applyFont="1" applyBorder="1"/>
    <xf numFmtId="6" fontId="23" fillId="0" borderId="9" xfId="0" applyNumberFormat="1" applyFont="1" applyBorder="1"/>
    <xf numFmtId="5" fontId="23" fillId="0" borderId="9" xfId="0" applyNumberFormat="1" applyFont="1" applyBorder="1"/>
    <xf numFmtId="0" fontId="22" fillId="0" borderId="13" xfId="0" applyFont="1" applyBorder="1"/>
    <xf numFmtId="6" fontId="22" fillId="0" borderId="14" xfId="0" applyNumberFormat="1" applyFont="1" applyBorder="1"/>
    <xf numFmtId="0" fontId="22" fillId="6" borderId="11" xfId="0" applyFont="1" applyFill="1" applyBorder="1"/>
    <xf numFmtId="0" fontId="22" fillId="6" borderId="1" xfId="0" applyFont="1" applyFill="1" applyBorder="1"/>
    <xf numFmtId="6" fontId="22" fillId="6" borderId="1" xfId="0" applyNumberFormat="1" applyFont="1" applyFill="1" applyBorder="1"/>
    <xf numFmtId="0" fontId="22" fillId="6" borderId="10" xfId="0" applyFont="1" applyFill="1" applyBorder="1"/>
    <xf numFmtId="0" fontId="22" fillId="6" borderId="2" xfId="0" applyFont="1" applyFill="1" applyBorder="1"/>
    <xf numFmtId="0" fontId="22" fillId="6" borderId="9" xfId="0" applyFont="1" applyFill="1" applyBorder="1"/>
    <xf numFmtId="0" fontId="22" fillId="0" borderId="20" xfId="0" applyFont="1" applyBorder="1"/>
    <xf numFmtId="6" fontId="22" fillId="0" borderId="22" xfId="0" applyNumberFormat="1" applyFont="1" applyBorder="1"/>
    <xf numFmtId="0" fontId="22" fillId="6" borderId="6" xfId="0" applyFont="1" applyFill="1" applyBorder="1"/>
    <xf numFmtId="0" fontId="22" fillId="6" borderId="12" xfId="0" applyFont="1" applyFill="1" applyBorder="1"/>
    <xf numFmtId="6" fontId="22" fillId="6" borderId="12" xfId="0" applyNumberFormat="1" applyFont="1" applyFill="1" applyBorder="1"/>
    <xf numFmtId="0" fontId="22" fillId="6" borderId="5" xfId="0" applyFont="1" applyFill="1" applyBorder="1"/>
    <xf numFmtId="0" fontId="22" fillId="6" borderId="55" xfId="0" applyFont="1" applyFill="1" applyBorder="1"/>
    <xf numFmtId="0" fontId="22" fillId="6" borderId="27" xfId="0" applyFont="1" applyFill="1" applyBorder="1"/>
    <xf numFmtId="0" fontId="22" fillId="0" borderId="66" xfId="0" applyFont="1" applyBorder="1"/>
    <xf numFmtId="6" fontId="22" fillId="0" borderId="66" xfId="0" applyNumberFormat="1" applyFont="1" applyBorder="1"/>
    <xf numFmtId="5" fontId="22" fillId="0" borderId="19" xfId="0" applyNumberFormat="1" applyFont="1" applyBorder="1"/>
    <xf numFmtId="0" fontId="22" fillId="0" borderId="72" xfId="0" applyFont="1" applyBorder="1"/>
    <xf numFmtId="5" fontId="22" fillId="0" borderId="72" xfId="0" applyNumberFormat="1" applyFont="1" applyBorder="1"/>
    <xf numFmtId="5" fontId="22" fillId="0" borderId="21" xfId="0" applyNumberFormat="1" applyFont="1" applyBorder="1"/>
    <xf numFmtId="0" fontId="22" fillId="0" borderId="77" xfId="0" applyFont="1" applyBorder="1"/>
    <xf numFmtId="167" fontId="22" fillId="0" borderId="76" xfId="1" applyNumberFormat="1" applyFont="1" applyBorder="1"/>
    <xf numFmtId="5" fontId="22" fillId="6" borderId="9" xfId="0" applyNumberFormat="1" applyFont="1" applyFill="1" applyBorder="1"/>
    <xf numFmtId="5" fontId="22" fillId="6" borderId="2" xfId="0" applyNumberFormat="1" applyFont="1" applyFill="1" applyBorder="1"/>
    <xf numFmtId="5" fontId="22" fillId="6" borderId="11" xfId="0" applyNumberFormat="1" applyFont="1" applyFill="1" applyBorder="1"/>
    <xf numFmtId="6" fontId="22" fillId="0" borderId="73" xfId="0" applyNumberFormat="1" applyFont="1" applyBorder="1"/>
    <xf numFmtId="5" fontId="22" fillId="6" borderId="1" xfId="0" applyNumberFormat="1" applyFont="1" applyFill="1" applyBorder="1"/>
    <xf numFmtId="0" fontId="22" fillId="0" borderId="7" xfId="0" applyFont="1" applyBorder="1"/>
    <xf numFmtId="6" fontId="22" fillId="0" borderId="77" xfId="0" applyNumberFormat="1" applyFont="1" applyBorder="1"/>
    <xf numFmtId="0" fontId="23" fillId="6" borderId="3" xfId="0" applyFont="1" applyFill="1" applyBorder="1" applyAlignment="1">
      <alignment horizontal="center"/>
    </xf>
    <xf numFmtId="0" fontId="22" fillId="0" borderId="3" xfId="0" applyFont="1" applyBorder="1"/>
    <xf numFmtId="6" fontId="22" fillId="0" borderId="70" xfId="0" applyNumberFormat="1" applyFont="1" applyBorder="1"/>
    <xf numFmtId="169" fontId="22" fillId="6" borderId="1" xfId="0" applyNumberFormat="1" applyFont="1" applyFill="1" applyBorder="1"/>
    <xf numFmtId="169" fontId="23" fillId="6" borderId="1" xfId="0" applyNumberFormat="1" applyFont="1" applyFill="1" applyBorder="1"/>
    <xf numFmtId="37" fontId="23" fillId="6" borderId="1" xfId="0" applyNumberFormat="1" applyFont="1" applyFill="1" applyBorder="1"/>
    <xf numFmtId="37" fontId="23" fillId="0" borderId="11" xfId="0" applyNumberFormat="1" applyFont="1" applyBorder="1"/>
    <xf numFmtId="5" fontId="22" fillId="0" borderId="70" xfId="0" applyNumberFormat="1" applyFont="1" applyBorder="1"/>
    <xf numFmtId="5" fontId="22" fillId="0" borderId="12" xfId="0" applyNumberFormat="1" applyFont="1" applyBorder="1"/>
    <xf numFmtId="37" fontId="23" fillId="0" borderId="6" xfId="0" applyNumberFormat="1" applyFont="1" applyBorder="1"/>
    <xf numFmtId="5" fontId="22" fillId="0" borderId="56" xfId="0" applyNumberFormat="1" applyFont="1" applyBorder="1"/>
    <xf numFmtId="5" fontId="22" fillId="0" borderId="57" xfId="0" applyNumberFormat="1" applyFont="1" applyBorder="1"/>
    <xf numFmtId="6" fontId="22" fillId="0" borderId="57" xfId="0" applyNumberFormat="1" applyFont="1" applyBorder="1"/>
    <xf numFmtId="0" fontId="22" fillId="0" borderId="1" xfId="0" applyFont="1" applyBorder="1"/>
    <xf numFmtId="5" fontId="22" fillId="0" borderId="10" xfId="0" applyNumberFormat="1" applyFont="1" applyBorder="1"/>
    <xf numFmtId="10" fontId="22" fillId="0" borderId="70" xfId="0" applyNumberFormat="1" applyFont="1" applyBorder="1"/>
    <xf numFmtId="5" fontId="23" fillId="6" borderId="1" xfId="0" applyNumberFormat="1" applyFont="1" applyFill="1" applyBorder="1"/>
    <xf numFmtId="5" fontId="23" fillId="0" borderId="11" xfId="0" applyNumberFormat="1" applyFont="1" applyBorder="1"/>
    <xf numFmtId="10" fontId="23" fillId="0" borderId="70" xfId="0" applyNumberFormat="1" applyFont="1" applyBorder="1"/>
    <xf numFmtId="0" fontId="23" fillId="6" borderId="1" xfId="0" applyFont="1" applyFill="1" applyBorder="1" applyAlignment="1">
      <alignment horizontal="center" wrapText="1"/>
    </xf>
    <xf numFmtId="0" fontId="23" fillId="6" borderId="1" xfId="0" applyFont="1" applyFill="1" applyBorder="1" applyAlignment="1">
      <alignment horizontal="center" vertical="center" wrapText="1"/>
    </xf>
    <xf numFmtId="0" fontId="23" fillId="6" borderId="1" xfId="0" applyFont="1" applyFill="1" applyBorder="1" applyAlignment="1">
      <alignment wrapText="1"/>
    </xf>
    <xf numFmtId="0" fontId="23" fillId="0" borderId="0" xfId="0" applyFont="1" applyAlignment="1">
      <alignment horizontal="center" wrapText="1"/>
    </xf>
    <xf numFmtId="0" fontId="23" fillId="6" borderId="4" xfId="0" applyFont="1" applyFill="1" applyBorder="1" applyAlignment="1">
      <alignment horizontal="center"/>
    </xf>
    <xf numFmtId="0" fontId="22" fillId="6" borderId="3" xfId="0" applyFont="1" applyFill="1" applyBorder="1"/>
    <xf numFmtId="6" fontId="22" fillId="0" borderId="3" xfId="0" applyNumberFormat="1" applyFont="1" applyBorder="1"/>
    <xf numFmtId="6" fontId="23" fillId="0" borderId="1" xfId="0" applyNumberFormat="1" applyFont="1" applyBorder="1"/>
    <xf numFmtId="0" fontId="22" fillId="15" borderId="0" xfId="0" applyFont="1" applyFill="1"/>
    <xf numFmtId="0" fontId="2" fillId="0" borderId="0" xfId="0" applyFont="1" applyAlignment="1">
      <alignment wrapText="1"/>
    </xf>
    <xf numFmtId="0" fontId="0" fillId="0" borderId="11" xfId="0" applyBorder="1" applyAlignment="1">
      <alignment horizontal="center"/>
    </xf>
    <xf numFmtId="0" fontId="4" fillId="0" borderId="3" xfId="0" applyFont="1" applyBorder="1"/>
    <xf numFmtId="170" fontId="0" fillId="0" borderId="1" xfId="4" applyNumberFormat="1" applyFont="1" applyBorder="1"/>
    <xf numFmtId="0" fontId="27" fillId="0" borderId="0" xfId="0" applyFont="1" applyAlignment="1">
      <alignment horizontal="center"/>
    </xf>
    <xf numFmtId="204" fontId="2" fillId="0" borderId="0" xfId="8" applyNumberFormat="1" applyFont="1" applyFill="1" applyBorder="1" applyAlignment="1">
      <alignment horizontal="center"/>
    </xf>
    <xf numFmtId="185" fontId="27" fillId="0" borderId="0" xfId="0" applyNumberFormat="1" applyFont="1"/>
    <xf numFmtId="0" fontId="23" fillId="0" borderId="0" xfId="0" applyFont="1" applyAlignment="1">
      <alignment horizontal="center"/>
    </xf>
    <xf numFmtId="37" fontId="2" fillId="0" borderId="0" xfId="3" applyNumberFormat="1" applyFont="1" applyFill="1" applyBorder="1"/>
    <xf numFmtId="169" fontId="6" fillId="0" borderId="0" xfId="3" applyNumberFormat="1" applyFont="1" applyFill="1" applyBorder="1"/>
    <xf numFmtId="0" fontId="27" fillId="0" borderId="0" xfId="0" applyFont="1"/>
    <xf numFmtId="169" fontId="22" fillId="0" borderId="0" xfId="1" applyNumberFormat="1" applyFont="1" applyFill="1" applyBorder="1" applyAlignment="1">
      <alignment horizontal="center"/>
    </xf>
    <xf numFmtId="169" fontId="22" fillId="0" borderId="0" xfId="0" applyNumberFormat="1" applyFont="1" applyAlignment="1">
      <alignment horizontal="center"/>
    </xf>
    <xf numFmtId="9" fontId="6" fillId="0" borderId="0" xfId="0" applyNumberFormat="1" applyFont="1" applyAlignment="1">
      <alignment horizontal="center"/>
    </xf>
    <xf numFmtId="9" fontId="2" fillId="0" borderId="0" xfId="0" applyNumberFormat="1" applyFont="1" applyAlignment="1">
      <alignment horizontal="center"/>
    </xf>
    <xf numFmtId="10" fontId="2" fillId="0" borderId="0" xfId="0" applyNumberFormat="1" applyFont="1" applyAlignment="1">
      <alignment horizontal="center"/>
    </xf>
    <xf numFmtId="0" fontId="27" fillId="0" borderId="1" xfId="0" applyFont="1" applyBorder="1" applyAlignment="1">
      <alignment horizontal="center"/>
    </xf>
    <xf numFmtId="5" fontId="6" fillId="0" borderId="1" xfId="3" applyNumberFormat="1" applyFont="1" applyFill="1" applyBorder="1" applyAlignment="1">
      <alignment horizontal="center"/>
    </xf>
    <xf numFmtId="7" fontId="2" fillId="0" borderId="1" xfId="3" applyNumberFormat="1" applyFont="1" applyFill="1" applyBorder="1" applyAlignment="1">
      <alignment horizontal="center"/>
    </xf>
    <xf numFmtId="0" fontId="23" fillId="0" borderId="72" xfId="0" applyFont="1" applyBorder="1" applyAlignment="1">
      <alignment horizontal="left"/>
    </xf>
    <xf numFmtId="0" fontId="23" fillId="0" borderId="74" xfId="0" applyFont="1" applyBorder="1" applyAlignment="1">
      <alignment horizontal="center"/>
    </xf>
    <xf numFmtId="0" fontId="23" fillId="0" borderId="75" xfId="0" applyFont="1" applyBorder="1" applyAlignment="1">
      <alignment horizontal="center"/>
    </xf>
    <xf numFmtId="0" fontId="27" fillId="7" borderId="0" xfId="9" applyFont="1" applyFill="1"/>
    <xf numFmtId="10" fontId="32" fillId="7" borderId="0" xfId="9" applyNumberFormat="1" applyFont="1" applyFill="1" applyAlignment="1">
      <alignment horizontal="center"/>
    </xf>
    <xf numFmtId="169" fontId="27" fillId="7" borderId="0" xfId="9" applyNumberFormat="1" applyFont="1" applyFill="1"/>
    <xf numFmtId="43" fontId="0" fillId="0" borderId="0" xfId="4" applyFont="1"/>
    <xf numFmtId="167" fontId="0" fillId="0" borderId="0" xfId="0" applyNumberFormat="1"/>
    <xf numFmtId="44" fontId="0" fillId="0" borderId="0" xfId="0" applyNumberFormat="1"/>
    <xf numFmtId="43" fontId="22" fillId="0" borderId="0" xfId="4" applyFont="1"/>
    <xf numFmtId="0" fontId="39" fillId="16" borderId="0" xfId="5" applyFont="1" applyFill="1"/>
    <xf numFmtId="0" fontId="7" fillId="16" borderId="0" xfId="5" applyFill="1"/>
    <xf numFmtId="0" fontId="22" fillId="17" borderId="0" xfId="0" applyFont="1" applyFill="1"/>
    <xf numFmtId="44" fontId="0" fillId="17" borderId="0" xfId="0" applyNumberFormat="1" applyFill="1"/>
    <xf numFmtId="43" fontId="22" fillId="17" borderId="0" xfId="4" applyFont="1" applyFill="1"/>
    <xf numFmtId="0" fontId="0" fillId="17" borderId="0" xfId="0" applyFill="1"/>
    <xf numFmtId="0" fontId="0" fillId="17" borderId="0" xfId="0" applyFill="1" applyAlignment="1">
      <alignment horizontal="center"/>
    </xf>
    <xf numFmtId="170" fontId="0" fillId="0" borderId="1" xfId="4" applyNumberFormat="1" applyFont="1" applyFill="1" applyBorder="1"/>
    <xf numFmtId="8" fontId="23" fillId="4" borderId="0" xfId="5" applyNumberFormat="1" applyFont="1" applyFill="1" applyAlignment="1">
      <alignment horizontal="center" vertical="center"/>
    </xf>
    <xf numFmtId="0" fontId="0" fillId="0" borderId="4" xfId="0" applyBorder="1"/>
    <xf numFmtId="0" fontId="0" fillId="0" borderId="26" xfId="0" applyBorder="1"/>
    <xf numFmtId="0" fontId="0" fillId="0" borderId="7" xfId="0" applyBorder="1"/>
    <xf numFmtId="164" fontId="2" fillId="0" borderId="11" xfId="0" applyNumberFormat="1" applyFont="1" applyBorder="1" applyAlignment="1">
      <alignment horizontal="center"/>
    </xf>
    <xf numFmtId="0" fontId="4" fillId="0" borderId="27" xfId="0" applyFont="1" applyBorder="1" applyAlignment="1">
      <alignment horizontal="center"/>
    </xf>
    <xf numFmtId="0" fontId="0" fillId="0" borderId="27" xfId="0" applyBorder="1" applyAlignment="1">
      <alignment horizontal="center"/>
    </xf>
    <xf numFmtId="0" fontId="0" fillId="0" borderId="26" xfId="0" applyBorder="1" applyAlignment="1">
      <alignment horizontal="center"/>
    </xf>
    <xf numFmtId="170" fontId="0" fillId="0" borderId="0" xfId="4" applyNumberFormat="1" applyFont="1"/>
    <xf numFmtId="0" fontId="23" fillId="12" borderId="36" xfId="0" applyFont="1" applyFill="1" applyBorder="1"/>
    <xf numFmtId="169" fontId="23" fillId="12" borderId="37" xfId="0" applyNumberFormat="1" applyFont="1" applyFill="1" applyBorder="1" applyAlignment="1">
      <alignment horizontal="center"/>
    </xf>
    <xf numFmtId="171" fontId="23" fillId="12" borderId="37" xfId="0" applyNumberFormat="1" applyFont="1" applyFill="1" applyBorder="1" applyAlignment="1">
      <alignment horizontal="center"/>
    </xf>
    <xf numFmtId="3" fontId="22" fillId="0" borderId="0" xfId="0" applyNumberFormat="1" applyFont="1"/>
    <xf numFmtId="0" fontId="0" fillId="0" borderId="2" xfId="0" applyBorder="1"/>
    <xf numFmtId="0" fontId="0" fillId="0" borderId="12" xfId="0" applyBorder="1"/>
    <xf numFmtId="0" fontId="0" fillId="0" borderId="55" xfId="0" applyBorder="1"/>
    <xf numFmtId="0" fontId="3" fillId="8" borderId="11" xfId="0" applyFont="1" applyFill="1" applyBorder="1"/>
    <xf numFmtId="170" fontId="0" fillId="0" borderId="55" xfId="4" applyNumberFormat="1" applyFont="1" applyBorder="1"/>
    <xf numFmtId="170" fontId="0" fillId="0" borderId="2" xfId="4" applyNumberFormat="1" applyFont="1" applyBorder="1"/>
    <xf numFmtId="170" fontId="0" fillId="0" borderId="8" xfId="4" applyNumberFormat="1" applyFont="1" applyBorder="1"/>
    <xf numFmtId="170" fontId="0" fillId="0" borderId="12" xfId="4" applyNumberFormat="1" applyFont="1" applyBorder="1"/>
    <xf numFmtId="170" fontId="0" fillId="0" borderId="5" xfId="4" applyNumberFormat="1" applyFont="1" applyBorder="1"/>
    <xf numFmtId="170" fontId="0" fillId="0" borderId="27" xfId="4" applyNumberFormat="1" applyFont="1" applyBorder="1"/>
    <xf numFmtId="170" fontId="0" fillId="0" borderId="9" xfId="4" applyNumberFormat="1" applyFont="1" applyBorder="1"/>
    <xf numFmtId="170" fontId="0" fillId="0" borderId="6" xfId="4" applyNumberFormat="1" applyFont="1" applyBorder="1"/>
    <xf numFmtId="167" fontId="4" fillId="0" borderId="1" xfId="0" applyNumberFormat="1" applyFont="1" applyBorder="1"/>
    <xf numFmtId="9" fontId="0" fillId="0" borderId="1" xfId="2" applyFont="1" applyBorder="1" applyAlignment="1">
      <alignment horizontal="center"/>
    </xf>
    <xf numFmtId="0" fontId="0" fillId="0" borderId="4" xfId="0" applyBorder="1" applyAlignment="1">
      <alignment horizontal="right"/>
    </xf>
    <xf numFmtId="167" fontId="0" fillId="0" borderId="6" xfId="1" applyNumberFormat="1" applyFont="1" applyBorder="1"/>
    <xf numFmtId="0" fontId="0" fillId="0" borderId="26" xfId="0" applyBorder="1" applyAlignment="1">
      <alignment horizontal="right"/>
    </xf>
    <xf numFmtId="167" fontId="0" fillId="0" borderId="9" xfId="1" applyNumberFormat="1" applyFont="1" applyBorder="1"/>
    <xf numFmtId="0" fontId="0" fillId="0" borderId="7" xfId="0" applyBorder="1" applyAlignment="1">
      <alignment horizontal="right"/>
    </xf>
    <xf numFmtId="0" fontId="0" fillId="0" borderId="4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6" xfId="0" applyBorder="1" applyAlignment="1">
      <alignment horizontal="center"/>
    </xf>
    <xf numFmtId="6" fontId="0" fillId="0" borderId="7" xfId="0" applyNumberFormat="1" applyBorder="1"/>
    <xf numFmtId="6" fontId="0" fillId="0" borderId="8" xfId="4" applyNumberFormat="1" applyFont="1" applyBorder="1"/>
    <xf numFmtId="6" fontId="0" fillId="0" borderId="9" xfId="4" applyNumberFormat="1" applyFont="1" applyBorder="1"/>
    <xf numFmtId="170" fontId="0" fillId="0" borderId="7" xfId="4" applyNumberFormat="1" applyFont="1" applyFill="1" applyBorder="1"/>
    <xf numFmtId="0" fontId="0" fillId="0" borderId="1" xfId="0" applyBorder="1" applyAlignment="1">
      <alignment horizontal="center" wrapText="1"/>
    </xf>
    <xf numFmtId="9" fontId="22" fillId="0" borderId="0" xfId="2" applyFont="1"/>
    <xf numFmtId="10" fontId="22" fillId="0" borderId="0" xfId="2" applyNumberFormat="1" applyFont="1"/>
    <xf numFmtId="0" fontId="6" fillId="0" borderId="83" xfId="0" applyFont="1" applyBorder="1" applyAlignment="1">
      <alignment horizontal="right"/>
    </xf>
    <xf numFmtId="0" fontId="6" fillId="0" borderId="85" xfId="0" applyFont="1" applyBorder="1" applyAlignment="1">
      <alignment horizontal="right"/>
    </xf>
    <xf numFmtId="0" fontId="6" fillId="0" borderId="85" xfId="0" applyFont="1" applyBorder="1"/>
    <xf numFmtId="0" fontId="2" fillId="0" borderId="85" xfId="0" applyFont="1" applyBorder="1"/>
    <xf numFmtId="0" fontId="2" fillId="0" borderId="87" xfId="0" applyFont="1" applyBorder="1"/>
    <xf numFmtId="0" fontId="22" fillId="0" borderId="83" xfId="0" applyFont="1" applyBorder="1"/>
    <xf numFmtId="0" fontId="2" fillId="0" borderId="83" xfId="0" applyFont="1" applyBorder="1"/>
    <xf numFmtId="0" fontId="6" fillId="0" borderId="89" xfId="0" applyFont="1" applyBorder="1"/>
    <xf numFmtId="0" fontId="27" fillId="7" borderId="92" xfId="0" applyFont="1" applyFill="1" applyBorder="1"/>
    <xf numFmtId="0" fontId="27" fillId="7" borderId="93" xfId="0" applyFont="1" applyFill="1" applyBorder="1" applyAlignment="1">
      <alignment horizontal="center" wrapText="1"/>
    </xf>
    <xf numFmtId="0" fontId="0" fillId="0" borderId="7" xfId="0" applyBorder="1" applyAlignment="1">
      <alignment horizontal="center"/>
    </xf>
    <xf numFmtId="0" fontId="22" fillId="4" borderId="1" xfId="5" applyFont="1" applyFill="1" applyBorder="1" applyAlignment="1">
      <alignment wrapText="1"/>
    </xf>
    <xf numFmtId="0" fontId="22" fillId="4" borderId="1" xfId="5" applyFont="1" applyFill="1" applyBorder="1"/>
    <xf numFmtId="0" fontId="2" fillId="0" borderId="1" xfId="0" applyFont="1" applyBorder="1"/>
    <xf numFmtId="183" fontId="2" fillId="0" borderId="1" xfId="0" applyNumberFormat="1" applyFont="1" applyBorder="1"/>
    <xf numFmtId="0" fontId="0" fillId="0" borderId="9" xfId="0" applyBorder="1" applyAlignment="1">
      <alignment horizontal="center"/>
    </xf>
    <xf numFmtId="0" fontId="10" fillId="21" borderId="0" xfId="5" applyFont="1" applyFill="1"/>
    <xf numFmtId="0" fontId="7" fillId="21" borderId="0" xfId="5" applyFill="1"/>
    <xf numFmtId="0" fontId="35" fillId="21" borderId="0" xfId="12" applyFont="1" applyFill="1"/>
    <xf numFmtId="0" fontId="10" fillId="21" borderId="0" xfId="5" applyFont="1" applyFill="1" applyAlignment="1">
      <alignment horizontal="right"/>
    </xf>
    <xf numFmtId="0" fontId="12" fillId="21" borderId="0" xfId="7" applyFont="1" applyFill="1"/>
    <xf numFmtId="0" fontId="10" fillId="21" borderId="0" xfId="5" applyFont="1" applyFill="1" applyAlignment="1">
      <alignment horizontal="center"/>
    </xf>
    <xf numFmtId="0" fontId="15" fillId="4" borderId="0" xfId="5" applyFont="1" applyFill="1"/>
    <xf numFmtId="6" fontId="7" fillId="4" borderId="0" xfId="5" applyNumberFormat="1" applyFill="1"/>
    <xf numFmtId="6" fontId="16" fillId="4" borderId="0" xfId="5" applyNumberFormat="1" applyFont="1" applyFill="1"/>
    <xf numFmtId="0" fontId="13" fillId="4" borderId="0" xfId="5" applyFont="1" applyFill="1"/>
    <xf numFmtId="0" fontId="16" fillId="4" borderId="0" xfId="5" applyFont="1" applyFill="1"/>
    <xf numFmtId="0" fontId="46" fillId="0" borderId="1" xfId="0" applyFont="1" applyBorder="1" applyAlignment="1">
      <alignment horizontal="center" vertical="center" wrapText="1"/>
    </xf>
    <xf numFmtId="3" fontId="47" fillId="0" borderId="1" xfId="0" applyNumberFormat="1" applyFont="1" applyBorder="1" applyAlignment="1">
      <alignment horizontal="center" vertical="center"/>
    </xf>
    <xf numFmtId="207" fontId="48" fillId="0" borderId="1" xfId="0" applyNumberFormat="1" applyFont="1" applyBorder="1" applyAlignment="1">
      <alignment horizontal="center" vertical="center" wrapText="1"/>
    </xf>
    <xf numFmtId="14" fontId="48" fillId="0" borderId="1" xfId="0" applyNumberFormat="1" applyFont="1" applyBorder="1" applyAlignment="1">
      <alignment horizontal="center" vertical="center"/>
    </xf>
    <xf numFmtId="14" fontId="48" fillId="0" borderId="1" xfId="0" applyNumberFormat="1" applyFont="1" applyBorder="1" applyAlignment="1">
      <alignment vertical="center"/>
    </xf>
    <xf numFmtId="14" fontId="48" fillId="0" borderId="1" xfId="0" applyNumberFormat="1" applyFont="1" applyBorder="1" applyAlignment="1">
      <alignment horizontal="center" vertical="center" wrapText="1"/>
    </xf>
    <xf numFmtId="0" fontId="47" fillId="0" borderId="1" xfId="0" applyFont="1" applyBorder="1" applyAlignment="1">
      <alignment horizontal="center" vertical="center"/>
    </xf>
    <xf numFmtId="0" fontId="49" fillId="21" borderId="0" xfId="5" applyFont="1" applyFill="1"/>
    <xf numFmtId="0" fontId="7" fillId="0" borderId="0" xfId="5" applyAlignment="1">
      <alignment horizontal="center" vertical="center"/>
    </xf>
    <xf numFmtId="169" fontId="7" fillId="0" borderId="0" xfId="5" applyNumberFormat="1" applyAlignment="1">
      <alignment vertical="center"/>
    </xf>
    <xf numFmtId="37" fontId="5" fillId="0" borderId="1" xfId="5" applyNumberFormat="1" applyFont="1" applyBorder="1" applyAlignment="1">
      <alignment horizontal="center" vertical="center"/>
    </xf>
    <xf numFmtId="171" fontId="5" fillId="0" borderId="11" xfId="6" applyNumberFormat="1" applyFont="1" applyFill="1" applyBorder="1" applyAlignment="1">
      <alignment horizontal="center" vertical="center"/>
    </xf>
    <xf numFmtId="6" fontId="5" fillId="0" borderId="1" xfId="5" applyNumberFormat="1" applyFont="1" applyBorder="1" applyAlignment="1">
      <alignment horizontal="center"/>
    </xf>
    <xf numFmtId="37" fontId="5" fillId="0" borderId="11" xfId="5" applyNumberFormat="1" applyFont="1" applyBorder="1" applyAlignment="1">
      <alignment horizontal="center" vertical="center"/>
    </xf>
    <xf numFmtId="37" fontId="5" fillId="0" borderId="1" xfId="5" applyNumberFormat="1" applyFont="1" applyBorder="1" applyAlignment="1">
      <alignment horizontal="center"/>
    </xf>
    <xf numFmtId="3" fontId="5" fillId="0" borderId="1" xfId="5" applyNumberFormat="1" applyFont="1" applyBorder="1" applyAlignment="1">
      <alignment horizontal="center"/>
    </xf>
    <xf numFmtId="6" fontId="5" fillId="0" borderId="1" xfId="5" applyNumberFormat="1" applyFont="1" applyBorder="1" applyAlignment="1">
      <alignment horizontal="center" vertical="center"/>
    </xf>
    <xf numFmtId="171" fontId="5" fillId="0" borderId="44" xfId="6" applyNumberFormat="1" applyFont="1" applyFill="1" applyBorder="1" applyAlignment="1">
      <alignment horizontal="center" vertical="center"/>
    </xf>
    <xf numFmtId="6" fontId="5" fillId="0" borderId="21" xfId="5" applyNumberFormat="1" applyFont="1" applyBorder="1" applyAlignment="1">
      <alignment horizontal="center"/>
    </xf>
    <xf numFmtId="0" fontId="5" fillId="0" borderId="35" xfId="5" applyFont="1" applyBorder="1" applyAlignment="1">
      <alignment horizontal="center" vertical="center"/>
    </xf>
    <xf numFmtId="2" fontId="5" fillId="0" borderId="35" xfId="5" applyNumberFormat="1" applyFont="1" applyBorder="1" applyAlignment="1">
      <alignment horizontal="center" vertical="center"/>
    </xf>
    <xf numFmtId="38" fontId="5" fillId="0" borderId="35" xfId="5" applyNumberFormat="1" applyFont="1" applyBorder="1" applyAlignment="1">
      <alignment horizontal="center" vertical="center"/>
    </xf>
    <xf numFmtId="38" fontId="23" fillId="0" borderId="35" xfId="5" applyNumberFormat="1" applyFont="1" applyBorder="1" applyAlignment="1">
      <alignment horizontal="center"/>
    </xf>
    <xf numFmtId="8" fontId="5" fillId="0" borderId="35" xfId="5" applyNumberFormat="1" applyFont="1" applyBorder="1" applyAlignment="1">
      <alignment horizontal="center" vertical="center"/>
    </xf>
    <xf numFmtId="8" fontId="5" fillId="0" borderId="35" xfId="5" applyNumberFormat="1" applyFont="1" applyBorder="1" applyAlignment="1">
      <alignment horizontal="center"/>
    </xf>
    <xf numFmtId="8" fontId="23" fillId="0" borderId="35" xfId="5" applyNumberFormat="1" applyFont="1" applyBorder="1" applyAlignment="1">
      <alignment horizontal="center"/>
    </xf>
    <xf numFmtId="38" fontId="5" fillId="0" borderId="35" xfId="5" applyNumberFormat="1" applyFont="1" applyBorder="1" applyAlignment="1">
      <alignment horizontal="center"/>
    </xf>
    <xf numFmtId="169" fontId="5" fillId="0" borderId="35" xfId="5" applyNumberFormat="1" applyFont="1" applyBorder="1" applyAlignment="1">
      <alignment horizontal="center"/>
    </xf>
    <xf numFmtId="185" fontId="27" fillId="18" borderId="33" xfId="0" applyNumberFormat="1" applyFont="1" applyFill="1" applyBorder="1"/>
    <xf numFmtId="185" fontId="23" fillId="19" borderId="33" xfId="0" applyNumberFormat="1" applyFont="1" applyFill="1" applyBorder="1"/>
    <xf numFmtId="185" fontId="27" fillId="20" borderId="33" xfId="0" applyNumberFormat="1" applyFont="1" applyFill="1" applyBorder="1"/>
    <xf numFmtId="168" fontId="8" fillId="0" borderId="0" xfId="5" applyNumberFormat="1" applyFont="1" applyAlignment="1">
      <alignment horizontal="center"/>
    </xf>
    <xf numFmtId="169" fontId="8" fillId="0" borderId="0" xfId="6" applyNumberFormat="1" applyFont="1" applyFill="1" applyAlignment="1">
      <alignment horizontal="center"/>
    </xf>
    <xf numFmtId="8" fontId="7" fillId="0" borderId="0" xfId="5" applyNumberFormat="1" applyAlignment="1">
      <alignment horizontal="center"/>
    </xf>
    <xf numFmtId="6" fontId="7" fillId="0" borderId="0" xfId="5" applyNumberFormat="1" applyAlignment="1">
      <alignment horizontal="center"/>
    </xf>
    <xf numFmtId="10" fontId="7" fillId="0" borderId="0" xfId="5" applyNumberFormat="1" applyAlignment="1">
      <alignment horizontal="center"/>
    </xf>
    <xf numFmtId="170" fontId="7" fillId="0" borderId="0" xfId="4" applyNumberFormat="1" applyFont="1" applyFill="1" applyAlignment="1">
      <alignment horizontal="center"/>
    </xf>
    <xf numFmtId="0" fontId="16" fillId="0" borderId="0" xfId="5" applyFont="1"/>
    <xf numFmtId="0" fontId="6" fillId="0" borderId="36" xfId="5" applyFont="1" applyBorder="1" applyAlignment="1">
      <alignment vertical="center"/>
    </xf>
    <xf numFmtId="0" fontId="2" fillId="0" borderId="34" xfId="5" applyFont="1" applyBorder="1" applyAlignment="1">
      <alignment horizontal="left" vertical="center"/>
    </xf>
    <xf numFmtId="0" fontId="22" fillId="0" borderId="34" xfId="5" applyFont="1" applyBorder="1" applyAlignment="1">
      <alignment vertical="center"/>
    </xf>
    <xf numFmtId="0" fontId="2" fillId="0" borderId="36" xfId="5" applyFont="1" applyBorder="1" applyAlignment="1">
      <alignment horizontal="left" vertical="center"/>
    </xf>
    <xf numFmtId="0" fontId="6" fillId="0" borderId="37" xfId="5" applyFont="1" applyBorder="1" applyAlignment="1">
      <alignment horizontal="center" vertical="center"/>
    </xf>
    <xf numFmtId="6" fontId="5" fillId="0" borderId="0" xfId="5" applyNumberFormat="1" applyFont="1" applyAlignment="1">
      <alignment horizontal="center" vertical="center"/>
    </xf>
    <xf numFmtId="6" fontId="5" fillId="0" borderId="37" xfId="5" applyNumberFormat="1" applyFont="1" applyBorder="1" applyAlignment="1">
      <alignment horizontal="center" vertical="center"/>
    </xf>
    <xf numFmtId="0" fontId="6" fillId="4" borderId="32" xfId="5" applyFont="1" applyFill="1" applyBorder="1" applyAlignment="1">
      <alignment horizontal="center" vertical="center"/>
    </xf>
    <xf numFmtId="169" fontId="5" fillId="0" borderId="32" xfId="5" applyNumberFormat="1" applyFont="1" applyBorder="1" applyAlignment="1">
      <alignment horizontal="center" vertical="center"/>
    </xf>
    <xf numFmtId="169" fontId="5" fillId="0" borderId="37" xfId="5" applyNumberFormat="1" applyFont="1" applyBorder="1" applyAlignment="1">
      <alignment horizontal="center" vertical="center"/>
    </xf>
    <xf numFmtId="0" fontId="23" fillId="4" borderId="97" xfId="5" applyFont="1" applyFill="1" applyBorder="1" applyAlignment="1">
      <alignment vertical="center"/>
    </xf>
    <xf numFmtId="0" fontId="23" fillId="4" borderId="98" xfId="5" applyFont="1" applyFill="1" applyBorder="1" applyAlignment="1">
      <alignment horizontal="center" vertical="center"/>
    </xf>
    <xf numFmtId="0" fontId="23" fillId="4" borderId="94" xfId="5" applyFont="1" applyFill="1" applyBorder="1" applyAlignment="1">
      <alignment horizontal="left" vertical="center"/>
    </xf>
    <xf numFmtId="0" fontId="22" fillId="4" borderId="99" xfId="5" applyFont="1" applyFill="1" applyBorder="1" applyAlignment="1">
      <alignment vertical="center"/>
    </xf>
    <xf numFmtId="0" fontId="22" fillId="4" borderId="94" xfId="5" applyFont="1" applyFill="1" applyBorder="1" applyAlignment="1">
      <alignment horizontal="left" vertical="center" indent="1"/>
    </xf>
    <xf numFmtId="0" fontId="22" fillId="4" borderId="100" xfId="5" applyFont="1" applyFill="1" applyBorder="1" applyAlignment="1">
      <alignment vertical="center"/>
    </xf>
    <xf numFmtId="14" fontId="2" fillId="4" borderId="3" xfId="5" applyNumberFormat="1" applyFont="1" applyFill="1" applyBorder="1" applyAlignment="1">
      <alignment horizontal="center" wrapText="1"/>
    </xf>
    <xf numFmtId="14" fontId="22" fillId="4" borderId="3" xfId="5" applyNumberFormat="1" applyFont="1" applyFill="1" applyBorder="1" applyAlignment="1">
      <alignment horizontal="center" wrapText="1"/>
    </xf>
    <xf numFmtId="0" fontId="23" fillId="4" borderId="0" xfId="5" applyFont="1" applyFill="1" applyAlignment="1">
      <alignment horizontal="left" vertical="center"/>
    </xf>
    <xf numFmtId="172" fontId="5" fillId="0" borderId="102" xfId="8" applyNumberFormat="1" applyFont="1" applyFill="1" applyBorder="1" applyAlignment="1">
      <alignment horizontal="center" vertical="center"/>
    </xf>
    <xf numFmtId="172" fontId="5" fillId="0" borderId="103" xfId="8" applyNumberFormat="1" applyFont="1" applyFill="1" applyBorder="1" applyAlignment="1">
      <alignment horizontal="center" vertical="center"/>
    </xf>
    <xf numFmtId="172" fontId="5" fillId="0" borderId="104" xfId="8" applyNumberFormat="1" applyFont="1" applyFill="1" applyBorder="1" applyAlignment="1">
      <alignment horizontal="center" vertical="center"/>
    </xf>
    <xf numFmtId="9" fontId="24" fillId="0" borderId="35" xfId="5" applyNumberFormat="1" applyFont="1" applyBorder="1" applyAlignment="1">
      <alignment horizontal="center" vertical="center"/>
    </xf>
    <xf numFmtId="9" fontId="24" fillId="0" borderId="38" xfId="5" applyNumberFormat="1" applyFont="1" applyBorder="1" applyAlignment="1">
      <alignment horizontal="center" vertical="center"/>
    </xf>
    <xf numFmtId="173" fontId="5" fillId="0" borderId="1" xfId="0" applyNumberFormat="1" applyFont="1" applyBorder="1" applyAlignment="1">
      <alignment horizontal="center" vertical="center"/>
    </xf>
    <xf numFmtId="173" fontId="43" fillId="0" borderId="1" xfId="5" applyNumberFormat="1" applyFont="1" applyBorder="1" applyAlignment="1">
      <alignment horizontal="center" vertical="center"/>
    </xf>
    <xf numFmtId="166" fontId="5" fillId="0" borderId="1" xfId="0" applyNumberFormat="1" applyFont="1" applyBorder="1" applyAlignment="1">
      <alignment horizontal="center"/>
    </xf>
    <xf numFmtId="206" fontId="5" fillId="0" borderId="1" xfId="0" applyNumberFormat="1" applyFont="1" applyBorder="1" applyAlignment="1">
      <alignment horizontal="center"/>
    </xf>
    <xf numFmtId="0" fontId="22" fillId="0" borderId="1" xfId="5" applyFont="1" applyBorder="1" applyAlignment="1">
      <alignment horizontal="center"/>
    </xf>
    <xf numFmtId="174" fontId="5" fillId="0" borderId="1" xfId="0" applyNumberFormat="1" applyFont="1" applyBorder="1" applyAlignment="1">
      <alignment horizontal="center"/>
    </xf>
    <xf numFmtId="169" fontId="5" fillId="0" borderId="1" xfId="0" applyNumberFormat="1" applyFont="1" applyBorder="1" applyAlignment="1">
      <alignment horizontal="center" vertical="center"/>
    </xf>
    <xf numFmtId="0" fontId="5" fillId="0" borderId="1" xfId="0" applyFont="1" applyBorder="1" applyAlignment="1">
      <alignment horizontal="center"/>
    </xf>
    <xf numFmtId="177" fontId="5" fillId="0" borderId="1" xfId="0" applyNumberFormat="1" applyFont="1" applyBorder="1" applyAlignment="1">
      <alignment horizontal="center" vertical="center"/>
    </xf>
    <xf numFmtId="178" fontId="5" fillId="0" borderId="1" xfId="0" applyNumberFormat="1" applyFont="1" applyBorder="1" applyAlignment="1">
      <alignment horizontal="center" vertical="center"/>
    </xf>
    <xf numFmtId="10" fontId="5" fillId="0" borderId="1" xfId="8" applyNumberFormat="1" applyFont="1" applyFill="1" applyBorder="1" applyAlignment="1">
      <alignment horizontal="center" vertical="center"/>
    </xf>
    <xf numFmtId="175" fontId="5" fillId="0" borderId="1" xfId="0" applyNumberFormat="1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179" fontId="5" fillId="0" borderId="1" xfId="0" applyNumberFormat="1" applyFont="1" applyBorder="1" applyAlignment="1">
      <alignment horizontal="center" vertical="center"/>
    </xf>
    <xf numFmtId="180" fontId="5" fillId="0" borderId="1" xfId="0" applyNumberFormat="1" applyFont="1" applyBorder="1" applyAlignment="1">
      <alignment horizontal="center" vertical="center"/>
    </xf>
    <xf numFmtId="181" fontId="5" fillId="0" borderId="1" xfId="0" applyNumberFormat="1" applyFont="1" applyBorder="1" applyAlignment="1">
      <alignment horizontal="center" vertical="center"/>
    </xf>
    <xf numFmtId="182" fontId="43" fillId="0" borderId="1" xfId="0" applyNumberFormat="1" applyFont="1" applyBorder="1" applyAlignment="1">
      <alignment horizontal="center" vertical="center"/>
    </xf>
    <xf numFmtId="203" fontId="5" fillId="0" borderId="1" xfId="0" applyNumberFormat="1" applyFont="1" applyBorder="1" applyAlignment="1">
      <alignment horizontal="center" vertical="center"/>
    </xf>
    <xf numFmtId="184" fontId="5" fillId="0" borderId="1" xfId="0" applyNumberFormat="1" applyFont="1" applyBorder="1" applyAlignment="1">
      <alignment horizontal="center" vertical="center"/>
    </xf>
    <xf numFmtId="0" fontId="22" fillId="0" borderId="2" xfId="0" applyFont="1" applyBorder="1" applyAlignment="1">
      <alignment horizontal="center"/>
    </xf>
    <xf numFmtId="0" fontId="22" fillId="0" borderId="84" xfId="0" applyFont="1" applyBorder="1" applyAlignment="1">
      <alignment horizontal="center"/>
    </xf>
    <xf numFmtId="6" fontId="22" fillId="0" borderId="86" xfId="0" applyNumberFormat="1" applyFont="1" applyBorder="1"/>
    <xf numFmtId="6" fontId="22" fillId="0" borderId="46" xfId="0" applyNumberFormat="1" applyFont="1" applyBorder="1"/>
    <xf numFmtId="6" fontId="22" fillId="0" borderId="88" xfId="0" applyNumberFormat="1" applyFont="1" applyBorder="1"/>
    <xf numFmtId="6" fontId="22" fillId="0" borderId="2" xfId="0" applyNumberFormat="1" applyFont="1" applyBorder="1"/>
    <xf numFmtId="6" fontId="22" fillId="0" borderId="84" xfId="0" applyNumberFormat="1" applyFont="1" applyBorder="1"/>
    <xf numFmtId="6" fontId="6" fillId="0" borderId="1" xfId="0" applyNumberFormat="1" applyFont="1" applyBorder="1"/>
    <xf numFmtId="6" fontId="6" fillId="0" borderId="86" xfId="0" applyNumberFormat="1" applyFont="1" applyBorder="1"/>
    <xf numFmtId="10" fontId="22" fillId="0" borderId="1" xfId="8" applyNumberFormat="1" applyFont="1" applyFill="1" applyBorder="1"/>
    <xf numFmtId="10" fontId="22" fillId="0" borderId="86" xfId="8" applyNumberFormat="1" applyFont="1" applyFill="1" applyBorder="1"/>
    <xf numFmtId="6" fontId="6" fillId="0" borderId="90" xfId="0" applyNumberFormat="1" applyFont="1" applyBorder="1"/>
    <xf numFmtId="6" fontId="6" fillId="0" borderId="91" xfId="0" applyNumberFormat="1" applyFont="1" applyBorder="1"/>
    <xf numFmtId="38" fontId="5" fillId="0" borderId="1" xfId="3" applyNumberFormat="1" applyFont="1" applyFill="1" applyBorder="1" applyAlignment="1">
      <alignment horizontal="center"/>
    </xf>
    <xf numFmtId="38" fontId="6" fillId="0" borderId="1" xfId="3" applyNumberFormat="1" applyFont="1" applyFill="1" applyBorder="1" applyAlignment="1">
      <alignment horizontal="center"/>
    </xf>
    <xf numFmtId="8" fontId="6" fillId="0" borderId="1" xfId="0" applyNumberFormat="1" applyFont="1" applyBorder="1" applyAlignment="1">
      <alignment horizontal="center"/>
    </xf>
    <xf numFmtId="186" fontId="2" fillId="0" borderId="1" xfId="3" applyNumberFormat="1" applyFont="1" applyFill="1" applyBorder="1" applyAlignment="1">
      <alignment horizontal="center"/>
    </xf>
    <xf numFmtId="38" fontId="6" fillId="0" borderId="2" xfId="3" applyNumberFormat="1" applyFont="1" applyFill="1" applyBorder="1" applyAlignment="1">
      <alignment horizontal="center"/>
    </xf>
    <xf numFmtId="186" fontId="2" fillId="0" borderId="12" xfId="3" applyNumberFormat="1" applyFont="1" applyFill="1" applyBorder="1" applyAlignment="1">
      <alignment horizontal="center"/>
    </xf>
    <xf numFmtId="187" fontId="6" fillId="0" borderId="51" xfId="3" applyNumberFormat="1" applyFont="1" applyFill="1" applyBorder="1" applyAlignment="1">
      <alignment horizontal="center"/>
    </xf>
    <xf numFmtId="188" fontId="6" fillId="0" borderId="51" xfId="3" applyNumberFormat="1" applyFont="1" applyFill="1" applyBorder="1" applyAlignment="1">
      <alignment horizontal="center" vertical="center"/>
    </xf>
    <xf numFmtId="189" fontId="6" fillId="0" borderId="53" xfId="3" applyNumberFormat="1" applyFont="1" applyFill="1" applyBorder="1" applyAlignment="1">
      <alignment horizontal="center" vertical="center"/>
    </xf>
    <xf numFmtId="171" fontId="6" fillId="0" borderId="53" xfId="9" applyNumberFormat="1" applyFont="1" applyBorder="1" applyAlignment="1">
      <alignment horizontal="center"/>
    </xf>
    <xf numFmtId="6" fontId="23" fillId="0" borderId="1" xfId="0" applyNumberFormat="1" applyFont="1" applyBorder="1" applyAlignment="1">
      <alignment horizontal="center"/>
    </xf>
    <xf numFmtId="3" fontId="5" fillId="0" borderId="1" xfId="11" applyNumberFormat="1" applyFont="1" applyBorder="1" applyAlignment="1">
      <alignment horizontal="center"/>
    </xf>
    <xf numFmtId="44" fontId="6" fillId="0" borderId="1" xfId="0" applyNumberFormat="1" applyFont="1" applyBorder="1"/>
    <xf numFmtId="6" fontId="2" fillId="0" borderId="1" xfId="0" applyNumberFormat="1" applyFont="1" applyBorder="1"/>
    <xf numFmtId="3" fontId="2" fillId="0" borderId="55" xfId="0" applyNumberFormat="1" applyFont="1" applyBorder="1" applyAlignment="1">
      <alignment horizontal="center"/>
    </xf>
    <xf numFmtId="8" fontId="2" fillId="0" borderId="2" xfId="0" applyNumberFormat="1" applyFont="1" applyBorder="1"/>
    <xf numFmtId="6" fontId="2" fillId="0" borderId="2" xfId="0" applyNumberFormat="1" applyFont="1" applyBorder="1"/>
    <xf numFmtId="3" fontId="36" fillId="0" borderId="16" xfId="0" applyNumberFormat="1" applyFont="1" applyBorder="1"/>
    <xf numFmtId="3" fontId="2" fillId="0" borderId="30" xfId="0" applyNumberFormat="1" applyFont="1" applyBorder="1"/>
    <xf numFmtId="0" fontId="2" fillId="0" borderId="18" xfId="0" applyFont="1" applyBorder="1"/>
    <xf numFmtId="5" fontId="2" fillId="0" borderId="2" xfId="3" applyNumberFormat="1" applyFont="1" applyFill="1" applyBorder="1" applyAlignment="1">
      <alignment horizontal="center"/>
    </xf>
    <xf numFmtId="171" fontId="2" fillId="0" borderId="2" xfId="3" applyNumberFormat="1" applyFont="1" applyFill="1" applyBorder="1" applyAlignment="1">
      <alignment horizontal="center"/>
    </xf>
    <xf numFmtId="5" fontId="2" fillId="0" borderId="23" xfId="3" applyNumberFormat="1" applyFont="1" applyFill="1" applyBorder="1" applyAlignment="1">
      <alignment horizontal="center"/>
    </xf>
    <xf numFmtId="193" fontId="2" fillId="0" borderId="17" xfId="0" applyNumberFormat="1" applyFont="1" applyBorder="1" applyAlignment="1">
      <alignment horizontal="left"/>
    </xf>
    <xf numFmtId="5" fontId="2" fillId="0" borderId="57" xfId="3" applyNumberFormat="1" applyFont="1" applyFill="1" applyBorder="1" applyAlignment="1">
      <alignment horizontal="center"/>
    </xf>
    <xf numFmtId="5" fontId="6" fillId="0" borderId="60" xfId="3" applyNumberFormat="1" applyFont="1" applyFill="1" applyBorder="1" applyAlignment="1">
      <alignment horizontal="center"/>
    </xf>
    <xf numFmtId="194" fontId="37" fillId="0" borderId="58" xfId="0" applyNumberFormat="1" applyFont="1" applyBorder="1" applyAlignment="1">
      <alignment horizontal="left"/>
    </xf>
    <xf numFmtId="5" fontId="2" fillId="0" borderId="60" xfId="3" applyNumberFormat="1" applyFont="1" applyFill="1" applyBorder="1" applyAlignment="1">
      <alignment horizontal="center"/>
    </xf>
    <xf numFmtId="0" fontId="23" fillId="0" borderId="0" xfId="0" applyFont="1" applyAlignment="1">
      <alignment horizontal="left"/>
    </xf>
    <xf numFmtId="5" fontId="23" fillId="0" borderId="0" xfId="0" applyNumberFormat="1" applyFont="1" applyAlignment="1">
      <alignment horizontal="center"/>
    </xf>
    <xf numFmtId="0" fontId="2" fillId="0" borderId="13" xfId="0" applyFont="1" applyBorder="1" applyAlignment="1">
      <alignment wrapText="1"/>
    </xf>
    <xf numFmtId="173" fontId="36" fillId="0" borderId="1" xfId="0" applyNumberFormat="1" applyFont="1" applyBorder="1" applyAlignment="1">
      <alignment horizontal="center"/>
    </xf>
    <xf numFmtId="5" fontId="2" fillId="0" borderId="19" xfId="3" applyNumberFormat="1" applyFont="1" applyFill="1" applyBorder="1" applyAlignment="1">
      <alignment horizontal="center"/>
    </xf>
    <xf numFmtId="0" fontId="2" fillId="0" borderId="18" xfId="0" applyFont="1" applyBorder="1" applyAlignment="1">
      <alignment wrapText="1"/>
    </xf>
    <xf numFmtId="195" fontId="36" fillId="0" borderId="1" xfId="0" applyNumberFormat="1" applyFont="1" applyBorder="1" applyAlignment="1">
      <alignment horizontal="center"/>
    </xf>
    <xf numFmtId="174" fontId="36" fillId="0" borderId="1" xfId="0" applyNumberFormat="1" applyFont="1" applyBorder="1" applyAlignment="1">
      <alignment horizontal="center"/>
    </xf>
    <xf numFmtId="0" fontId="41" fillId="0" borderId="1" xfId="0" applyFont="1" applyBorder="1" applyAlignment="1">
      <alignment horizontal="center" wrapText="1"/>
    </xf>
    <xf numFmtId="44" fontId="36" fillId="0" borderId="2" xfId="3" applyNumberFormat="1" applyFont="1" applyFill="1" applyBorder="1" applyAlignment="1">
      <alignment horizontal="center"/>
    </xf>
    <xf numFmtId="196" fontId="36" fillId="0" borderId="1" xfId="0" applyNumberFormat="1" applyFont="1" applyBorder="1" applyAlignment="1">
      <alignment horizontal="center"/>
    </xf>
    <xf numFmtId="175" fontId="36" fillId="0" borderId="1" xfId="0" applyNumberFormat="1" applyFont="1" applyBorder="1" applyAlignment="1">
      <alignment horizontal="center"/>
    </xf>
    <xf numFmtId="5" fontId="36" fillId="0" borderId="1" xfId="3" applyNumberFormat="1" applyFont="1" applyFill="1" applyBorder="1" applyAlignment="1">
      <alignment horizontal="center"/>
    </xf>
    <xf numFmtId="177" fontId="36" fillId="0" borderId="1" xfId="0" applyNumberFormat="1" applyFont="1" applyBorder="1" applyAlignment="1">
      <alignment horizontal="center"/>
    </xf>
    <xf numFmtId="178" fontId="36" fillId="0" borderId="1" xfId="0" applyNumberFormat="1" applyFont="1" applyBorder="1" applyAlignment="1">
      <alignment horizontal="center"/>
    </xf>
    <xf numFmtId="10" fontId="22" fillId="0" borderId="1" xfId="8" applyNumberFormat="1" applyFont="1" applyFill="1" applyBorder="1" applyAlignment="1">
      <alignment horizontal="center"/>
    </xf>
    <xf numFmtId="179" fontId="36" fillId="0" borderId="1" xfId="0" applyNumberFormat="1" applyFont="1" applyBorder="1" applyAlignment="1">
      <alignment horizontal="center"/>
    </xf>
    <xf numFmtId="180" fontId="36" fillId="0" borderId="0" xfId="0" applyNumberFormat="1" applyFont="1" applyAlignment="1">
      <alignment horizontal="center"/>
    </xf>
    <xf numFmtId="181" fontId="36" fillId="0" borderId="1" xfId="0" applyNumberFormat="1" applyFont="1" applyBorder="1" applyAlignment="1">
      <alignment horizontal="center"/>
    </xf>
    <xf numFmtId="182" fontId="36" fillId="0" borderId="1" xfId="0" applyNumberFormat="1" applyFont="1" applyBorder="1" applyAlignment="1">
      <alignment horizontal="center"/>
    </xf>
    <xf numFmtId="184" fontId="38" fillId="0" borderId="1" xfId="0" applyNumberFormat="1" applyFont="1" applyBorder="1" applyAlignment="1">
      <alignment horizontal="center"/>
    </xf>
    <xf numFmtId="197" fontId="22" fillId="0" borderId="46" xfId="8" applyNumberFormat="1" applyFont="1" applyFill="1" applyBorder="1" applyAlignment="1">
      <alignment horizontal="center"/>
    </xf>
    <xf numFmtId="5" fontId="36" fillId="0" borderId="46" xfId="3" applyNumberFormat="1" applyFont="1" applyFill="1" applyBorder="1" applyAlignment="1">
      <alignment horizontal="center"/>
    </xf>
    <xf numFmtId="5" fontId="2" fillId="0" borderId="46" xfId="3" applyNumberFormat="1" applyFont="1" applyFill="1" applyBorder="1" applyAlignment="1">
      <alignment horizontal="center"/>
    </xf>
    <xf numFmtId="6" fontId="23" fillId="0" borderId="2" xfId="0" applyNumberFormat="1" applyFont="1" applyBorder="1" applyAlignment="1">
      <alignment horizontal="center"/>
    </xf>
    <xf numFmtId="0" fontId="23" fillId="0" borderId="2" xfId="0" applyFont="1" applyBorder="1" applyAlignment="1">
      <alignment horizontal="center"/>
    </xf>
    <xf numFmtId="0" fontId="23" fillId="0" borderId="1" xfId="0" applyFont="1" applyBorder="1" applyAlignment="1">
      <alignment horizontal="center"/>
    </xf>
    <xf numFmtId="201" fontId="36" fillId="0" borderId="18" xfId="0" applyNumberFormat="1" applyFont="1" applyBorder="1" applyAlignment="1">
      <alignment horizontal="right"/>
    </xf>
    <xf numFmtId="5" fontId="2" fillId="0" borderId="1" xfId="3" applyNumberFormat="1" applyFont="1" applyFill="1" applyBorder="1"/>
    <xf numFmtId="5" fontId="2" fillId="0" borderId="46" xfId="3" applyNumberFormat="1" applyFont="1" applyFill="1" applyBorder="1"/>
    <xf numFmtId="5" fontId="2" fillId="0" borderId="79" xfId="3" applyNumberFormat="1" applyFont="1" applyFill="1" applyBorder="1"/>
    <xf numFmtId="5" fontId="6" fillId="0" borderId="2" xfId="0" applyNumberFormat="1" applyFont="1" applyBorder="1"/>
    <xf numFmtId="5" fontId="6" fillId="0" borderId="1" xfId="0" applyNumberFormat="1" applyFont="1" applyBorder="1"/>
    <xf numFmtId="0" fontId="22" fillId="0" borderId="1" xfId="0" applyFont="1" applyBorder="1" applyAlignment="1">
      <alignment horizontal="right"/>
    </xf>
    <xf numFmtId="37" fontId="2" fillId="0" borderId="1" xfId="3" applyNumberFormat="1" applyFont="1" applyFill="1" applyBorder="1"/>
    <xf numFmtId="203" fontId="36" fillId="0" borderId="1" xfId="0" applyNumberFormat="1" applyFont="1" applyBorder="1" applyAlignment="1" applyProtection="1">
      <alignment horizontal="left"/>
      <protection locked="0"/>
    </xf>
    <xf numFmtId="0" fontId="6" fillId="0" borderId="1" xfId="0" applyFont="1" applyBorder="1"/>
    <xf numFmtId="169" fontId="6" fillId="0" borderId="1" xfId="3" applyNumberFormat="1" applyFont="1" applyFill="1" applyBorder="1"/>
    <xf numFmtId="0" fontId="2" fillId="0" borderId="1" xfId="0" applyFont="1" applyBorder="1" applyAlignment="1">
      <alignment horizontal="right"/>
    </xf>
    <xf numFmtId="169" fontId="22" fillId="0" borderId="1" xfId="1" applyNumberFormat="1" applyFont="1" applyFill="1" applyBorder="1" applyAlignment="1">
      <alignment horizontal="center"/>
    </xf>
    <xf numFmtId="169" fontId="22" fillId="0" borderId="1" xfId="0" applyNumberFormat="1" applyFont="1" applyBorder="1" applyAlignment="1">
      <alignment horizontal="right"/>
    </xf>
    <xf numFmtId="169" fontId="22" fillId="0" borderId="1" xfId="0" applyNumberFormat="1" applyFont="1" applyBorder="1" applyAlignment="1">
      <alignment horizontal="center"/>
    </xf>
    <xf numFmtId="204" fontId="2" fillId="0" borderId="1" xfId="8" applyNumberFormat="1" applyFont="1" applyFill="1" applyBorder="1" applyAlignment="1">
      <alignment horizontal="center"/>
    </xf>
    <xf numFmtId="9" fontId="6" fillId="0" borderId="1" xfId="0" applyNumberFormat="1" applyFont="1" applyBorder="1" applyAlignment="1">
      <alignment horizontal="center"/>
    </xf>
    <xf numFmtId="9" fontId="2" fillId="0" borderId="1" xfId="0" applyNumberFormat="1" applyFont="1" applyBorder="1" applyAlignment="1">
      <alignment horizontal="center"/>
    </xf>
    <xf numFmtId="10" fontId="2" fillId="0" borderId="1" xfId="0" applyNumberFormat="1" applyFont="1" applyBorder="1" applyAlignment="1">
      <alignment horizontal="center"/>
    </xf>
    <xf numFmtId="0" fontId="23" fillId="0" borderId="1" xfId="0" applyFont="1" applyBorder="1" applyAlignment="1">
      <alignment horizontal="left"/>
    </xf>
    <xf numFmtId="5" fontId="23" fillId="0" borderId="1" xfId="0" applyNumberFormat="1" applyFont="1" applyBorder="1" applyAlignment="1">
      <alignment horizontal="center"/>
    </xf>
    <xf numFmtId="5" fontId="36" fillId="0" borderId="2" xfId="3" applyNumberFormat="1" applyFont="1" applyFill="1" applyBorder="1" applyAlignment="1">
      <alignment horizontal="center"/>
    </xf>
    <xf numFmtId="7" fontId="24" fillId="0" borderId="1" xfId="0" applyNumberFormat="1" applyFont="1" applyBorder="1"/>
    <xf numFmtId="0" fontId="22" fillId="0" borderId="0" xfId="0" applyFont="1" applyAlignment="1">
      <alignment horizontal="center"/>
    </xf>
    <xf numFmtId="0" fontId="23" fillId="0" borderId="1" xfId="0" applyFont="1" applyBorder="1" applyAlignment="1">
      <alignment horizontal="right"/>
    </xf>
    <xf numFmtId="205" fontId="23" fillId="0" borderId="1" xfId="0" applyNumberFormat="1" applyFont="1" applyBorder="1" applyAlignment="1">
      <alignment horizontal="right"/>
    </xf>
    <xf numFmtId="10" fontId="22" fillId="0" borderId="1" xfId="0" applyNumberFormat="1" applyFont="1" applyBorder="1"/>
    <xf numFmtId="5" fontId="23" fillId="0" borderId="1" xfId="0" applyNumberFormat="1" applyFont="1" applyBorder="1"/>
    <xf numFmtId="10" fontId="23" fillId="0" borderId="1" xfId="0" applyNumberFormat="1" applyFont="1" applyBorder="1"/>
    <xf numFmtId="0" fontId="23" fillId="0" borderId="1" xfId="0" applyFont="1" applyBorder="1" applyAlignment="1">
      <alignment horizontal="center" wrapText="1"/>
    </xf>
    <xf numFmtId="10" fontId="22" fillId="6" borderId="1" xfId="0" applyNumberFormat="1" applyFont="1" applyFill="1" applyBorder="1"/>
    <xf numFmtId="170" fontId="0" fillId="0" borderId="1" xfId="4" applyNumberFormat="1" applyFont="1" applyBorder="1" applyAlignment="1">
      <alignment horizontal="center"/>
    </xf>
    <xf numFmtId="43" fontId="0" fillId="0" borderId="1" xfId="0" applyNumberFormat="1" applyBorder="1" applyAlignment="1">
      <alignment horizontal="center"/>
    </xf>
    <xf numFmtId="170" fontId="0" fillId="0" borderId="1" xfId="0" applyNumberFormat="1" applyBorder="1" applyAlignment="1">
      <alignment horizontal="center"/>
    </xf>
    <xf numFmtId="0" fontId="22" fillId="6" borderId="1" xfId="5" applyFont="1" applyFill="1" applyBorder="1"/>
    <xf numFmtId="8" fontId="5" fillId="0" borderId="38" xfId="5" applyNumberFormat="1" applyFont="1" applyBorder="1" applyAlignment="1">
      <alignment horizontal="center" vertical="center"/>
    </xf>
    <xf numFmtId="170" fontId="0" fillId="0" borderId="0" xfId="0" applyNumberFormat="1"/>
    <xf numFmtId="10" fontId="24" fillId="0" borderId="99" xfId="5" applyNumberFormat="1" applyFont="1" applyBorder="1" applyAlignment="1">
      <alignment horizontal="center" vertical="center"/>
    </xf>
    <xf numFmtId="10" fontId="24" fillId="0" borderId="101" xfId="5" applyNumberFormat="1" applyFont="1" applyBorder="1" applyAlignment="1">
      <alignment horizontal="center" vertical="center"/>
    </xf>
    <xf numFmtId="0" fontId="9" fillId="4" borderId="0" xfId="5" applyFont="1" applyFill="1" applyAlignment="1">
      <alignment horizontal="center"/>
    </xf>
    <xf numFmtId="0" fontId="10" fillId="21" borderId="0" xfId="5" applyFont="1" applyFill="1" applyAlignment="1">
      <alignment horizontal="center" vertical="center"/>
    </xf>
    <xf numFmtId="0" fontId="23" fillId="0" borderId="80" xfId="0" applyFont="1" applyBorder="1" applyAlignment="1">
      <alignment horizontal="center"/>
    </xf>
    <xf numFmtId="0" fontId="23" fillId="0" borderId="81" xfId="0" applyFont="1" applyBorder="1" applyAlignment="1">
      <alignment horizontal="center"/>
    </xf>
    <xf numFmtId="0" fontId="23" fillId="0" borderId="82" xfId="0" applyFont="1" applyBorder="1" applyAlignment="1">
      <alignment horizontal="center"/>
    </xf>
    <xf numFmtId="0" fontId="23" fillId="0" borderId="0" xfId="5" applyFont="1" applyAlignment="1">
      <alignment horizontal="center"/>
    </xf>
    <xf numFmtId="0" fontId="23" fillId="4" borderId="0" xfId="5" applyFont="1" applyFill="1" applyAlignment="1">
      <alignment horizontal="center"/>
    </xf>
    <xf numFmtId="0" fontId="23" fillId="4" borderId="24" xfId="5" applyFont="1" applyFill="1" applyBorder="1" applyAlignment="1">
      <alignment horizontal="center"/>
    </xf>
    <xf numFmtId="0" fontId="23" fillId="4" borderId="25" xfId="5" applyFont="1" applyFill="1" applyBorder="1" applyAlignment="1">
      <alignment horizontal="center"/>
    </xf>
    <xf numFmtId="0" fontId="23" fillId="4" borderId="95" xfId="5" applyFont="1" applyFill="1" applyBorder="1" applyAlignment="1">
      <alignment horizontal="center"/>
    </xf>
    <xf numFmtId="0" fontId="23" fillId="4" borderId="96" xfId="5" applyFont="1" applyFill="1" applyBorder="1" applyAlignment="1">
      <alignment horizontal="center"/>
    </xf>
    <xf numFmtId="0" fontId="23" fillId="4" borderId="40" xfId="5" applyFont="1" applyFill="1" applyBorder="1" applyAlignment="1">
      <alignment horizontal="center" vertical="center"/>
    </xf>
    <xf numFmtId="0" fontId="23" fillId="4" borderId="41" xfId="5" applyFont="1" applyFill="1" applyBorder="1" applyAlignment="1">
      <alignment horizontal="center" vertical="center"/>
    </xf>
    <xf numFmtId="0" fontId="27" fillId="7" borderId="80" xfId="0" applyFont="1" applyFill="1" applyBorder="1" applyAlignment="1">
      <alignment horizontal="center" vertical="center" wrapText="1"/>
    </xf>
    <xf numFmtId="0" fontId="27" fillId="7" borderId="82" xfId="0" applyFont="1" applyFill="1" applyBorder="1" applyAlignment="1">
      <alignment horizontal="center" vertical="center" wrapText="1"/>
    </xf>
    <xf numFmtId="0" fontId="6" fillId="4" borderId="39" xfId="5" applyFont="1" applyFill="1" applyBorder="1" applyAlignment="1">
      <alignment horizontal="center" vertical="center"/>
    </xf>
    <xf numFmtId="0" fontId="6" fillId="4" borderId="40" xfId="5" applyFont="1" applyFill="1" applyBorder="1" applyAlignment="1">
      <alignment horizontal="center" vertical="center"/>
    </xf>
    <xf numFmtId="0" fontId="6" fillId="4" borderId="41" xfId="5" applyFont="1" applyFill="1" applyBorder="1" applyAlignment="1">
      <alignment horizontal="center" vertical="center"/>
    </xf>
    <xf numFmtId="0" fontId="27" fillId="14" borderId="39" xfId="0" applyFont="1" applyFill="1" applyBorder="1" applyAlignment="1">
      <alignment horizontal="right"/>
    </xf>
    <xf numFmtId="0" fontId="27" fillId="14" borderId="40" xfId="0" applyFont="1" applyFill="1" applyBorder="1" applyAlignment="1">
      <alignment horizontal="right"/>
    </xf>
    <xf numFmtId="0" fontId="27" fillId="14" borderId="36" xfId="0" applyFont="1" applyFill="1" applyBorder="1" applyAlignment="1">
      <alignment horizontal="center"/>
    </xf>
    <xf numFmtId="0" fontId="27" fillId="14" borderId="37" xfId="0" applyFont="1" applyFill="1" applyBorder="1" applyAlignment="1">
      <alignment horizontal="center"/>
    </xf>
    <xf numFmtId="0" fontId="27" fillId="14" borderId="38" xfId="0" applyFont="1" applyFill="1" applyBorder="1" applyAlignment="1">
      <alignment horizontal="center"/>
    </xf>
    <xf numFmtId="0" fontId="27" fillId="14" borderId="31" xfId="0" applyFont="1" applyFill="1" applyBorder="1" applyAlignment="1">
      <alignment horizontal="center"/>
    </xf>
    <xf numFmtId="0" fontId="27" fillId="14" borderId="32" xfId="0" applyFont="1" applyFill="1" applyBorder="1" applyAlignment="1">
      <alignment horizontal="center"/>
    </xf>
    <xf numFmtId="0" fontId="27" fillId="14" borderId="33" xfId="0" applyFont="1" applyFill="1" applyBorder="1" applyAlignment="1">
      <alignment horizontal="center"/>
    </xf>
    <xf numFmtId="5" fontId="6" fillId="0" borderId="59" xfId="3" applyNumberFormat="1" applyFont="1" applyBorder="1" applyAlignment="1">
      <alignment horizontal="center"/>
    </xf>
    <xf numFmtId="5" fontId="6" fillId="0" borderId="48" xfId="3" applyNumberFormat="1" applyFont="1" applyBorder="1" applyAlignment="1">
      <alignment horizontal="center"/>
    </xf>
    <xf numFmtId="5" fontId="2" fillId="0" borderId="61" xfId="3" applyNumberFormat="1" applyFont="1" applyBorder="1" applyAlignment="1">
      <alignment horizontal="center"/>
    </xf>
    <xf numFmtId="5" fontId="2" fillId="0" borderId="62" xfId="3" applyNumberFormat="1" applyFont="1" applyBorder="1" applyAlignment="1">
      <alignment horizontal="center"/>
    </xf>
    <xf numFmtId="0" fontId="27" fillId="13" borderId="31" xfId="0" applyFont="1" applyFill="1" applyBorder="1" applyAlignment="1">
      <alignment horizontal="right"/>
    </xf>
    <xf numFmtId="0" fontId="27" fillId="13" borderId="32" xfId="0" applyFont="1" applyFill="1" applyBorder="1" applyAlignment="1">
      <alignment horizontal="right"/>
    </xf>
    <xf numFmtId="185" fontId="27" fillId="13" borderId="32" xfId="0" applyNumberFormat="1" applyFont="1" applyFill="1" applyBorder="1" applyAlignment="1">
      <alignment horizontal="center"/>
    </xf>
    <xf numFmtId="0" fontId="22" fillId="2" borderId="26" xfId="0" applyFont="1" applyFill="1" applyBorder="1" applyAlignment="1">
      <alignment horizontal="left" wrapText="1"/>
    </xf>
    <xf numFmtId="0" fontId="22" fillId="2" borderId="0" xfId="0" applyFont="1" applyFill="1" applyAlignment="1">
      <alignment horizontal="left" wrapText="1"/>
    </xf>
    <xf numFmtId="185" fontId="29" fillId="9" borderId="39" xfId="0" applyNumberFormat="1" applyFont="1" applyFill="1" applyBorder="1" applyAlignment="1">
      <alignment horizontal="center"/>
    </xf>
    <xf numFmtId="185" fontId="29" fillId="9" borderId="40" xfId="0" applyNumberFormat="1" applyFont="1" applyFill="1" applyBorder="1" applyAlignment="1">
      <alignment horizontal="center"/>
    </xf>
    <xf numFmtId="185" fontId="27" fillId="9" borderId="49" xfId="0" applyNumberFormat="1" applyFont="1" applyFill="1" applyBorder="1" applyAlignment="1">
      <alignment horizontal="center"/>
    </xf>
    <xf numFmtId="185" fontId="27" fillId="9" borderId="1" xfId="0" applyNumberFormat="1" applyFont="1" applyFill="1" applyBorder="1" applyAlignment="1">
      <alignment horizontal="center"/>
    </xf>
    <xf numFmtId="0" fontId="27" fillId="10" borderId="39" xfId="0" applyFont="1" applyFill="1" applyBorder="1" applyAlignment="1">
      <alignment horizontal="right"/>
    </xf>
    <xf numFmtId="0" fontId="27" fillId="10" borderId="40" xfId="0" applyFont="1" applyFill="1" applyBorder="1" applyAlignment="1">
      <alignment horizontal="right"/>
    </xf>
    <xf numFmtId="5" fontId="2" fillId="3" borderId="4" xfId="3" applyNumberFormat="1" applyFont="1" applyFill="1" applyBorder="1" applyAlignment="1">
      <alignment horizontal="center"/>
    </xf>
    <xf numFmtId="5" fontId="2" fillId="3" borderId="56" xfId="3" applyNumberFormat="1" applyFont="1" applyFill="1" applyBorder="1" applyAlignment="1">
      <alignment horizontal="center"/>
    </xf>
    <xf numFmtId="5" fontId="6" fillId="3" borderId="1" xfId="3" applyNumberFormat="1" applyFont="1" applyFill="1" applyBorder="1" applyAlignment="1">
      <alignment horizontal="center"/>
    </xf>
    <xf numFmtId="170" fontId="0" fillId="0" borderId="1" xfId="4" applyNumberFormat="1" applyFont="1" applyBorder="1" applyAlignment="1">
      <alignment horizontal="center" vertical="center"/>
    </xf>
    <xf numFmtId="0" fontId="3" fillId="8" borderId="3" xfId="0" applyFont="1" applyFill="1" applyBorder="1" applyAlignment="1">
      <alignment horizontal="center"/>
    </xf>
    <xf numFmtId="0" fontId="3" fillId="8" borderId="10" xfId="0" applyFont="1" applyFill="1" applyBorder="1" applyAlignment="1">
      <alignment horizontal="center"/>
    </xf>
    <xf numFmtId="0" fontId="3" fillId="8" borderId="11" xfId="0" applyFont="1" applyFill="1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11" xfId="0" applyBorder="1" applyAlignment="1">
      <alignment horizontal="center"/>
    </xf>
    <xf numFmtId="0" fontId="44" fillId="20" borderId="12" xfId="0" applyFont="1" applyFill="1" applyBorder="1" applyAlignment="1">
      <alignment horizontal="center" vertical="center" textRotation="255"/>
    </xf>
    <xf numFmtId="0" fontId="44" fillId="20" borderId="55" xfId="0" applyFont="1" applyFill="1" applyBorder="1" applyAlignment="1">
      <alignment horizontal="center" vertical="center" textRotation="255"/>
    </xf>
    <xf numFmtId="0" fontId="44" fillId="20" borderId="2" xfId="0" applyFont="1" applyFill="1" applyBorder="1" applyAlignment="1">
      <alignment horizontal="center" vertical="center" textRotation="255"/>
    </xf>
    <xf numFmtId="0" fontId="44" fillId="19" borderId="12" xfId="0" applyFont="1" applyFill="1" applyBorder="1" applyAlignment="1">
      <alignment horizontal="center" vertical="center" textRotation="255"/>
    </xf>
    <xf numFmtId="0" fontId="44" fillId="19" borderId="55" xfId="0" applyFont="1" applyFill="1" applyBorder="1" applyAlignment="1">
      <alignment horizontal="center" vertical="center" textRotation="255"/>
    </xf>
    <xf numFmtId="0" fontId="44" fillId="19" borderId="2" xfId="0" applyFont="1" applyFill="1" applyBorder="1" applyAlignment="1">
      <alignment horizontal="center" vertical="center" textRotation="255"/>
    </xf>
    <xf numFmtId="0" fontId="44" fillId="18" borderId="12" xfId="0" applyFont="1" applyFill="1" applyBorder="1" applyAlignment="1">
      <alignment horizontal="center" vertical="center" textRotation="255"/>
    </xf>
    <xf numFmtId="0" fontId="44" fillId="18" borderId="55" xfId="0" applyFont="1" applyFill="1" applyBorder="1" applyAlignment="1">
      <alignment horizontal="center" vertical="center" textRotation="255"/>
    </xf>
    <xf numFmtId="0" fontId="44" fillId="18" borderId="2" xfId="0" applyFont="1" applyFill="1" applyBorder="1" applyAlignment="1">
      <alignment horizontal="center" vertical="center" textRotation="255"/>
    </xf>
    <xf numFmtId="0" fontId="0" fillId="0" borderId="1" xfId="0" applyBorder="1" applyAlignment="1">
      <alignment horizontal="center"/>
    </xf>
    <xf numFmtId="0" fontId="2" fillId="0" borderId="1" xfId="0" applyFont="1" applyBorder="1" applyAlignment="1">
      <alignment horizontal="center" wrapText="1"/>
    </xf>
    <xf numFmtId="0" fontId="2" fillId="0" borderId="3" xfId="0" applyFont="1" applyBorder="1" applyAlignment="1">
      <alignment horizontal="center" wrapText="1"/>
    </xf>
    <xf numFmtId="0" fontId="2" fillId="0" borderId="10" xfId="0" applyFont="1" applyBorder="1" applyAlignment="1">
      <alignment horizontal="center" wrapText="1"/>
    </xf>
    <xf numFmtId="0" fontId="45" fillId="22" borderId="3" xfId="0" applyFont="1" applyFill="1" applyBorder="1" applyAlignment="1">
      <alignment horizontal="center" vertical="center"/>
    </xf>
    <xf numFmtId="0" fontId="45" fillId="22" borderId="10" xfId="0" applyFont="1" applyFill="1" applyBorder="1" applyAlignment="1">
      <alignment horizontal="center" vertical="center"/>
    </xf>
    <xf numFmtId="0" fontId="45" fillId="22" borderId="11" xfId="0" applyFont="1" applyFill="1" applyBorder="1" applyAlignment="1">
      <alignment horizontal="center" vertical="center"/>
    </xf>
    <xf numFmtId="0" fontId="10" fillId="18" borderId="12" xfId="0" applyFont="1" applyFill="1" applyBorder="1" applyAlignment="1">
      <alignment horizontal="center" vertical="center" textRotation="255"/>
    </xf>
    <xf numFmtId="0" fontId="10" fillId="18" borderId="55" xfId="0" applyFont="1" applyFill="1" applyBorder="1" applyAlignment="1">
      <alignment horizontal="center" vertical="center" textRotation="255"/>
    </xf>
    <xf numFmtId="0" fontId="10" fillId="18" borderId="2" xfId="0" applyFont="1" applyFill="1" applyBorder="1" applyAlignment="1">
      <alignment horizontal="center" vertical="center" textRotation="255"/>
    </xf>
    <xf numFmtId="0" fontId="10" fillId="19" borderId="12" xfId="0" applyFont="1" applyFill="1" applyBorder="1" applyAlignment="1">
      <alignment horizontal="center" vertical="center" textRotation="255"/>
    </xf>
    <xf numFmtId="0" fontId="10" fillId="19" borderId="55" xfId="0" applyFont="1" applyFill="1" applyBorder="1" applyAlignment="1">
      <alignment horizontal="center" vertical="center" textRotation="255"/>
    </xf>
    <xf numFmtId="0" fontId="10" fillId="19" borderId="2" xfId="0" applyFont="1" applyFill="1" applyBorder="1" applyAlignment="1">
      <alignment horizontal="center" vertical="center" textRotation="255"/>
    </xf>
    <xf numFmtId="0" fontId="10" fillId="20" borderId="12" xfId="0" applyFont="1" applyFill="1" applyBorder="1" applyAlignment="1">
      <alignment horizontal="center" vertical="center" textRotation="255"/>
    </xf>
    <xf numFmtId="0" fontId="10" fillId="20" borderId="55" xfId="0" applyFont="1" applyFill="1" applyBorder="1" applyAlignment="1">
      <alignment horizontal="center" vertical="center" textRotation="255"/>
    </xf>
    <xf numFmtId="0" fontId="10" fillId="20" borderId="2" xfId="0" applyFont="1" applyFill="1" applyBorder="1" applyAlignment="1">
      <alignment horizontal="center" vertical="center" textRotation="255"/>
    </xf>
    <xf numFmtId="0" fontId="27" fillId="18" borderId="66" xfId="0" applyFont="1" applyFill="1" applyBorder="1" applyAlignment="1">
      <alignment horizontal="right"/>
    </xf>
    <xf numFmtId="0" fontId="27" fillId="18" borderId="49" xfId="0" applyFont="1" applyFill="1" applyBorder="1" applyAlignment="1">
      <alignment horizontal="right"/>
    </xf>
    <xf numFmtId="0" fontId="27" fillId="14" borderId="1" xfId="0" applyFont="1" applyFill="1" applyBorder="1" applyAlignment="1">
      <alignment horizontal="center"/>
    </xf>
    <xf numFmtId="5" fontId="6" fillId="0" borderId="59" xfId="3" applyNumberFormat="1" applyFont="1" applyFill="1" applyBorder="1" applyAlignment="1">
      <alignment horizontal="center"/>
    </xf>
    <xf numFmtId="5" fontId="6" fillId="0" borderId="48" xfId="3" applyNumberFormat="1" applyFont="1" applyFill="1" applyBorder="1" applyAlignment="1">
      <alignment horizontal="center"/>
    </xf>
    <xf numFmtId="5" fontId="2" fillId="0" borderId="61" xfId="3" applyNumberFormat="1" applyFont="1" applyFill="1" applyBorder="1" applyAlignment="1">
      <alignment horizontal="center"/>
    </xf>
    <xf numFmtId="5" fontId="2" fillId="0" borderId="62" xfId="3" applyNumberFormat="1" applyFont="1" applyFill="1" applyBorder="1" applyAlignment="1">
      <alignment horizontal="center"/>
    </xf>
    <xf numFmtId="0" fontId="27" fillId="13" borderId="32" xfId="0" applyFont="1" applyFill="1" applyBorder="1" applyAlignment="1">
      <alignment horizontal="center"/>
    </xf>
    <xf numFmtId="0" fontId="22" fillId="2" borderId="26" xfId="0" applyFont="1" applyFill="1" applyBorder="1" applyAlignment="1">
      <alignment horizontal="left"/>
    </xf>
    <xf numFmtId="0" fontId="22" fillId="2" borderId="0" xfId="0" applyFont="1" applyFill="1" applyAlignment="1">
      <alignment horizontal="left"/>
    </xf>
    <xf numFmtId="185" fontId="29" fillId="18" borderId="39" xfId="0" applyNumberFormat="1" applyFont="1" applyFill="1" applyBorder="1" applyAlignment="1">
      <alignment horizontal="center"/>
    </xf>
    <xf numFmtId="185" fontId="29" fillId="18" borderId="40" xfId="0" applyNumberFormat="1" applyFont="1" applyFill="1" applyBorder="1" applyAlignment="1">
      <alignment horizontal="center"/>
    </xf>
    <xf numFmtId="185" fontId="27" fillId="18" borderId="49" xfId="0" applyNumberFormat="1" applyFont="1" applyFill="1" applyBorder="1" applyAlignment="1">
      <alignment horizontal="center"/>
    </xf>
    <xf numFmtId="185" fontId="27" fillId="10" borderId="40" xfId="0" applyNumberFormat="1" applyFont="1" applyFill="1" applyBorder="1" applyAlignment="1">
      <alignment horizontal="center"/>
    </xf>
    <xf numFmtId="0" fontId="27" fillId="10" borderId="41" xfId="0" applyFont="1" applyFill="1" applyBorder="1" applyAlignment="1">
      <alignment horizontal="center"/>
    </xf>
    <xf numFmtId="5" fontId="2" fillId="0" borderId="4" xfId="3" applyNumberFormat="1" applyFont="1" applyFill="1" applyBorder="1" applyAlignment="1">
      <alignment horizontal="center"/>
    </xf>
    <xf numFmtId="5" fontId="2" fillId="0" borderId="56" xfId="3" applyNumberFormat="1" applyFont="1" applyFill="1" applyBorder="1" applyAlignment="1">
      <alignment horizontal="center"/>
    </xf>
    <xf numFmtId="5" fontId="6" fillId="0" borderId="1" xfId="3" applyNumberFormat="1" applyFont="1" applyFill="1" applyBorder="1" applyAlignment="1">
      <alignment horizontal="center"/>
    </xf>
    <xf numFmtId="3" fontId="23" fillId="0" borderId="0" xfId="0" applyNumberFormat="1" applyFont="1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23" fillId="0" borderId="38" xfId="0" applyFont="1" applyBorder="1" applyAlignment="1">
      <alignment horizontal="center" vertical="center"/>
    </xf>
    <xf numFmtId="0" fontId="23" fillId="0" borderId="8" xfId="0" applyFont="1" applyBorder="1" applyAlignment="1">
      <alignment horizontal="left"/>
    </xf>
    <xf numFmtId="0" fontId="23" fillId="19" borderId="66" xfId="0" applyFont="1" applyFill="1" applyBorder="1" applyAlignment="1">
      <alignment horizontal="right"/>
    </xf>
    <xf numFmtId="0" fontId="23" fillId="19" borderId="49" xfId="0" applyFont="1" applyFill="1" applyBorder="1" applyAlignment="1">
      <alignment horizontal="right"/>
    </xf>
    <xf numFmtId="185" fontId="29" fillId="19" borderId="39" xfId="0" applyNumberFormat="1" applyFont="1" applyFill="1" applyBorder="1" applyAlignment="1">
      <alignment horizontal="center"/>
    </xf>
    <xf numFmtId="185" fontId="29" fillId="19" borderId="40" xfId="0" applyNumberFormat="1" applyFont="1" applyFill="1" applyBorder="1" applyAlignment="1">
      <alignment horizontal="center"/>
    </xf>
    <xf numFmtId="185" fontId="27" fillId="19" borderId="49" xfId="0" applyNumberFormat="1" applyFont="1" applyFill="1" applyBorder="1" applyAlignment="1">
      <alignment horizontal="center"/>
    </xf>
    <xf numFmtId="0" fontId="27" fillId="20" borderId="66" xfId="0" applyFont="1" applyFill="1" applyBorder="1" applyAlignment="1">
      <alignment horizontal="right"/>
    </xf>
    <xf numFmtId="0" fontId="27" fillId="20" borderId="49" xfId="0" applyFont="1" applyFill="1" applyBorder="1" applyAlignment="1">
      <alignment horizontal="right"/>
    </xf>
    <xf numFmtId="185" fontId="29" fillId="20" borderId="39" xfId="0" applyNumberFormat="1" applyFont="1" applyFill="1" applyBorder="1" applyAlignment="1">
      <alignment horizontal="center"/>
    </xf>
    <xf numFmtId="185" fontId="29" fillId="20" borderId="40" xfId="0" applyNumberFormat="1" applyFont="1" applyFill="1" applyBorder="1" applyAlignment="1">
      <alignment horizontal="center"/>
    </xf>
    <xf numFmtId="185" fontId="27" fillId="20" borderId="49" xfId="0" applyNumberFormat="1" applyFont="1" applyFill="1" applyBorder="1" applyAlignment="1">
      <alignment horizontal="center"/>
    </xf>
    <xf numFmtId="0" fontId="23" fillId="0" borderId="37" xfId="0" applyFont="1" applyBorder="1" applyAlignment="1">
      <alignment horizontal="center" vertical="center"/>
    </xf>
  </cellXfs>
  <cellStyles count="13">
    <cellStyle name="Comma" xfId="4" builtinId="3"/>
    <cellStyle name="Comma 2 10" xfId="3" xr:uid="{B9DDF495-F06B-463C-BE34-8F7BE416AD8B}"/>
    <cellStyle name="Currency" xfId="1" builtinId="4"/>
    <cellStyle name="Currency 8" xfId="6" xr:uid="{551EF029-FF69-4F00-BADB-7EEB625CD8DF}"/>
    <cellStyle name="Hyperlink" xfId="12" builtinId="8"/>
    <cellStyle name="Hyperlink 2" xfId="7" xr:uid="{D9288E1F-1837-42E8-A04F-56EB569BBE98}"/>
    <cellStyle name="Normal" xfId="0" builtinId="0"/>
    <cellStyle name="Normal 10" xfId="5" xr:uid="{E2F92E95-AD8B-4952-B34F-40C849A567FD}"/>
    <cellStyle name="Normal 2" xfId="9" xr:uid="{3D4F9B0A-4C1E-4F6D-9085-1079AEDF436F}"/>
    <cellStyle name="Normal 2 2" xfId="10" xr:uid="{9BFC640A-58B6-4281-978A-F996374428C4}"/>
    <cellStyle name="Normal_Simple pro-forma" xfId="11" xr:uid="{9FF3A03F-E24A-4DD9-B192-0142FB7B5801}"/>
    <cellStyle name="Percent" xfId="2" builtinId="5"/>
    <cellStyle name="Percent 2" xfId="8" xr:uid="{FD26FFCA-AB94-4CDF-A313-09D2F912FA45}"/>
  </cellStyles>
  <dxfs count="48"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ill>
        <patternFill>
          <bgColor rgb="FFFFFF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ill>
        <patternFill>
          <bgColor rgb="FFFFFF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ill>
        <patternFill>
          <bgColor rgb="FFFFFF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ill>
        <patternFill>
          <bgColor rgb="FFFFFF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ill>
        <patternFill>
          <bgColor rgb="FFFFFF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ill>
        <patternFill>
          <bgColor rgb="FFFFFF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ill>
        <patternFill>
          <bgColor rgb="FFFFFF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ill>
        <patternFill>
          <bgColor rgb="FFFFFF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ill>
        <patternFill>
          <bgColor rgb="FFFFFF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ill>
        <patternFill>
          <bgColor rgb="FFFFFF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ill>
        <patternFill>
          <bgColor rgb="FFFFFF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ill>
        <patternFill>
          <bgColor rgb="FFFFFF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microsoft.com/office/2017/10/relationships/person" Target="persons/perso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7.png"/><Relationship Id="rId2" Type="http://schemas.openxmlformats.org/officeDocument/2006/relationships/image" Target="../media/image26.png"/><Relationship Id="rId1" Type="http://schemas.openxmlformats.org/officeDocument/2006/relationships/hyperlink" Target="#'Table of Contents'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29</xdr:col>
      <xdr:colOff>247650</xdr:colOff>
      <xdr:row>6</xdr:row>
      <xdr:rowOff>161925</xdr:rowOff>
    </xdr:from>
    <xdr:to>
      <xdr:col>31</xdr:col>
      <xdr:colOff>489585</xdr:colOff>
      <xdr:row>22</xdr:row>
      <xdr:rowOff>5715</xdr:rowOff>
    </xdr:to>
    <xdr:pic>
      <xdr:nvPicPr>
        <xdr:cNvPr id="53" name="Picture 6">
          <a:extLst>
            <a:ext uri="{FF2B5EF4-FFF2-40B4-BE49-F238E27FC236}">
              <a16:creationId xmlns:a16="http://schemas.microsoft.com/office/drawing/2014/main" id="{0857573E-1F73-7A64-AC33-898457934BE1}"/>
            </a:ext>
            <a:ext uri="{147F2762-F138-4A5C-976F-8EAC2B608ADB}">
              <a16:predDERef xmlns:a16="http://schemas.microsoft.com/office/drawing/2014/main" pred="{C9636D89-F07E-A76F-F19C-E1F509E5CE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108150" y="1333500"/>
          <a:ext cx="1933575" cy="3105150"/>
        </a:xfrm>
        <a:prstGeom prst="rect">
          <a:avLst/>
        </a:prstGeom>
      </xdr:spPr>
    </xdr:pic>
    <xdr:clientData/>
  </xdr:twoCellAnchor>
  <xdr:twoCellAnchor editAs="oneCell">
    <xdr:from>
      <xdr:col>11</xdr:col>
      <xdr:colOff>2577060</xdr:colOff>
      <xdr:row>26</xdr:row>
      <xdr:rowOff>84801</xdr:rowOff>
    </xdr:from>
    <xdr:to>
      <xdr:col>20</xdr:col>
      <xdr:colOff>2566688</xdr:colOff>
      <xdr:row>46</xdr:row>
      <xdr:rowOff>134620</xdr:rowOff>
    </xdr:to>
    <xdr:pic>
      <xdr:nvPicPr>
        <xdr:cNvPr id="6" name="Picture 16">
          <a:extLst>
            <a:ext uri="{FF2B5EF4-FFF2-40B4-BE49-F238E27FC236}">
              <a16:creationId xmlns:a16="http://schemas.microsoft.com/office/drawing/2014/main" id="{B28B23A6-7F6D-4878-A770-3BA7A19CE168}"/>
            </a:ext>
            <a:ext uri="{147F2762-F138-4A5C-976F-8EAC2B608ADB}">
              <a16:predDERef xmlns:a16="http://schemas.microsoft.com/office/drawing/2014/main" pred="{42364BCF-B300-1119-D405-4511466059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244935" y="5228301"/>
          <a:ext cx="6573681" cy="4137949"/>
        </a:xfrm>
        <a:prstGeom prst="rect">
          <a:avLst/>
        </a:prstGeom>
      </xdr:spPr>
    </xdr:pic>
    <xdr:clientData/>
  </xdr:twoCellAnchor>
  <xdr:twoCellAnchor editAs="oneCell">
    <xdr:from>
      <xdr:col>2</xdr:col>
      <xdr:colOff>600075</xdr:colOff>
      <xdr:row>47</xdr:row>
      <xdr:rowOff>20955</xdr:rowOff>
    </xdr:from>
    <xdr:to>
      <xdr:col>12</xdr:col>
      <xdr:colOff>172720</xdr:colOff>
      <xdr:row>68</xdr:row>
      <xdr:rowOff>63500</xdr:rowOff>
    </xdr:to>
    <xdr:pic>
      <xdr:nvPicPr>
        <xdr:cNvPr id="29" name="Picture 2">
          <a:extLst>
            <a:ext uri="{FF2B5EF4-FFF2-40B4-BE49-F238E27FC236}">
              <a16:creationId xmlns:a16="http://schemas.microsoft.com/office/drawing/2014/main" id="{CFC973E8-2C56-4132-8174-35FADEEE03B4}"/>
            </a:ext>
            <a:ext uri="{147F2762-F138-4A5C-976F-8EAC2B608ADB}">
              <a16:predDERef xmlns:a16="http://schemas.microsoft.com/office/drawing/2014/main" pred="{69D047D6-7AA8-E979-CF97-18B2F5F1A2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819275" y="11786235"/>
          <a:ext cx="10376535" cy="4351655"/>
        </a:xfrm>
        <a:prstGeom prst="rect">
          <a:avLst/>
        </a:prstGeom>
      </xdr:spPr>
    </xdr:pic>
    <xdr:clientData/>
  </xdr:twoCellAnchor>
  <xdr:twoCellAnchor editAs="oneCell">
    <xdr:from>
      <xdr:col>3</xdr:col>
      <xdr:colOff>133350</xdr:colOff>
      <xdr:row>28</xdr:row>
      <xdr:rowOff>0</xdr:rowOff>
    </xdr:from>
    <xdr:to>
      <xdr:col>11</xdr:col>
      <xdr:colOff>1240790</xdr:colOff>
      <xdr:row>48</xdr:row>
      <xdr:rowOff>20320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26963EA-CF58-4240-9681-C82D75D9B691}"/>
            </a:ext>
            <a:ext uri="{147F2762-F138-4A5C-976F-8EAC2B608ADB}">
              <a16:predDERef xmlns:a16="http://schemas.microsoft.com/office/drawing/2014/main" pred="{5FA7B915-B6B4-0903-C42C-158445FA92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686050" y="5588000"/>
          <a:ext cx="8350250" cy="4107180"/>
        </a:xfrm>
        <a:prstGeom prst="rect">
          <a:avLst/>
        </a:prstGeom>
      </xdr:spPr>
    </xdr:pic>
    <xdr:clientData/>
  </xdr:twoCellAnchor>
  <xdr:twoCellAnchor editAs="oneCell">
    <xdr:from>
      <xdr:col>16</xdr:col>
      <xdr:colOff>5022</xdr:colOff>
      <xdr:row>48</xdr:row>
      <xdr:rowOff>36368</xdr:rowOff>
    </xdr:from>
    <xdr:to>
      <xdr:col>21</xdr:col>
      <xdr:colOff>3764</xdr:colOff>
      <xdr:row>67</xdr:row>
      <xdr:rowOff>139873</xdr:rowOff>
    </xdr:to>
    <xdr:pic>
      <xdr:nvPicPr>
        <xdr:cNvPr id="28" name="Picture 4">
          <a:extLst>
            <a:ext uri="{FF2B5EF4-FFF2-40B4-BE49-F238E27FC236}">
              <a16:creationId xmlns:a16="http://schemas.microsoft.com/office/drawing/2014/main" id="{F37EF81A-7449-4157-912A-0495674F3757}"/>
            </a:ext>
            <a:ext uri="{147F2762-F138-4A5C-976F-8EAC2B608ADB}">
              <a16:predDERef xmlns:a16="http://schemas.microsoft.com/office/drawing/2014/main" pred="{42364BCF-B300-1119-D405-4511466059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2684702" y="12015008"/>
          <a:ext cx="5194909" cy="3994785"/>
        </a:xfrm>
        <a:prstGeom prst="rect">
          <a:avLst/>
        </a:prstGeom>
      </xdr:spPr>
    </xdr:pic>
    <xdr:clientData/>
  </xdr:twoCellAnchor>
  <xdr:twoCellAnchor editAs="oneCell">
    <xdr:from>
      <xdr:col>22</xdr:col>
      <xdr:colOff>2596053</xdr:colOff>
      <xdr:row>49</xdr:row>
      <xdr:rowOff>4271</xdr:rowOff>
    </xdr:from>
    <xdr:to>
      <xdr:col>31</xdr:col>
      <xdr:colOff>1324011</xdr:colOff>
      <xdr:row>67</xdr:row>
      <xdr:rowOff>25284</xdr:rowOff>
    </xdr:to>
    <xdr:pic>
      <xdr:nvPicPr>
        <xdr:cNvPr id="3" name="Picture 5">
          <a:extLst>
            <a:ext uri="{FF2B5EF4-FFF2-40B4-BE49-F238E27FC236}">
              <a16:creationId xmlns:a16="http://schemas.microsoft.com/office/drawing/2014/main" id="{1C1DB746-D558-434D-9FBF-C5711B6CA899}"/>
            </a:ext>
            <a:ext uri="{147F2762-F138-4A5C-976F-8EAC2B608ADB}">
              <a16:predDERef xmlns:a16="http://schemas.microsoft.com/office/drawing/2014/main" pred="{87312100-1FB5-B36F-DB1C-73E862C841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0169678" y="9799146"/>
          <a:ext cx="9310197" cy="3578283"/>
        </a:xfrm>
        <a:prstGeom prst="rect">
          <a:avLst/>
        </a:prstGeom>
      </xdr:spPr>
    </xdr:pic>
    <xdr:clientData/>
  </xdr:twoCellAnchor>
  <xdr:twoCellAnchor editAs="oneCell">
    <xdr:from>
      <xdr:col>31</xdr:col>
      <xdr:colOff>1654175</xdr:colOff>
      <xdr:row>26</xdr:row>
      <xdr:rowOff>177165</xdr:rowOff>
    </xdr:from>
    <xdr:to>
      <xdr:col>37</xdr:col>
      <xdr:colOff>768105</xdr:colOff>
      <xdr:row>44</xdr:row>
      <xdr:rowOff>199390</xdr:rowOff>
    </xdr:to>
    <xdr:pic>
      <xdr:nvPicPr>
        <xdr:cNvPr id="2" name="Picture 6">
          <a:extLst>
            <a:ext uri="{FF2B5EF4-FFF2-40B4-BE49-F238E27FC236}">
              <a16:creationId xmlns:a16="http://schemas.microsoft.com/office/drawing/2014/main" id="{A15C68E1-D369-4206-BD65-54015EDAEA36}"/>
            </a:ext>
            <a:ext uri="{147F2762-F138-4A5C-976F-8EAC2B608ADB}">
              <a16:predDERef xmlns:a16="http://schemas.microsoft.com/office/drawing/2014/main" pred="{1C1DB746-D558-434D-9FBF-C5711B6CA8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0152975" y="5311140"/>
          <a:ext cx="9915953" cy="3702685"/>
        </a:xfrm>
        <a:prstGeom prst="rect">
          <a:avLst/>
        </a:prstGeom>
      </xdr:spPr>
    </xdr:pic>
    <xdr:clientData/>
  </xdr:twoCellAnchor>
  <xdr:twoCellAnchor editAs="oneCell">
    <xdr:from>
      <xdr:col>22</xdr:col>
      <xdr:colOff>1221105</xdr:colOff>
      <xdr:row>26</xdr:row>
      <xdr:rowOff>36830</xdr:rowOff>
    </xdr:from>
    <xdr:to>
      <xdr:col>29</xdr:col>
      <xdr:colOff>479424</xdr:colOff>
      <xdr:row>47</xdr:row>
      <xdr:rowOff>24572</xdr:rowOff>
    </xdr:to>
    <xdr:pic>
      <xdr:nvPicPr>
        <xdr:cNvPr id="9" name="Picture 7">
          <a:extLst>
            <a:ext uri="{FF2B5EF4-FFF2-40B4-BE49-F238E27FC236}">
              <a16:creationId xmlns:a16="http://schemas.microsoft.com/office/drawing/2014/main" id="{8A527E1E-F221-41B0-BA49-A3DF97E3D219}"/>
            </a:ext>
            <a:ext uri="{147F2762-F138-4A5C-976F-8EAC2B608ADB}">
              <a16:predDERef xmlns:a16="http://schemas.microsoft.com/office/drawing/2014/main" pred="{208F7AC7-A85C-A4A3-C61F-9A6D1D45C6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8794730" y="5180330"/>
          <a:ext cx="8163560" cy="4277802"/>
        </a:xfrm>
        <a:prstGeom prst="rect">
          <a:avLst/>
        </a:prstGeom>
      </xdr:spPr>
    </xdr:pic>
    <xdr:clientData/>
  </xdr:twoCellAnchor>
  <xdr:twoCellAnchor editAs="oneCell">
    <xdr:from>
      <xdr:col>1</xdr:col>
      <xdr:colOff>567690</xdr:colOff>
      <xdr:row>73</xdr:row>
      <xdr:rowOff>80010</xdr:rowOff>
    </xdr:from>
    <xdr:to>
      <xdr:col>11</xdr:col>
      <xdr:colOff>2321560</xdr:colOff>
      <xdr:row>94</xdr:row>
      <xdr:rowOff>100965</xdr:rowOff>
    </xdr:to>
    <xdr:pic>
      <xdr:nvPicPr>
        <xdr:cNvPr id="41" name="Picture 8">
          <a:extLst>
            <a:ext uri="{FF2B5EF4-FFF2-40B4-BE49-F238E27FC236}">
              <a16:creationId xmlns:a16="http://schemas.microsoft.com/office/drawing/2014/main" id="{B462CF66-7084-44DD-BF61-03C5DAED5373}"/>
            </a:ext>
            <a:ext uri="{147F2762-F138-4A5C-976F-8EAC2B608ADB}">
              <a16:predDERef xmlns:a16="http://schemas.microsoft.com/office/drawing/2014/main" pred="{F7D0A27F-A5A3-57B0-AD02-76D85057D9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177290" y="17392650"/>
          <a:ext cx="10708640" cy="4344035"/>
        </a:xfrm>
        <a:prstGeom prst="rect">
          <a:avLst/>
        </a:prstGeom>
      </xdr:spPr>
    </xdr:pic>
    <xdr:clientData/>
  </xdr:twoCellAnchor>
  <xdr:twoCellAnchor editAs="oneCell">
    <xdr:from>
      <xdr:col>13</xdr:col>
      <xdr:colOff>259080</xdr:colOff>
      <xdr:row>74</xdr:row>
      <xdr:rowOff>1905</xdr:rowOff>
    </xdr:from>
    <xdr:to>
      <xdr:col>21</xdr:col>
      <xdr:colOff>1528</xdr:colOff>
      <xdr:row>93</xdr:row>
      <xdr:rowOff>139065</xdr:rowOff>
    </xdr:to>
    <xdr:pic>
      <xdr:nvPicPr>
        <xdr:cNvPr id="15" name="Picture 9">
          <a:extLst>
            <a:ext uri="{FF2B5EF4-FFF2-40B4-BE49-F238E27FC236}">
              <a16:creationId xmlns:a16="http://schemas.microsoft.com/office/drawing/2014/main" id="{C08CD3BE-A50A-4C8C-8F1E-33703EF4F36B}"/>
            </a:ext>
            <a:ext uri="{147F2762-F138-4A5C-976F-8EAC2B608ADB}">
              <a16:predDERef xmlns:a16="http://schemas.microsoft.com/office/drawing/2014/main" pred="{3AA0C65F-CF11-02F1-E405-55BAC6F63D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3101955" y="14559280"/>
          <a:ext cx="6316565" cy="3902710"/>
        </a:xfrm>
        <a:prstGeom prst="rect">
          <a:avLst/>
        </a:prstGeom>
      </xdr:spPr>
    </xdr:pic>
    <xdr:clientData/>
  </xdr:twoCellAnchor>
  <xdr:twoCellAnchor editAs="oneCell">
    <xdr:from>
      <xdr:col>3</xdr:col>
      <xdr:colOff>733425</xdr:colOff>
      <xdr:row>94</xdr:row>
      <xdr:rowOff>85725</xdr:rowOff>
    </xdr:from>
    <xdr:to>
      <xdr:col>11</xdr:col>
      <xdr:colOff>1277620</xdr:colOff>
      <xdr:row>114</xdr:row>
      <xdr:rowOff>175260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82F17A26-759C-4D21-A6D3-2C4F04E62F54}"/>
            </a:ext>
            <a:ext uri="{147F2762-F138-4A5C-976F-8EAC2B608ADB}">
              <a16:predDERef xmlns:a16="http://schemas.microsoft.com/office/drawing/2014/main" pred="{BB5BE0F4-8636-4E63-4462-D69C300622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3286125" y="18773775"/>
          <a:ext cx="7788275" cy="4049395"/>
        </a:xfrm>
        <a:prstGeom prst="rect">
          <a:avLst/>
        </a:prstGeom>
      </xdr:spPr>
    </xdr:pic>
    <xdr:clientData/>
  </xdr:twoCellAnchor>
  <xdr:twoCellAnchor editAs="oneCell">
    <xdr:from>
      <xdr:col>22</xdr:col>
      <xdr:colOff>2478892</xdr:colOff>
      <xdr:row>75</xdr:row>
      <xdr:rowOff>116205</xdr:rowOff>
    </xdr:from>
    <xdr:to>
      <xdr:col>31</xdr:col>
      <xdr:colOff>905547</xdr:colOff>
      <xdr:row>109</xdr:row>
      <xdr:rowOff>175260</xdr:rowOff>
    </xdr:to>
    <xdr:pic>
      <xdr:nvPicPr>
        <xdr:cNvPr id="16" name="Picture 11">
          <a:extLst>
            <a:ext uri="{FF2B5EF4-FFF2-40B4-BE49-F238E27FC236}">
              <a16:creationId xmlns:a16="http://schemas.microsoft.com/office/drawing/2014/main" id="{80A33296-13C9-4610-9ACA-03773D2F8A75}"/>
            </a:ext>
            <a:ext uri="{147F2762-F138-4A5C-976F-8EAC2B608ADB}">
              <a16:predDERef xmlns:a16="http://schemas.microsoft.com/office/drawing/2014/main" pred="{19F98C4B-699E-2C6A-77B8-7E61FE857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20052517" y="14864080"/>
          <a:ext cx="9027944" cy="6781165"/>
        </a:xfrm>
        <a:prstGeom prst="rect">
          <a:avLst/>
        </a:prstGeom>
      </xdr:spPr>
    </xdr:pic>
    <xdr:clientData/>
  </xdr:twoCellAnchor>
  <xdr:twoCellAnchor editAs="oneCell">
    <xdr:from>
      <xdr:col>13</xdr:col>
      <xdr:colOff>81280</xdr:colOff>
      <xdr:row>94</xdr:row>
      <xdr:rowOff>30480</xdr:rowOff>
    </xdr:from>
    <xdr:to>
      <xdr:col>20</xdr:col>
      <xdr:colOff>2846332</xdr:colOff>
      <xdr:row>114</xdr:row>
      <xdr:rowOff>36830</xdr:rowOff>
    </xdr:to>
    <xdr:pic>
      <xdr:nvPicPr>
        <xdr:cNvPr id="14" name="Picture 12">
          <a:extLst>
            <a:ext uri="{FF2B5EF4-FFF2-40B4-BE49-F238E27FC236}">
              <a16:creationId xmlns:a16="http://schemas.microsoft.com/office/drawing/2014/main" id="{6777B1F0-06FA-46E9-BFD9-0644CE288C22}"/>
            </a:ext>
            <a:ext uri="{147F2762-F138-4A5C-976F-8EAC2B608ADB}">
              <a16:predDERef xmlns:a16="http://schemas.microsoft.com/office/drawing/2014/main" pred="{24FEE58C-8F17-C8D8-157B-A484090DB8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2924155" y="18397855"/>
          <a:ext cx="6195060" cy="3970020"/>
        </a:xfrm>
        <a:prstGeom prst="rect">
          <a:avLst/>
        </a:prstGeom>
      </xdr:spPr>
    </xdr:pic>
    <xdr:clientData/>
  </xdr:twoCellAnchor>
  <xdr:twoCellAnchor editAs="oneCell">
    <xdr:from>
      <xdr:col>31</xdr:col>
      <xdr:colOff>1176020</xdr:colOff>
      <xdr:row>73</xdr:row>
      <xdr:rowOff>25400</xdr:rowOff>
    </xdr:from>
    <xdr:to>
      <xdr:col>36</xdr:col>
      <xdr:colOff>1734581</xdr:colOff>
      <xdr:row>91</xdr:row>
      <xdr:rowOff>62230</xdr:rowOff>
    </xdr:to>
    <xdr:pic>
      <xdr:nvPicPr>
        <xdr:cNvPr id="21" name="Picture 13">
          <a:extLst>
            <a:ext uri="{FF2B5EF4-FFF2-40B4-BE49-F238E27FC236}">
              <a16:creationId xmlns:a16="http://schemas.microsoft.com/office/drawing/2014/main" id="{402EDE9C-8979-4473-AE91-F7D359AB0183}"/>
            </a:ext>
            <a:ext uri="{147F2762-F138-4A5C-976F-8EAC2B608ADB}">
              <a16:predDERef xmlns:a16="http://schemas.microsoft.com/office/drawing/2014/main" pred="{92305765-C1C7-22B0-536C-FC94F99D13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30163770" y="14392275"/>
          <a:ext cx="9064423" cy="3594100"/>
        </a:xfrm>
        <a:prstGeom prst="rect">
          <a:avLst/>
        </a:prstGeom>
      </xdr:spPr>
    </xdr:pic>
    <xdr:clientData/>
  </xdr:twoCellAnchor>
  <xdr:twoCellAnchor editAs="oneCell">
    <xdr:from>
      <xdr:col>31</xdr:col>
      <xdr:colOff>1295400</xdr:colOff>
      <xdr:row>92</xdr:row>
      <xdr:rowOff>149860</xdr:rowOff>
    </xdr:from>
    <xdr:to>
      <xdr:col>36</xdr:col>
      <xdr:colOff>1844003</xdr:colOff>
      <xdr:row>111</xdr:row>
      <xdr:rowOff>36830</xdr:rowOff>
    </xdr:to>
    <xdr:pic>
      <xdr:nvPicPr>
        <xdr:cNvPr id="22" name="Picture 14">
          <a:extLst>
            <a:ext uri="{FF2B5EF4-FFF2-40B4-BE49-F238E27FC236}">
              <a16:creationId xmlns:a16="http://schemas.microsoft.com/office/drawing/2014/main" id="{C0609CB6-9540-4F53-9232-6A42620157D9}"/>
            </a:ext>
            <a:ext uri="{147F2762-F138-4A5C-976F-8EAC2B608ADB}">
              <a16:predDERef xmlns:a16="http://schemas.microsoft.com/office/drawing/2014/main" pred="{D60330AC-637F-5452-5AB7-A36D157F38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30283150" y="18136235"/>
          <a:ext cx="9041765" cy="3649980"/>
        </a:xfrm>
        <a:prstGeom prst="rect">
          <a:avLst/>
        </a:prstGeom>
      </xdr:spPr>
    </xdr:pic>
    <xdr:clientData/>
  </xdr:twoCellAnchor>
  <xdr:twoCellAnchor editAs="oneCell">
    <xdr:from>
      <xdr:col>37</xdr:col>
      <xdr:colOff>175895</xdr:colOff>
      <xdr:row>73</xdr:row>
      <xdr:rowOff>135244</xdr:rowOff>
    </xdr:from>
    <xdr:to>
      <xdr:col>46</xdr:col>
      <xdr:colOff>405765</xdr:colOff>
      <xdr:row>90</xdr:row>
      <xdr:rowOff>99779</xdr:rowOff>
    </xdr:to>
    <xdr:pic>
      <xdr:nvPicPr>
        <xdr:cNvPr id="23" name="Picture 15">
          <a:extLst>
            <a:ext uri="{FF2B5EF4-FFF2-40B4-BE49-F238E27FC236}">
              <a16:creationId xmlns:a16="http://schemas.microsoft.com/office/drawing/2014/main" id="{38160C8E-7A0F-41F5-8869-44CF7DA9DA3C}"/>
            </a:ext>
            <a:ext uri="{147F2762-F138-4A5C-976F-8EAC2B608ADB}">
              <a16:predDERef xmlns:a16="http://schemas.microsoft.com/office/drawing/2014/main" pred="{2640DE2B-C170-1854-8E7E-92AA85B7B9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39720520" y="14502119"/>
          <a:ext cx="9208770" cy="3313525"/>
        </a:xfrm>
        <a:prstGeom prst="rect">
          <a:avLst/>
        </a:prstGeom>
      </xdr:spPr>
    </xdr:pic>
    <xdr:clientData/>
  </xdr:twoCellAnchor>
  <xdr:twoCellAnchor editAs="oneCell">
    <xdr:from>
      <xdr:col>3</xdr:col>
      <xdr:colOff>723900</xdr:colOff>
      <xdr:row>142</xdr:row>
      <xdr:rowOff>0</xdr:rowOff>
    </xdr:from>
    <xdr:to>
      <xdr:col>11</xdr:col>
      <xdr:colOff>878205</xdr:colOff>
      <xdr:row>161</xdr:row>
      <xdr:rowOff>189230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B1DABF7E-6E65-4AC6-9953-944999D053C8}"/>
            </a:ext>
            <a:ext uri="{147F2762-F138-4A5C-976F-8EAC2B608ADB}">
              <a16:predDERef xmlns:a16="http://schemas.microsoft.com/office/drawing/2014/main" pred="{95059B03-0C26-8503-CC27-F0A9AE1246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3276600" y="28136850"/>
          <a:ext cx="7400925" cy="3959225"/>
        </a:xfrm>
        <a:prstGeom prst="rect">
          <a:avLst/>
        </a:prstGeom>
      </xdr:spPr>
    </xdr:pic>
    <xdr:clientData/>
  </xdr:twoCellAnchor>
  <xdr:twoCellAnchor editAs="oneCell">
    <xdr:from>
      <xdr:col>3</xdr:col>
      <xdr:colOff>685800</xdr:colOff>
      <xdr:row>120</xdr:row>
      <xdr:rowOff>66675</xdr:rowOff>
    </xdr:from>
    <xdr:to>
      <xdr:col>11</xdr:col>
      <xdr:colOff>1130300</xdr:colOff>
      <xdr:row>137</xdr:row>
      <xdr:rowOff>134620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9F57BD82-E7E1-4418-99C0-490FDB546BB9}"/>
            </a:ext>
            <a:ext uri="{147F2762-F138-4A5C-976F-8EAC2B608ADB}">
              <a16:predDERef xmlns:a16="http://schemas.microsoft.com/office/drawing/2014/main" pred="{EB9D604D-4544-1E7F-C9D5-9211108D4F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3238500" y="23872825"/>
          <a:ext cx="7669530" cy="3432175"/>
        </a:xfrm>
        <a:prstGeom prst="rect">
          <a:avLst/>
        </a:prstGeom>
      </xdr:spPr>
    </xdr:pic>
    <xdr:clientData/>
  </xdr:twoCellAnchor>
  <xdr:twoCellAnchor editAs="oneCell">
    <xdr:from>
      <xdr:col>24</xdr:col>
      <xdr:colOff>373380</xdr:colOff>
      <xdr:row>122</xdr:row>
      <xdr:rowOff>24130</xdr:rowOff>
    </xdr:from>
    <xdr:to>
      <xdr:col>32</xdr:col>
      <xdr:colOff>1942</xdr:colOff>
      <xdr:row>161</xdr:row>
      <xdr:rowOff>101600</xdr:rowOff>
    </xdr:to>
    <xdr:pic>
      <xdr:nvPicPr>
        <xdr:cNvPr id="24" name="Picture 18">
          <a:extLst>
            <a:ext uri="{FF2B5EF4-FFF2-40B4-BE49-F238E27FC236}">
              <a16:creationId xmlns:a16="http://schemas.microsoft.com/office/drawing/2014/main" id="{4FB288DC-79F0-4587-879B-A1881EFDE85B}"/>
            </a:ext>
            <a:ext uri="{147F2762-F138-4A5C-976F-8EAC2B608ADB}">
              <a16:predDERef xmlns:a16="http://schemas.microsoft.com/office/drawing/2014/main" pred="{60C3EF1D-FB46-806B-4E82-E370FF2F1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23423880" y="23725505"/>
          <a:ext cx="8295640" cy="7801610"/>
        </a:xfrm>
        <a:prstGeom prst="rect">
          <a:avLst/>
        </a:prstGeom>
      </xdr:spPr>
    </xdr:pic>
    <xdr:clientData/>
  </xdr:twoCellAnchor>
  <xdr:twoCellAnchor editAs="oneCell">
    <xdr:from>
      <xdr:col>19</xdr:col>
      <xdr:colOff>184785</xdr:colOff>
      <xdr:row>141</xdr:row>
      <xdr:rowOff>171450</xdr:rowOff>
    </xdr:from>
    <xdr:to>
      <xdr:col>22</xdr:col>
      <xdr:colOff>21877</xdr:colOff>
      <xdr:row>162</xdr:row>
      <xdr:rowOff>635</xdr:rowOff>
    </xdr:to>
    <xdr:pic>
      <xdr:nvPicPr>
        <xdr:cNvPr id="52" name="Picture 19">
          <a:extLst>
            <a:ext uri="{FF2B5EF4-FFF2-40B4-BE49-F238E27FC236}">
              <a16:creationId xmlns:a16="http://schemas.microsoft.com/office/drawing/2014/main" id="{E13F98D3-0113-4A43-81B3-960C197B91A2}"/>
            </a:ext>
            <a:ext uri="{147F2762-F138-4A5C-976F-8EAC2B608ADB}">
              <a16:predDERef xmlns:a16="http://schemas.microsoft.com/office/drawing/2014/main" pred="{94AA8832-3028-95F0-4BF5-8383E566F0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4388465" y="31992570"/>
          <a:ext cx="6020871" cy="4130675"/>
        </a:xfrm>
        <a:prstGeom prst="rect">
          <a:avLst/>
        </a:prstGeom>
      </xdr:spPr>
    </xdr:pic>
    <xdr:clientData/>
  </xdr:twoCellAnchor>
  <xdr:twoCellAnchor editAs="oneCell">
    <xdr:from>
      <xdr:col>32</xdr:col>
      <xdr:colOff>132716</xdr:colOff>
      <xdr:row>121</xdr:row>
      <xdr:rowOff>120650</xdr:rowOff>
    </xdr:from>
    <xdr:to>
      <xdr:col>39</xdr:col>
      <xdr:colOff>60326</xdr:colOff>
      <xdr:row>141</xdr:row>
      <xdr:rowOff>78740</xdr:rowOff>
    </xdr:to>
    <xdr:pic>
      <xdr:nvPicPr>
        <xdr:cNvPr id="25" name="Picture 20">
          <a:extLst>
            <a:ext uri="{FF2B5EF4-FFF2-40B4-BE49-F238E27FC236}">
              <a16:creationId xmlns:a16="http://schemas.microsoft.com/office/drawing/2014/main" id="{FF647A89-EAAE-49D1-A7D3-FF7966287C37}"/>
            </a:ext>
            <a:ext uri="{147F2762-F138-4A5C-976F-8EAC2B608ADB}">
              <a16:predDERef xmlns:a16="http://schemas.microsoft.com/office/drawing/2014/main" pred="{8ED8BAD8-98AF-D167-DE00-3E825EC5E7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32485966" y="23631525"/>
          <a:ext cx="10204450" cy="3919220"/>
        </a:xfrm>
        <a:prstGeom prst="rect">
          <a:avLst/>
        </a:prstGeom>
      </xdr:spPr>
    </xdr:pic>
    <xdr:clientData/>
  </xdr:twoCellAnchor>
  <xdr:twoCellAnchor editAs="oneCell">
    <xdr:from>
      <xdr:col>19</xdr:col>
      <xdr:colOff>398145</xdr:colOff>
      <xdr:row>120</xdr:row>
      <xdr:rowOff>45720</xdr:rowOff>
    </xdr:from>
    <xdr:to>
      <xdr:col>22</xdr:col>
      <xdr:colOff>20391</xdr:colOff>
      <xdr:row>140</xdr:row>
      <xdr:rowOff>139700</xdr:rowOff>
    </xdr:to>
    <xdr:pic>
      <xdr:nvPicPr>
        <xdr:cNvPr id="51" name="Picture 21">
          <a:extLst>
            <a:ext uri="{FF2B5EF4-FFF2-40B4-BE49-F238E27FC236}">
              <a16:creationId xmlns:a16="http://schemas.microsoft.com/office/drawing/2014/main" id="{B0302C03-CDCB-47E7-8D73-A12E34893287}"/>
            </a:ext>
            <a:ext uri="{147F2762-F138-4A5C-976F-8EAC2B608ADB}">
              <a16:predDERef xmlns:a16="http://schemas.microsoft.com/office/drawing/2014/main" pred="{9AFB4559-404E-FAEC-B334-48CB08014B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4601825" y="27386280"/>
          <a:ext cx="6325455" cy="4206240"/>
        </a:xfrm>
        <a:prstGeom prst="rect">
          <a:avLst/>
        </a:prstGeom>
      </xdr:spPr>
    </xdr:pic>
    <xdr:clientData/>
  </xdr:twoCellAnchor>
  <xdr:twoCellAnchor editAs="oneCell">
    <xdr:from>
      <xdr:col>10</xdr:col>
      <xdr:colOff>373380</xdr:colOff>
      <xdr:row>6</xdr:row>
      <xdr:rowOff>62865</xdr:rowOff>
    </xdr:from>
    <xdr:to>
      <xdr:col>18</xdr:col>
      <xdr:colOff>304800</xdr:colOff>
      <xdr:row>21</xdr:row>
      <xdr:rowOff>127635</xdr:rowOff>
    </xdr:to>
    <xdr:pic>
      <xdr:nvPicPr>
        <xdr:cNvPr id="13" name="Picture 5">
          <a:extLst>
            <a:ext uri="{FF2B5EF4-FFF2-40B4-BE49-F238E27FC236}">
              <a16:creationId xmlns:a16="http://schemas.microsoft.com/office/drawing/2014/main" id="{C57470E6-99AB-4738-BC58-4E56648DDD9C}"/>
            </a:ext>
            <a:ext uri="{147F2762-F138-4A5C-976F-8EAC2B608ADB}">
              <a16:predDERef xmlns:a16="http://schemas.microsoft.com/office/drawing/2014/main" pred="{B0302C03-CDCB-47E7-8D73-A12E348932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8964930" y="1234440"/>
          <a:ext cx="6286500" cy="3120390"/>
        </a:xfrm>
        <a:prstGeom prst="rect">
          <a:avLst/>
        </a:prstGeom>
      </xdr:spPr>
    </xdr:pic>
    <xdr:clientData/>
  </xdr:twoCellAnchor>
  <xdr:twoCellAnchor editAs="oneCell">
    <xdr:from>
      <xdr:col>31</xdr:col>
      <xdr:colOff>809625</xdr:colOff>
      <xdr:row>9</xdr:row>
      <xdr:rowOff>76200</xdr:rowOff>
    </xdr:from>
    <xdr:to>
      <xdr:col>31</xdr:col>
      <xdr:colOff>1609725</xdr:colOff>
      <xdr:row>21</xdr:row>
      <xdr:rowOff>196215</xdr:rowOff>
    </xdr:to>
    <xdr:pic>
      <xdr:nvPicPr>
        <xdr:cNvPr id="54" name="Picture 1">
          <a:extLst>
            <a:ext uri="{FF2B5EF4-FFF2-40B4-BE49-F238E27FC236}">
              <a16:creationId xmlns:a16="http://schemas.microsoft.com/office/drawing/2014/main" id="{AE4BF7E7-8ABF-D0AE-62E2-84A57B53B70B}"/>
            </a:ext>
            <a:ext uri="{147F2762-F138-4A5C-976F-8EAC2B608ADB}">
              <a16:predDERef xmlns:a16="http://schemas.microsoft.com/office/drawing/2014/main" pred="{C57470E6-99AB-4738-BC58-4E56648DDD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29308425" y="1847850"/>
          <a:ext cx="800100" cy="2581275"/>
        </a:xfrm>
        <a:prstGeom prst="rect">
          <a:avLst/>
        </a:prstGeom>
      </xdr:spPr>
    </xdr:pic>
    <xdr:clientData/>
  </xdr:twoCellAnchor>
  <xdr:twoCellAnchor editAs="oneCell">
    <xdr:from>
      <xdr:col>31</xdr:col>
      <xdr:colOff>1743075</xdr:colOff>
      <xdr:row>9</xdr:row>
      <xdr:rowOff>76200</xdr:rowOff>
    </xdr:from>
    <xdr:to>
      <xdr:col>31</xdr:col>
      <xdr:colOff>2543175</xdr:colOff>
      <xdr:row>22</xdr:row>
      <xdr:rowOff>28575</xdr:rowOff>
    </xdr:to>
    <xdr:pic>
      <xdr:nvPicPr>
        <xdr:cNvPr id="56" name="Picture 4">
          <a:extLst>
            <a:ext uri="{FF2B5EF4-FFF2-40B4-BE49-F238E27FC236}">
              <a16:creationId xmlns:a16="http://schemas.microsoft.com/office/drawing/2014/main" id="{C9636D89-F07E-A76F-F19C-E1F509E5CE77}"/>
            </a:ext>
            <a:ext uri="{147F2762-F138-4A5C-976F-8EAC2B608ADB}">
              <a16:predDERef xmlns:a16="http://schemas.microsoft.com/office/drawing/2014/main" pred="{AE4BF7E7-8ABF-D0AE-62E2-84A57B53B7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30241875" y="1847850"/>
          <a:ext cx="800100" cy="26193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74983</xdr:colOff>
      <xdr:row>1</xdr:row>
      <xdr:rowOff>0</xdr:rowOff>
    </xdr:from>
    <xdr:to>
      <xdr:col>49</xdr:col>
      <xdr:colOff>577252</xdr:colOff>
      <xdr:row>2</xdr:row>
      <xdr:rowOff>39417</xdr:rowOff>
    </xdr:to>
    <xdr:pic>
      <xdr:nvPicPr>
        <xdr:cNvPr id="2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024BB64-3BE3-4611-AFF7-D962FC75E5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3462033" y="292100"/>
          <a:ext cx="19655139" cy="328977"/>
        </a:xfrm>
        <a:prstGeom prst="rect">
          <a:avLst/>
        </a:prstGeom>
        <a:effectLst>
          <a:reflection blurRad="6350" stA="52000" endA="300" endPos="32000" dist="12700" dir="5400000" sy="-100000" algn="bl" rotWithShape="0"/>
        </a:effectLst>
      </xdr:spPr>
    </xdr:pic>
    <xdr:clientData/>
  </xdr:twoCellAnchor>
  <xdr:twoCellAnchor>
    <xdr:from>
      <xdr:col>60</xdr:col>
      <xdr:colOff>97945</xdr:colOff>
      <xdr:row>1</xdr:row>
      <xdr:rowOff>0</xdr:rowOff>
    </xdr:from>
    <xdr:to>
      <xdr:col>72</xdr:col>
      <xdr:colOff>44818</xdr:colOff>
      <xdr:row>2</xdr:row>
      <xdr:rowOff>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E1AD11F-DBA2-4075-B1F6-1CF12E10FE1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176" t="15556" r="4002" b="14074"/>
        <a:stretch/>
      </xdr:blipFill>
      <xdr:spPr bwMode="auto">
        <a:xfrm>
          <a:off x="49354895" y="292100"/>
          <a:ext cx="7338273" cy="2921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xmlns:mc="http://schemas.openxmlformats.org/markup-compatibility/2006" val="000000" mc:Ignorable="a14" a14:legacySpreadsheetColorIndex="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EEECE1"/>
                </a:outerShdw>
              </a:effectLst>
            </a14:hiddenEffects>
          </a:ext>
        </a:extLst>
      </xdr:spPr>
    </xdr:pic>
    <xdr:clientData/>
  </xdr:twoCellAnchor>
  <xdr:twoCellAnchor>
    <xdr:from>
      <xdr:col>60</xdr:col>
      <xdr:colOff>51529</xdr:colOff>
      <xdr:row>3</xdr:row>
      <xdr:rowOff>0</xdr:rowOff>
    </xdr:from>
    <xdr:to>
      <xdr:col>72</xdr:col>
      <xdr:colOff>95096</xdr:colOff>
      <xdr:row>3</xdr:row>
      <xdr:rowOff>85668</xdr:rowOff>
    </xdr:to>
    <xdr:sp macro="" textlink="">
      <xdr:nvSpPr>
        <xdr:cNvPr id="4" name="Text Box 7">
          <a:extLst>
            <a:ext uri="{FF2B5EF4-FFF2-40B4-BE49-F238E27FC236}">
              <a16:creationId xmlns:a16="http://schemas.microsoft.com/office/drawing/2014/main" id="{55B1CA26-74B5-4C1A-8F2C-0A6BE661CB2E}"/>
            </a:ext>
          </a:extLst>
        </xdr:cNvPr>
        <xdr:cNvSpPr txBox="1">
          <a:spLocks noChangeArrowheads="1"/>
        </xdr:cNvSpPr>
      </xdr:nvSpPr>
      <xdr:spPr bwMode="auto">
        <a:xfrm>
          <a:off x="49308479" y="876300"/>
          <a:ext cx="7434967" cy="85668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EEECE1"/>
                </a:outerShdw>
              </a:effectLst>
            </a14:hiddenEffects>
          </a:ext>
        </a:extLst>
      </xdr:spPr>
      <xdr:txBody>
        <a:bodyPr vertOverflow="clip" wrap="square" lIns="36576" tIns="36576" rIns="36576" bIns="36576" anchor="t" upright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n-US" sz="800" b="1" i="0" u="none" strike="noStrike" kern="0" cap="none" spc="0" normalizeH="0" baseline="0" noProof="0">
              <a:ln>
                <a:noFill/>
              </a:ln>
              <a:solidFill>
                <a:srgbClr val="FFFFFF"/>
              </a:solidFill>
              <a:effectLst/>
              <a:uLnTx/>
              <a:uFillTx/>
              <a:latin typeface="Calibri"/>
              <a:cs typeface="Calibri"/>
            </a:rPr>
            <a:t>D  e  v  e  l  o  p  m  e  n  t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kumimoji="0" lang="en-US" sz="1600" b="1" i="0" u="none" strike="noStrike" kern="0" cap="none" spc="0" normalizeH="0" baseline="0" noProof="0">
            <a:ln>
              <a:noFill/>
            </a:ln>
            <a:solidFill>
              <a:srgbClr val="FFFFFF"/>
            </a:solidFill>
            <a:effectLst/>
            <a:uLnTx/>
            <a:uFillTx/>
            <a:latin typeface="Calibri"/>
            <a:cs typeface="Calibri"/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60</xdr:col>
      <xdr:colOff>51529</xdr:colOff>
      <xdr:row>6</xdr:row>
      <xdr:rowOff>0</xdr:rowOff>
    </xdr:from>
    <xdr:to>
      <xdr:col>72</xdr:col>
      <xdr:colOff>95096</xdr:colOff>
      <xdr:row>6</xdr:row>
      <xdr:rowOff>85668</xdr:rowOff>
    </xdr:to>
    <xdr:sp macro="" textlink="">
      <xdr:nvSpPr>
        <xdr:cNvPr id="4" name="Text Box 7">
          <a:extLst>
            <a:ext uri="{FF2B5EF4-FFF2-40B4-BE49-F238E27FC236}">
              <a16:creationId xmlns:a16="http://schemas.microsoft.com/office/drawing/2014/main" id="{3452223D-2549-41DE-B8C5-A60A13CA9A3B}"/>
            </a:ext>
          </a:extLst>
        </xdr:cNvPr>
        <xdr:cNvSpPr txBox="1">
          <a:spLocks noChangeArrowheads="1"/>
        </xdr:cNvSpPr>
      </xdr:nvSpPr>
      <xdr:spPr bwMode="auto">
        <a:xfrm>
          <a:off x="47016129" y="876300"/>
          <a:ext cx="7434967" cy="85668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EEECE1"/>
                </a:outerShdw>
              </a:effectLst>
            </a14:hiddenEffects>
          </a:ext>
        </a:extLst>
      </xdr:spPr>
      <xdr:txBody>
        <a:bodyPr vertOverflow="clip" wrap="square" lIns="36576" tIns="36576" rIns="36576" bIns="36576" anchor="t" upright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n-US" sz="800" b="1" i="0" u="none" strike="noStrike" kern="0" cap="none" spc="0" normalizeH="0" baseline="0" noProof="0">
              <a:ln>
                <a:noFill/>
              </a:ln>
              <a:solidFill>
                <a:srgbClr val="FFFFFF"/>
              </a:solidFill>
              <a:effectLst/>
              <a:uLnTx/>
              <a:uFillTx/>
              <a:latin typeface="Calibri"/>
              <a:cs typeface="Calibri"/>
            </a:rPr>
            <a:t>D  e  v  e  l  o  p  m  e  n  t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kumimoji="0" lang="en-US" sz="1600" b="1" i="0" u="none" strike="noStrike" kern="0" cap="none" spc="0" normalizeH="0" baseline="0" noProof="0">
            <a:ln>
              <a:noFill/>
            </a:ln>
            <a:solidFill>
              <a:srgbClr val="FFFFFF"/>
            </a:solidFill>
            <a:effectLst/>
            <a:uLnTx/>
            <a:uFillTx/>
            <a:latin typeface="Calibri"/>
            <a:cs typeface="Calibri"/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60</xdr:col>
      <xdr:colOff>51529</xdr:colOff>
      <xdr:row>6</xdr:row>
      <xdr:rowOff>0</xdr:rowOff>
    </xdr:from>
    <xdr:to>
      <xdr:col>72</xdr:col>
      <xdr:colOff>95096</xdr:colOff>
      <xdr:row>6</xdr:row>
      <xdr:rowOff>85668</xdr:rowOff>
    </xdr:to>
    <xdr:sp macro="" textlink="">
      <xdr:nvSpPr>
        <xdr:cNvPr id="2" name="Text Box 7">
          <a:extLst>
            <a:ext uri="{FF2B5EF4-FFF2-40B4-BE49-F238E27FC236}">
              <a16:creationId xmlns:a16="http://schemas.microsoft.com/office/drawing/2014/main" id="{81F40CE4-62D9-4D7D-B837-B0846A2C810F}"/>
            </a:ext>
          </a:extLst>
        </xdr:cNvPr>
        <xdr:cNvSpPr txBox="1">
          <a:spLocks noChangeArrowheads="1"/>
        </xdr:cNvSpPr>
      </xdr:nvSpPr>
      <xdr:spPr bwMode="auto">
        <a:xfrm>
          <a:off x="49134489" y="868680"/>
          <a:ext cx="7451477" cy="86938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EEECE1"/>
                </a:outerShdw>
              </a:effectLst>
            </a14:hiddenEffects>
          </a:ext>
        </a:extLst>
      </xdr:spPr>
      <xdr:txBody>
        <a:bodyPr vertOverflow="clip" wrap="square" lIns="36576" tIns="36576" rIns="36576" bIns="36576" anchor="t" upright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n-US" sz="800" b="1" i="0" u="none" strike="noStrike" kern="0" cap="none" spc="0" normalizeH="0" baseline="0" noProof="0">
              <a:ln>
                <a:noFill/>
              </a:ln>
              <a:solidFill>
                <a:srgbClr val="FFFFFF"/>
              </a:solidFill>
              <a:effectLst/>
              <a:uLnTx/>
              <a:uFillTx/>
              <a:latin typeface="Calibri"/>
              <a:cs typeface="Calibri"/>
            </a:rPr>
            <a:t>D  e  v  e  l  o  p  m  e  n  t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kumimoji="0" lang="en-US" sz="1600" b="1" i="0" u="none" strike="noStrike" kern="0" cap="none" spc="0" normalizeH="0" baseline="0" noProof="0">
            <a:ln>
              <a:noFill/>
            </a:ln>
            <a:solidFill>
              <a:srgbClr val="FFFFFF"/>
            </a:solidFill>
            <a:effectLst/>
            <a:uLnTx/>
            <a:uFillTx/>
            <a:latin typeface="Calibri"/>
            <a:cs typeface="Calibri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60</xdr:col>
      <xdr:colOff>51529</xdr:colOff>
      <xdr:row>6</xdr:row>
      <xdr:rowOff>0</xdr:rowOff>
    </xdr:from>
    <xdr:to>
      <xdr:col>72</xdr:col>
      <xdr:colOff>95096</xdr:colOff>
      <xdr:row>6</xdr:row>
      <xdr:rowOff>85668</xdr:rowOff>
    </xdr:to>
    <xdr:sp macro="" textlink="">
      <xdr:nvSpPr>
        <xdr:cNvPr id="2" name="Text Box 7">
          <a:extLst>
            <a:ext uri="{FF2B5EF4-FFF2-40B4-BE49-F238E27FC236}">
              <a16:creationId xmlns:a16="http://schemas.microsoft.com/office/drawing/2014/main" id="{5F8A7E94-0CDF-4BD2-87F7-594C63A58778}"/>
            </a:ext>
          </a:extLst>
        </xdr:cNvPr>
        <xdr:cNvSpPr txBox="1">
          <a:spLocks noChangeArrowheads="1"/>
        </xdr:cNvSpPr>
      </xdr:nvSpPr>
      <xdr:spPr bwMode="auto">
        <a:xfrm>
          <a:off x="49134489" y="868680"/>
          <a:ext cx="7451477" cy="86938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EEECE1"/>
                </a:outerShdw>
              </a:effectLst>
            </a14:hiddenEffects>
          </a:ext>
        </a:extLst>
      </xdr:spPr>
      <xdr:txBody>
        <a:bodyPr vertOverflow="clip" wrap="square" lIns="36576" tIns="36576" rIns="36576" bIns="36576" anchor="t" upright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n-US" sz="800" b="1" i="0" u="none" strike="noStrike" kern="0" cap="none" spc="0" normalizeH="0" baseline="0" noProof="0">
              <a:ln>
                <a:noFill/>
              </a:ln>
              <a:solidFill>
                <a:srgbClr val="FFFFFF"/>
              </a:solidFill>
              <a:effectLst/>
              <a:uLnTx/>
              <a:uFillTx/>
              <a:latin typeface="Calibri"/>
              <a:cs typeface="Calibri"/>
            </a:rPr>
            <a:t>D  e  v  e  l  o  p  m  e  n  t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kumimoji="0" lang="en-US" sz="1600" b="1" i="0" u="none" strike="noStrike" kern="0" cap="none" spc="0" normalizeH="0" baseline="0" noProof="0">
            <a:ln>
              <a:noFill/>
            </a:ln>
            <a:solidFill>
              <a:srgbClr val="FFFFFF"/>
            </a:solidFill>
            <a:effectLst/>
            <a:uLnTx/>
            <a:uFillTx/>
            <a:latin typeface="Calibri"/>
            <a:cs typeface="Calibri"/>
          </a:endParaRPr>
        </a:p>
      </xdr:txBody>
    </xdr:sp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Microsoft Office User" id="{86ABF394-ACDF-438D-9A53-AADA244B50F9}" userId="Microsoft Office User" providerId="None"/>
  <person displayName="Santos Miranda, Arthur H" id="{567C4BC8-61CC-4290-9AB3-EBD9838F872B}" userId="S::amiranda43@gatech.edu::a32e2dc3-f431-4f2b-b895-035d13e9c428" providerId="AD"/>
</personList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G8" dT="2024-01-12T03:45:54.63" personId="{567C4BC8-61CC-4290-9AB3-EBD9838F872B}" id="{B14017BA-7EC3-4C4E-B265-AE8CFF88FC01}">
    <text>Ask porter - should we just do 2 beds cause who would rent this vs a 2bd?</text>
  </threadedComment>
  <threadedComment ref="A37" dT="2024-01-12T04:55:41.10" personId="{567C4BC8-61CC-4290-9AB3-EBD9838F872B}" id="{099E557D-BD93-4AC4-A494-37BD30BD2FF1}">
    <text>Based on market research</text>
  </threadedComment>
  <threadedComment ref="B46" dT="2024-01-12T05:09:21.24" personId="{567C4BC8-61CC-4290-9AB3-EBD9838F872B}" id="{A96B705B-CBC1-44FC-BFFF-6036466FF905}">
    <text>Unbundled to rentals at current goat hill garage (phase 1)</text>
  </threadedComment>
  <threadedComment ref="B50" dT="2024-01-12T05:12:18.73" personId="{567C4BC8-61CC-4290-9AB3-EBD9838F872B}" id="{FA3531A5-09AF-4200-82F0-74DAAC1B8015}">
    <text>Seattle sdci dept of const and insp</text>
  </threadedComment>
  <threadedComment ref="C52" dT="2024-01-12T05:18:28.10" personId="{567C4BC8-61CC-4290-9AB3-EBD9838F872B}" id="{24B1537D-420C-4142-9C0C-3E80A6611393}">
    <text>1% deal</text>
  </threadedComment>
  <threadedComment ref="A83" personId="{86ABF394-ACDF-438D-9A53-AADA244B50F9}" id="{2CCB00FB-91F6-4899-9AF7-DF966ECD8DDF}">
    <text>Need to confirm transfer taxes and brokerage commissions combined are 3% or less</text>
  </threadedComment>
</ThreadedComments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hyperlink" Target="https://www.hcd.ca.gov/grants-funding/income-limits/state-and-federal-income-limits.shtml" TargetMode="External"/><Relationship Id="rId1" Type="http://schemas.openxmlformats.org/officeDocument/2006/relationships/hyperlink" Target="https://www.everettwa.gov/DocumentCenter/View/182/Commercial-building-permit-fees-PDF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5" Type="http://schemas.microsoft.com/office/2017/10/relationships/threadedComment" Target="../threadedComments/threadedComment1.xml"/><Relationship Id="rId4" Type="http://schemas.openxmlformats.org/officeDocument/2006/relationships/comments" Target="../comments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704543-BE67-4D18-8846-1E9AB095219E}">
  <sheetPr>
    <tabColor rgb="FFE2A99B"/>
  </sheetPr>
  <dimension ref="A1:AV169"/>
  <sheetViews>
    <sheetView showGridLines="0" zoomScale="54" zoomScaleNormal="50" workbookViewId="0">
      <selection activeCell="H16" sqref="H16"/>
    </sheetView>
  </sheetViews>
  <sheetFormatPr defaultColWidth="12.33203125" defaultRowHeight="15.6" x14ac:dyDescent="0.3"/>
  <cols>
    <col min="1" max="7" width="12.33203125" style="29"/>
    <col min="8" max="8" width="18.33203125" style="29" bestFit="1" customWidth="1"/>
    <col min="9" max="11" width="12.33203125" style="29"/>
    <col min="12" max="12" width="38.6640625" style="29" bestFit="1" customWidth="1"/>
    <col min="13" max="13" width="7.6640625" style="29" customWidth="1"/>
    <col min="14" max="14" width="6.44140625" style="29" bestFit="1" customWidth="1"/>
    <col min="15" max="15" width="7.44140625" style="29" bestFit="1" customWidth="1"/>
    <col min="16" max="16" width="6.33203125" style="29" bestFit="1" customWidth="1"/>
    <col min="17" max="17" width="7.44140625" style="29" bestFit="1" customWidth="1"/>
    <col min="18" max="18" width="6.33203125" style="29" bestFit="1" customWidth="1"/>
    <col min="19" max="19" width="8.33203125" style="29" customWidth="1"/>
    <col min="20" max="20" width="15" style="29" customWidth="1"/>
    <col min="21" max="21" width="42.6640625" style="29" customWidth="1"/>
    <col min="22" max="22" width="11" style="29" bestFit="1" customWidth="1"/>
    <col min="23" max="23" width="10.6640625" style="29" customWidth="1"/>
    <col min="24" max="24" width="36.44140625" style="29" bestFit="1" customWidth="1"/>
    <col min="25" max="25" width="12.33203125" style="29"/>
    <col min="26" max="26" width="7.44140625" style="29" customWidth="1"/>
    <col min="27" max="27" width="13" style="29" customWidth="1"/>
    <col min="28" max="31" width="12.33203125" style="29"/>
    <col min="32" max="32" width="52.44140625" style="29" bestFit="1" customWidth="1"/>
    <col min="33" max="34" width="12.33203125" style="29"/>
    <col min="35" max="35" width="32.6640625" style="29" bestFit="1" customWidth="1"/>
    <col min="36" max="36" width="14.33203125" style="29" bestFit="1" customWidth="1"/>
    <col min="37" max="37" width="33.44140625" style="29" bestFit="1" customWidth="1"/>
    <col min="38" max="38" width="32.44140625" style="29" bestFit="1" customWidth="1"/>
    <col min="39" max="47" width="12.33203125" style="29"/>
    <col min="48" max="48" width="2.6640625" style="29" customWidth="1"/>
    <col min="49" max="16384" width="12.33203125" style="29"/>
  </cols>
  <sheetData>
    <row r="1" spans="1:48" x14ac:dyDescent="0.3">
      <c r="A1" s="28" t="s">
        <v>0</v>
      </c>
      <c r="AV1" s="486"/>
    </row>
    <row r="2" spans="1:48" x14ac:dyDescent="0.3">
      <c r="A2" s="28" t="s">
        <v>1</v>
      </c>
      <c r="AV2" s="486"/>
    </row>
    <row r="3" spans="1:48" x14ac:dyDescent="0.3">
      <c r="A3" s="28" t="s">
        <v>2</v>
      </c>
      <c r="AV3" s="486"/>
    </row>
    <row r="4" spans="1:48" x14ac:dyDescent="0.3">
      <c r="AV4" s="486"/>
    </row>
    <row r="5" spans="1:48" x14ac:dyDescent="0.3">
      <c r="D5" s="552" t="s">
        <v>3</v>
      </c>
      <c r="E5" s="553"/>
      <c r="F5" s="553"/>
      <c r="G5" s="553"/>
      <c r="H5" s="553"/>
      <c r="I5" s="553"/>
      <c r="J5" s="553"/>
      <c r="K5" s="553"/>
      <c r="L5" s="553"/>
      <c r="M5" s="553"/>
      <c r="N5" s="553"/>
      <c r="O5" s="553"/>
      <c r="P5" s="553"/>
      <c r="Q5" s="553"/>
      <c r="R5" s="553"/>
      <c r="S5" s="553"/>
      <c r="U5" s="752" t="s">
        <v>4</v>
      </c>
      <c r="V5" s="752"/>
      <c r="W5" s="752"/>
      <c r="X5" s="752"/>
      <c r="Y5" s="752"/>
      <c r="Z5" s="752"/>
      <c r="AA5" s="752"/>
      <c r="AB5" s="752"/>
      <c r="AF5" s="570" t="s">
        <v>5</v>
      </c>
      <c r="AV5" s="486"/>
    </row>
    <row r="6" spans="1:48" x14ac:dyDescent="0.3">
      <c r="D6" s="552" t="s">
        <v>6</v>
      </c>
      <c r="E6" s="553"/>
      <c r="F6" s="553"/>
      <c r="G6" s="553"/>
      <c r="H6" s="553"/>
      <c r="I6" s="553"/>
      <c r="J6" s="553"/>
      <c r="K6" s="553"/>
      <c r="L6" s="554" t="s">
        <v>7</v>
      </c>
      <c r="M6" s="553"/>
      <c r="N6" s="553"/>
      <c r="O6" s="553"/>
      <c r="P6" s="553"/>
      <c r="Q6" s="553"/>
      <c r="R6" s="553"/>
      <c r="S6" s="553"/>
      <c r="U6" s="557" t="s">
        <v>8</v>
      </c>
      <c r="V6" s="557"/>
      <c r="W6" s="553"/>
      <c r="X6" s="557" t="s">
        <v>9</v>
      </c>
      <c r="Y6" s="557"/>
      <c r="Z6" s="553"/>
      <c r="AA6" s="557" t="s">
        <v>10</v>
      </c>
      <c r="AB6" s="557"/>
      <c r="AF6" s="570" t="s">
        <v>11</v>
      </c>
      <c r="AV6" s="486"/>
    </row>
    <row r="7" spans="1:48" x14ac:dyDescent="0.3">
      <c r="C7" s="23"/>
      <c r="D7" s="23"/>
      <c r="E7" s="23"/>
      <c r="F7" s="23"/>
      <c r="G7" s="23"/>
      <c r="H7" s="23"/>
      <c r="I7" s="23"/>
      <c r="J7" s="23"/>
      <c r="K7" s="23"/>
      <c r="L7" s="23"/>
      <c r="M7" s="23"/>
      <c r="N7" s="23"/>
      <c r="O7" s="23"/>
      <c r="P7" s="23"/>
      <c r="Q7" s="23"/>
      <c r="R7" s="23"/>
      <c r="S7" s="23"/>
      <c r="T7" s="23"/>
      <c r="U7" s="23"/>
      <c r="V7" s="23"/>
      <c r="W7" s="23"/>
      <c r="X7" s="23"/>
      <c r="Y7" s="23"/>
      <c r="Z7" s="23"/>
      <c r="AA7" s="23"/>
      <c r="AB7" s="23"/>
      <c r="AV7" s="486"/>
    </row>
    <row r="8" spans="1:48" x14ac:dyDescent="0.3">
      <c r="C8" s="23"/>
      <c r="D8" s="23"/>
      <c r="E8" s="23"/>
      <c r="F8" s="23"/>
      <c r="G8" s="23"/>
      <c r="H8" s="24" t="s">
        <v>12</v>
      </c>
      <c r="I8" s="23"/>
      <c r="J8" s="23"/>
      <c r="K8" s="23"/>
      <c r="L8" s="23"/>
      <c r="M8" s="24"/>
      <c r="N8" s="24"/>
      <c r="O8" s="24"/>
      <c r="P8" s="24"/>
      <c r="Q8" s="24"/>
      <c r="R8" s="24"/>
      <c r="S8" s="24"/>
      <c r="T8" s="24"/>
      <c r="U8" s="23" t="s">
        <v>13</v>
      </c>
      <c r="V8" s="596">
        <v>3.74</v>
      </c>
      <c r="W8" s="23"/>
      <c r="X8" s="23" t="s">
        <v>14</v>
      </c>
      <c r="Y8" s="597">
        <v>34</v>
      </c>
      <c r="Z8" s="23"/>
      <c r="AA8" s="23" t="s">
        <v>15</v>
      </c>
      <c r="AB8" s="597">
        <v>51</v>
      </c>
      <c r="AC8" s="30"/>
      <c r="AV8" s="486"/>
    </row>
    <row r="9" spans="1:48" x14ac:dyDescent="0.3">
      <c r="C9" s="23"/>
      <c r="D9" s="23"/>
      <c r="E9" s="23"/>
      <c r="F9" s="23"/>
      <c r="G9" s="23"/>
      <c r="H9" s="594">
        <v>1</v>
      </c>
      <c r="I9" s="24">
        <v>0.7</v>
      </c>
      <c r="J9" s="24">
        <v>0.96</v>
      </c>
      <c r="K9" s="24"/>
      <c r="L9" s="23"/>
      <c r="M9" s="24"/>
      <c r="N9" s="24"/>
      <c r="O9" s="24"/>
      <c r="P9" s="24"/>
      <c r="Q9" s="24"/>
      <c r="R9" s="24"/>
      <c r="S9" s="23"/>
      <c r="T9" s="23"/>
      <c r="U9" s="23" t="s">
        <v>16</v>
      </c>
      <c r="V9" s="597">
        <v>1620</v>
      </c>
      <c r="W9" s="23"/>
      <c r="X9" s="23" t="s">
        <v>17</v>
      </c>
      <c r="Y9" s="325">
        <v>-0.04</v>
      </c>
      <c r="Z9" s="23"/>
      <c r="AA9" s="23" t="s">
        <v>17</v>
      </c>
      <c r="AB9" s="598" t="s">
        <v>18</v>
      </c>
      <c r="AC9" s="30"/>
      <c r="AG9" s="29" t="s">
        <v>19</v>
      </c>
      <c r="AV9" s="486"/>
    </row>
    <row r="10" spans="1:48" x14ac:dyDescent="0.3">
      <c r="C10" s="23"/>
      <c r="D10" s="23" t="s">
        <v>20</v>
      </c>
      <c r="E10" s="23"/>
      <c r="F10" s="23"/>
      <c r="G10" s="23"/>
      <c r="H10" s="24" t="s">
        <v>21</v>
      </c>
      <c r="I10" s="24" t="s">
        <v>22</v>
      </c>
      <c r="J10" s="571" t="s">
        <v>23</v>
      </c>
      <c r="K10" s="23"/>
      <c r="L10" s="31"/>
      <c r="M10" s="1"/>
      <c r="N10" s="32"/>
      <c r="O10" s="32"/>
      <c r="P10" s="32"/>
      <c r="Q10" s="32"/>
      <c r="R10" s="32"/>
      <c r="S10" s="32"/>
      <c r="T10" s="24"/>
      <c r="U10" s="23" t="s">
        <v>24</v>
      </c>
      <c r="V10" s="597">
        <v>2350</v>
      </c>
      <c r="W10" s="23"/>
      <c r="X10" s="23" t="s">
        <v>25</v>
      </c>
      <c r="Y10" s="24" t="s">
        <v>26</v>
      </c>
      <c r="Z10" s="23"/>
      <c r="AA10" s="23" t="s">
        <v>25</v>
      </c>
      <c r="AB10" s="24" t="s">
        <v>27</v>
      </c>
      <c r="AC10" s="30"/>
      <c r="AV10" s="486"/>
    </row>
    <row r="11" spans="1:48" ht="16.2" x14ac:dyDescent="0.35">
      <c r="C11" s="23"/>
      <c r="D11" s="23" t="s">
        <v>28</v>
      </c>
      <c r="E11" s="23"/>
      <c r="F11" s="23"/>
      <c r="G11" s="33"/>
      <c r="H11" s="595">
        <v>32500</v>
      </c>
      <c r="I11" s="25">
        <f t="shared" ref="I11:I22" si="0">H11*$I$9</f>
        <v>22750</v>
      </c>
      <c r="J11" s="572">
        <f t="shared" ref="J11:J22" si="1">H11*0.96</f>
        <v>31200</v>
      </c>
      <c r="K11" s="23"/>
      <c r="L11" s="34"/>
      <c r="U11" s="23" t="s">
        <v>29</v>
      </c>
      <c r="V11" s="597">
        <v>3250</v>
      </c>
      <c r="W11" s="23"/>
      <c r="X11" s="23" t="s">
        <v>30</v>
      </c>
      <c r="Y11" s="599">
        <v>2100000</v>
      </c>
      <c r="Z11" s="23"/>
      <c r="AA11" s="23" t="s">
        <v>30</v>
      </c>
      <c r="AB11" s="24">
        <v>28400</v>
      </c>
      <c r="AC11" s="560"/>
      <c r="AD11" s="559"/>
      <c r="AV11" s="486"/>
    </row>
    <row r="12" spans="1:48" ht="16.2" x14ac:dyDescent="0.35">
      <c r="C12" s="23"/>
      <c r="D12" s="23" t="s">
        <v>31</v>
      </c>
      <c r="E12" s="23"/>
      <c r="F12" s="23"/>
      <c r="G12" s="36"/>
      <c r="H12" s="595">
        <v>20</v>
      </c>
      <c r="I12" s="25">
        <f t="shared" si="0"/>
        <v>14</v>
      </c>
      <c r="J12" s="572">
        <f t="shared" si="1"/>
        <v>19.2</v>
      </c>
      <c r="K12" s="23"/>
      <c r="L12" s="31"/>
      <c r="M12" s="1"/>
      <c r="N12" s="37"/>
      <c r="O12" s="32"/>
      <c r="P12" s="32"/>
      <c r="Q12" s="32"/>
      <c r="R12" s="32"/>
      <c r="S12" s="32"/>
      <c r="T12" s="32"/>
      <c r="U12" s="23" t="s">
        <v>32</v>
      </c>
      <c r="V12" s="597">
        <v>6150</v>
      </c>
      <c r="W12" s="23"/>
      <c r="X12" s="23" t="s">
        <v>33</v>
      </c>
      <c r="Y12" s="24" t="s">
        <v>34</v>
      </c>
      <c r="Z12" s="23"/>
      <c r="AA12" s="23" t="s">
        <v>33</v>
      </c>
      <c r="AB12" s="24" t="s">
        <v>35</v>
      </c>
      <c r="AC12" s="562"/>
      <c r="AV12" s="486"/>
    </row>
    <row r="13" spans="1:48" ht="16.2" x14ac:dyDescent="0.35">
      <c r="C13" s="23"/>
      <c r="D13" s="23" t="s">
        <v>36</v>
      </c>
      <c r="E13" s="23"/>
      <c r="F13" s="23"/>
      <c r="G13" s="33"/>
      <c r="H13" s="595">
        <v>111</v>
      </c>
      <c r="I13" s="25">
        <f t="shared" si="0"/>
        <v>77.699999999999989</v>
      </c>
      <c r="J13" s="572">
        <f t="shared" si="1"/>
        <v>106.56</v>
      </c>
      <c r="K13" s="23"/>
      <c r="L13" s="34"/>
      <c r="U13" s="23" t="s">
        <v>25</v>
      </c>
      <c r="V13" s="24" t="s">
        <v>37</v>
      </c>
      <c r="W13" s="23"/>
      <c r="X13" s="23"/>
      <c r="Y13" s="23"/>
      <c r="Z13" s="23"/>
      <c r="AA13" s="23"/>
      <c r="AB13" s="23"/>
      <c r="AC13" s="560"/>
      <c r="AD13" s="559"/>
      <c r="AV13" s="486"/>
    </row>
    <row r="14" spans="1:48" ht="16.2" x14ac:dyDescent="0.35">
      <c r="C14" s="23"/>
      <c r="D14" s="23" t="s">
        <v>38</v>
      </c>
      <c r="E14" s="23"/>
      <c r="F14" s="23" t="s">
        <v>39</v>
      </c>
      <c r="G14" s="33"/>
      <c r="H14" s="595">
        <v>397</v>
      </c>
      <c r="I14" s="25">
        <f t="shared" si="0"/>
        <v>277.89999999999998</v>
      </c>
      <c r="J14" s="572">
        <f t="shared" si="1"/>
        <v>381.12</v>
      </c>
      <c r="K14" s="23"/>
      <c r="L14" s="34"/>
      <c r="M14" s="35"/>
      <c r="N14" s="35"/>
      <c r="O14" s="38"/>
      <c r="P14" s="38"/>
      <c r="Q14" s="38"/>
      <c r="R14" s="38"/>
      <c r="S14" s="35"/>
      <c r="T14" s="23"/>
      <c r="U14" s="23" t="s">
        <v>33</v>
      </c>
      <c r="V14" s="598" t="s">
        <v>40</v>
      </c>
      <c r="W14" s="23"/>
      <c r="X14" s="23"/>
      <c r="Y14" s="23"/>
      <c r="Z14" s="23"/>
      <c r="AA14" s="23"/>
      <c r="AB14" s="23"/>
      <c r="AC14" s="560"/>
      <c r="AD14" s="559"/>
      <c r="AV14" s="486"/>
    </row>
    <row r="15" spans="1:48" ht="16.2" x14ac:dyDescent="0.35">
      <c r="C15" s="23"/>
      <c r="D15" s="23" t="s">
        <v>41</v>
      </c>
      <c r="E15" s="23"/>
      <c r="F15" s="23" t="s">
        <v>42</v>
      </c>
      <c r="G15" s="33"/>
      <c r="H15" s="595">
        <v>270</v>
      </c>
      <c r="I15" s="25">
        <f t="shared" si="0"/>
        <v>189</v>
      </c>
      <c r="J15" s="572">
        <f t="shared" si="1"/>
        <v>259.2</v>
      </c>
      <c r="K15" s="23"/>
      <c r="L15" s="31"/>
      <c r="M15"/>
      <c r="N15" s="39"/>
      <c r="O15" s="39"/>
      <c r="P15" s="39"/>
      <c r="Q15" s="39"/>
      <c r="R15" s="39"/>
      <c r="S15" s="39"/>
      <c r="T15" s="23"/>
      <c r="V15" s="23"/>
      <c r="W15" s="31"/>
      <c r="X15" s="23"/>
      <c r="Y15" s="23"/>
      <c r="Z15" s="600"/>
      <c r="AA15" s="600"/>
      <c r="AB15" s="600"/>
      <c r="AC15" s="562"/>
      <c r="AD15" s="559"/>
      <c r="AF15" s="23"/>
      <c r="AH15" s="23"/>
      <c r="AI15" s="23"/>
      <c r="AJ15" s="23"/>
      <c r="AK15" s="23"/>
      <c r="AL15" s="23"/>
      <c r="AM15" s="23"/>
      <c r="AV15" s="486"/>
    </row>
    <row r="16" spans="1:48" ht="16.2" x14ac:dyDescent="0.35">
      <c r="C16" s="23"/>
      <c r="D16" s="23" t="s">
        <v>43</v>
      </c>
      <c r="E16" s="23"/>
      <c r="F16" s="23" t="s">
        <v>42</v>
      </c>
      <c r="G16" s="33"/>
      <c r="H16" s="595">
        <v>283</v>
      </c>
      <c r="I16" s="25">
        <f t="shared" si="0"/>
        <v>198.1</v>
      </c>
      <c r="J16" s="572">
        <f t="shared" si="1"/>
        <v>271.68</v>
      </c>
      <c r="K16" s="23"/>
      <c r="L16" s="34"/>
      <c r="M16" s="35"/>
      <c r="N16" s="35"/>
      <c r="O16" s="38"/>
      <c r="P16" s="38"/>
      <c r="Q16" s="38"/>
      <c r="R16" s="38"/>
      <c r="S16" s="35"/>
      <c r="T16" s="23"/>
      <c r="W16" s="558"/>
      <c r="X16" s="559"/>
      <c r="Y16" s="559"/>
      <c r="Z16" s="560"/>
      <c r="AA16" s="560"/>
      <c r="AB16" s="560"/>
      <c r="AC16" s="560"/>
      <c r="AD16" s="559"/>
      <c r="AF16" s="23"/>
      <c r="AG16" s="23"/>
      <c r="AH16" s="23"/>
      <c r="AI16" s="23"/>
      <c r="AJ16" s="23"/>
      <c r="AK16" s="23"/>
      <c r="AL16" s="23"/>
      <c r="AM16" s="23"/>
      <c r="AV16" s="486"/>
    </row>
    <row r="17" spans="3:48" ht="16.2" x14ac:dyDescent="0.35">
      <c r="C17" s="23"/>
      <c r="D17" s="23" t="s">
        <v>9</v>
      </c>
      <c r="E17" s="23"/>
      <c r="F17" s="23" t="s">
        <v>44</v>
      </c>
      <c r="G17" s="33"/>
      <c r="H17" s="595">
        <v>244</v>
      </c>
      <c r="I17" s="25">
        <f t="shared" si="0"/>
        <v>170.79999999999998</v>
      </c>
      <c r="J17" s="572">
        <f t="shared" si="1"/>
        <v>234.23999999999998</v>
      </c>
      <c r="K17" s="23"/>
      <c r="L17" s="31"/>
      <c r="M17" s="23"/>
      <c r="N17" s="23"/>
      <c r="O17" s="40"/>
      <c r="P17" s="40"/>
      <c r="Q17" s="40"/>
      <c r="R17" s="40"/>
      <c r="S17" s="35"/>
      <c r="T17" s="23"/>
      <c r="W17" s="561"/>
      <c r="Z17" s="562"/>
      <c r="AA17" s="562"/>
      <c r="AB17" s="562"/>
      <c r="AC17" s="562"/>
      <c r="AD17" s="559"/>
      <c r="AF17" s="23"/>
      <c r="AG17" s="23"/>
      <c r="AH17" s="23"/>
      <c r="AI17" s="23"/>
      <c r="AJ17" s="23"/>
      <c r="AK17" s="23"/>
      <c r="AL17" s="23"/>
      <c r="AM17" s="23"/>
      <c r="AV17" s="486"/>
    </row>
    <row r="18" spans="3:48" ht="16.2" x14ac:dyDescent="0.35">
      <c r="C18" s="23"/>
      <c r="D18" s="23" t="s">
        <v>45</v>
      </c>
      <c r="E18" s="23"/>
      <c r="F18" s="23"/>
      <c r="G18" s="33"/>
      <c r="H18" s="595">
        <v>130</v>
      </c>
      <c r="I18" s="25">
        <f t="shared" si="0"/>
        <v>91</v>
      </c>
      <c r="J18" s="572">
        <f t="shared" si="1"/>
        <v>124.8</v>
      </c>
      <c r="K18" s="23"/>
      <c r="L18" s="34"/>
      <c r="M18" s="35"/>
      <c r="N18" s="35"/>
      <c r="O18" s="38"/>
      <c r="P18" s="38"/>
      <c r="Q18" s="38"/>
      <c r="R18" s="38"/>
      <c r="S18" s="35"/>
      <c r="T18" s="23"/>
      <c r="W18" s="558"/>
      <c r="X18" s="559"/>
      <c r="Y18" s="559"/>
      <c r="Z18" s="560"/>
      <c r="AA18" s="560"/>
      <c r="AB18" s="560"/>
      <c r="AC18" s="560"/>
      <c r="AD18" s="559"/>
      <c r="AF18" s="23"/>
      <c r="AG18" s="23"/>
      <c r="AH18" s="23"/>
      <c r="AI18" s="23"/>
      <c r="AJ18" s="23"/>
      <c r="AK18" s="23"/>
      <c r="AL18" s="23"/>
      <c r="AM18" s="23"/>
      <c r="AV18" s="486"/>
    </row>
    <row r="19" spans="3:48" ht="16.2" x14ac:dyDescent="0.35">
      <c r="C19" s="23"/>
      <c r="D19" s="23" t="s">
        <v>46</v>
      </c>
      <c r="E19" s="23"/>
      <c r="F19" s="23"/>
      <c r="G19" s="33"/>
      <c r="H19" s="595">
        <v>293</v>
      </c>
      <c r="I19" s="25">
        <f t="shared" si="0"/>
        <v>205.1</v>
      </c>
      <c r="J19" s="572">
        <f t="shared" si="1"/>
        <v>281.27999999999997</v>
      </c>
      <c r="K19" s="23"/>
      <c r="L19" s="34"/>
      <c r="M19" s="35"/>
      <c r="N19" s="35"/>
      <c r="O19" s="38"/>
      <c r="P19" s="38"/>
      <c r="Q19" s="38"/>
      <c r="R19" s="38"/>
      <c r="S19" s="35"/>
      <c r="T19" s="23"/>
      <c r="W19" s="558"/>
      <c r="X19" s="559"/>
      <c r="Y19" s="559"/>
      <c r="Z19" s="560"/>
      <c r="AA19" s="560"/>
      <c r="AB19" s="560"/>
      <c r="AC19" s="560"/>
      <c r="AD19" s="559"/>
      <c r="AF19" s="23"/>
      <c r="AG19" s="23"/>
      <c r="AH19" s="23"/>
      <c r="AI19" s="23"/>
      <c r="AJ19" s="23"/>
      <c r="AK19" s="23"/>
      <c r="AL19" s="23"/>
      <c r="AM19" s="23"/>
      <c r="AV19" s="486"/>
    </row>
    <row r="20" spans="3:48" ht="16.2" x14ac:dyDescent="0.35">
      <c r="C20" s="23"/>
      <c r="D20" s="23" t="s">
        <v>47</v>
      </c>
      <c r="E20" s="23"/>
      <c r="F20" s="23"/>
      <c r="G20" s="33"/>
      <c r="H20" s="595">
        <v>75</v>
      </c>
      <c r="I20" s="25">
        <f t="shared" si="0"/>
        <v>52.5</v>
      </c>
      <c r="J20" s="572">
        <f t="shared" si="1"/>
        <v>72</v>
      </c>
      <c r="K20" s="23"/>
      <c r="L20" s="31"/>
      <c r="M20" s="23"/>
      <c r="N20" s="23"/>
      <c r="O20" s="40"/>
      <c r="P20" s="40"/>
      <c r="Q20" s="40"/>
      <c r="R20" s="40"/>
      <c r="S20" s="35"/>
      <c r="T20" s="23"/>
      <c r="W20" s="561"/>
      <c r="Z20" s="562"/>
      <c r="AA20" s="562"/>
      <c r="AB20" s="562"/>
      <c r="AC20" s="562"/>
      <c r="AD20" s="559"/>
      <c r="AF20" s="23"/>
      <c r="AH20" s="23"/>
      <c r="AI20" s="23"/>
      <c r="AJ20" s="23"/>
      <c r="AK20" s="23"/>
      <c r="AL20" s="23"/>
      <c r="AM20" s="23"/>
      <c r="AV20" s="486"/>
    </row>
    <row r="21" spans="3:48" ht="16.2" x14ac:dyDescent="0.35">
      <c r="C21" s="23"/>
      <c r="D21" s="23" t="s">
        <v>48</v>
      </c>
      <c r="E21" s="23"/>
      <c r="F21" s="23"/>
      <c r="G21" s="33"/>
      <c r="H21" s="595">
        <v>188</v>
      </c>
      <c r="I21" s="25">
        <f t="shared" si="0"/>
        <v>131.6</v>
      </c>
      <c r="J21" s="572">
        <f t="shared" si="1"/>
        <v>180.48</v>
      </c>
      <c r="K21" s="23"/>
      <c r="L21" s="34"/>
      <c r="M21" s="35"/>
      <c r="N21" s="35"/>
      <c r="O21" s="38"/>
      <c r="P21" s="38"/>
      <c r="Q21" s="38"/>
      <c r="R21" s="38"/>
      <c r="S21" s="35"/>
      <c r="T21" s="23"/>
      <c r="W21" s="558"/>
      <c r="X21" s="559"/>
      <c r="Y21" s="559"/>
      <c r="Z21" s="560"/>
      <c r="AA21" s="560"/>
      <c r="AB21" s="560"/>
      <c r="AC21" s="560"/>
      <c r="AD21" s="559"/>
      <c r="AF21" s="23"/>
      <c r="AG21" s="23"/>
      <c r="AH21" s="23"/>
      <c r="AI21" s="23"/>
      <c r="AJ21" s="23"/>
      <c r="AK21" s="23"/>
      <c r="AL21" s="23"/>
      <c r="AM21" s="23"/>
      <c r="AV21" s="486"/>
    </row>
    <row r="22" spans="3:48" ht="16.2" x14ac:dyDescent="0.35">
      <c r="C22" s="23"/>
      <c r="D22" s="23" t="s">
        <v>49</v>
      </c>
      <c r="E22" s="23"/>
      <c r="F22" s="23"/>
      <c r="G22" s="33"/>
      <c r="H22" s="595">
        <v>150</v>
      </c>
      <c r="I22" s="25">
        <f t="shared" si="0"/>
        <v>105</v>
      </c>
      <c r="J22" s="572">
        <f t="shared" si="1"/>
        <v>144</v>
      </c>
      <c r="K22" s="23"/>
      <c r="L22" s="34"/>
      <c r="M22" s="35"/>
      <c r="N22" s="35"/>
      <c r="O22" s="38"/>
      <c r="P22" s="38"/>
      <c r="Q22" s="38"/>
      <c r="R22" s="38"/>
      <c r="S22" s="35"/>
      <c r="T22" s="23"/>
      <c r="W22" s="558"/>
      <c r="X22" s="559"/>
      <c r="Y22" s="559"/>
      <c r="Z22" s="560"/>
      <c r="AA22" s="560"/>
      <c r="AB22" s="560"/>
      <c r="AC22" s="560"/>
      <c r="AD22" s="559"/>
      <c r="AF22" s="23"/>
      <c r="AG22" s="23"/>
      <c r="AH22" s="23"/>
      <c r="AI22" s="23"/>
      <c r="AJ22" s="23"/>
      <c r="AK22" s="23"/>
      <c r="AL22" s="23"/>
      <c r="AM22" s="23"/>
      <c r="AV22" s="486"/>
    </row>
    <row r="23" spans="3:48" x14ac:dyDescent="0.3">
      <c r="C23" s="23"/>
      <c r="D23" s="23"/>
      <c r="E23" s="23"/>
      <c r="F23" s="23"/>
      <c r="G23" s="33"/>
      <c r="H23" s="33"/>
      <c r="I23" s="41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W23" s="23"/>
      <c r="X23" s="23"/>
      <c r="Y23" s="23"/>
      <c r="Z23" s="23"/>
      <c r="AA23" s="23"/>
      <c r="AB23" s="23"/>
      <c r="AC23" s="23"/>
      <c r="AD23" s="23"/>
      <c r="AF23" s="23"/>
      <c r="AG23" s="23"/>
      <c r="AH23" s="23"/>
      <c r="AI23" s="23"/>
      <c r="AJ23" s="23"/>
      <c r="AK23" s="23"/>
      <c r="AL23" s="23"/>
      <c r="AM23" s="23"/>
      <c r="AV23" s="486"/>
    </row>
    <row r="24" spans="3:48" x14ac:dyDescent="0.3">
      <c r="D24" s="552" t="s">
        <v>50</v>
      </c>
      <c r="E24" s="553"/>
      <c r="F24" s="553"/>
      <c r="G24" s="553"/>
      <c r="H24" s="553"/>
      <c r="I24" s="553"/>
      <c r="J24" s="553"/>
      <c r="K24" s="553"/>
      <c r="L24" s="553"/>
      <c r="M24" s="553"/>
      <c r="N24" s="553"/>
      <c r="O24" s="553"/>
      <c r="P24" s="553"/>
      <c r="Q24" s="553"/>
      <c r="R24" s="553"/>
      <c r="S24" s="552"/>
      <c r="T24" s="553"/>
      <c r="U24" s="553"/>
      <c r="V24" s="553"/>
      <c r="W24" s="553"/>
      <c r="X24" s="553"/>
      <c r="Y24" s="553"/>
      <c r="Z24" s="553"/>
      <c r="AA24" s="553"/>
      <c r="AB24" s="553"/>
      <c r="AV24" s="486"/>
    </row>
    <row r="25" spans="3:48" x14ac:dyDescent="0.3">
      <c r="D25" s="552" t="s">
        <v>51</v>
      </c>
      <c r="E25" s="553"/>
      <c r="F25" s="553"/>
      <c r="G25" s="553"/>
      <c r="H25" s="553"/>
      <c r="I25" s="553"/>
      <c r="J25" s="553"/>
      <c r="K25" s="553"/>
      <c r="L25" s="555" t="s">
        <v>51</v>
      </c>
      <c r="M25" s="553"/>
      <c r="N25" s="553"/>
      <c r="O25" s="553"/>
      <c r="P25" s="553"/>
      <c r="Q25" s="553"/>
      <c r="R25" s="553"/>
      <c r="S25" s="556"/>
      <c r="T25" s="553"/>
      <c r="U25" s="553"/>
      <c r="V25" s="556" t="s">
        <v>52</v>
      </c>
      <c r="W25" s="553"/>
      <c r="X25" s="553"/>
      <c r="Y25" s="553"/>
      <c r="Z25" s="553"/>
      <c r="AA25" s="553"/>
      <c r="AB25" s="553"/>
      <c r="AV25" s="486"/>
    </row>
    <row r="26" spans="3:48" x14ac:dyDescent="0.3">
      <c r="F26" s="30"/>
      <c r="AV26" s="486"/>
    </row>
    <row r="27" spans="3:48" x14ac:dyDescent="0.3">
      <c r="F27" s="42"/>
      <c r="AV27" s="486"/>
    </row>
    <row r="28" spans="3:48" x14ac:dyDescent="0.3">
      <c r="T28" s="23"/>
      <c r="U28" s="23"/>
      <c r="V28" s="23"/>
      <c r="W28" s="23"/>
      <c r="X28" s="23"/>
      <c r="Y28" s="23"/>
      <c r="Z28" s="23"/>
      <c r="AV28" s="486"/>
    </row>
    <row r="29" spans="3:48" x14ac:dyDescent="0.3">
      <c r="T29" s="24"/>
      <c r="U29" s="24"/>
      <c r="V29" s="23"/>
      <c r="W29" s="24"/>
      <c r="X29" s="24"/>
      <c r="Y29" s="24"/>
      <c r="Z29" s="24"/>
      <c r="AA29" s="30"/>
      <c r="AB29" s="30"/>
      <c r="AV29" s="486"/>
    </row>
    <row r="30" spans="3:48" ht="16.2" customHeight="1" x14ac:dyDescent="0.35">
      <c r="S30" s="324"/>
      <c r="T30" s="325"/>
      <c r="U30" s="325"/>
      <c r="V30" s="43"/>
      <c r="W30" s="43"/>
      <c r="X30" s="43"/>
      <c r="Y30" s="43"/>
      <c r="Z30" s="43"/>
      <c r="AA30" s="44"/>
      <c r="AB30" s="44"/>
      <c r="AK30" s="327"/>
      <c r="AL30" s="327"/>
      <c r="AM30" s="23"/>
      <c r="AN30" s="23"/>
      <c r="AO30" s="23"/>
      <c r="AP30" s="23"/>
      <c r="AQ30" s="23"/>
      <c r="AV30" s="486"/>
    </row>
    <row r="31" spans="3:48" ht="16.2" x14ac:dyDescent="0.35">
      <c r="S31" s="324"/>
      <c r="T31" s="325"/>
      <c r="U31" s="325"/>
      <c r="V31" s="43"/>
      <c r="W31" s="43"/>
      <c r="X31" s="43"/>
      <c r="Y31" s="43"/>
      <c r="Z31" s="43"/>
      <c r="AA31" s="44"/>
      <c r="AB31" s="44"/>
      <c r="AK31" s="327"/>
      <c r="AL31" s="327"/>
      <c r="AM31" s="23"/>
      <c r="AN31" s="23"/>
      <c r="AO31" s="23"/>
      <c r="AP31" s="23"/>
      <c r="AQ31" s="23"/>
      <c r="AV31" s="486"/>
    </row>
    <row r="32" spans="3:48" ht="16.2" x14ac:dyDescent="0.35">
      <c r="S32" s="324"/>
      <c r="T32" s="325"/>
      <c r="U32" s="325"/>
      <c r="V32" s="43"/>
      <c r="W32" s="43"/>
      <c r="X32" s="43"/>
      <c r="Y32" s="43"/>
      <c r="Z32" s="43"/>
      <c r="AA32" s="44"/>
      <c r="AB32" s="44"/>
      <c r="AK32" s="327"/>
      <c r="AL32" s="328"/>
      <c r="AN32" s="328"/>
      <c r="AP32" s="328"/>
      <c r="AV32" s="486"/>
    </row>
    <row r="33" spans="19:48" ht="16.2" customHeight="1" x14ac:dyDescent="0.35">
      <c r="S33" s="326"/>
      <c r="T33" s="325"/>
      <c r="U33" s="325"/>
      <c r="V33" s="43"/>
      <c r="W33" s="43"/>
      <c r="X33" s="43"/>
      <c r="Y33" s="43"/>
      <c r="Z33" s="43"/>
      <c r="AA33" s="44"/>
      <c r="AB33" s="44"/>
      <c r="AK33" s="327"/>
      <c r="AL33" s="23"/>
      <c r="AM33" s="23"/>
      <c r="AN33" s="23"/>
      <c r="AO33" s="23"/>
      <c r="AP33" s="23"/>
      <c r="AQ33" s="23"/>
      <c r="AV33" s="486"/>
    </row>
    <row r="34" spans="19:48" ht="16.2" x14ac:dyDescent="0.35">
      <c r="S34" s="326"/>
      <c r="T34" s="325"/>
      <c r="U34" s="325"/>
      <c r="V34" s="43"/>
      <c r="W34" s="43"/>
      <c r="X34" s="43"/>
      <c r="Y34" s="43"/>
      <c r="Z34" s="43"/>
      <c r="AA34" s="44"/>
      <c r="AB34" s="44"/>
      <c r="AK34" s="329"/>
      <c r="AL34" s="327"/>
      <c r="AM34" s="327"/>
      <c r="AN34" s="327"/>
      <c r="AO34" s="327"/>
      <c r="AP34" s="327"/>
      <c r="AQ34" s="327"/>
      <c r="AV34" s="486"/>
    </row>
    <row r="35" spans="19:48" ht="16.2" x14ac:dyDescent="0.35">
      <c r="S35" s="326"/>
      <c r="T35" s="325"/>
      <c r="U35" s="325"/>
      <c r="V35" s="43"/>
      <c r="W35" s="43"/>
      <c r="X35" s="43"/>
      <c r="Y35" s="43"/>
      <c r="Z35" s="43"/>
      <c r="AA35" s="44"/>
      <c r="AB35" s="44"/>
      <c r="AK35" s="327"/>
      <c r="AL35" s="330"/>
      <c r="AM35" s="330"/>
      <c r="AN35" s="330"/>
      <c r="AO35" s="330"/>
      <c r="AP35" s="330"/>
      <c r="AQ35" s="330"/>
      <c r="AV35" s="486"/>
    </row>
    <row r="36" spans="19:48" ht="16.2" x14ac:dyDescent="0.35">
      <c r="S36" s="326"/>
      <c r="T36" s="325"/>
      <c r="U36" s="325"/>
      <c r="V36" s="43"/>
      <c r="W36" s="43"/>
      <c r="X36" s="43"/>
      <c r="Y36" s="43"/>
      <c r="Z36" s="43"/>
      <c r="AA36" s="44"/>
      <c r="AB36" s="44"/>
      <c r="AK36" s="329"/>
      <c r="AL36" s="327"/>
      <c r="AM36" s="327"/>
      <c r="AN36" s="327"/>
      <c r="AO36" s="327"/>
      <c r="AP36" s="327"/>
      <c r="AQ36" s="327"/>
      <c r="AV36" s="486"/>
    </row>
    <row r="37" spans="19:48" ht="16.2" x14ac:dyDescent="0.35">
      <c r="S37" s="326"/>
      <c r="T37" s="325"/>
      <c r="U37" s="325"/>
      <c r="V37" s="43"/>
      <c r="W37" s="43"/>
      <c r="X37" s="43"/>
      <c r="Y37" s="43"/>
      <c r="Z37" s="43"/>
      <c r="AA37" s="44"/>
      <c r="AB37" s="44"/>
      <c r="AK37" s="327"/>
      <c r="AL37" s="330"/>
      <c r="AM37" s="330"/>
      <c r="AN37" s="330"/>
      <c r="AO37" s="330"/>
      <c r="AP37" s="330"/>
      <c r="AQ37" s="330"/>
      <c r="AV37" s="486"/>
    </row>
    <row r="38" spans="19:48" ht="16.2" customHeight="1" x14ac:dyDescent="0.35">
      <c r="S38" s="324"/>
      <c r="T38" s="325"/>
      <c r="U38" s="325"/>
      <c r="V38" s="43"/>
      <c r="W38" s="43"/>
      <c r="X38" s="43"/>
      <c r="Y38" s="43"/>
      <c r="Z38" s="43"/>
      <c r="AA38" s="44"/>
      <c r="AB38" s="44"/>
      <c r="AK38" s="327"/>
      <c r="AL38" s="330"/>
      <c r="AM38" s="330"/>
      <c r="AN38" s="330"/>
      <c r="AO38" s="330"/>
      <c r="AP38" s="330"/>
      <c r="AQ38" s="330"/>
      <c r="AV38" s="486"/>
    </row>
    <row r="39" spans="19:48" ht="16.2" x14ac:dyDescent="0.35">
      <c r="S39" s="324"/>
      <c r="T39" s="325"/>
      <c r="U39" s="325"/>
      <c r="V39" s="43"/>
      <c r="W39" s="43"/>
      <c r="X39" s="43"/>
      <c r="Y39" s="43"/>
      <c r="Z39" s="43"/>
      <c r="AA39" s="44"/>
      <c r="AB39" s="44"/>
      <c r="AK39" s="329"/>
      <c r="AL39" s="327"/>
      <c r="AM39" s="327"/>
      <c r="AN39" s="327"/>
      <c r="AO39" s="327"/>
      <c r="AP39" s="327"/>
      <c r="AQ39" s="327"/>
      <c r="AV39" s="486"/>
    </row>
    <row r="40" spans="19:48" ht="16.2" x14ac:dyDescent="0.35">
      <c r="S40" s="324"/>
      <c r="T40" s="325"/>
      <c r="U40" s="325"/>
      <c r="V40" s="43"/>
      <c r="W40" s="43"/>
      <c r="X40" s="43"/>
      <c r="Y40" s="43"/>
      <c r="Z40" s="43"/>
      <c r="AA40" s="44"/>
      <c r="AB40" s="44"/>
      <c r="AK40" s="327"/>
      <c r="AL40" s="330"/>
      <c r="AM40" s="330"/>
      <c r="AN40" s="330"/>
      <c r="AO40" s="330"/>
      <c r="AP40" s="330"/>
      <c r="AQ40" s="330"/>
      <c r="AV40" s="486"/>
    </row>
    <row r="41" spans="19:48" ht="16.2" x14ac:dyDescent="0.35">
      <c r="S41" s="324"/>
      <c r="T41" s="325"/>
      <c r="U41" s="325"/>
      <c r="V41" s="43"/>
      <c r="W41" s="43"/>
      <c r="X41" s="43"/>
      <c r="Y41" s="43"/>
      <c r="Z41" s="43"/>
      <c r="AA41" s="44"/>
      <c r="AB41" s="44"/>
      <c r="AK41" s="329"/>
      <c r="AL41" s="327"/>
      <c r="AM41" s="327"/>
      <c r="AN41" s="327"/>
      <c r="AO41" s="327"/>
      <c r="AP41" s="327"/>
      <c r="AQ41" s="327"/>
      <c r="AV41" s="486"/>
    </row>
    <row r="42" spans="19:48" ht="16.2" x14ac:dyDescent="0.35">
      <c r="S42" s="324"/>
      <c r="T42" s="325"/>
      <c r="U42" s="325"/>
      <c r="V42" s="43"/>
      <c r="W42" s="43"/>
      <c r="X42" s="43"/>
      <c r="Y42" s="43"/>
      <c r="Z42" s="43"/>
      <c r="AA42" s="44"/>
      <c r="AB42" s="44"/>
      <c r="AK42" s="327"/>
      <c r="AL42" s="330"/>
      <c r="AM42" s="330"/>
      <c r="AN42" s="330"/>
      <c r="AO42" s="330"/>
      <c r="AP42" s="330"/>
      <c r="AQ42" s="330"/>
      <c r="AV42" s="486"/>
    </row>
    <row r="43" spans="19:48" ht="16.2" x14ac:dyDescent="0.35">
      <c r="S43" s="324"/>
      <c r="T43" s="325"/>
      <c r="U43" s="325"/>
      <c r="V43" s="43"/>
      <c r="W43" s="43"/>
      <c r="X43" s="43"/>
      <c r="Y43" s="43"/>
      <c r="Z43" s="43"/>
      <c r="AA43" s="44"/>
      <c r="AB43" s="44"/>
      <c r="AK43" s="327"/>
      <c r="AL43" s="330"/>
      <c r="AM43" s="330"/>
      <c r="AN43" s="330"/>
      <c r="AO43" s="330"/>
      <c r="AP43" s="330"/>
      <c r="AQ43" s="330"/>
      <c r="AV43" s="486"/>
    </row>
    <row r="44" spans="19:48" ht="16.2" x14ac:dyDescent="0.35">
      <c r="T44" s="23"/>
      <c r="U44" s="23"/>
      <c r="V44" s="23"/>
      <c r="W44" s="23"/>
      <c r="X44" s="23"/>
      <c r="Y44" s="23"/>
      <c r="Z44" s="23"/>
      <c r="AK44" s="329"/>
      <c r="AL44" s="327"/>
      <c r="AM44" s="327"/>
      <c r="AN44" s="327"/>
      <c r="AO44" s="327"/>
      <c r="AP44" s="327"/>
      <c r="AQ44" s="327"/>
      <c r="AV44" s="486"/>
    </row>
    <row r="45" spans="19:48" ht="16.2" x14ac:dyDescent="0.35">
      <c r="AK45" s="327"/>
      <c r="AL45" s="330"/>
      <c r="AM45" s="330"/>
      <c r="AN45" s="330"/>
      <c r="AO45" s="330"/>
      <c r="AP45" s="330"/>
      <c r="AQ45" s="330"/>
      <c r="AV45" s="486"/>
    </row>
    <row r="46" spans="19:48" ht="16.2" x14ac:dyDescent="0.35">
      <c r="AK46" s="327"/>
      <c r="AL46" s="330"/>
      <c r="AM46" s="330"/>
      <c r="AN46" s="330"/>
      <c r="AO46" s="330"/>
      <c r="AP46" s="330"/>
      <c r="AQ46" s="330"/>
      <c r="AV46" s="486"/>
    </row>
    <row r="47" spans="19:48" x14ac:dyDescent="0.3">
      <c r="AV47" s="486"/>
    </row>
    <row r="48" spans="19:48" x14ac:dyDescent="0.3">
      <c r="AV48" s="486"/>
    </row>
    <row r="49" spans="48:48" x14ac:dyDescent="0.3">
      <c r="AV49" s="486"/>
    </row>
    <row r="50" spans="48:48" x14ac:dyDescent="0.3">
      <c r="AV50" s="486"/>
    </row>
    <row r="51" spans="48:48" x14ac:dyDescent="0.3">
      <c r="AV51" s="486"/>
    </row>
    <row r="52" spans="48:48" x14ac:dyDescent="0.3">
      <c r="AV52" s="486"/>
    </row>
    <row r="53" spans="48:48" x14ac:dyDescent="0.3">
      <c r="AV53" s="486"/>
    </row>
    <row r="54" spans="48:48" x14ac:dyDescent="0.3">
      <c r="AV54" s="486"/>
    </row>
    <row r="55" spans="48:48" x14ac:dyDescent="0.3">
      <c r="AV55" s="486"/>
    </row>
    <row r="56" spans="48:48" x14ac:dyDescent="0.3">
      <c r="AV56" s="486"/>
    </row>
    <row r="57" spans="48:48" x14ac:dyDescent="0.3">
      <c r="AV57" s="486"/>
    </row>
    <row r="58" spans="48:48" x14ac:dyDescent="0.3">
      <c r="AV58" s="486"/>
    </row>
    <row r="59" spans="48:48" x14ac:dyDescent="0.3">
      <c r="AV59" s="486"/>
    </row>
    <row r="60" spans="48:48" x14ac:dyDescent="0.3">
      <c r="AV60" s="486"/>
    </row>
    <row r="61" spans="48:48" x14ac:dyDescent="0.3">
      <c r="AV61" s="486"/>
    </row>
    <row r="62" spans="48:48" x14ac:dyDescent="0.3">
      <c r="AV62" s="486"/>
    </row>
    <row r="63" spans="48:48" x14ac:dyDescent="0.3">
      <c r="AV63" s="486"/>
    </row>
    <row r="64" spans="48:48" x14ac:dyDescent="0.3">
      <c r="AV64" s="486"/>
    </row>
    <row r="65" spans="4:48" x14ac:dyDescent="0.3">
      <c r="AV65" s="486"/>
    </row>
    <row r="66" spans="4:48" x14ac:dyDescent="0.3">
      <c r="AV66" s="486"/>
    </row>
    <row r="67" spans="4:48" x14ac:dyDescent="0.3">
      <c r="AV67" s="486"/>
    </row>
    <row r="68" spans="4:48" x14ac:dyDescent="0.3">
      <c r="AV68" s="486"/>
    </row>
    <row r="69" spans="4:48" x14ac:dyDescent="0.3">
      <c r="AV69" s="486"/>
    </row>
    <row r="70" spans="4:48" x14ac:dyDescent="0.3">
      <c r="AV70" s="486"/>
    </row>
    <row r="71" spans="4:48" x14ac:dyDescent="0.3">
      <c r="D71" s="552" t="s">
        <v>53</v>
      </c>
      <c r="E71" s="553"/>
      <c r="F71" s="553"/>
      <c r="G71" s="553"/>
      <c r="H71" s="553"/>
      <c r="I71" s="553"/>
      <c r="J71" s="553"/>
      <c r="K71" s="553"/>
      <c r="L71" s="553"/>
      <c r="M71" s="553"/>
      <c r="N71" s="553"/>
      <c r="O71" s="553"/>
      <c r="P71" s="553"/>
      <c r="Q71" s="553"/>
      <c r="R71" s="553"/>
      <c r="S71" s="553"/>
      <c r="T71" s="553"/>
      <c r="U71" s="553"/>
      <c r="V71" s="553"/>
      <c r="W71" s="553"/>
      <c r="X71" s="553"/>
      <c r="Y71" s="553"/>
      <c r="Z71" s="553"/>
      <c r="AA71" s="553"/>
      <c r="AB71" s="553"/>
      <c r="AC71" s="553"/>
      <c r="AD71" s="553"/>
      <c r="AE71" s="553"/>
      <c r="AV71" s="486"/>
    </row>
    <row r="72" spans="4:48" x14ac:dyDescent="0.3">
      <c r="D72" s="552" t="s">
        <v>51</v>
      </c>
      <c r="E72" s="553"/>
      <c r="F72" s="553"/>
      <c r="G72" s="553"/>
      <c r="H72" s="553"/>
      <c r="I72" s="553"/>
      <c r="J72" s="553"/>
      <c r="K72" s="553"/>
      <c r="L72" s="555" t="s">
        <v>51</v>
      </c>
      <c r="M72" s="552"/>
      <c r="N72" s="553"/>
      <c r="O72" s="553"/>
      <c r="P72" s="553"/>
      <c r="Q72" s="553"/>
      <c r="R72" s="553"/>
      <c r="S72" s="557"/>
      <c r="T72" s="557"/>
      <c r="U72" s="552"/>
      <c r="V72" s="552" t="s">
        <v>51</v>
      </c>
      <c r="W72" s="557"/>
      <c r="X72" s="553"/>
      <c r="Y72" s="553"/>
      <c r="Z72" s="553"/>
      <c r="AA72" s="553"/>
      <c r="AB72" s="553"/>
      <c r="AC72" s="553"/>
      <c r="AD72" s="553"/>
      <c r="AE72" s="553"/>
      <c r="AV72" s="486"/>
    </row>
    <row r="73" spans="4:48" x14ac:dyDescent="0.3">
      <c r="AV73" s="486"/>
    </row>
    <row r="74" spans="4:48" x14ac:dyDescent="0.3">
      <c r="AV74" s="486"/>
    </row>
    <row r="75" spans="4:48" x14ac:dyDescent="0.3">
      <c r="AV75" s="486"/>
    </row>
    <row r="76" spans="4:48" x14ac:dyDescent="0.3">
      <c r="AV76" s="486"/>
    </row>
    <row r="77" spans="4:48" x14ac:dyDescent="0.3">
      <c r="AV77" s="486"/>
    </row>
    <row r="78" spans="4:48" x14ac:dyDescent="0.3">
      <c r="AV78" s="486"/>
    </row>
    <row r="79" spans="4:48" x14ac:dyDescent="0.3">
      <c r="AV79" s="486"/>
    </row>
    <row r="80" spans="4:48" x14ac:dyDescent="0.3">
      <c r="AV80" s="486"/>
    </row>
    <row r="81" spans="48:48" x14ac:dyDescent="0.3">
      <c r="AV81" s="486"/>
    </row>
    <row r="82" spans="48:48" x14ac:dyDescent="0.3">
      <c r="AV82" s="486"/>
    </row>
    <row r="83" spans="48:48" x14ac:dyDescent="0.3">
      <c r="AV83" s="486"/>
    </row>
    <row r="84" spans="48:48" x14ac:dyDescent="0.3">
      <c r="AV84" s="486"/>
    </row>
    <row r="85" spans="48:48" x14ac:dyDescent="0.3">
      <c r="AV85" s="486"/>
    </row>
    <row r="86" spans="48:48" x14ac:dyDescent="0.3">
      <c r="AV86" s="486"/>
    </row>
    <row r="87" spans="48:48" x14ac:dyDescent="0.3">
      <c r="AV87" s="486"/>
    </row>
    <row r="88" spans="48:48" x14ac:dyDescent="0.3">
      <c r="AV88" s="486"/>
    </row>
    <row r="89" spans="48:48" x14ac:dyDescent="0.3">
      <c r="AV89" s="486"/>
    </row>
    <row r="90" spans="48:48" x14ac:dyDescent="0.3">
      <c r="AV90" s="486"/>
    </row>
    <row r="91" spans="48:48" x14ac:dyDescent="0.3">
      <c r="AV91" s="486"/>
    </row>
    <row r="92" spans="48:48" x14ac:dyDescent="0.3">
      <c r="AV92" s="486"/>
    </row>
    <row r="93" spans="48:48" x14ac:dyDescent="0.3">
      <c r="AV93" s="486"/>
    </row>
    <row r="94" spans="48:48" x14ac:dyDescent="0.3">
      <c r="AV94" s="486"/>
    </row>
    <row r="95" spans="48:48" x14ac:dyDescent="0.3">
      <c r="AV95" s="486"/>
    </row>
    <row r="96" spans="48:48" x14ac:dyDescent="0.3">
      <c r="AV96" s="486"/>
    </row>
    <row r="97" spans="48:48" x14ac:dyDescent="0.3">
      <c r="AV97" s="486"/>
    </row>
    <row r="98" spans="48:48" x14ac:dyDescent="0.3">
      <c r="AV98" s="486"/>
    </row>
    <row r="99" spans="48:48" x14ac:dyDescent="0.3">
      <c r="AV99" s="486"/>
    </row>
    <row r="100" spans="48:48" x14ac:dyDescent="0.3">
      <c r="AV100" s="486"/>
    </row>
    <row r="101" spans="48:48" x14ac:dyDescent="0.3">
      <c r="AV101" s="486"/>
    </row>
    <row r="102" spans="48:48" x14ac:dyDescent="0.3">
      <c r="AV102" s="486"/>
    </row>
    <row r="103" spans="48:48" x14ac:dyDescent="0.3">
      <c r="AV103" s="486"/>
    </row>
    <row r="104" spans="48:48" x14ac:dyDescent="0.3">
      <c r="AV104" s="486"/>
    </row>
    <row r="105" spans="48:48" x14ac:dyDescent="0.3">
      <c r="AV105" s="486"/>
    </row>
    <row r="106" spans="48:48" x14ac:dyDescent="0.3">
      <c r="AV106" s="486"/>
    </row>
    <row r="107" spans="48:48" x14ac:dyDescent="0.3">
      <c r="AV107" s="486"/>
    </row>
    <row r="108" spans="48:48" x14ac:dyDescent="0.3">
      <c r="AV108" s="486"/>
    </row>
    <row r="109" spans="48:48" x14ac:dyDescent="0.3">
      <c r="AV109" s="486"/>
    </row>
    <row r="110" spans="48:48" x14ac:dyDescent="0.3">
      <c r="AV110" s="486"/>
    </row>
    <row r="111" spans="48:48" x14ac:dyDescent="0.3">
      <c r="AV111" s="486"/>
    </row>
    <row r="112" spans="48:48" x14ac:dyDescent="0.3">
      <c r="AV112" s="486"/>
    </row>
    <row r="113" spans="4:48" x14ac:dyDescent="0.3">
      <c r="AV113" s="486"/>
    </row>
    <row r="114" spans="4:48" x14ac:dyDescent="0.3">
      <c r="AV114" s="486"/>
    </row>
    <row r="115" spans="4:48" x14ac:dyDescent="0.3">
      <c r="AV115" s="486"/>
    </row>
    <row r="116" spans="4:48" x14ac:dyDescent="0.3">
      <c r="AV116" s="486"/>
    </row>
    <row r="117" spans="4:48" x14ac:dyDescent="0.3">
      <c r="AV117" s="486"/>
    </row>
    <row r="118" spans="4:48" x14ac:dyDescent="0.3">
      <c r="D118" s="552" t="s">
        <v>54</v>
      </c>
      <c r="E118" s="553"/>
      <c r="F118" s="553"/>
      <c r="G118" s="553"/>
      <c r="H118" s="553"/>
      <c r="I118" s="553"/>
      <c r="J118" s="553"/>
      <c r="K118" s="553"/>
      <c r="L118" s="553"/>
      <c r="M118" s="553"/>
      <c r="N118" s="553"/>
      <c r="O118" s="553"/>
      <c r="P118" s="553"/>
      <c r="Q118" s="553"/>
      <c r="R118" s="553"/>
      <c r="S118" s="553"/>
      <c r="T118" s="553"/>
      <c r="U118" s="553"/>
      <c r="V118" s="553"/>
      <c r="W118" s="553"/>
      <c r="X118" s="553"/>
      <c r="Y118" s="553"/>
      <c r="Z118" s="553"/>
      <c r="AA118" s="553"/>
      <c r="AB118" s="553"/>
      <c r="AC118" s="553"/>
      <c r="AD118" s="553"/>
      <c r="AE118" s="553"/>
      <c r="AV118" s="486"/>
    </row>
    <row r="119" spans="4:48" x14ac:dyDescent="0.3">
      <c r="D119" s="552" t="s">
        <v>51</v>
      </c>
      <c r="E119" s="553"/>
      <c r="F119" s="553"/>
      <c r="G119" s="553"/>
      <c r="H119" s="553"/>
      <c r="I119" s="553"/>
      <c r="J119" s="553"/>
      <c r="K119" s="553"/>
      <c r="L119" s="555" t="s">
        <v>51</v>
      </c>
      <c r="M119" s="552"/>
      <c r="N119" s="553"/>
      <c r="O119" s="553"/>
      <c r="P119" s="553"/>
      <c r="Q119" s="553"/>
      <c r="R119" s="553"/>
      <c r="S119" s="557"/>
      <c r="T119" s="557"/>
      <c r="U119" s="552"/>
      <c r="V119" s="552" t="s">
        <v>51</v>
      </c>
      <c r="W119" s="553"/>
      <c r="X119" s="553"/>
      <c r="Y119" s="553"/>
      <c r="Z119" s="553"/>
      <c r="AA119" s="553"/>
      <c r="AB119" s="553"/>
      <c r="AC119" s="553"/>
      <c r="AD119" s="553"/>
      <c r="AE119" s="553"/>
      <c r="AV119" s="486"/>
    </row>
    <row r="120" spans="4:48" x14ac:dyDescent="0.3">
      <c r="AV120" s="486"/>
    </row>
    <row r="121" spans="4:48" x14ac:dyDescent="0.3">
      <c r="AV121" s="486"/>
    </row>
    <row r="122" spans="4:48" x14ac:dyDescent="0.3">
      <c r="AV122" s="486"/>
    </row>
    <row r="123" spans="4:48" x14ac:dyDescent="0.3">
      <c r="AV123" s="486"/>
    </row>
    <row r="124" spans="4:48" x14ac:dyDescent="0.3">
      <c r="AV124" s="486"/>
    </row>
    <row r="125" spans="4:48" x14ac:dyDescent="0.3">
      <c r="AV125" s="486"/>
    </row>
    <row r="126" spans="4:48" x14ac:dyDescent="0.3">
      <c r="AV126" s="486"/>
    </row>
    <row r="127" spans="4:48" x14ac:dyDescent="0.3">
      <c r="AV127" s="486"/>
    </row>
    <row r="128" spans="4:48" x14ac:dyDescent="0.3">
      <c r="AV128" s="486"/>
    </row>
    <row r="129" spans="48:48" x14ac:dyDescent="0.3">
      <c r="AV129" s="486"/>
    </row>
    <row r="130" spans="48:48" x14ac:dyDescent="0.3">
      <c r="AV130" s="486"/>
    </row>
    <row r="131" spans="48:48" x14ac:dyDescent="0.3">
      <c r="AV131" s="486"/>
    </row>
    <row r="132" spans="48:48" x14ac:dyDescent="0.3">
      <c r="AV132" s="486"/>
    </row>
    <row r="133" spans="48:48" x14ac:dyDescent="0.3">
      <c r="AV133" s="486"/>
    </row>
    <row r="134" spans="48:48" x14ac:dyDescent="0.3">
      <c r="AV134" s="486"/>
    </row>
    <row r="135" spans="48:48" x14ac:dyDescent="0.3">
      <c r="AV135" s="486"/>
    </row>
    <row r="136" spans="48:48" x14ac:dyDescent="0.3">
      <c r="AV136" s="486"/>
    </row>
    <row r="137" spans="48:48" x14ac:dyDescent="0.3">
      <c r="AV137" s="486"/>
    </row>
    <row r="138" spans="48:48" x14ac:dyDescent="0.3">
      <c r="AV138" s="486"/>
    </row>
    <row r="139" spans="48:48" x14ac:dyDescent="0.3">
      <c r="AV139" s="486"/>
    </row>
    <row r="140" spans="48:48" x14ac:dyDescent="0.3">
      <c r="AV140" s="486"/>
    </row>
    <row r="141" spans="48:48" x14ac:dyDescent="0.3">
      <c r="AV141" s="486"/>
    </row>
    <row r="142" spans="48:48" x14ac:dyDescent="0.3">
      <c r="AV142" s="486"/>
    </row>
    <row r="143" spans="48:48" x14ac:dyDescent="0.3">
      <c r="AV143" s="486"/>
    </row>
    <row r="144" spans="48:48" x14ac:dyDescent="0.3">
      <c r="AV144" s="486"/>
    </row>
    <row r="145" spans="48:48" x14ac:dyDescent="0.3">
      <c r="AV145" s="486"/>
    </row>
    <row r="146" spans="48:48" x14ac:dyDescent="0.3">
      <c r="AV146" s="486"/>
    </row>
    <row r="147" spans="48:48" x14ac:dyDescent="0.3">
      <c r="AV147" s="486"/>
    </row>
    <row r="148" spans="48:48" x14ac:dyDescent="0.3">
      <c r="AV148" s="486"/>
    </row>
    <row r="149" spans="48:48" x14ac:dyDescent="0.3">
      <c r="AV149" s="486"/>
    </row>
    <row r="150" spans="48:48" x14ac:dyDescent="0.3">
      <c r="AV150" s="486"/>
    </row>
    <row r="151" spans="48:48" x14ac:dyDescent="0.3">
      <c r="AV151" s="486"/>
    </row>
    <row r="152" spans="48:48" x14ac:dyDescent="0.3">
      <c r="AV152" s="486"/>
    </row>
    <row r="153" spans="48:48" x14ac:dyDescent="0.3">
      <c r="AV153" s="486"/>
    </row>
    <row r="154" spans="48:48" x14ac:dyDescent="0.3">
      <c r="AV154" s="486"/>
    </row>
    <row r="155" spans="48:48" x14ac:dyDescent="0.3">
      <c r="AV155" s="486"/>
    </row>
    <row r="156" spans="48:48" x14ac:dyDescent="0.3">
      <c r="AV156" s="486"/>
    </row>
    <row r="157" spans="48:48" x14ac:dyDescent="0.3">
      <c r="AV157" s="486"/>
    </row>
    <row r="158" spans="48:48" x14ac:dyDescent="0.3">
      <c r="AV158" s="486"/>
    </row>
    <row r="159" spans="48:48" x14ac:dyDescent="0.3">
      <c r="AV159" s="486"/>
    </row>
    <row r="160" spans="48:48" x14ac:dyDescent="0.3">
      <c r="AV160" s="486"/>
    </row>
    <row r="161" spans="1:48" x14ac:dyDescent="0.3">
      <c r="AV161" s="486"/>
    </row>
    <row r="162" spans="1:48" x14ac:dyDescent="0.3">
      <c r="AV162" s="486"/>
    </row>
    <row r="163" spans="1:48" x14ac:dyDescent="0.3">
      <c r="AV163" s="486"/>
    </row>
    <row r="164" spans="1:48" x14ac:dyDescent="0.3">
      <c r="AV164" s="486"/>
    </row>
    <row r="165" spans="1:48" x14ac:dyDescent="0.3">
      <c r="AV165" s="486"/>
    </row>
    <row r="166" spans="1:48" x14ac:dyDescent="0.3">
      <c r="AV166" s="486"/>
    </row>
    <row r="167" spans="1:48" x14ac:dyDescent="0.3">
      <c r="AV167" s="486"/>
    </row>
    <row r="168" spans="1:48" x14ac:dyDescent="0.3">
      <c r="AV168" s="486"/>
    </row>
    <row r="169" spans="1:48" ht="13.2" customHeight="1" x14ac:dyDescent="0.3">
      <c r="A169" s="487"/>
      <c r="B169" s="487"/>
      <c r="C169" s="487"/>
      <c r="D169" s="487"/>
      <c r="E169" s="487"/>
      <c r="F169" s="487"/>
      <c r="G169" s="487"/>
      <c r="H169" s="487"/>
      <c r="I169" s="487"/>
      <c r="J169" s="487"/>
      <c r="K169" s="487"/>
      <c r="L169" s="487"/>
      <c r="M169" s="487"/>
      <c r="N169" s="487"/>
      <c r="O169" s="487"/>
      <c r="P169" s="487"/>
      <c r="Q169" s="487"/>
      <c r="R169" s="487"/>
      <c r="S169" s="487"/>
      <c r="T169" s="487"/>
      <c r="U169" s="487"/>
      <c r="V169" s="487"/>
      <c r="W169" s="487"/>
      <c r="X169" s="487"/>
      <c r="Y169" s="487"/>
      <c r="Z169" s="487"/>
      <c r="AA169" s="487"/>
      <c r="AB169" s="487"/>
      <c r="AC169" s="487"/>
      <c r="AD169" s="487"/>
      <c r="AE169" s="487"/>
      <c r="AF169" s="487"/>
      <c r="AG169" s="487"/>
      <c r="AH169" s="487"/>
      <c r="AI169" s="487"/>
      <c r="AJ169" s="487"/>
      <c r="AK169" s="487"/>
      <c r="AL169" s="487"/>
      <c r="AM169" s="487"/>
      <c r="AN169" s="487"/>
      <c r="AO169" s="487"/>
      <c r="AP169" s="487"/>
      <c r="AQ169" s="487"/>
      <c r="AR169" s="487"/>
      <c r="AS169" s="487"/>
      <c r="AT169" s="487"/>
      <c r="AU169" s="487"/>
      <c r="AV169" s="486"/>
    </row>
  </sheetData>
  <mergeCells count="1">
    <mergeCell ref="U5:AB5"/>
  </mergeCells>
  <hyperlinks>
    <hyperlink ref="L6" r:id="rId1" xr:uid="{96382531-B7D3-446B-9BE4-154101F9727B}"/>
    <hyperlink ref="V25" r:id="rId2" xr:uid="{3E44F0D3-5D20-41AC-8FB0-660FE5F2D6D6}"/>
  </hyperlinks>
  <pageMargins left="0.7" right="0.7" top="0.75" bottom="0.75" header="0.3" footer="0.3"/>
  <pageSetup paperSize="3" orientation="landscape" horizontalDpi="0" verticalDpi="0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B3613B-8D81-48D9-A8E0-E6B2896BBEDD}">
  <sheetPr>
    <tabColor rgb="FF295860"/>
    <pageSetUpPr fitToPage="1"/>
  </sheetPr>
  <dimension ref="A1:J111"/>
  <sheetViews>
    <sheetView showGridLines="0" topLeftCell="A46" zoomScale="61" zoomScaleNormal="100" zoomScaleSheetLayoutView="90" workbookViewId="0">
      <selection activeCell="E87" sqref="E87"/>
    </sheetView>
  </sheetViews>
  <sheetFormatPr defaultColWidth="8.6640625" defaultRowHeight="23.25" customHeight="1" x14ac:dyDescent="0.25"/>
  <cols>
    <col min="1" max="1" width="40.33203125" style="65" bestFit="1" customWidth="1"/>
    <col min="2" max="2" width="35.33203125" style="65" bestFit="1" customWidth="1"/>
    <col min="3" max="3" width="22.5546875" style="65" bestFit="1" customWidth="1"/>
    <col min="4" max="4" width="17.109375" style="65" bestFit="1" customWidth="1"/>
    <col min="5" max="5" width="22.6640625" style="65" bestFit="1" customWidth="1"/>
    <col min="6" max="6" width="31.5546875" style="65" customWidth="1"/>
    <col min="7" max="7" width="13.88671875" style="65" bestFit="1" customWidth="1"/>
    <col min="8" max="8" width="24.5546875" style="65" customWidth="1"/>
    <col min="9" max="9" width="2.33203125" style="65" customWidth="1"/>
    <col min="10" max="10" width="20.33203125" style="65" customWidth="1"/>
    <col min="11" max="16384" width="8.6640625" style="65"/>
  </cols>
  <sheetData>
    <row r="1" spans="1:9" ht="23.25" customHeight="1" x14ac:dyDescent="0.3">
      <c r="A1" s="28" t="s">
        <v>0</v>
      </c>
      <c r="I1" s="488"/>
    </row>
    <row r="2" spans="1:9" ht="23.25" customHeight="1" x14ac:dyDescent="0.3">
      <c r="A2" s="28" t="s">
        <v>1</v>
      </c>
      <c r="I2" s="488"/>
    </row>
    <row r="3" spans="1:9" ht="23.25" customHeight="1" x14ac:dyDescent="0.3">
      <c r="A3" s="28" t="s">
        <v>479</v>
      </c>
      <c r="I3" s="488"/>
    </row>
    <row r="4" spans="1:9" ht="23.25" customHeight="1" thickBot="1" x14ac:dyDescent="0.3">
      <c r="A4" s="103"/>
      <c r="B4" s="104"/>
      <c r="C4" s="105"/>
      <c r="D4" s="106"/>
      <c r="I4" s="488"/>
    </row>
    <row r="5" spans="1:9" ht="23.25" customHeight="1" thickBot="1" x14ac:dyDescent="0.35">
      <c r="A5" s="837" t="s">
        <v>480</v>
      </c>
      <c r="B5" s="838"/>
      <c r="C5" s="838"/>
      <c r="D5" s="839" t="s">
        <v>280</v>
      </c>
      <c r="E5" s="839"/>
      <c r="I5" s="488"/>
    </row>
    <row r="6" spans="1:9" ht="23.25" customHeight="1" x14ac:dyDescent="0.25">
      <c r="A6" s="107"/>
      <c r="B6" s="108"/>
      <c r="C6" s="108"/>
      <c r="D6" s="109">
        <v>0</v>
      </c>
      <c r="E6" s="110" t="s">
        <v>149</v>
      </c>
      <c r="I6" s="488"/>
    </row>
    <row r="7" spans="1:9" ht="24" customHeight="1" x14ac:dyDescent="0.25">
      <c r="A7" s="111" t="s">
        <v>150</v>
      </c>
      <c r="B7" s="112" t="s">
        <v>151</v>
      </c>
      <c r="C7" s="112" t="s">
        <v>481</v>
      </c>
      <c r="D7" s="112" t="s">
        <v>153</v>
      </c>
      <c r="E7" s="114" t="s">
        <v>154</v>
      </c>
      <c r="I7" s="488"/>
    </row>
    <row r="8" spans="1:9" ht="23.25" customHeight="1" x14ac:dyDescent="0.25">
      <c r="A8" s="115" t="s">
        <v>482</v>
      </c>
      <c r="B8" s="657">
        <f>SUM('4| Development Program'!F19,'4| Development Program'!F26,'4| Development Program'!F33,'4| Development Program'!F40,'4| Development Program'!F47)</f>
        <v>71</v>
      </c>
      <c r="C8" s="658">
        <f>'2| Assumptions'!D10</f>
        <v>525</v>
      </c>
      <c r="D8" s="659">
        <f>('4| Development Program'!F7)*(1+D$6)</f>
        <v>3.1517509727626458</v>
      </c>
      <c r="E8" s="660">
        <f>12*B8*C8*D8</f>
        <v>1409778.2101167315</v>
      </c>
      <c r="I8" s="488"/>
    </row>
    <row r="9" spans="1:9" ht="23.25" customHeight="1" x14ac:dyDescent="0.25">
      <c r="A9" s="115" t="s">
        <v>483</v>
      </c>
      <c r="B9" s="657">
        <f>SUM('4| Development Program'!F20,'4| Development Program'!F27,'4| Development Program'!F34,'4| Development Program'!F41,'4| Development Program'!F48)</f>
        <v>289</v>
      </c>
      <c r="C9" s="658">
        <f>'2| Assumptions'!D13</f>
        <v>700</v>
      </c>
      <c r="D9" s="659">
        <f>('4| Development Program'!F8)*(1+D$6)</f>
        <v>3.5169111044597425</v>
      </c>
      <c r="E9" s="660">
        <f t="shared" ref="E9:E19" si="0">12*B9*C9*D9</f>
        <v>8537653.3971864711</v>
      </c>
      <c r="I9" s="488"/>
    </row>
    <row r="10" spans="1:9" ht="23.25" customHeight="1" x14ac:dyDescent="0.25">
      <c r="A10" s="121" t="s">
        <v>484</v>
      </c>
      <c r="B10" s="657">
        <f>SUM('4| Development Program'!F21,'4| Development Program'!F28,'4| Development Program'!F35,'4| Development Program'!F42,'4| Development Program'!F49)</f>
        <v>298</v>
      </c>
      <c r="C10" s="658">
        <f>'2| Assumptions'!D16</f>
        <v>900</v>
      </c>
      <c r="D10" s="659">
        <f>('4| Development Program'!F9)*(1+D$6)</f>
        <v>3.7413947919784492</v>
      </c>
      <c r="E10" s="660">
        <f t="shared" si="0"/>
        <v>12041304.998503441</v>
      </c>
      <c r="I10" s="488"/>
    </row>
    <row r="11" spans="1:9" ht="23.25" customHeight="1" x14ac:dyDescent="0.25">
      <c r="A11" s="121" t="s">
        <v>485</v>
      </c>
      <c r="B11" s="657">
        <f>SUM('4| Development Program'!F22,'4| Development Program'!F29,'4| Development Program'!F36,'4| Development Program'!F43,'4| Development Program'!F50)</f>
        <v>154</v>
      </c>
      <c r="C11" s="658">
        <f>'2| Assumptions'!D19</f>
        <v>1100</v>
      </c>
      <c r="D11" s="659">
        <f>('4| Development Program'!F10)*(1+D$6)</f>
        <v>5.899891787350632</v>
      </c>
      <c r="E11" s="660">
        <f t="shared" si="0"/>
        <v>11993300.025326366</v>
      </c>
      <c r="I11" s="488"/>
    </row>
    <row r="12" spans="1:9" ht="23.25" customHeight="1" x14ac:dyDescent="0.25">
      <c r="A12" s="115" t="s">
        <v>486</v>
      </c>
      <c r="B12" s="657">
        <f>SUM('4| Development Program'!G19,'4| Development Program'!G26,'4| Development Program'!G33,'4| Development Program'!G40,'4| Development Program'!G47)</f>
        <v>27</v>
      </c>
      <c r="C12" s="658">
        <f>C8</f>
        <v>525</v>
      </c>
      <c r="D12" s="659">
        <f>('4| Development Program'!I7)*(1+D$6)</f>
        <v>2.2062256809338519</v>
      </c>
      <c r="E12" s="660">
        <f t="shared" si="0"/>
        <v>375278.98832684819</v>
      </c>
      <c r="I12" s="488"/>
    </row>
    <row r="13" spans="1:9" ht="23.25" customHeight="1" x14ac:dyDescent="0.25">
      <c r="A13" s="115" t="s">
        <v>487</v>
      </c>
      <c r="B13" s="657">
        <f>SUM('4| Development Program'!G20,'4| Development Program'!G27,'4| Development Program'!G34,'4| Development Program'!G41,'4| Development Program'!G48)</f>
        <v>107</v>
      </c>
      <c r="C13" s="658">
        <f>C9</f>
        <v>700</v>
      </c>
      <c r="D13" s="659">
        <f>('4| Development Program'!I8)*(1+D$6)</f>
        <v>2.4618377731218195</v>
      </c>
      <c r="E13" s="660">
        <f t="shared" si="0"/>
        <v>2212699.7904818915</v>
      </c>
      <c r="I13" s="488"/>
    </row>
    <row r="14" spans="1:9" ht="23.25" customHeight="1" x14ac:dyDescent="0.25">
      <c r="A14" s="121" t="s">
        <v>488</v>
      </c>
      <c r="B14" s="657">
        <f>SUM('4| Development Program'!G21,'4| Development Program'!G28,'4| Development Program'!G35,'4| Development Program'!G42,'4| Development Program'!G49)</f>
        <v>108</v>
      </c>
      <c r="C14" s="658">
        <f>C10</f>
        <v>900</v>
      </c>
      <c r="D14" s="659">
        <f>('4| Development Program'!I9)*(1+D$6)</f>
        <v>2.6189763543849143</v>
      </c>
      <c r="E14" s="660">
        <f t="shared" si="0"/>
        <v>3054774.0197545639</v>
      </c>
      <c r="I14" s="488"/>
    </row>
    <row r="15" spans="1:9" ht="23.25" customHeight="1" x14ac:dyDescent="0.25">
      <c r="A15" s="121" t="s">
        <v>489</v>
      </c>
      <c r="B15" s="657">
        <f>SUM('4| Development Program'!G22,'4| Development Program'!G29,'4| Development Program'!G36,'4| Development Program'!G43,'4| Development Program'!G50)</f>
        <v>58</v>
      </c>
      <c r="C15" s="658">
        <f>C11</f>
        <v>1100</v>
      </c>
      <c r="D15" s="659">
        <f>('4| Development Program'!I10)*(1+D$6)</f>
        <v>4.1299242511454421</v>
      </c>
      <c r="E15" s="660">
        <f t="shared" si="0"/>
        <v>3161870.0066769505</v>
      </c>
      <c r="I15" s="488"/>
    </row>
    <row r="16" spans="1:9" ht="23.25" customHeight="1" x14ac:dyDescent="0.25">
      <c r="A16" s="115" t="s">
        <v>490</v>
      </c>
      <c r="B16" s="657">
        <f>SUM('4| Development Program'!H19,'4| Development Program'!H26,'4| Development Program'!H33,'4| Development Program'!H40,'4| Development Program'!H47)</f>
        <v>3</v>
      </c>
      <c r="C16" s="658">
        <f>C8</f>
        <v>525</v>
      </c>
      <c r="D16" s="659">
        <f>('4| Development Program'!M7)*(1+D$6)</f>
        <v>4.0972762645914393</v>
      </c>
      <c r="E16" s="660">
        <f t="shared" si="0"/>
        <v>77438.521400778205</v>
      </c>
      <c r="I16" s="488"/>
    </row>
    <row r="17" spans="1:9" ht="23.25" customHeight="1" x14ac:dyDescent="0.25">
      <c r="A17" s="115" t="s">
        <v>491</v>
      </c>
      <c r="B17" s="657">
        <f>SUM('4| Development Program'!H20,'4| Development Program'!H27,'4| Development Program'!H34,'4| Development Program'!H41,'4| Development Program'!H48)</f>
        <v>19</v>
      </c>
      <c r="C17" s="658">
        <f>C9</f>
        <v>700</v>
      </c>
      <c r="D17" s="659">
        <f>('4| Development Program'!M8)*(1+D$6)</f>
        <v>4.5719844357976651</v>
      </c>
      <c r="E17" s="660">
        <f t="shared" si="0"/>
        <v>729688.71595330734</v>
      </c>
      <c r="I17" s="488"/>
    </row>
    <row r="18" spans="1:9" ht="13.2" x14ac:dyDescent="0.25">
      <c r="A18" s="121" t="s">
        <v>492</v>
      </c>
      <c r="B18" s="657">
        <f>SUM('4| Development Program'!H21,'4| Development Program'!H28,'4| Development Program'!H35,'4| Development Program'!H42,'4| Development Program'!H49)</f>
        <v>19</v>
      </c>
      <c r="C18" s="661">
        <f>C10</f>
        <v>900</v>
      </c>
      <c r="D18" s="659">
        <f>('4| Development Program'!M9)*(1+D$6)</f>
        <v>4.863813229571984</v>
      </c>
      <c r="E18" s="660">
        <f t="shared" si="0"/>
        <v>998054.4747081711</v>
      </c>
      <c r="I18" s="488"/>
    </row>
    <row r="19" spans="1:9" ht="13.2" x14ac:dyDescent="0.25">
      <c r="A19" s="121" t="s">
        <v>493</v>
      </c>
      <c r="B19" s="657">
        <f>SUM('4| Development Program'!H22,'4| Development Program'!H29,'4| Development Program'!H36,'4| Development Program'!H43,'4| Development Program'!H50)</f>
        <v>8</v>
      </c>
      <c r="C19" s="658">
        <f>C11</f>
        <v>1100</v>
      </c>
      <c r="D19" s="659">
        <f>('4| Development Program'!M10)*(1+D$6)</f>
        <v>7.6698593235558219</v>
      </c>
      <c r="E19" s="660">
        <f t="shared" si="0"/>
        <v>809937.14456749475</v>
      </c>
      <c r="I19" s="488"/>
    </row>
    <row r="20" spans="1:9" ht="13.2" x14ac:dyDescent="0.25">
      <c r="A20" s="121"/>
      <c r="B20" s="7"/>
      <c r="C20" s="7"/>
      <c r="D20" s="127"/>
      <c r="E20" s="660"/>
      <c r="I20" s="488"/>
    </row>
    <row r="21" spans="1:9" ht="13.8" thickBot="1" x14ac:dyDescent="0.3">
      <c r="A21" s="121"/>
      <c r="B21" s="7"/>
      <c r="C21" s="7"/>
      <c r="D21" s="127"/>
      <c r="E21" s="662"/>
      <c r="I21" s="488"/>
    </row>
    <row r="22" spans="1:9" ht="14.4" thickTop="1" thickBot="1" x14ac:dyDescent="0.3">
      <c r="A22" s="130" t="s">
        <v>167</v>
      </c>
      <c r="B22" s="663">
        <f>SUM(B8:B21)</f>
        <v>1161</v>
      </c>
      <c r="C22" s="664">
        <f>B8*C8+B17*C17+B18*C18+B19*C19+B20*C20+B21*C21+B9*C9+B10*C10+B11*C11+B12*C12+B13*C13+B14*C14+B15*C15+B16*C16</f>
        <v>968025</v>
      </c>
      <c r="D22" s="133"/>
      <c r="E22" s="667">
        <f>SUM(E8:E21)</f>
        <v>45401778.293003015</v>
      </c>
      <c r="I22" s="488"/>
    </row>
    <row r="23" spans="1:9" ht="14.4" thickTop="1" thickBot="1" x14ac:dyDescent="0.3">
      <c r="A23" s="135" t="s">
        <v>168</v>
      </c>
      <c r="B23" s="136"/>
      <c r="C23" s="665">
        <f>C22/B22</f>
        <v>833.78552971576232</v>
      </c>
      <c r="D23" s="666">
        <f>(E22/12)/C22</f>
        <v>3.908454352332758</v>
      </c>
      <c r="E23" s="139"/>
      <c r="I23" s="488"/>
    </row>
    <row r="24" spans="1:9" ht="13.2" x14ac:dyDescent="0.25">
      <c r="A24" s="141"/>
      <c r="B24" s="142"/>
      <c r="C24" s="143"/>
      <c r="D24" s="144"/>
      <c r="I24" s="488"/>
    </row>
    <row r="25" spans="1:9" ht="13.2" x14ac:dyDescent="0.25">
      <c r="A25" s="111" t="s">
        <v>169</v>
      </c>
      <c r="B25" s="112" t="s">
        <v>170</v>
      </c>
      <c r="C25" s="112" t="s">
        <v>171</v>
      </c>
      <c r="D25" s="112" t="s">
        <v>154</v>
      </c>
      <c r="I25" s="488"/>
    </row>
    <row r="26" spans="1:9" ht="13.2" x14ac:dyDescent="0.25">
      <c r="A26" s="145" t="s">
        <v>10</v>
      </c>
      <c r="B26" s="668">
        <f>SUM('4| Development Program'!K29,'4| Development Program'!K36,'4| Development Program'!K43,'4| Development Program'!K22,'4| Development Program'!K50)</f>
        <v>182030</v>
      </c>
      <c r="C26" s="669">
        <f>'4| Development Program'!S10</f>
        <v>45.5</v>
      </c>
      <c r="D26" s="670">
        <f>B26*C26</f>
        <v>8282365</v>
      </c>
      <c r="I26" s="488"/>
    </row>
    <row r="27" spans="1:9" ht="13.8" thickBot="1" x14ac:dyDescent="0.3">
      <c r="A27" s="154" t="s">
        <v>172</v>
      </c>
      <c r="B27" s="671">
        <f>SUM(B26:B26)</f>
        <v>182030</v>
      </c>
      <c r="C27" s="672">
        <f>IF(B27=0,0,D27/B27)</f>
        <v>45.5</v>
      </c>
      <c r="D27" s="673">
        <f>SUM(D26:D26)</f>
        <v>8282365</v>
      </c>
      <c r="E27" s="140"/>
      <c r="I27" s="488"/>
    </row>
    <row r="28" spans="1:9" ht="13.2" x14ac:dyDescent="0.25">
      <c r="A28" s="165" t="s">
        <v>173</v>
      </c>
      <c r="B28" s="159"/>
      <c r="I28" s="488"/>
    </row>
    <row r="29" spans="1:9" ht="13.2" x14ac:dyDescent="0.25">
      <c r="A29" s="91" t="s">
        <v>174</v>
      </c>
      <c r="B29" s="674">
        <f>SUM('4| Development Program'!R28,'4| Development Program'!R35,'4| Development Program'!R42,'4| Development Program'!R21,'4| Development Program'!R49)</f>
        <v>344</v>
      </c>
      <c r="C29" s="161"/>
      <c r="D29" s="162"/>
      <c r="I29" s="488"/>
    </row>
    <row r="30" spans="1:9" ht="13.8" thickBot="1" x14ac:dyDescent="0.3">
      <c r="A30" s="97" t="s">
        <v>175</v>
      </c>
      <c r="B30" s="674">
        <f>SUM('4| Development Program'!R27,'4| Development Program'!R34,'4| Development Program'!R41,'4| Development Program'!R20,'4| Development Program'!R48)</f>
        <v>150</v>
      </c>
      <c r="C30" s="161"/>
      <c r="D30" s="162"/>
      <c r="I30" s="488"/>
    </row>
    <row r="31" spans="1:9" ht="14.4" thickTop="1" thickBot="1" x14ac:dyDescent="0.3">
      <c r="A31" s="163" t="s">
        <v>176</v>
      </c>
      <c r="B31" s="675">
        <f>SUM(B29:B30)</f>
        <v>494</v>
      </c>
      <c r="C31" s="161"/>
      <c r="D31" s="162"/>
      <c r="I31" s="488"/>
    </row>
    <row r="32" spans="1:9" ht="13.2" x14ac:dyDescent="0.25">
      <c r="A32" s="165" t="s">
        <v>177</v>
      </c>
      <c r="B32" s="166" t="s">
        <v>280</v>
      </c>
      <c r="C32" s="167"/>
      <c r="D32" s="167"/>
      <c r="E32" s="167"/>
      <c r="I32" s="488"/>
    </row>
    <row r="33" spans="1:9" ht="13.2" x14ac:dyDescent="0.25">
      <c r="A33" s="168" t="s">
        <v>178</v>
      </c>
      <c r="B33" s="174">
        <f>SUM('5| Demolitions &amp; Land'!O12,'5| Demolitions &amp; Land'!O14,'5| Demolitions &amp; Land'!O19)</f>
        <v>130642</v>
      </c>
      <c r="C33" s="170"/>
      <c r="D33" s="171"/>
      <c r="E33" s="167"/>
      <c r="I33" s="488"/>
    </row>
    <row r="34" spans="1:9" ht="13.2" x14ac:dyDescent="0.25">
      <c r="A34" s="168" t="s">
        <v>179</v>
      </c>
      <c r="B34" s="174">
        <f>C22+B27</f>
        <v>1150055</v>
      </c>
      <c r="C34" s="170"/>
      <c r="D34" s="171"/>
      <c r="E34" s="167"/>
      <c r="I34" s="488"/>
    </row>
    <row r="35" spans="1:9" ht="13.2" x14ac:dyDescent="0.25">
      <c r="A35" s="172">
        <f>'2| Assumptions'!C32</f>
        <v>150</v>
      </c>
      <c r="B35" s="174">
        <f>B31*'2| Assumptions'!C32</f>
        <v>74100</v>
      </c>
      <c r="C35" s="170"/>
      <c r="D35" s="171"/>
      <c r="E35" s="167"/>
      <c r="I35" s="488"/>
    </row>
    <row r="36" spans="1:9" ht="13.8" thickBot="1" x14ac:dyDescent="0.3">
      <c r="A36" s="331">
        <v>0.15</v>
      </c>
      <c r="B36" s="174">
        <f>(1+A36)*(B34+B35)</f>
        <v>1407778.25</v>
      </c>
      <c r="C36" s="170"/>
      <c r="D36" s="171"/>
      <c r="E36" s="167"/>
      <c r="I36" s="488"/>
    </row>
    <row r="37" spans="1:9" ht="15" customHeight="1" thickBot="1" x14ac:dyDescent="0.3">
      <c r="A37" s="790" t="s">
        <v>180</v>
      </c>
      <c r="B37" s="791"/>
      <c r="C37" s="840" t="str">
        <f>D5</f>
        <v>Phase 1</v>
      </c>
      <c r="D37" s="841"/>
      <c r="E37" s="167"/>
      <c r="I37" s="488"/>
    </row>
    <row r="38" spans="1:9" ht="13.8" thickBot="1" x14ac:dyDescent="0.3">
      <c r="A38" s="179" t="s">
        <v>181</v>
      </c>
      <c r="B38" s="180" t="s">
        <v>155</v>
      </c>
      <c r="C38" s="180" t="s">
        <v>182</v>
      </c>
      <c r="D38" s="181" t="s">
        <v>183</v>
      </c>
      <c r="E38" s="167"/>
      <c r="I38" s="488"/>
    </row>
    <row r="39" spans="1:9" ht="13.2" x14ac:dyDescent="0.25">
      <c r="A39" s="676" t="s">
        <v>184</v>
      </c>
      <c r="B39" s="677">
        <f>D39/B22</f>
        <v>39105.752190355743</v>
      </c>
      <c r="C39" s="678">
        <f>D39/C22</f>
        <v>46.901452227993097</v>
      </c>
      <c r="D39" s="679">
        <f>E22</f>
        <v>45401778.293003015</v>
      </c>
      <c r="E39" s="167"/>
      <c r="I39" s="488"/>
    </row>
    <row r="40" spans="1:9" ht="13.2" x14ac:dyDescent="0.25">
      <c r="A40" s="680">
        <f>B27</f>
        <v>182030</v>
      </c>
      <c r="B40" s="842" t="s">
        <v>185</v>
      </c>
      <c r="C40" s="843"/>
      <c r="D40" s="681">
        <f>D27</f>
        <v>8282365</v>
      </c>
      <c r="E40" s="167"/>
      <c r="I40" s="488"/>
    </row>
    <row r="41" spans="1:9" ht="13.2" x14ac:dyDescent="0.25">
      <c r="A41" s="192"/>
      <c r="B41" s="844" t="s">
        <v>186</v>
      </c>
      <c r="C41" s="844"/>
      <c r="D41" s="474">
        <f>SUM(D39:D40)</f>
        <v>53684143.293003015</v>
      </c>
      <c r="E41" s="167"/>
      <c r="I41" s="488"/>
    </row>
    <row r="42" spans="1:9" ht="13.2" x14ac:dyDescent="0.25">
      <c r="A42" s="190" t="s">
        <v>187</v>
      </c>
      <c r="B42" s="191" t="s">
        <v>188</v>
      </c>
      <c r="C42" s="191" t="s">
        <v>189</v>
      </c>
      <c r="D42" s="191"/>
      <c r="E42" s="167"/>
      <c r="I42" s="488"/>
    </row>
    <row r="43" spans="1:9" ht="13.2" x14ac:dyDescent="0.25">
      <c r="A43" s="192" t="s">
        <v>190</v>
      </c>
      <c r="B43" s="238">
        <f>'2| Assumptions'!C35</f>
        <v>250</v>
      </c>
      <c r="C43" s="475">
        <f>D43/C22</f>
        <v>1.066088169210506</v>
      </c>
      <c r="D43" s="238">
        <f>B43*B29*12</f>
        <v>1032000</v>
      </c>
      <c r="E43" s="167"/>
      <c r="I43" s="488"/>
    </row>
    <row r="44" spans="1:9" ht="13.2" x14ac:dyDescent="0.25">
      <c r="A44" s="192" t="s">
        <v>191</v>
      </c>
      <c r="B44" s="238">
        <f>D44/B22</f>
        <v>2311.9786086564609</v>
      </c>
      <c r="C44" s="475">
        <f>D44/C22</f>
        <v>2.7728696724259714</v>
      </c>
      <c r="D44" s="238">
        <f>'2| Assumptions'!F17*D41</f>
        <v>2684207.164650151</v>
      </c>
      <c r="E44" s="167"/>
      <c r="I44" s="488"/>
    </row>
    <row r="45" spans="1:9" ht="13.8" thickBot="1" x14ac:dyDescent="0.3">
      <c r="A45" s="197" t="s">
        <v>192</v>
      </c>
      <c r="B45" s="830"/>
      <c r="C45" s="831"/>
      <c r="D45" s="682">
        <f>SUM(D43:D44)</f>
        <v>3716207.164650151</v>
      </c>
      <c r="E45" s="167"/>
      <c r="I45" s="488"/>
    </row>
    <row r="46" spans="1:9" ht="14.4" thickTop="1" thickBot="1" x14ac:dyDescent="0.3">
      <c r="A46" s="683">
        <v>0.05</v>
      </c>
      <c r="B46" s="832"/>
      <c r="C46" s="833"/>
      <c r="D46" s="684">
        <f>-A46*D41</f>
        <v>-2684207.164650151</v>
      </c>
      <c r="E46" s="167"/>
      <c r="I46" s="488"/>
    </row>
    <row r="47" spans="1:9" ht="14.4" thickTop="1" thickBot="1" x14ac:dyDescent="0.3">
      <c r="A47" s="201" t="s">
        <v>193</v>
      </c>
      <c r="B47" s="202">
        <f>D47/B22</f>
        <v>47128.461062018097</v>
      </c>
      <c r="C47" s="203">
        <f>D47/C22</f>
        <v>56.523481617729928</v>
      </c>
      <c r="D47" s="204">
        <f>D41+D45+D46</f>
        <v>54716143.293003015</v>
      </c>
      <c r="E47" s="167"/>
      <c r="I47" s="488"/>
    </row>
    <row r="48" spans="1:9" ht="13.2" x14ac:dyDescent="0.25">
      <c r="A48" s="111" t="s">
        <v>194</v>
      </c>
      <c r="B48" s="112" t="s">
        <v>155</v>
      </c>
      <c r="C48" s="112" t="s">
        <v>195</v>
      </c>
      <c r="D48" s="205" t="s">
        <v>183</v>
      </c>
      <c r="E48" s="167"/>
      <c r="I48" s="488"/>
    </row>
    <row r="49" spans="1:9" ht="13.2" x14ac:dyDescent="0.25">
      <c r="A49" s="206" t="s">
        <v>196</v>
      </c>
      <c r="B49" s="208">
        <f>D49/B22</f>
        <v>-13871.871651938764</v>
      </c>
      <c r="C49" s="208">
        <f>D49/C22</f>
        <v>-16.637218034555826</v>
      </c>
      <c r="D49" s="208">
        <f>-0.3*D41</f>
        <v>-16105242.987900903</v>
      </c>
      <c r="E49" s="167"/>
      <c r="I49" s="488"/>
    </row>
    <row r="50" spans="1:9" ht="13.8" thickBot="1" x14ac:dyDescent="0.3">
      <c r="A50" s="685" t="s">
        <v>494</v>
      </c>
      <c r="B50" s="208">
        <f>D50/B22</f>
        <v>-13814.455200813756</v>
      </c>
      <c r="C50" s="208">
        <f>D50/C22</f>
        <v>-16.568355660385599</v>
      </c>
      <c r="D50" s="686">
        <f>-('5b| Land Lease Calculations'!C11)</f>
        <v>-16038582.48814477</v>
      </c>
      <c r="E50" s="167"/>
      <c r="I50" s="488"/>
    </row>
    <row r="51" spans="1:9" ht="13.8" thickBot="1" x14ac:dyDescent="0.3">
      <c r="A51" s="209" t="s">
        <v>197</v>
      </c>
      <c r="B51" s="210">
        <f>D51/B22</f>
        <v>19442.13420926558</v>
      </c>
      <c r="C51" s="211"/>
      <c r="D51" s="210">
        <f>D47+D49+D50</f>
        <v>22572317.81695734</v>
      </c>
      <c r="E51" s="167"/>
      <c r="I51" s="488"/>
    </row>
    <row r="52" spans="1:9" ht="13.8" thickBot="1" x14ac:dyDescent="0.3">
      <c r="A52" s="212" t="s">
        <v>198</v>
      </c>
      <c r="B52" s="213" t="s">
        <v>495</v>
      </c>
      <c r="C52" s="214">
        <f>'2| Assumptions'!H11</f>
        <v>4.7500000000000001E-2</v>
      </c>
      <c r="D52" s="215">
        <f>SUM(D39,D46,(SUM(D49,D50)/2))/C52+SUM(D40,D45,(SUM(D49,D50)/2))/C53</f>
        <v>495787780.09614289</v>
      </c>
      <c r="E52" s="167"/>
      <c r="I52" s="488"/>
    </row>
    <row r="53" spans="1:9" ht="13.8" thickBot="1" x14ac:dyDescent="0.3">
      <c r="A53" s="479"/>
      <c r="B53" s="213" t="s">
        <v>496</v>
      </c>
      <c r="C53" s="480">
        <f>'2| Assumptions'!H13</f>
        <v>6.25E-2</v>
      </c>
      <c r="D53" s="481"/>
      <c r="E53" s="167"/>
      <c r="I53" s="488"/>
    </row>
    <row r="54" spans="1:9" ht="13.8" thickBot="1" x14ac:dyDescent="0.3">
      <c r="A54" s="781" t="s">
        <v>497</v>
      </c>
      <c r="B54" s="782"/>
      <c r="C54" s="783" t="str">
        <f>D5</f>
        <v>Phase 1</v>
      </c>
      <c r="D54" s="834"/>
      <c r="I54" s="488"/>
    </row>
    <row r="55" spans="1:9" ht="13.8" thickBot="1" x14ac:dyDescent="0.3">
      <c r="A55" s="165"/>
      <c r="B55" s="113" t="s">
        <v>202</v>
      </c>
      <c r="C55" s="113" t="s">
        <v>203</v>
      </c>
      <c r="D55" s="113" t="s">
        <v>155</v>
      </c>
      <c r="I55" s="488"/>
    </row>
    <row r="56" spans="1:9" ht="13.2" x14ac:dyDescent="0.25">
      <c r="A56" s="687" t="s">
        <v>498</v>
      </c>
      <c r="B56" s="688" t="s">
        <v>499</v>
      </c>
      <c r="C56" s="689">
        <f>SUM('4| Development Program'!P50,'4| Development Program'!P22,'4| Development Program'!P43,'4| Development Program'!P36,'4| Development Program'!P29)</f>
        <v>249711600</v>
      </c>
      <c r="D56" s="238">
        <f>C56/$B$22</f>
        <v>215083.20413436691</v>
      </c>
      <c r="E56" s="534"/>
      <c r="I56" s="488"/>
    </row>
    <row r="57" spans="1:9" ht="13.2" x14ac:dyDescent="0.25">
      <c r="A57" s="690" t="s">
        <v>205</v>
      </c>
      <c r="B57" s="691">
        <f>'2| Assumptions'!C29</f>
        <v>65625</v>
      </c>
      <c r="C57" s="677">
        <f>B31*B57</f>
        <v>32418750</v>
      </c>
      <c r="D57" s="238">
        <f>C57/$B$22</f>
        <v>27923.126614987079</v>
      </c>
      <c r="E57" s="534"/>
      <c r="I57" s="488"/>
    </row>
    <row r="58" spans="1:9" ht="13.2" x14ac:dyDescent="0.25">
      <c r="A58" s="690" t="s">
        <v>103</v>
      </c>
      <c r="B58" s="692">
        <f>'2| Assumptions'!F30</f>
        <v>0.05</v>
      </c>
      <c r="C58" s="677">
        <f>B58*C56</f>
        <v>12485580</v>
      </c>
      <c r="D58" s="238">
        <f>C58/$B$22</f>
        <v>10754.160206718347</v>
      </c>
      <c r="E58" s="534"/>
      <c r="I58" s="488"/>
    </row>
    <row r="59" spans="1:9" ht="13.2" x14ac:dyDescent="0.25">
      <c r="A59" s="690" t="s">
        <v>31</v>
      </c>
      <c r="B59" s="630" t="s">
        <v>110</v>
      </c>
      <c r="C59" s="677">
        <f>SUM('4| Development Program'!T29,'4| Development Program'!T36,'4| Development Program'!T43,'4| Development Program'!T22,'4| Development Program'!T50)</f>
        <v>1500000</v>
      </c>
      <c r="D59" s="238"/>
      <c r="E59" s="534"/>
      <c r="I59" s="488"/>
    </row>
    <row r="60" spans="1:9" ht="13.2" x14ac:dyDescent="0.25">
      <c r="A60" s="690" t="s">
        <v>206</v>
      </c>
      <c r="B60" s="693" t="s">
        <v>500</v>
      </c>
      <c r="C60" s="694">
        <v>0</v>
      </c>
      <c r="D60" s="238">
        <f>C60/$B$22</f>
        <v>0</v>
      </c>
      <c r="E60" s="534"/>
      <c r="I60" s="488"/>
    </row>
    <row r="61" spans="1:9" ht="13.2" x14ac:dyDescent="0.25">
      <c r="A61" s="690" t="s">
        <v>208</v>
      </c>
      <c r="B61" s="695">
        <f>'2| Assumptions'!F31</f>
        <v>4000</v>
      </c>
      <c r="C61" s="677">
        <f>B61*B22</f>
        <v>4644000</v>
      </c>
      <c r="D61" s="677">
        <f>C61/B22</f>
        <v>4000</v>
      </c>
      <c r="E61" s="534"/>
      <c r="I61" s="488"/>
    </row>
    <row r="62" spans="1:9" ht="13.2" x14ac:dyDescent="0.25">
      <c r="A62" s="690" t="s">
        <v>209</v>
      </c>
      <c r="B62" s="696" t="s">
        <v>210</v>
      </c>
      <c r="C62" s="677">
        <f>SUM('4| Development Program'!W22,'4| Development Program'!W29,'4| Development Program'!W36,'4| Development Program'!W43,'4| Development Program'!W50)</f>
        <v>8639222.222222222</v>
      </c>
      <c r="D62" s="238">
        <f>C62/$B$22</f>
        <v>7441.1905445497177</v>
      </c>
      <c r="E62" s="534"/>
      <c r="I62" s="488"/>
    </row>
    <row r="63" spans="1:9" ht="13.2" x14ac:dyDescent="0.25">
      <c r="A63" s="91" t="s">
        <v>109</v>
      </c>
      <c r="B63" s="231" t="s">
        <v>110</v>
      </c>
      <c r="C63" s="697">
        <v>400000</v>
      </c>
      <c r="D63" s="238">
        <f t="shared" ref="D63:D64" si="1">C63/$B$22</f>
        <v>344.5305770887166</v>
      </c>
      <c r="E63" s="534"/>
      <c r="I63" s="488"/>
    </row>
    <row r="64" spans="1:9" ht="13.2" x14ac:dyDescent="0.25">
      <c r="A64" s="91" t="s">
        <v>112</v>
      </c>
      <c r="B64" s="698">
        <f>'2| Assumptions'!F34</f>
        <v>0.01</v>
      </c>
      <c r="C64" s="238">
        <f>B64*(C56+C58)</f>
        <v>2621971.8000000003</v>
      </c>
      <c r="D64" s="238">
        <f t="shared" si="1"/>
        <v>2258.3736434108528</v>
      </c>
      <c r="E64" s="534"/>
      <c r="I64" s="488"/>
    </row>
    <row r="65" spans="1:10" ht="14.4" x14ac:dyDescent="0.3">
      <c r="A65" s="91" t="s">
        <v>114</v>
      </c>
      <c r="B65" s="698">
        <f>'2| Assumptions'!F35</f>
        <v>0.06</v>
      </c>
      <c r="C65" s="238">
        <f>B65*(C56+C58)</f>
        <v>15731830.799999999</v>
      </c>
      <c r="D65" s="238">
        <f>C65/$B$22</f>
        <v>13550.241860465116</v>
      </c>
      <c r="E65" s="534"/>
      <c r="I65" s="489"/>
      <c r="J65" s="485"/>
    </row>
    <row r="66" spans="1:10" ht="13.2" x14ac:dyDescent="0.25">
      <c r="A66" s="91" t="s">
        <v>117</v>
      </c>
      <c r="B66" s="699">
        <f>'2| Assumptions'!F36</f>
        <v>0.03</v>
      </c>
      <c r="C66" s="236">
        <f>B66*SUM(C56:C65)</f>
        <v>9844588.6446666662</v>
      </c>
      <c r="D66" s="238">
        <f>C66/$B$22</f>
        <v>8479.4045173700833</v>
      </c>
      <c r="E66" s="534"/>
      <c r="I66" s="490"/>
      <c r="J66" s="485"/>
    </row>
    <row r="67" spans="1:10" ht="13.2" x14ac:dyDescent="0.25">
      <c r="A67" s="91" t="s">
        <v>119</v>
      </c>
      <c r="B67" s="698">
        <f>'2| Assumptions'!F37</f>
        <v>0.02</v>
      </c>
      <c r="C67" s="238">
        <f>B67*(C56+C58)</f>
        <v>5243943.6000000006</v>
      </c>
      <c r="D67" s="238">
        <f t="shared" ref="D67:D76" si="2">C67/$B$22</f>
        <v>4516.7472868217055</v>
      </c>
      <c r="E67" s="534"/>
      <c r="I67" s="490"/>
      <c r="J67" s="485"/>
    </row>
    <row r="68" spans="1:10" ht="13.2" x14ac:dyDescent="0.25">
      <c r="A68" s="91" t="s">
        <v>211</v>
      </c>
      <c r="B68" s="700" t="s">
        <v>110</v>
      </c>
      <c r="C68" s="697">
        <v>0</v>
      </c>
      <c r="D68" s="238">
        <f t="shared" si="2"/>
        <v>0</v>
      </c>
      <c r="E68" s="534"/>
      <c r="I68" s="490"/>
      <c r="J68" s="485"/>
    </row>
    <row r="69" spans="1:10" ht="13.2" x14ac:dyDescent="0.25">
      <c r="A69" s="91" t="s">
        <v>123</v>
      </c>
      <c r="B69" s="696">
        <f>'2| Assumptions'!F39</f>
        <v>5000</v>
      </c>
      <c r="C69" s="238">
        <f>B69*B22</f>
        <v>5805000</v>
      </c>
      <c r="D69" s="238">
        <f t="shared" si="2"/>
        <v>5000</v>
      </c>
      <c r="E69" s="534"/>
      <c r="I69" s="490"/>
      <c r="J69" s="485"/>
    </row>
    <row r="70" spans="1:10" ht="13.2" x14ac:dyDescent="0.25">
      <c r="A70" s="91" t="s">
        <v>124</v>
      </c>
      <c r="B70" s="231" t="s">
        <v>110</v>
      </c>
      <c r="C70" s="697">
        <v>1500000</v>
      </c>
      <c r="D70" s="238">
        <f t="shared" si="2"/>
        <v>1291.9896640826873</v>
      </c>
      <c r="E70" s="534"/>
      <c r="I70" s="490"/>
      <c r="J70" s="485"/>
    </row>
    <row r="71" spans="1:10" ht="13.2" x14ac:dyDescent="0.25">
      <c r="A71" s="91" t="s">
        <v>125</v>
      </c>
      <c r="B71" s="701">
        <f>'2| Assumptions'!F41</f>
        <v>6</v>
      </c>
      <c r="C71" s="238">
        <f>-B71*(D49/12)</f>
        <v>8052621.4939504517</v>
      </c>
      <c r="D71" s="238">
        <f t="shared" si="2"/>
        <v>6935.9358259693818</v>
      </c>
      <c r="E71" s="534"/>
      <c r="I71" s="490"/>
      <c r="J71" s="485"/>
    </row>
    <row r="72" spans="1:10" ht="13.2" x14ac:dyDescent="0.25">
      <c r="A72" s="91" t="s">
        <v>212</v>
      </c>
      <c r="B72" s="702">
        <v>25</v>
      </c>
      <c r="C72" s="238">
        <f>B27*B72</f>
        <v>4550750</v>
      </c>
      <c r="D72" s="238">
        <f t="shared" si="2"/>
        <v>3919.6813092161929</v>
      </c>
      <c r="E72" s="534"/>
      <c r="I72" s="490"/>
      <c r="J72" s="485"/>
    </row>
    <row r="73" spans="1:10" ht="13.2" x14ac:dyDescent="0.25">
      <c r="A73" s="91" t="s">
        <v>213</v>
      </c>
      <c r="B73" s="703">
        <f>'2| Assumptions'!F43</f>
        <v>0.06</v>
      </c>
      <c r="C73" s="236">
        <f>B73*D27*5</f>
        <v>2484709.5</v>
      </c>
      <c r="D73" s="238">
        <f t="shared" si="2"/>
        <v>2140.1459948320412</v>
      </c>
      <c r="E73" s="534"/>
      <c r="I73" s="488"/>
    </row>
    <row r="74" spans="1:10" ht="13.2" x14ac:dyDescent="0.25">
      <c r="A74" s="91" t="s">
        <v>128</v>
      </c>
      <c r="B74" s="704">
        <f>'2| Assumptions'!F44</f>
        <v>1.4999999999999999E-2</v>
      </c>
      <c r="C74" s="236">
        <v>3432375</v>
      </c>
      <c r="D74" s="238">
        <f t="shared" si="2"/>
        <v>2956.3953488372094</v>
      </c>
      <c r="E74" s="835" t="s">
        <v>501</v>
      </c>
      <c r="F74" s="836"/>
      <c r="G74" s="245">
        <f>B74*B87</f>
        <v>3432375</v>
      </c>
      <c r="I74" s="488"/>
    </row>
    <row r="75" spans="1:10" ht="13.2" x14ac:dyDescent="0.25">
      <c r="A75" s="246" t="s">
        <v>130</v>
      </c>
      <c r="B75" s="705">
        <f>'2| Assumptions'!F46</f>
        <v>7.0000000000000007E-2</v>
      </c>
      <c r="C75" s="236">
        <v>16017750.000000002</v>
      </c>
      <c r="D75" s="238">
        <f t="shared" si="2"/>
        <v>13796.511627906979</v>
      </c>
      <c r="E75" s="835" t="s">
        <v>501</v>
      </c>
      <c r="F75" s="836"/>
      <c r="G75" s="248">
        <f>B75*B87</f>
        <v>16017750.000000002</v>
      </c>
      <c r="I75" s="488"/>
    </row>
    <row r="76" spans="1:10" ht="13.8" thickBot="1" x14ac:dyDescent="0.3">
      <c r="A76" s="97" t="s">
        <v>215</v>
      </c>
      <c r="B76" s="706" t="s">
        <v>110</v>
      </c>
      <c r="C76" s="707">
        <v>1000000</v>
      </c>
      <c r="D76" s="708">
        <f t="shared" si="2"/>
        <v>861.32644272179152</v>
      </c>
      <c r="E76" s="534"/>
      <c r="I76" s="488"/>
    </row>
    <row r="77" spans="1:10" ht="14.4" thickTop="1" thickBot="1" x14ac:dyDescent="0.3">
      <c r="A77" s="252" t="s">
        <v>216</v>
      </c>
      <c r="B77" s="253"/>
      <c r="C77" s="254">
        <f>SUM(C56:C76)</f>
        <v>386084693.06083935</v>
      </c>
      <c r="D77" s="254">
        <f>ROUND(C77/$B$22,-3)</f>
        <v>333000</v>
      </c>
      <c r="I77" s="488"/>
    </row>
    <row r="78" spans="1:10" ht="13.2" x14ac:dyDescent="0.25">
      <c r="A78" s="255" t="s">
        <v>217</v>
      </c>
      <c r="B78" s="256">
        <f>D51/C77</f>
        <v>5.8464679441203295E-2</v>
      </c>
      <c r="I78" s="488"/>
    </row>
    <row r="79" spans="1:10" ht="13.2" x14ac:dyDescent="0.25">
      <c r="A79" s="257" t="s">
        <v>218</v>
      </c>
      <c r="B79" s="258">
        <f>(D52/C77)-1</f>
        <v>0.28414254438731779</v>
      </c>
      <c r="C79" s="259"/>
      <c r="D79" s="260"/>
      <c r="I79" s="488"/>
    </row>
    <row r="80" spans="1:10" ht="13.8" thickBot="1" x14ac:dyDescent="0.3">
      <c r="A80" s="261">
        <v>0.3</v>
      </c>
      <c r="B80" s="262">
        <f>(D52/(1+A80))</f>
        <v>381375215.45857143</v>
      </c>
      <c r="I80" s="488"/>
    </row>
    <row r="81" spans="1:9" ht="13.8" thickBot="1" x14ac:dyDescent="0.3">
      <c r="A81" s="332">
        <v>0.3</v>
      </c>
      <c r="B81" s="262">
        <f>ROUND((D52/(1+A81))-C77,-3)</f>
        <v>-4709000</v>
      </c>
      <c r="C81" s="264" t="s">
        <v>219</v>
      </c>
      <c r="I81" s="488"/>
    </row>
    <row r="82" spans="1:9" ht="13.8" thickBot="1" x14ac:dyDescent="0.3">
      <c r="A82" s="265"/>
      <c r="B82" s="266"/>
      <c r="I82" s="488"/>
    </row>
    <row r="83" spans="1:9" ht="14.7" customHeight="1" x14ac:dyDescent="0.25">
      <c r="A83" s="827" t="s">
        <v>220</v>
      </c>
      <c r="B83" s="828"/>
      <c r="C83" s="591" t="str">
        <f>D5</f>
        <v>Phase 1</v>
      </c>
      <c r="I83" s="488"/>
    </row>
    <row r="84" spans="1:9" ht="13.8" thickBot="1" x14ac:dyDescent="0.3">
      <c r="A84" s="476"/>
      <c r="B84" s="477" t="s">
        <v>221</v>
      </c>
      <c r="C84" s="478" t="s">
        <v>155</v>
      </c>
      <c r="I84" s="488"/>
    </row>
    <row r="85" spans="1:9" ht="13.2" x14ac:dyDescent="0.25">
      <c r="A85" s="271" t="s">
        <v>222</v>
      </c>
      <c r="B85" s="709">
        <f>IF(B81&lt;0,B81,0)</f>
        <v>-4709000</v>
      </c>
      <c r="C85" s="710"/>
      <c r="I85" s="488"/>
    </row>
    <row r="86" spans="1:9" ht="13.2" x14ac:dyDescent="0.25">
      <c r="A86" s="274" t="s">
        <v>223</v>
      </c>
      <c r="B86" s="667">
        <f>C77+B85</f>
        <v>381375693.06083935</v>
      </c>
      <c r="C86" s="711"/>
      <c r="I86" s="488"/>
    </row>
    <row r="87" spans="1:9" ht="13.2" x14ac:dyDescent="0.25">
      <c r="A87" s="712">
        <f>'2| Assumptions'!H19</f>
        <v>0.6</v>
      </c>
      <c r="B87" s="713">
        <f>ROUND(A87*B$86,-3)</f>
        <v>228825000</v>
      </c>
      <c r="C87" s="713">
        <f>B87/B22</f>
        <v>197093.02325581395</v>
      </c>
      <c r="I87" s="488"/>
    </row>
    <row r="88" spans="1:9" ht="13.8" thickBot="1" x14ac:dyDescent="0.3">
      <c r="A88" s="278">
        <f>1-A87</f>
        <v>0.4</v>
      </c>
      <c r="B88" s="714">
        <f>ROUND(A88*B$86,-3)</f>
        <v>152550000</v>
      </c>
      <c r="C88" s="715">
        <f>B88/B22</f>
        <v>131395.34883720931</v>
      </c>
      <c r="D88" s="260"/>
      <c r="I88" s="488"/>
    </row>
    <row r="89" spans="1:9" ht="13.8" thickTop="1" x14ac:dyDescent="0.25">
      <c r="A89" s="96" t="s">
        <v>224</v>
      </c>
      <c r="B89" s="716">
        <f>B87+B88</f>
        <v>381375000</v>
      </c>
      <c r="C89" s="717">
        <f>ROUND((C88+C87),-3)</f>
        <v>328000</v>
      </c>
      <c r="I89" s="488"/>
    </row>
    <row r="90" spans="1:9" ht="13.2" x14ac:dyDescent="0.25">
      <c r="A90" s="307"/>
      <c r="B90" s="461"/>
      <c r="C90" s="461"/>
      <c r="I90" s="488"/>
    </row>
    <row r="91" spans="1:9" ht="15" customHeight="1" x14ac:dyDescent="0.25">
      <c r="A91" s="829" t="s">
        <v>502</v>
      </c>
      <c r="B91" s="829"/>
      <c r="C91" s="463" t="str">
        <f>D5</f>
        <v>Phase 1</v>
      </c>
      <c r="I91" s="488"/>
    </row>
    <row r="92" spans="1:9" ht="13.2" x14ac:dyDescent="0.25">
      <c r="A92" s="718"/>
      <c r="B92" s="711" t="s">
        <v>226</v>
      </c>
      <c r="C92" s="464"/>
      <c r="I92" s="488"/>
    </row>
    <row r="93" spans="1:9" ht="13.2" x14ac:dyDescent="0.25">
      <c r="A93" s="549" t="s">
        <v>227</v>
      </c>
      <c r="B93" s="719">
        <f>ROUND(D52,-2)</f>
        <v>495787800</v>
      </c>
      <c r="C93" s="465"/>
      <c r="I93" s="488"/>
    </row>
    <row r="94" spans="1:9" ht="13.2" x14ac:dyDescent="0.25">
      <c r="A94" s="720">
        <f>'2| Assumptions'!F45</f>
        <v>0.02</v>
      </c>
      <c r="B94" s="713">
        <f>(-ROUND(A94*B93,-2))</f>
        <v>-9915800</v>
      </c>
      <c r="C94" s="465"/>
      <c r="I94" s="488"/>
    </row>
    <row r="95" spans="1:9" ht="13.2" x14ac:dyDescent="0.25">
      <c r="A95" s="549" t="s">
        <v>228</v>
      </c>
      <c r="B95" s="719">
        <f>SUM(B93:B94)</f>
        <v>485872000</v>
      </c>
      <c r="C95" s="465"/>
      <c r="E95" s="296"/>
      <c r="I95" s="488"/>
    </row>
    <row r="96" spans="1:9" ht="13.2" x14ac:dyDescent="0.25">
      <c r="A96" s="549" t="s">
        <v>229</v>
      </c>
      <c r="B96" s="719">
        <f>-B87</f>
        <v>-228825000</v>
      </c>
      <c r="C96" s="465"/>
      <c r="I96" s="488"/>
    </row>
    <row r="97" spans="1:9" ht="13.2" x14ac:dyDescent="0.25">
      <c r="A97" s="549" t="s">
        <v>230</v>
      </c>
      <c r="B97" s="719">
        <f>-B88</f>
        <v>-152550000</v>
      </c>
      <c r="C97" s="465"/>
      <c r="I97" s="488"/>
    </row>
    <row r="98" spans="1:9" ht="13.2" x14ac:dyDescent="0.25">
      <c r="A98" s="721" t="s">
        <v>231</v>
      </c>
      <c r="B98" s="722">
        <f>ROUND(B95+B96+B97,-2)</f>
        <v>104497000</v>
      </c>
      <c r="C98" s="466"/>
      <c r="D98" s="301"/>
      <c r="I98" s="488"/>
    </row>
    <row r="99" spans="1:9" ht="15" customHeight="1" x14ac:dyDescent="0.25">
      <c r="A99" s="829" t="s">
        <v>232</v>
      </c>
      <c r="B99" s="829"/>
      <c r="C99" s="467"/>
      <c r="I99" s="488"/>
    </row>
    <row r="100" spans="1:9" ht="13.2" x14ac:dyDescent="0.25">
      <c r="A100" s="723" t="s">
        <v>233</v>
      </c>
      <c r="B100" s="724">
        <f>ROUND((B93)/B$22,-2)</f>
        <v>427000</v>
      </c>
      <c r="C100" s="468"/>
      <c r="I100" s="488"/>
    </row>
    <row r="101" spans="1:9" ht="13.2" x14ac:dyDescent="0.25">
      <c r="A101" s="725" t="s">
        <v>234</v>
      </c>
      <c r="B101" s="726">
        <f>ROUND((B95)/B$22,-2)</f>
        <v>418500</v>
      </c>
      <c r="C101" s="469"/>
      <c r="I101" s="488"/>
    </row>
    <row r="102" spans="1:9" ht="14.7" customHeight="1" x14ac:dyDescent="0.25">
      <c r="A102" s="829" t="s">
        <v>235</v>
      </c>
      <c r="B102" s="829"/>
      <c r="C102" s="467"/>
      <c r="I102" s="488"/>
    </row>
    <row r="103" spans="1:9" ht="13.2" x14ac:dyDescent="0.25">
      <c r="A103" s="473"/>
      <c r="B103" s="473"/>
      <c r="C103" s="461"/>
      <c r="I103" s="488"/>
    </row>
    <row r="104" spans="1:9" ht="13.2" x14ac:dyDescent="0.25">
      <c r="A104" s="473"/>
      <c r="B104" s="711" t="s">
        <v>226</v>
      </c>
      <c r="C104" s="464"/>
      <c r="I104" s="488"/>
    </row>
    <row r="105" spans="1:9" ht="13.2" x14ac:dyDescent="0.25">
      <c r="A105" s="549" t="s">
        <v>236</v>
      </c>
      <c r="B105" s="727">
        <f>(B98+B88)/B88</f>
        <v>1.6850016388069486</v>
      </c>
      <c r="C105" s="462"/>
      <c r="I105" s="488"/>
    </row>
    <row r="106" spans="1:9" ht="13.2" x14ac:dyDescent="0.25">
      <c r="A106" s="721" t="s">
        <v>237</v>
      </c>
      <c r="B106" s="728">
        <f>'6b| Phase 1 Draw'!B41</f>
        <v>0.19452044595508977</v>
      </c>
      <c r="C106" s="470"/>
      <c r="D106" s="312"/>
      <c r="I106" s="488"/>
    </row>
    <row r="107" spans="1:9" ht="13.2" x14ac:dyDescent="0.25">
      <c r="A107" s="549" t="s">
        <v>239</v>
      </c>
      <c r="B107" s="729">
        <f>D51/B87</f>
        <v>9.8644456754975809E-2</v>
      </c>
      <c r="C107" s="471"/>
      <c r="I107" s="488"/>
    </row>
    <row r="108" spans="1:9" ht="13.2" x14ac:dyDescent="0.25">
      <c r="A108" s="549" t="s">
        <v>240</v>
      </c>
      <c r="B108" s="730">
        <f>C52</f>
        <v>4.7500000000000001E-2</v>
      </c>
      <c r="C108" s="472"/>
      <c r="I108" s="488"/>
    </row>
    <row r="109" spans="1:9" ht="23.25" customHeight="1" x14ac:dyDescent="0.25">
      <c r="I109" s="488"/>
    </row>
    <row r="110" spans="1:9" ht="23.25" customHeight="1" x14ac:dyDescent="0.25">
      <c r="I110" s="488"/>
    </row>
    <row r="111" spans="1:9" ht="11.7" customHeight="1" x14ac:dyDescent="0.25">
      <c r="A111" s="488"/>
      <c r="B111" s="488"/>
      <c r="C111" s="488"/>
      <c r="D111" s="488"/>
      <c r="E111" s="488"/>
      <c r="F111" s="488"/>
      <c r="G111" s="488"/>
      <c r="H111" s="488"/>
      <c r="I111" s="488"/>
    </row>
  </sheetData>
  <mergeCells count="16">
    <mergeCell ref="E74:F74"/>
    <mergeCell ref="E75:F75"/>
    <mergeCell ref="A5:C5"/>
    <mergeCell ref="D5:E5"/>
    <mergeCell ref="A37:B37"/>
    <mergeCell ref="C37:D37"/>
    <mergeCell ref="B40:C40"/>
    <mergeCell ref="B41:C41"/>
    <mergeCell ref="A83:B83"/>
    <mergeCell ref="A91:B91"/>
    <mergeCell ref="A99:B99"/>
    <mergeCell ref="A102:B102"/>
    <mergeCell ref="B45:C45"/>
    <mergeCell ref="B46:C46"/>
    <mergeCell ref="A54:B54"/>
    <mergeCell ref="C54:D54"/>
  </mergeCells>
  <printOptions horizontalCentered="1" verticalCentered="1"/>
  <pageMargins left="0.7" right="0.7" top="0.75" bottom="0.75" header="0.3" footer="0.3"/>
  <pageSetup scale="51" fitToHeight="0" orientation="landscape" horizontalDpi="4294967292" verticalDpi="4294967292" r:id="rId1"/>
  <headerFooter>
    <oddHeader>&amp;C&amp;"Times New Roman Bold,Bold"&amp;14&amp;K000000INVESTOR SHEET</oddHeader>
    <oddFooter>&amp;CPage &amp;P of &amp;N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392293-1DA2-454E-82C1-4309648D17FB}">
  <sheetPr>
    <tabColor rgb="FF295860"/>
  </sheetPr>
  <dimension ref="A1:BA601"/>
  <sheetViews>
    <sheetView showGridLines="0" zoomScale="52" zoomScaleNormal="100" zoomScalePageLayoutView="125" workbookViewId="0">
      <pane xSplit="1" ySplit="6" topLeftCell="B7" activePane="bottomRight" state="frozen"/>
      <selection pane="topRight" activeCell="F9" sqref="F9"/>
      <selection pane="bottomLeft" activeCell="F9" sqref="F9"/>
      <selection pane="bottomRight" activeCell="V34" sqref="V34"/>
    </sheetView>
  </sheetViews>
  <sheetFormatPr defaultColWidth="8.6640625" defaultRowHeight="13.2" x14ac:dyDescent="0.25"/>
  <cols>
    <col min="1" max="1" width="45.5546875" style="65" customWidth="1"/>
    <col min="2" max="2" width="21.44140625" style="65" customWidth="1"/>
    <col min="3" max="3" width="18.33203125" style="65" customWidth="1"/>
    <col min="4" max="4" width="15.5546875" style="65" customWidth="1"/>
    <col min="5" max="5" width="16.6640625" style="65" customWidth="1"/>
    <col min="6" max="6" width="18.5546875" style="65" customWidth="1"/>
    <col min="7" max="7" width="14.44140625" style="456" customWidth="1"/>
    <col min="8" max="8" width="21.5546875" style="65" bestFit="1" customWidth="1"/>
    <col min="9" max="9" width="18.44140625" style="65" bestFit="1" customWidth="1"/>
    <col min="10" max="10" width="18.33203125" style="65" bestFit="1" customWidth="1"/>
    <col min="11" max="11" width="12.44140625" style="65" customWidth="1"/>
    <col min="12" max="12" width="14.33203125" style="65" customWidth="1"/>
    <col min="13" max="13" width="14.44140625" style="65" customWidth="1"/>
    <col min="14" max="14" width="15.44140625" style="65" customWidth="1"/>
    <col min="15" max="15" width="16.33203125" style="65" customWidth="1"/>
    <col min="16" max="16" width="22.33203125" style="65" customWidth="1"/>
    <col min="17" max="17" width="19.44140625" style="65" customWidth="1"/>
    <col min="18" max="19" width="14" style="65" customWidth="1"/>
    <col min="20" max="20" width="12.6640625" style="65" customWidth="1"/>
    <col min="21" max="21" width="14.44140625" style="65" customWidth="1"/>
    <col min="22" max="22" width="12.5546875" style="65" customWidth="1"/>
    <col min="23" max="23" width="17" style="65" customWidth="1"/>
    <col min="24" max="24" width="16.44140625" style="65" customWidth="1"/>
    <col min="25" max="25" width="13.44140625" style="65" customWidth="1"/>
    <col min="26" max="26" width="15" style="65" customWidth="1"/>
    <col min="27" max="27" width="13.44140625" style="65" customWidth="1"/>
    <col min="28" max="28" width="16.6640625" style="65" customWidth="1"/>
    <col min="29" max="29" width="15" style="65" customWidth="1"/>
    <col min="30" max="30" width="16.33203125" style="65" customWidth="1"/>
    <col min="31" max="31" width="13.44140625" style="65" customWidth="1"/>
    <col min="32" max="32" width="17.33203125" style="65" customWidth="1"/>
    <col min="33" max="33" width="14.44140625" style="65" customWidth="1"/>
    <col min="34" max="34" width="17.5546875" style="65" customWidth="1"/>
    <col min="35" max="35" width="14.44140625" style="65" customWidth="1"/>
    <col min="36" max="36" width="14.6640625" style="65" customWidth="1"/>
    <col min="37" max="37" width="15" style="65" hidden="1" customWidth="1"/>
    <col min="38" max="38" width="15.33203125" style="65" hidden="1" customWidth="1"/>
    <col min="39" max="39" width="13.5546875" style="65" hidden="1" customWidth="1"/>
    <col min="40" max="40" width="13.6640625" style="65" hidden="1" customWidth="1"/>
    <col min="41" max="41" width="15.5546875" style="65" hidden="1" customWidth="1"/>
    <col min="42" max="43" width="15" style="65" hidden="1" customWidth="1"/>
    <col min="44" max="44" width="15.33203125" style="65" hidden="1" customWidth="1"/>
    <col min="45" max="47" width="13.44140625" style="65" hidden="1" customWidth="1"/>
    <col min="48" max="50" width="17" style="65" customWidth="1"/>
    <col min="51" max="51" width="16.5546875" style="65" customWidth="1"/>
    <col min="52" max="52" width="3.33203125" style="65" customWidth="1"/>
    <col min="53" max="53" width="17.6640625" style="65" bestFit="1" customWidth="1"/>
    <col min="54" max="54" width="9.5546875" style="65" bestFit="1" customWidth="1"/>
    <col min="55" max="55" width="11.6640625" style="65" bestFit="1" customWidth="1"/>
    <col min="56" max="57" width="9.5546875" style="65" bestFit="1" customWidth="1"/>
    <col min="58" max="16384" width="8.6640625" style="65"/>
  </cols>
  <sheetData>
    <row r="1" spans="1:53" ht="15.6" x14ac:dyDescent="0.3">
      <c r="A1" s="28" t="s">
        <v>0</v>
      </c>
      <c r="G1" s="65"/>
      <c r="AZ1" s="488"/>
    </row>
    <row r="2" spans="1:53" ht="15.6" x14ac:dyDescent="0.3">
      <c r="A2" s="28" t="s">
        <v>1</v>
      </c>
      <c r="G2" s="65"/>
      <c r="AZ2" s="488"/>
    </row>
    <row r="3" spans="1:53" ht="16.2" thickBot="1" x14ac:dyDescent="0.35">
      <c r="A3" s="28" t="s">
        <v>503</v>
      </c>
      <c r="G3" s="65"/>
      <c r="AZ3" s="488"/>
    </row>
    <row r="4" spans="1:53" ht="14.4" x14ac:dyDescent="0.3">
      <c r="A4" s="845" t="s">
        <v>280</v>
      </c>
      <c r="B4" s="333" t="s">
        <v>504</v>
      </c>
      <c r="C4" s="334" t="s">
        <v>310</v>
      </c>
      <c r="D4" s="334" t="s">
        <v>31</v>
      </c>
      <c r="E4" s="334" t="s">
        <v>276</v>
      </c>
      <c r="F4" s="335" t="s">
        <v>505</v>
      </c>
      <c r="G4" s="65"/>
      <c r="AY4"/>
      <c r="AZ4" s="491"/>
      <c r="BA4"/>
    </row>
    <row r="5" spans="1:53" ht="15" thickBot="1" x14ac:dyDescent="0.35">
      <c r="A5" s="846"/>
      <c r="B5" s="336" t="s">
        <v>506</v>
      </c>
      <c r="C5" s="337" t="str">
        <f>'4a| Phasing Timeline'!C10</f>
        <v>01/1/25 to 6/30/26</v>
      </c>
      <c r="D5" s="337" t="str">
        <f>'4a| Phasing Timeline'!D10</f>
        <v>7/1/26 to 9/30/26</v>
      </c>
      <c r="E5" s="337" t="str">
        <f>'4a| Phasing Timeline'!E10</f>
        <v>10/1/26 to 9/30/28</v>
      </c>
      <c r="F5" s="337" t="str">
        <f>'4a| Phasing Timeline'!F10</f>
        <v>10/1/28 to 3/31/29</v>
      </c>
      <c r="G5" s="65"/>
      <c r="H5" s="338" t="s">
        <v>507</v>
      </c>
      <c r="I5" s="338" t="s">
        <v>508</v>
      </c>
      <c r="J5" s="338" t="s">
        <v>509</v>
      </c>
      <c r="P5" s="338"/>
      <c r="Q5" s="338" t="s">
        <v>510</v>
      </c>
      <c r="R5" s="338" t="s">
        <v>511</v>
      </c>
      <c r="S5" s="338" t="s">
        <v>512</v>
      </c>
      <c r="AF5" s="338"/>
      <c r="AG5" s="338"/>
      <c r="AJ5" s="338"/>
      <c r="AV5" s="848" t="s">
        <v>513</v>
      </c>
      <c r="AW5" s="848"/>
      <c r="AX5" s="848"/>
      <c r="AY5"/>
      <c r="AZ5" s="491"/>
      <c r="BA5"/>
    </row>
    <row r="6" spans="1:53" ht="15" thickBot="1" x14ac:dyDescent="0.35">
      <c r="A6" s="847"/>
      <c r="B6" s="339" t="s">
        <v>514</v>
      </c>
      <c r="C6" s="340">
        <v>45658</v>
      </c>
      <c r="D6" s="341">
        <f>EOMONTH(C6,3)</f>
        <v>45777</v>
      </c>
      <c r="E6" s="341">
        <f t="shared" ref="E6:AU6" si="0">EOMONTH(D6,3)</f>
        <v>45869</v>
      </c>
      <c r="F6" s="341">
        <f t="shared" si="0"/>
        <v>45961</v>
      </c>
      <c r="G6" s="342">
        <f t="shared" si="0"/>
        <v>46053</v>
      </c>
      <c r="H6" s="342">
        <f t="shared" si="0"/>
        <v>46142</v>
      </c>
      <c r="I6" s="342">
        <f t="shared" si="0"/>
        <v>46234</v>
      </c>
      <c r="J6" s="342">
        <f t="shared" si="0"/>
        <v>46326</v>
      </c>
      <c r="K6" s="342">
        <f t="shared" si="0"/>
        <v>46418</v>
      </c>
      <c r="L6" s="342">
        <f t="shared" si="0"/>
        <v>46507</v>
      </c>
      <c r="M6" s="342">
        <f t="shared" si="0"/>
        <v>46599</v>
      </c>
      <c r="N6" s="342">
        <f t="shared" si="0"/>
        <v>46691</v>
      </c>
      <c r="O6" s="342">
        <f t="shared" si="0"/>
        <v>46783</v>
      </c>
      <c r="P6" s="342">
        <f t="shared" si="0"/>
        <v>46873</v>
      </c>
      <c r="Q6" s="342">
        <f t="shared" si="0"/>
        <v>46965</v>
      </c>
      <c r="R6" s="342">
        <f t="shared" si="0"/>
        <v>47057</v>
      </c>
      <c r="S6" s="342">
        <f t="shared" si="0"/>
        <v>47149</v>
      </c>
      <c r="T6" s="342">
        <f t="shared" si="0"/>
        <v>47238</v>
      </c>
      <c r="U6" s="342">
        <f t="shared" si="0"/>
        <v>47330</v>
      </c>
      <c r="V6" s="342">
        <f t="shared" si="0"/>
        <v>47422</v>
      </c>
      <c r="W6" s="342">
        <f t="shared" si="0"/>
        <v>47514</v>
      </c>
      <c r="X6" s="342">
        <f t="shared" si="0"/>
        <v>47603</v>
      </c>
      <c r="Y6" s="342">
        <f t="shared" si="0"/>
        <v>47695</v>
      </c>
      <c r="Z6" s="342">
        <f t="shared" si="0"/>
        <v>47787</v>
      </c>
      <c r="AA6" s="342">
        <f t="shared" si="0"/>
        <v>47879</v>
      </c>
      <c r="AB6" s="342">
        <f t="shared" si="0"/>
        <v>47968</v>
      </c>
      <c r="AC6" s="342">
        <f t="shared" si="0"/>
        <v>48060</v>
      </c>
      <c r="AD6" s="342">
        <f t="shared" si="0"/>
        <v>48152</v>
      </c>
      <c r="AE6" s="342">
        <f t="shared" si="0"/>
        <v>48244</v>
      </c>
      <c r="AF6" s="342">
        <f t="shared" si="0"/>
        <v>48334</v>
      </c>
      <c r="AG6" s="342">
        <f t="shared" si="0"/>
        <v>48426</v>
      </c>
      <c r="AH6" s="342">
        <f t="shared" si="0"/>
        <v>48518</v>
      </c>
      <c r="AI6" s="342">
        <f t="shared" si="0"/>
        <v>48610</v>
      </c>
      <c r="AJ6" s="342">
        <f t="shared" si="0"/>
        <v>48699</v>
      </c>
      <c r="AK6" s="342">
        <f t="shared" si="0"/>
        <v>48791</v>
      </c>
      <c r="AL6" s="342">
        <f t="shared" si="0"/>
        <v>48883</v>
      </c>
      <c r="AM6" s="342">
        <f t="shared" si="0"/>
        <v>48975</v>
      </c>
      <c r="AN6" s="342">
        <f t="shared" si="0"/>
        <v>49064</v>
      </c>
      <c r="AO6" s="342">
        <f t="shared" si="0"/>
        <v>49156</v>
      </c>
      <c r="AP6" s="342">
        <f t="shared" si="0"/>
        <v>49248</v>
      </c>
      <c r="AQ6" s="342">
        <f t="shared" si="0"/>
        <v>49340</v>
      </c>
      <c r="AR6" s="342">
        <f t="shared" si="0"/>
        <v>49429</v>
      </c>
      <c r="AS6" s="342">
        <f t="shared" si="0"/>
        <v>49521</v>
      </c>
      <c r="AT6" s="342">
        <f t="shared" si="0"/>
        <v>49613</v>
      </c>
      <c r="AU6" s="342">
        <f t="shared" si="0"/>
        <v>49705</v>
      </c>
      <c r="AV6" s="343" t="s">
        <v>515</v>
      </c>
      <c r="AW6" s="344" t="s">
        <v>516</v>
      </c>
      <c r="AX6" s="345"/>
      <c r="AY6"/>
      <c r="AZ6" s="491"/>
      <c r="BA6"/>
    </row>
    <row r="7" spans="1:53" ht="15" thickBot="1" x14ac:dyDescent="0.35">
      <c r="A7" s="346" t="s">
        <v>517</v>
      </c>
      <c r="B7" s="347">
        <v>1</v>
      </c>
      <c r="C7" s="348">
        <v>0.04</v>
      </c>
      <c r="D7" s="348">
        <v>0.04</v>
      </c>
      <c r="E7" s="348">
        <v>0.04</v>
      </c>
      <c r="F7" s="348">
        <v>0.04</v>
      </c>
      <c r="G7" s="349">
        <v>0.04</v>
      </c>
      <c r="H7" s="349">
        <v>7.0000000000000007E-2</v>
      </c>
      <c r="I7" s="349">
        <v>0.08</v>
      </c>
      <c r="J7" s="349">
        <v>0.08</v>
      </c>
      <c r="K7" s="349">
        <v>0.08</v>
      </c>
      <c r="L7" s="349">
        <v>0.08</v>
      </c>
      <c r="M7" s="349">
        <v>0.08</v>
      </c>
      <c r="N7" s="349">
        <v>0.08</v>
      </c>
      <c r="O7" s="349">
        <v>0.05</v>
      </c>
      <c r="P7" s="349">
        <v>0.05</v>
      </c>
      <c r="Q7" s="349">
        <v>0.05</v>
      </c>
      <c r="R7" s="349">
        <v>0.05</v>
      </c>
      <c r="S7" s="349">
        <v>0.05</v>
      </c>
      <c r="T7" s="349"/>
      <c r="U7" s="349"/>
      <c r="V7" s="349"/>
      <c r="W7" s="349"/>
      <c r="X7" s="349"/>
      <c r="Y7" s="349"/>
      <c r="Z7" s="349"/>
      <c r="AA7" s="349"/>
      <c r="AB7" s="349"/>
      <c r="AC7" s="349"/>
      <c r="AD7" s="349"/>
      <c r="AE7" s="349"/>
      <c r="AF7" s="349"/>
      <c r="AG7" s="349"/>
      <c r="AH7" s="349"/>
      <c r="AI7" s="349"/>
      <c r="AJ7" s="349"/>
      <c r="AK7" s="349"/>
      <c r="AL7" s="349"/>
      <c r="AM7" s="349"/>
      <c r="AN7" s="349"/>
      <c r="AO7" s="349"/>
      <c r="AP7" s="349"/>
      <c r="AQ7" s="349"/>
      <c r="AR7" s="349"/>
      <c r="AS7" s="349"/>
      <c r="AT7" s="349"/>
      <c r="AU7" s="349"/>
      <c r="AV7" s="350">
        <f t="shared" ref="AV7:AV28" si="1">SUM(C7:AU7)</f>
        <v>1</v>
      </c>
      <c r="AW7" s="351"/>
      <c r="AX7" s="352" t="s">
        <v>518</v>
      </c>
      <c r="AY7"/>
      <c r="AZ7" s="491"/>
      <c r="BA7"/>
    </row>
    <row r="8" spans="1:53" ht="14.4" x14ac:dyDescent="0.3">
      <c r="A8" s="353" t="str">
        <f>'6a| Phase 1 Financial'!A56</f>
        <v>Hard Costs for Construction</v>
      </c>
      <c r="B8" s="354">
        <f>'6a| Phase 1 Financial'!C56</f>
        <v>249711600</v>
      </c>
      <c r="C8" s="355">
        <f t="shared" ref="C8:AF8" si="2">$B$8*C7</f>
        <v>9988464</v>
      </c>
      <c r="D8" s="355">
        <f t="shared" si="2"/>
        <v>9988464</v>
      </c>
      <c r="E8" s="355">
        <f t="shared" si="2"/>
        <v>9988464</v>
      </c>
      <c r="F8" s="355">
        <f t="shared" si="2"/>
        <v>9988464</v>
      </c>
      <c r="G8" s="355">
        <f t="shared" si="2"/>
        <v>9988464</v>
      </c>
      <c r="H8" s="355">
        <f t="shared" si="2"/>
        <v>17479812</v>
      </c>
      <c r="I8" s="355">
        <f t="shared" si="2"/>
        <v>19976928</v>
      </c>
      <c r="J8" s="355">
        <f t="shared" si="2"/>
        <v>19976928</v>
      </c>
      <c r="K8" s="355">
        <f t="shared" si="2"/>
        <v>19976928</v>
      </c>
      <c r="L8" s="355">
        <f t="shared" si="2"/>
        <v>19976928</v>
      </c>
      <c r="M8" s="355">
        <f t="shared" si="2"/>
        <v>19976928</v>
      </c>
      <c r="N8" s="355">
        <f t="shared" si="2"/>
        <v>19976928</v>
      </c>
      <c r="O8" s="355">
        <f t="shared" si="2"/>
        <v>12485580</v>
      </c>
      <c r="P8" s="355">
        <f t="shared" si="2"/>
        <v>12485580</v>
      </c>
      <c r="Q8" s="355">
        <f t="shared" si="2"/>
        <v>12485580</v>
      </c>
      <c r="R8" s="355">
        <f t="shared" si="2"/>
        <v>12485580</v>
      </c>
      <c r="S8" s="355">
        <f t="shared" si="2"/>
        <v>12485580</v>
      </c>
      <c r="T8" s="355">
        <f t="shared" si="2"/>
        <v>0</v>
      </c>
      <c r="U8" s="355">
        <f t="shared" si="2"/>
        <v>0</v>
      </c>
      <c r="V8" s="355">
        <f t="shared" si="2"/>
        <v>0</v>
      </c>
      <c r="W8" s="355">
        <f t="shared" si="2"/>
        <v>0</v>
      </c>
      <c r="X8" s="355">
        <f t="shared" si="2"/>
        <v>0</v>
      </c>
      <c r="Y8" s="355">
        <f t="shared" si="2"/>
        <v>0</v>
      </c>
      <c r="Z8" s="355">
        <f t="shared" si="2"/>
        <v>0</v>
      </c>
      <c r="AA8" s="355">
        <f t="shared" si="2"/>
        <v>0</v>
      </c>
      <c r="AB8" s="355">
        <f t="shared" si="2"/>
        <v>0</v>
      </c>
      <c r="AC8" s="355">
        <f t="shared" si="2"/>
        <v>0</v>
      </c>
      <c r="AD8" s="355">
        <f t="shared" si="2"/>
        <v>0</v>
      </c>
      <c r="AE8" s="355">
        <f t="shared" si="2"/>
        <v>0</v>
      </c>
      <c r="AF8" s="355">
        <f t="shared" si="2"/>
        <v>0</v>
      </c>
      <c r="AG8" s="355"/>
      <c r="AH8" s="355"/>
      <c r="AI8" s="355"/>
      <c r="AJ8" s="355"/>
      <c r="AK8" s="355"/>
      <c r="AL8" s="355"/>
      <c r="AM8" s="355"/>
      <c r="AN8" s="355"/>
      <c r="AO8" s="355"/>
      <c r="AP8" s="355"/>
      <c r="AQ8" s="355"/>
      <c r="AR8" s="355"/>
      <c r="AS8" s="355"/>
      <c r="AT8" s="355"/>
      <c r="AU8" s="355"/>
      <c r="AV8" s="356">
        <f t="shared" si="1"/>
        <v>249711600</v>
      </c>
      <c r="AW8" s="357">
        <f t="shared" ref="AW8:AW28" si="3">B8</f>
        <v>249711600</v>
      </c>
      <c r="AX8" s="357">
        <f>AW8-AV8</f>
        <v>0</v>
      </c>
      <c r="AY8"/>
      <c r="AZ8" s="491"/>
      <c r="BA8"/>
    </row>
    <row r="9" spans="1:53" ht="14.4" x14ac:dyDescent="0.3">
      <c r="A9" s="353" t="str">
        <f>'6a| Phase 1 Financial'!A57</f>
        <v>Parking stalls</v>
      </c>
      <c r="B9" s="354">
        <f>'6a| Phase 1 Financial'!C57</f>
        <v>32418750</v>
      </c>
      <c r="C9" s="355">
        <f>$B$9*C7</f>
        <v>1296750</v>
      </c>
      <c r="D9" s="355">
        <f t="shared" ref="D9:AF9" si="4">$B$9*D7</f>
        <v>1296750</v>
      </c>
      <c r="E9" s="355">
        <f t="shared" si="4"/>
        <v>1296750</v>
      </c>
      <c r="F9" s="355">
        <f t="shared" si="4"/>
        <v>1296750</v>
      </c>
      <c r="G9" s="355">
        <f t="shared" si="4"/>
        <v>1296750</v>
      </c>
      <c r="H9" s="355">
        <f t="shared" si="4"/>
        <v>2269312.5</v>
      </c>
      <c r="I9" s="355">
        <f t="shared" si="4"/>
        <v>2593500</v>
      </c>
      <c r="J9" s="355">
        <f t="shared" si="4"/>
        <v>2593500</v>
      </c>
      <c r="K9" s="355">
        <f t="shared" si="4"/>
        <v>2593500</v>
      </c>
      <c r="L9" s="355">
        <f t="shared" si="4"/>
        <v>2593500</v>
      </c>
      <c r="M9" s="355">
        <f t="shared" si="4"/>
        <v>2593500</v>
      </c>
      <c r="N9" s="355">
        <f t="shared" si="4"/>
        <v>2593500</v>
      </c>
      <c r="O9" s="355">
        <f t="shared" si="4"/>
        <v>1620937.5</v>
      </c>
      <c r="P9" s="355">
        <f t="shared" si="4"/>
        <v>1620937.5</v>
      </c>
      <c r="Q9" s="355">
        <f t="shared" si="4"/>
        <v>1620937.5</v>
      </c>
      <c r="R9" s="355">
        <f t="shared" si="4"/>
        <v>1620937.5</v>
      </c>
      <c r="S9" s="355">
        <f t="shared" si="4"/>
        <v>1620937.5</v>
      </c>
      <c r="T9" s="355">
        <f t="shared" si="4"/>
        <v>0</v>
      </c>
      <c r="U9" s="355">
        <f t="shared" si="4"/>
        <v>0</v>
      </c>
      <c r="V9" s="355">
        <f t="shared" si="4"/>
        <v>0</v>
      </c>
      <c r="W9" s="355">
        <f t="shared" si="4"/>
        <v>0</v>
      </c>
      <c r="X9" s="355">
        <f t="shared" si="4"/>
        <v>0</v>
      </c>
      <c r="Y9" s="355">
        <f t="shared" si="4"/>
        <v>0</v>
      </c>
      <c r="Z9" s="355">
        <f t="shared" si="4"/>
        <v>0</v>
      </c>
      <c r="AA9" s="355">
        <f t="shared" si="4"/>
        <v>0</v>
      </c>
      <c r="AB9" s="355">
        <f t="shared" si="4"/>
        <v>0</v>
      </c>
      <c r="AC9" s="355">
        <f t="shared" si="4"/>
        <v>0</v>
      </c>
      <c r="AD9" s="355">
        <f t="shared" si="4"/>
        <v>0</v>
      </c>
      <c r="AE9" s="355">
        <f t="shared" si="4"/>
        <v>0</v>
      </c>
      <c r="AF9" s="355">
        <f t="shared" si="4"/>
        <v>0</v>
      </c>
      <c r="AG9" s="355"/>
      <c r="AH9" s="355"/>
      <c r="AI9" s="355"/>
      <c r="AJ9" s="355"/>
      <c r="AK9" s="355"/>
      <c r="AL9" s="355"/>
      <c r="AM9" s="355"/>
      <c r="AN9" s="355"/>
      <c r="AO9" s="355"/>
      <c r="AP9" s="355"/>
      <c r="AQ9" s="355"/>
      <c r="AR9" s="355"/>
      <c r="AS9" s="355"/>
      <c r="AT9" s="355"/>
      <c r="AU9" s="355"/>
      <c r="AV9" s="357">
        <f t="shared" si="1"/>
        <v>32418750</v>
      </c>
      <c r="AW9" s="357">
        <f t="shared" si="3"/>
        <v>32418750</v>
      </c>
      <c r="AX9" s="357">
        <f t="shared" ref="AX9:AX28" si="5">AW9-AV9</f>
        <v>0</v>
      </c>
      <c r="AY9"/>
      <c r="AZ9" s="491"/>
      <c r="BA9"/>
    </row>
    <row r="10" spans="1:53" ht="14.4" x14ac:dyDescent="0.3">
      <c r="A10" s="353" t="str">
        <f>'6a| Phase 1 Financial'!A58</f>
        <v>Hard Cost Contingency</v>
      </c>
      <c r="B10" s="354">
        <f>'6a| Phase 1 Financial'!C58</f>
        <v>12485580</v>
      </c>
      <c r="C10" s="355">
        <f t="shared" ref="C10:Q10" si="6">$B10*C$7</f>
        <v>499423.2</v>
      </c>
      <c r="D10" s="355">
        <f t="shared" si="6"/>
        <v>499423.2</v>
      </c>
      <c r="E10" s="355">
        <f t="shared" si="6"/>
        <v>499423.2</v>
      </c>
      <c r="F10" s="355">
        <f t="shared" si="6"/>
        <v>499423.2</v>
      </c>
      <c r="G10" s="355">
        <f t="shared" si="6"/>
        <v>499423.2</v>
      </c>
      <c r="H10" s="355">
        <f t="shared" si="6"/>
        <v>873990.60000000009</v>
      </c>
      <c r="I10" s="355">
        <f t="shared" si="6"/>
        <v>998846.4</v>
      </c>
      <c r="J10" s="355">
        <f t="shared" si="6"/>
        <v>998846.4</v>
      </c>
      <c r="K10" s="355">
        <f t="shared" si="6"/>
        <v>998846.4</v>
      </c>
      <c r="L10" s="355">
        <f t="shared" si="6"/>
        <v>998846.4</v>
      </c>
      <c r="M10" s="355">
        <f t="shared" si="6"/>
        <v>998846.4</v>
      </c>
      <c r="N10" s="355">
        <f t="shared" si="6"/>
        <v>998846.4</v>
      </c>
      <c r="O10" s="355">
        <f t="shared" si="6"/>
        <v>624279</v>
      </c>
      <c r="P10" s="355">
        <f t="shared" si="6"/>
        <v>624279</v>
      </c>
      <c r="Q10" s="355">
        <f t="shared" si="6"/>
        <v>624279</v>
      </c>
      <c r="R10" s="355">
        <f>$B10*R$7</f>
        <v>624279</v>
      </c>
      <c r="S10" s="355">
        <f t="shared" ref="S10:AF10" si="7">$B10*S$7</f>
        <v>624279</v>
      </c>
      <c r="T10" s="355">
        <f t="shared" si="7"/>
        <v>0</v>
      </c>
      <c r="U10" s="355">
        <f t="shared" si="7"/>
        <v>0</v>
      </c>
      <c r="V10" s="355">
        <f t="shared" si="7"/>
        <v>0</v>
      </c>
      <c r="W10" s="355">
        <f t="shared" si="7"/>
        <v>0</v>
      </c>
      <c r="X10" s="355">
        <f t="shared" si="7"/>
        <v>0</v>
      </c>
      <c r="Y10" s="355">
        <f t="shared" si="7"/>
        <v>0</v>
      </c>
      <c r="Z10" s="355">
        <f t="shared" si="7"/>
        <v>0</v>
      </c>
      <c r="AA10" s="355">
        <f t="shared" si="7"/>
        <v>0</v>
      </c>
      <c r="AB10" s="355">
        <f t="shared" si="7"/>
        <v>0</v>
      </c>
      <c r="AC10" s="355">
        <f t="shared" si="7"/>
        <v>0</v>
      </c>
      <c r="AD10" s="355">
        <f t="shared" si="7"/>
        <v>0</v>
      </c>
      <c r="AE10" s="355">
        <f t="shared" si="7"/>
        <v>0</v>
      </c>
      <c r="AF10" s="355">
        <f t="shared" si="7"/>
        <v>0</v>
      </c>
      <c r="AG10" s="355"/>
      <c r="AH10" s="355"/>
      <c r="AI10" s="355"/>
      <c r="AJ10" s="355"/>
      <c r="AK10" s="355"/>
      <c r="AL10" s="355"/>
      <c r="AM10" s="355"/>
      <c r="AN10" s="355"/>
      <c r="AO10" s="355"/>
      <c r="AP10" s="355"/>
      <c r="AQ10" s="355"/>
      <c r="AR10" s="355"/>
      <c r="AS10" s="355"/>
      <c r="AT10" s="355"/>
      <c r="AU10" s="355"/>
      <c r="AV10" s="357">
        <f t="shared" si="1"/>
        <v>12485580.000000002</v>
      </c>
      <c r="AW10" s="357">
        <f t="shared" si="3"/>
        <v>12485580</v>
      </c>
      <c r="AX10" s="357">
        <f t="shared" si="5"/>
        <v>0</v>
      </c>
      <c r="AY10"/>
      <c r="AZ10" s="491"/>
      <c r="BA10"/>
    </row>
    <row r="11" spans="1:53" ht="14.4" x14ac:dyDescent="0.3">
      <c r="A11" s="353" t="str">
        <f>'6a| Phase 1 Financial'!A59</f>
        <v>Demolition</v>
      </c>
      <c r="B11" s="354">
        <f>'6a| Phase 1 Financial'!C59</f>
        <v>1500000</v>
      </c>
      <c r="C11" s="355"/>
      <c r="D11" s="355"/>
      <c r="E11" s="355"/>
      <c r="F11" s="355"/>
      <c r="G11" s="355"/>
      <c r="H11" s="355"/>
      <c r="I11" s="355">
        <f>B11</f>
        <v>1500000</v>
      </c>
      <c r="J11" s="355"/>
      <c r="K11" s="355"/>
      <c r="L11" s="355"/>
      <c r="M11" s="355"/>
      <c r="N11" s="355"/>
      <c r="O11" s="355"/>
      <c r="P11" s="355"/>
      <c r="Q11" s="355"/>
      <c r="R11" s="355"/>
      <c r="S11" s="355"/>
      <c r="T11" s="355"/>
      <c r="U11" s="355"/>
      <c r="V11" s="355"/>
      <c r="W11" s="355"/>
      <c r="X11" s="355"/>
      <c r="Y11" s="355"/>
      <c r="Z11" s="355"/>
      <c r="AA11" s="355"/>
      <c r="AB11" s="355"/>
      <c r="AC11" s="355"/>
      <c r="AD11" s="355"/>
      <c r="AE11" s="355"/>
      <c r="AF11" s="355"/>
      <c r="AG11" s="355"/>
      <c r="AH11" s="355"/>
      <c r="AI11" s="355"/>
      <c r="AJ11" s="355"/>
      <c r="AK11" s="355"/>
      <c r="AL11" s="355"/>
      <c r="AM11" s="355"/>
      <c r="AN11" s="355"/>
      <c r="AO11" s="355"/>
      <c r="AP11" s="355"/>
      <c r="AQ11" s="355"/>
      <c r="AR11" s="355"/>
      <c r="AS11" s="355"/>
      <c r="AT11" s="355"/>
      <c r="AU11" s="355"/>
      <c r="AV11" s="357">
        <f t="shared" si="1"/>
        <v>1500000</v>
      </c>
      <c r="AW11" s="357">
        <f t="shared" si="3"/>
        <v>1500000</v>
      </c>
      <c r="AX11" s="357">
        <f t="shared" si="5"/>
        <v>0</v>
      </c>
      <c r="AY11"/>
      <c r="AZ11" s="491"/>
      <c r="BA11"/>
    </row>
    <row r="12" spans="1:53" ht="14.4" x14ac:dyDescent="0.3">
      <c r="A12" s="353" t="str">
        <f>'6a| Phase 1 Financial'!A60</f>
        <v>LAND</v>
      </c>
      <c r="B12" s="354">
        <f>'6a| Phase 1 Financial'!C60</f>
        <v>0</v>
      </c>
      <c r="C12" s="358"/>
      <c r="D12" s="359"/>
      <c r="E12" s="359"/>
      <c r="F12" s="359"/>
      <c r="G12" s="360"/>
      <c r="H12" s="358"/>
      <c r="I12" s="360"/>
      <c r="J12" s="358"/>
      <c r="K12" s="359"/>
      <c r="L12" s="359"/>
      <c r="M12" s="358"/>
      <c r="N12" s="359"/>
      <c r="O12" s="359"/>
      <c r="P12" s="359"/>
      <c r="Q12" s="359"/>
      <c r="R12" s="359"/>
      <c r="S12" s="359"/>
      <c r="T12" s="359"/>
      <c r="U12" s="359"/>
      <c r="V12" s="359"/>
      <c r="W12" s="359"/>
      <c r="X12" s="359"/>
      <c r="Y12" s="359"/>
      <c r="Z12" s="359"/>
      <c r="AA12" s="359"/>
      <c r="AB12" s="359"/>
      <c r="AC12" s="359"/>
      <c r="AD12" s="359"/>
      <c r="AE12" s="360"/>
      <c r="AF12" s="360"/>
      <c r="AG12" s="360"/>
      <c r="AH12" s="360"/>
      <c r="AI12" s="360"/>
      <c r="AJ12" s="360"/>
      <c r="AK12" s="360"/>
      <c r="AL12" s="360"/>
      <c r="AM12" s="360"/>
      <c r="AN12" s="360"/>
      <c r="AO12" s="360"/>
      <c r="AP12" s="360"/>
      <c r="AQ12" s="360"/>
      <c r="AR12" s="360"/>
      <c r="AS12" s="360"/>
      <c r="AT12" s="360"/>
      <c r="AU12" s="360"/>
      <c r="AV12" s="357">
        <f t="shared" si="1"/>
        <v>0</v>
      </c>
      <c r="AW12" s="357">
        <f t="shared" si="3"/>
        <v>0</v>
      </c>
      <c r="AX12" s="357">
        <f t="shared" si="5"/>
        <v>0</v>
      </c>
      <c r="AY12"/>
      <c r="AZ12" s="491"/>
      <c r="BA12"/>
    </row>
    <row r="13" spans="1:53" ht="14.4" x14ac:dyDescent="0.3">
      <c r="A13" s="353" t="str">
        <f>'6a| Phase 1 Financial'!A61</f>
        <v>Municipal Fees and Allowances</v>
      </c>
      <c r="B13" s="354">
        <f>'6a| Phase 1 Financial'!C61</f>
        <v>4644000</v>
      </c>
      <c r="C13" s="358"/>
      <c r="D13" s="359"/>
      <c r="E13" s="359"/>
      <c r="F13" s="359"/>
      <c r="G13" s="359"/>
      <c r="H13" s="359"/>
      <c r="I13" s="359"/>
      <c r="J13" s="359"/>
      <c r="K13" s="359"/>
      <c r="L13" s="359"/>
      <c r="M13" s="359"/>
      <c r="N13" s="359"/>
      <c r="O13" s="359"/>
      <c r="P13" s="359"/>
      <c r="Q13" s="359"/>
      <c r="R13" s="359"/>
      <c r="S13" s="360"/>
      <c r="T13" s="359"/>
      <c r="U13" s="359"/>
      <c r="V13" s="359"/>
      <c r="W13" s="359"/>
      <c r="X13" s="359"/>
      <c r="Y13" s="359"/>
      <c r="Z13" s="359"/>
      <c r="AA13" s="359"/>
      <c r="AB13" s="359"/>
      <c r="AC13" s="359"/>
      <c r="AD13" s="359"/>
      <c r="AE13" s="360"/>
      <c r="AF13" s="360"/>
      <c r="AG13" s="360"/>
      <c r="AH13" s="360"/>
      <c r="AI13" s="360"/>
      <c r="AJ13" s="360"/>
      <c r="AK13" s="362"/>
      <c r="AL13" s="363"/>
      <c r="AM13" s="360"/>
      <c r="AN13" s="360"/>
      <c r="AO13" s="360"/>
      <c r="AP13" s="362"/>
      <c r="AQ13" s="360"/>
      <c r="AR13" s="360"/>
      <c r="AS13" s="360"/>
      <c r="AT13" s="362"/>
      <c r="AU13" s="362"/>
      <c r="AV13" s="357">
        <f t="shared" si="1"/>
        <v>0</v>
      </c>
      <c r="AW13" s="357">
        <f t="shared" si="3"/>
        <v>4644000</v>
      </c>
      <c r="AX13" s="357">
        <f t="shared" si="5"/>
        <v>4644000</v>
      </c>
      <c r="AY13"/>
      <c r="AZ13" s="491"/>
      <c r="BA13"/>
    </row>
    <row r="14" spans="1:53" ht="14.4" x14ac:dyDescent="0.3">
      <c r="A14" s="353" t="str">
        <f>'6a| Phase 1 Financial'!A62</f>
        <v>Infrastructure allocation</v>
      </c>
      <c r="B14" s="354">
        <f>'6a| Phase 1 Financial'!C62</f>
        <v>8639222.222222222</v>
      </c>
      <c r="C14" s="358"/>
      <c r="D14" s="359"/>
      <c r="E14" s="359"/>
      <c r="F14" s="359"/>
      <c r="G14" s="359"/>
      <c r="H14" s="359"/>
      <c r="I14" s="355"/>
      <c r="J14" s="368">
        <f t="shared" ref="J14:R14" si="8">$B$14/10</f>
        <v>863922.22222222225</v>
      </c>
      <c r="K14" s="368">
        <f t="shared" si="8"/>
        <v>863922.22222222225</v>
      </c>
      <c r="L14" s="368">
        <f t="shared" si="8"/>
        <v>863922.22222222225</v>
      </c>
      <c r="M14" s="368">
        <f t="shared" si="8"/>
        <v>863922.22222222225</v>
      </c>
      <c r="N14" s="368">
        <f t="shared" si="8"/>
        <v>863922.22222222225</v>
      </c>
      <c r="O14" s="368">
        <f t="shared" si="8"/>
        <v>863922.22222222225</v>
      </c>
      <c r="P14" s="368">
        <f t="shared" si="8"/>
        <v>863922.22222222225</v>
      </c>
      <c r="Q14" s="368">
        <f t="shared" si="8"/>
        <v>863922.22222222225</v>
      </c>
      <c r="R14" s="368">
        <f t="shared" si="8"/>
        <v>863922.22222222225</v>
      </c>
      <c r="S14" s="368">
        <f>$B$14/10</f>
        <v>863922.22222222225</v>
      </c>
      <c r="T14" s="359"/>
      <c r="U14" s="359"/>
      <c r="V14" s="359"/>
      <c r="W14" s="359"/>
      <c r="X14" s="359"/>
      <c r="Y14" s="359"/>
      <c r="Z14" s="359"/>
      <c r="AA14" s="359"/>
      <c r="AB14" s="359"/>
      <c r="AC14" s="359"/>
      <c r="AD14" s="359"/>
      <c r="AE14" s="360"/>
      <c r="AF14" s="360"/>
      <c r="AG14" s="360"/>
      <c r="AH14" s="360"/>
      <c r="AI14" s="360"/>
      <c r="AJ14" s="360"/>
      <c r="AK14" s="362"/>
      <c r="AL14" s="363"/>
      <c r="AM14" s="360"/>
      <c r="AN14" s="360"/>
      <c r="AO14" s="360"/>
      <c r="AP14" s="362"/>
      <c r="AQ14" s="360"/>
      <c r="AR14" s="364"/>
      <c r="AS14" s="360"/>
      <c r="AT14" s="362"/>
      <c r="AU14" s="362"/>
      <c r="AV14" s="357">
        <f t="shared" si="1"/>
        <v>8639222.222222222</v>
      </c>
      <c r="AW14" s="357">
        <f t="shared" si="3"/>
        <v>8639222.222222222</v>
      </c>
      <c r="AX14" s="357">
        <f t="shared" si="5"/>
        <v>0</v>
      </c>
      <c r="AY14"/>
      <c r="AZ14" s="491"/>
      <c r="BA14"/>
    </row>
    <row r="15" spans="1:53" ht="14.4" x14ac:dyDescent="0.3">
      <c r="A15" s="353" t="str">
        <f>'6a| Phase 1 Financial'!A63</f>
        <v>Legal</v>
      </c>
      <c r="B15" s="354">
        <f>'6a| Phase 1 Financial'!C63</f>
        <v>400000</v>
      </c>
      <c r="C15" s="358"/>
      <c r="D15" s="358"/>
      <c r="E15" s="365"/>
      <c r="F15" s="365"/>
      <c r="G15" s="365"/>
      <c r="H15" s="365">
        <f>0.05*$B15</f>
        <v>20000</v>
      </c>
      <c r="I15" s="365">
        <f>0.05*$B15</f>
        <v>20000</v>
      </c>
      <c r="J15" s="365">
        <f>0.1*$B15</f>
        <v>40000</v>
      </c>
      <c r="K15" s="355">
        <f>0.1*$B15</f>
        <v>40000</v>
      </c>
      <c r="L15" s="355">
        <f>0.1*$B15</f>
        <v>40000</v>
      </c>
      <c r="M15" s="355">
        <f>0.1*$B15</f>
        <v>40000</v>
      </c>
      <c r="N15" s="355">
        <f t="shared" ref="N15:O15" si="9">0.1*$B15</f>
        <v>40000</v>
      </c>
      <c r="O15" s="355">
        <f t="shared" si="9"/>
        <v>40000</v>
      </c>
      <c r="P15" s="355">
        <f>0.1*$B15</f>
        <v>40000</v>
      </c>
      <c r="Q15" s="355">
        <f>0.1*$B15</f>
        <v>40000</v>
      </c>
      <c r="R15" s="359">
        <f>0.1*$B15</f>
        <v>40000</v>
      </c>
      <c r="S15" s="359"/>
      <c r="T15" s="359"/>
      <c r="U15" s="359"/>
      <c r="V15" s="359"/>
      <c r="W15" s="359"/>
      <c r="X15" s="359"/>
      <c r="Y15" s="359"/>
      <c r="Z15" s="359"/>
      <c r="AA15" s="359"/>
      <c r="AB15" s="359"/>
      <c r="AC15" s="359"/>
      <c r="AD15" s="359"/>
      <c r="AE15" s="359"/>
      <c r="AF15" s="359"/>
      <c r="AG15" s="359"/>
      <c r="AH15" s="359"/>
      <c r="AI15" s="359"/>
      <c r="AJ15" s="359"/>
      <c r="AK15" s="366"/>
      <c r="AL15" s="367"/>
      <c r="AM15" s="359"/>
      <c r="AN15" s="359"/>
      <c r="AO15" s="359"/>
      <c r="AP15" s="366"/>
      <c r="AQ15" s="359"/>
      <c r="AR15" s="359"/>
      <c r="AS15" s="368"/>
      <c r="AT15" s="366"/>
      <c r="AU15" s="366"/>
      <c r="AV15" s="357">
        <f t="shared" si="1"/>
        <v>400000</v>
      </c>
      <c r="AW15" s="357">
        <f t="shared" si="3"/>
        <v>400000</v>
      </c>
      <c r="AX15" s="357">
        <f t="shared" si="5"/>
        <v>0</v>
      </c>
      <c r="AY15"/>
      <c r="AZ15" s="491"/>
      <c r="BA15"/>
    </row>
    <row r="16" spans="1:53" ht="14.4" x14ac:dyDescent="0.3">
      <c r="A16" s="353" t="str">
        <f>'6a| Phase 1 Financial'!A64</f>
        <v>Land Closing Costs/commissions</v>
      </c>
      <c r="B16" s="354">
        <f>'6a| Phase 1 Financial'!C64</f>
        <v>2621971.8000000003</v>
      </c>
      <c r="C16" s="365"/>
      <c r="D16" s="355"/>
      <c r="E16" s="355"/>
      <c r="F16" s="355"/>
      <c r="G16" s="369"/>
      <c r="H16" s="355">
        <f>B16</f>
        <v>2621971.8000000003</v>
      </c>
      <c r="I16" s="355"/>
      <c r="J16" s="355"/>
      <c r="K16" s="355"/>
      <c r="L16" s="355"/>
      <c r="M16" s="355"/>
      <c r="N16" s="355"/>
      <c r="O16" s="355"/>
      <c r="P16" s="355"/>
      <c r="Q16" s="355">
        <v>0</v>
      </c>
      <c r="R16" s="355"/>
      <c r="S16" s="355"/>
      <c r="T16" s="355"/>
      <c r="U16" s="355"/>
      <c r="V16" s="355"/>
      <c r="W16" s="355"/>
      <c r="X16" s="355"/>
      <c r="Y16" s="355"/>
      <c r="Z16" s="355"/>
      <c r="AA16" s="355"/>
      <c r="AB16" s="355"/>
      <c r="AC16" s="355"/>
      <c r="AD16" s="355"/>
      <c r="AE16" s="370"/>
      <c r="AF16" s="370"/>
      <c r="AG16" s="370"/>
      <c r="AH16" s="370"/>
      <c r="AI16" s="370"/>
      <c r="AJ16" s="370"/>
      <c r="AK16" s="371"/>
      <c r="AL16" s="372"/>
      <c r="AM16" s="370"/>
      <c r="AN16" s="370"/>
      <c r="AO16" s="370"/>
      <c r="AP16" s="371"/>
      <c r="AQ16" s="370"/>
      <c r="AR16" s="370"/>
      <c r="AS16" s="370"/>
      <c r="AT16" s="371"/>
      <c r="AU16" s="371"/>
      <c r="AV16" s="357">
        <f t="shared" si="1"/>
        <v>2621971.8000000003</v>
      </c>
      <c r="AW16" s="357">
        <f t="shared" si="3"/>
        <v>2621971.8000000003</v>
      </c>
      <c r="AX16" s="357">
        <f t="shared" si="5"/>
        <v>0</v>
      </c>
      <c r="AY16"/>
      <c r="AZ16" s="491"/>
      <c r="BA16"/>
    </row>
    <row r="17" spans="1:53" ht="14.4" x14ac:dyDescent="0.3">
      <c r="A17" s="353" t="str">
        <f>'6a| Phase 1 Financial'!A65</f>
        <v xml:space="preserve">Design </v>
      </c>
      <c r="B17" s="354">
        <f>'6a| Phase 1 Financial'!C65</f>
        <v>15731830.799999999</v>
      </c>
      <c r="C17" s="355">
        <v>0</v>
      </c>
      <c r="D17" s="355">
        <f t="shared" ref="D17:I17" si="10">$B17/20</f>
        <v>786591.53999999992</v>
      </c>
      <c r="E17" s="355">
        <f>$B17/20</f>
        <v>786591.53999999992</v>
      </c>
      <c r="F17" s="355">
        <f t="shared" si="10"/>
        <v>786591.53999999992</v>
      </c>
      <c r="G17" s="355">
        <f t="shared" si="10"/>
        <v>786591.53999999992</v>
      </c>
      <c r="H17" s="355">
        <f t="shared" si="10"/>
        <v>786591.53999999992</v>
      </c>
      <c r="I17" s="355">
        <f t="shared" si="10"/>
        <v>786591.53999999992</v>
      </c>
      <c r="J17" s="355">
        <f>$B17/20</f>
        <v>786591.53999999992</v>
      </c>
      <c r="K17" s="355">
        <f t="shared" ref="K17:M17" si="11">$B17/10</f>
        <v>1573183.0799999998</v>
      </c>
      <c r="L17" s="355">
        <f t="shared" si="11"/>
        <v>1573183.0799999998</v>
      </c>
      <c r="M17" s="355">
        <f t="shared" si="11"/>
        <v>1573183.0799999998</v>
      </c>
      <c r="N17" s="355">
        <f>$B17/10</f>
        <v>1573183.0799999998</v>
      </c>
      <c r="O17" s="355">
        <f>$B17/10</f>
        <v>1573183.0799999998</v>
      </c>
      <c r="P17" s="355">
        <f t="shared" ref="P17:R17" si="12">$B17/20</f>
        <v>786591.53999999992</v>
      </c>
      <c r="Q17" s="355">
        <f t="shared" si="12"/>
        <v>786591.53999999992</v>
      </c>
      <c r="R17" s="355">
        <f t="shared" si="12"/>
        <v>786591.53999999992</v>
      </c>
      <c r="S17" s="355"/>
      <c r="T17" s="355"/>
      <c r="U17" s="355"/>
      <c r="V17" s="355"/>
      <c r="W17" s="355"/>
      <c r="X17" s="355"/>
      <c r="Y17" s="355"/>
      <c r="Z17" s="355"/>
      <c r="AA17" s="355"/>
      <c r="AB17" s="355"/>
      <c r="AC17" s="355"/>
      <c r="AD17" s="355"/>
      <c r="AE17" s="355"/>
      <c r="AF17" s="355"/>
      <c r="AG17" s="355"/>
      <c r="AH17" s="355"/>
      <c r="AI17" s="355"/>
      <c r="AJ17" s="355"/>
      <c r="AK17" s="355"/>
      <c r="AL17" s="355"/>
      <c r="AM17" s="355"/>
      <c r="AN17" s="355"/>
      <c r="AO17" s="355"/>
      <c r="AP17" s="355"/>
      <c r="AQ17" s="370"/>
      <c r="AR17" s="370"/>
      <c r="AS17" s="370"/>
      <c r="AT17" s="371"/>
      <c r="AU17" s="371"/>
      <c r="AV17" s="357">
        <f t="shared" si="1"/>
        <v>15731830.799999997</v>
      </c>
      <c r="AW17" s="357">
        <f t="shared" si="3"/>
        <v>15731830.799999999</v>
      </c>
      <c r="AX17" s="357">
        <f t="shared" si="5"/>
        <v>0</v>
      </c>
      <c r="AY17"/>
      <c r="AZ17" s="491"/>
      <c r="BA17"/>
    </row>
    <row r="18" spans="1:53" ht="14.4" x14ac:dyDescent="0.3">
      <c r="A18" s="353" t="str">
        <f>'6a| Phase 1 Financial'!A66</f>
        <v>Developer Fee</v>
      </c>
      <c r="B18" s="354">
        <f>'6a| Phase 1 Financial'!C66</f>
        <v>9844588.6446666662</v>
      </c>
      <c r="C18" s="355">
        <f>$B18*C$7</f>
        <v>393783.54578666668</v>
      </c>
      <c r="D18" s="355">
        <f t="shared" ref="D18:AE18" si="13">$B18*D7</f>
        <v>393783.54578666668</v>
      </c>
      <c r="E18" s="355">
        <f t="shared" si="13"/>
        <v>393783.54578666668</v>
      </c>
      <c r="F18" s="355">
        <f t="shared" si="13"/>
        <v>393783.54578666668</v>
      </c>
      <c r="G18" s="355">
        <f t="shared" si="13"/>
        <v>393783.54578666668</v>
      </c>
      <c r="H18" s="355">
        <f t="shared" si="13"/>
        <v>689121.2051266667</v>
      </c>
      <c r="I18" s="355">
        <f t="shared" si="13"/>
        <v>787567.09157333337</v>
      </c>
      <c r="J18" s="355">
        <f t="shared" si="13"/>
        <v>787567.09157333337</v>
      </c>
      <c r="K18" s="355">
        <f t="shared" si="13"/>
        <v>787567.09157333337</v>
      </c>
      <c r="L18" s="355">
        <f t="shared" si="13"/>
        <v>787567.09157333337</v>
      </c>
      <c r="M18" s="355">
        <f t="shared" si="13"/>
        <v>787567.09157333337</v>
      </c>
      <c r="N18" s="355">
        <f t="shared" si="13"/>
        <v>787567.09157333337</v>
      </c>
      <c r="O18" s="355">
        <f t="shared" si="13"/>
        <v>492229.43223333335</v>
      </c>
      <c r="P18" s="355">
        <f t="shared" si="13"/>
        <v>492229.43223333335</v>
      </c>
      <c r="Q18" s="355">
        <f t="shared" si="13"/>
        <v>492229.43223333335</v>
      </c>
      <c r="R18" s="355">
        <f t="shared" si="13"/>
        <v>492229.43223333335</v>
      </c>
      <c r="S18" s="355">
        <f t="shared" si="13"/>
        <v>492229.43223333335</v>
      </c>
      <c r="T18" s="355">
        <f t="shared" si="13"/>
        <v>0</v>
      </c>
      <c r="U18" s="355">
        <f t="shared" si="13"/>
        <v>0</v>
      </c>
      <c r="V18" s="355">
        <f t="shared" si="13"/>
        <v>0</v>
      </c>
      <c r="W18" s="355">
        <f t="shared" si="13"/>
        <v>0</v>
      </c>
      <c r="X18" s="355">
        <f t="shared" si="13"/>
        <v>0</v>
      </c>
      <c r="Y18" s="355">
        <f t="shared" si="13"/>
        <v>0</v>
      </c>
      <c r="Z18" s="355">
        <f t="shared" si="13"/>
        <v>0</v>
      </c>
      <c r="AA18" s="355">
        <f t="shared" si="13"/>
        <v>0</v>
      </c>
      <c r="AB18" s="355">
        <f t="shared" si="13"/>
        <v>0</v>
      </c>
      <c r="AC18" s="355">
        <f t="shared" si="13"/>
        <v>0</v>
      </c>
      <c r="AD18" s="355">
        <f t="shared" si="13"/>
        <v>0</v>
      </c>
      <c r="AE18" s="355">
        <f t="shared" si="13"/>
        <v>0</v>
      </c>
      <c r="AF18" s="355">
        <f>$B18*AF$7</f>
        <v>0</v>
      </c>
      <c r="AG18" s="355"/>
      <c r="AH18" s="355"/>
      <c r="AI18" s="355"/>
      <c r="AJ18" s="355"/>
      <c r="AK18" s="355"/>
      <c r="AL18" s="355"/>
      <c r="AM18" s="355"/>
      <c r="AN18" s="355"/>
      <c r="AO18" s="355"/>
      <c r="AP18" s="355"/>
      <c r="AQ18" s="355"/>
      <c r="AR18" s="355"/>
      <c r="AS18" s="355"/>
      <c r="AT18" s="374"/>
      <c r="AU18" s="374"/>
      <c r="AV18" s="357">
        <f t="shared" si="1"/>
        <v>9844588.644666668</v>
      </c>
      <c r="AW18" s="357">
        <f t="shared" si="3"/>
        <v>9844588.6446666662</v>
      </c>
      <c r="AX18" s="357">
        <f t="shared" si="5"/>
        <v>0</v>
      </c>
      <c r="AY18"/>
      <c r="AZ18" s="491"/>
      <c r="BA18"/>
    </row>
    <row r="19" spans="1:53" ht="14.4" x14ac:dyDescent="0.3">
      <c r="A19" s="353" t="str">
        <f>'6a| Phase 1 Financial'!A67</f>
        <v>Construction Management Fee</v>
      </c>
      <c r="B19" s="354">
        <f>'6a| Phase 1 Financial'!C67</f>
        <v>5243943.6000000006</v>
      </c>
      <c r="C19" s="355">
        <f>$B19*C$7</f>
        <v>209757.74400000004</v>
      </c>
      <c r="D19" s="355">
        <f t="shared" ref="D19:AE19" si="14">$B19*D$7</f>
        <v>209757.74400000004</v>
      </c>
      <c r="E19" s="355">
        <f t="shared" si="14"/>
        <v>209757.74400000004</v>
      </c>
      <c r="F19" s="355">
        <f t="shared" si="14"/>
        <v>209757.74400000004</v>
      </c>
      <c r="G19" s="355">
        <f t="shared" si="14"/>
        <v>209757.74400000004</v>
      </c>
      <c r="H19" s="355">
        <f t="shared" si="14"/>
        <v>367076.05200000008</v>
      </c>
      <c r="I19" s="355">
        <f t="shared" si="14"/>
        <v>419515.48800000007</v>
      </c>
      <c r="J19" s="355">
        <f t="shared" si="14"/>
        <v>419515.48800000007</v>
      </c>
      <c r="K19" s="355">
        <f t="shared" si="14"/>
        <v>419515.48800000007</v>
      </c>
      <c r="L19" s="355">
        <f t="shared" si="14"/>
        <v>419515.48800000007</v>
      </c>
      <c r="M19" s="355">
        <f t="shared" si="14"/>
        <v>419515.48800000007</v>
      </c>
      <c r="N19" s="355">
        <f t="shared" si="14"/>
        <v>419515.48800000007</v>
      </c>
      <c r="O19" s="355">
        <f t="shared" si="14"/>
        <v>262197.18000000005</v>
      </c>
      <c r="P19" s="355">
        <f t="shared" si="14"/>
        <v>262197.18000000005</v>
      </c>
      <c r="Q19" s="355">
        <f t="shared" si="14"/>
        <v>262197.18000000005</v>
      </c>
      <c r="R19" s="355">
        <f t="shared" si="14"/>
        <v>262197.18000000005</v>
      </c>
      <c r="S19" s="355">
        <f t="shared" si="14"/>
        <v>262197.18000000005</v>
      </c>
      <c r="T19" s="355">
        <f t="shared" si="14"/>
        <v>0</v>
      </c>
      <c r="U19" s="355">
        <f t="shared" si="14"/>
        <v>0</v>
      </c>
      <c r="V19" s="355">
        <f t="shared" si="14"/>
        <v>0</v>
      </c>
      <c r="W19" s="355">
        <f t="shared" si="14"/>
        <v>0</v>
      </c>
      <c r="X19" s="355">
        <f t="shared" si="14"/>
        <v>0</v>
      </c>
      <c r="Y19" s="355">
        <f t="shared" si="14"/>
        <v>0</v>
      </c>
      <c r="Z19" s="355">
        <f t="shared" si="14"/>
        <v>0</v>
      </c>
      <c r="AA19" s="355">
        <f t="shared" si="14"/>
        <v>0</v>
      </c>
      <c r="AB19" s="355">
        <f t="shared" si="14"/>
        <v>0</v>
      </c>
      <c r="AC19" s="355">
        <f t="shared" si="14"/>
        <v>0</v>
      </c>
      <c r="AD19" s="355">
        <f t="shared" si="14"/>
        <v>0</v>
      </c>
      <c r="AE19" s="355">
        <f t="shared" si="14"/>
        <v>0</v>
      </c>
      <c r="AF19" s="355">
        <f>$B19*AF$7</f>
        <v>0</v>
      </c>
      <c r="AG19" s="355"/>
      <c r="AH19" s="355"/>
      <c r="AI19" s="355"/>
      <c r="AJ19" s="355"/>
      <c r="AK19" s="355"/>
      <c r="AL19" s="355"/>
      <c r="AM19" s="355"/>
      <c r="AN19" s="355"/>
      <c r="AO19" s="355"/>
      <c r="AP19" s="355"/>
      <c r="AQ19" s="355"/>
      <c r="AR19" s="355"/>
      <c r="AS19" s="355"/>
      <c r="AT19" s="374"/>
      <c r="AU19" s="374"/>
      <c r="AV19" s="357">
        <f t="shared" si="1"/>
        <v>5243943.5999999987</v>
      </c>
      <c r="AW19" s="357">
        <f t="shared" si="3"/>
        <v>5243943.6000000006</v>
      </c>
      <c r="AX19" s="357">
        <f t="shared" si="5"/>
        <v>0</v>
      </c>
      <c r="AY19"/>
      <c r="AZ19" s="491"/>
      <c r="BA19"/>
    </row>
    <row r="20" spans="1:53" ht="14.4" x14ac:dyDescent="0.3">
      <c r="A20" s="353" t="str">
        <f>'6a| Phase 1 Financial'!A68</f>
        <v>Taxes</v>
      </c>
      <c r="B20" s="354">
        <f>'6a| Phase 1 Financial'!C68</f>
        <v>0</v>
      </c>
      <c r="C20" s="365"/>
      <c r="D20" s="355"/>
      <c r="E20" s="355"/>
      <c r="F20" s="355"/>
      <c r="G20" s="370"/>
      <c r="H20" s="355"/>
      <c r="I20" s="355"/>
      <c r="J20" s="359"/>
      <c r="K20" s="355"/>
      <c r="L20" s="370"/>
      <c r="M20" s="355"/>
      <c r="N20" s="355"/>
      <c r="O20" s="355"/>
      <c r="P20" s="355"/>
      <c r="Q20" s="370"/>
      <c r="R20" s="355"/>
      <c r="S20" s="370"/>
      <c r="T20" s="355"/>
      <c r="U20" s="355"/>
      <c r="V20" s="355"/>
      <c r="W20" s="355"/>
      <c r="X20" s="369"/>
      <c r="Y20" s="355"/>
      <c r="Z20" s="355"/>
      <c r="AA20" s="355"/>
      <c r="AB20" s="355"/>
      <c r="AC20" s="355"/>
      <c r="AD20" s="355"/>
      <c r="AE20" s="369"/>
      <c r="AF20" s="355"/>
      <c r="AG20" s="369"/>
      <c r="AH20" s="355"/>
      <c r="AI20" s="370"/>
      <c r="AJ20" s="355"/>
      <c r="AK20" s="355"/>
      <c r="AL20" s="355"/>
      <c r="AM20" s="355"/>
      <c r="AN20" s="355"/>
      <c r="AO20" s="355"/>
      <c r="AP20" s="374"/>
      <c r="AQ20" s="355"/>
      <c r="AR20" s="355"/>
      <c r="AS20" s="355"/>
      <c r="AT20" s="374"/>
      <c r="AU20" s="374"/>
      <c r="AV20" s="357">
        <f t="shared" si="1"/>
        <v>0</v>
      </c>
      <c r="AW20" s="357">
        <f t="shared" si="3"/>
        <v>0</v>
      </c>
      <c r="AX20" s="357">
        <f t="shared" si="5"/>
        <v>0</v>
      </c>
      <c r="AY20"/>
      <c r="AZ20" s="491"/>
      <c r="BA20"/>
    </row>
    <row r="21" spans="1:53" ht="14.4" x14ac:dyDescent="0.3">
      <c r="A21" s="353" t="str">
        <f>'6a| Phase 1 Financial'!A69</f>
        <v>Insurance</v>
      </c>
      <c r="B21" s="354">
        <f>'6a| Phase 1 Financial'!C69</f>
        <v>5805000</v>
      </c>
      <c r="C21" s="365"/>
      <c r="D21" s="369"/>
      <c r="E21" s="369"/>
      <c r="F21" s="355"/>
      <c r="G21" s="355"/>
      <c r="H21" s="355"/>
      <c r="I21" s="355"/>
      <c r="J21" s="370"/>
      <c r="K21" s="370"/>
      <c r="L21" s="370"/>
      <c r="M21" s="355"/>
      <c r="N21" s="355">
        <v>10000</v>
      </c>
      <c r="O21" s="355">
        <v>10000</v>
      </c>
      <c r="P21" s="365">
        <f>$B21-SUM(C21:O21)</f>
        <v>5785000</v>
      </c>
      <c r="Q21" s="355"/>
      <c r="R21" s="355"/>
      <c r="S21" s="355"/>
      <c r="T21" s="370"/>
      <c r="U21" s="355"/>
      <c r="V21" s="355">
        <f>$B21-SUM(C21:U21)</f>
        <v>0</v>
      </c>
      <c r="W21" s="355"/>
      <c r="X21" s="355"/>
      <c r="Y21" s="355"/>
      <c r="Z21" s="355"/>
      <c r="AA21" s="355"/>
      <c r="AB21" s="355"/>
      <c r="AC21" s="355"/>
      <c r="AD21" s="355"/>
      <c r="AE21" s="355"/>
      <c r="AF21" s="355"/>
      <c r="AG21" s="355"/>
      <c r="AH21" s="355"/>
      <c r="AI21" s="355"/>
      <c r="AJ21" s="355"/>
      <c r="AK21" s="374"/>
      <c r="AL21" s="377"/>
      <c r="AM21" s="355"/>
      <c r="AN21" s="355"/>
      <c r="AO21" s="355"/>
      <c r="AP21" s="374"/>
      <c r="AQ21" s="355"/>
      <c r="AR21" s="355"/>
      <c r="AS21" s="355"/>
      <c r="AT21" s="374"/>
      <c r="AU21" s="374"/>
      <c r="AV21" s="357">
        <f t="shared" si="1"/>
        <v>5805000</v>
      </c>
      <c r="AW21" s="357">
        <f t="shared" si="3"/>
        <v>5805000</v>
      </c>
      <c r="AX21" s="357">
        <f t="shared" si="5"/>
        <v>0</v>
      </c>
      <c r="AY21"/>
      <c r="AZ21" s="491"/>
      <c r="BA21"/>
    </row>
    <row r="22" spans="1:53" ht="14.4" x14ac:dyDescent="0.3">
      <c r="A22" s="353" t="str">
        <f>'6a| Phase 1 Financial'!A70</f>
        <v>Marketing, FFE and Preleasing</v>
      </c>
      <c r="B22" s="354">
        <f>'6a| Phase 1 Financial'!C70</f>
        <v>1500000</v>
      </c>
      <c r="C22" s="365"/>
      <c r="D22" s="355"/>
      <c r="E22" s="355"/>
      <c r="F22" s="355"/>
      <c r="G22" s="355"/>
      <c r="H22" s="355"/>
      <c r="I22" s="355"/>
      <c r="J22" s="355"/>
      <c r="K22" s="355"/>
      <c r="L22" s="355"/>
      <c r="M22" s="355"/>
      <c r="N22" s="355"/>
      <c r="O22" s="355"/>
      <c r="P22" s="355"/>
      <c r="Q22" s="355">
        <f>$B22/2</f>
        <v>750000</v>
      </c>
      <c r="R22" s="355">
        <f>$B22/2</f>
        <v>750000</v>
      </c>
      <c r="S22" s="355"/>
      <c r="T22" s="355"/>
      <c r="U22" s="355"/>
      <c r="V22" s="355"/>
      <c r="W22" s="355"/>
      <c r="X22" s="378"/>
      <c r="Y22" s="378"/>
      <c r="Z22" s="378"/>
      <c r="AA22" s="378"/>
      <c r="AB22" s="370"/>
      <c r="AC22" s="370"/>
      <c r="AD22" s="370"/>
      <c r="AE22" s="355"/>
      <c r="AF22" s="355"/>
      <c r="AG22" s="370"/>
      <c r="AH22" s="370"/>
      <c r="AI22" s="378"/>
      <c r="AJ22" s="378"/>
      <c r="AK22" s="378"/>
      <c r="AL22" s="378"/>
      <c r="AM22" s="370"/>
      <c r="AN22" s="370"/>
      <c r="AO22" s="370"/>
      <c r="AP22" s="371"/>
      <c r="AQ22" s="370"/>
      <c r="AR22" s="370"/>
      <c r="AS22" s="370"/>
      <c r="AT22" s="371"/>
      <c r="AU22" s="371"/>
      <c r="AV22" s="357">
        <f t="shared" si="1"/>
        <v>1500000</v>
      </c>
      <c r="AW22" s="357">
        <f t="shared" si="3"/>
        <v>1500000</v>
      </c>
      <c r="AX22" s="357">
        <f t="shared" si="5"/>
        <v>0</v>
      </c>
      <c r="AY22"/>
      <c r="AZ22" s="491"/>
      <c r="BA22"/>
    </row>
    <row r="23" spans="1:53" ht="14.4" x14ac:dyDescent="0.3">
      <c r="A23" s="353" t="str">
        <f>'6a| Phase 1 Financial'!A71</f>
        <v>Operating Deficit</v>
      </c>
      <c r="B23" s="354">
        <f>'6a| Phase 1 Financial'!C71</f>
        <v>8052621.4939504517</v>
      </c>
      <c r="C23" s="365"/>
      <c r="D23" s="355"/>
      <c r="E23" s="355"/>
      <c r="F23" s="355"/>
      <c r="G23" s="355"/>
      <c r="H23" s="355"/>
      <c r="I23" s="355"/>
      <c r="J23" s="355"/>
      <c r="K23" s="355"/>
      <c r="L23" s="355"/>
      <c r="M23" s="355"/>
      <c r="N23" s="355">
        <f t="shared" ref="N23:Q24" si="15">$B23/4</f>
        <v>2013155.3734876129</v>
      </c>
      <c r="O23" s="355">
        <f t="shared" si="15"/>
        <v>2013155.3734876129</v>
      </c>
      <c r="P23" s="355">
        <f t="shared" si="15"/>
        <v>2013155.3734876129</v>
      </c>
      <c r="Q23" s="355">
        <f t="shared" si="15"/>
        <v>2013155.3734876129</v>
      </c>
      <c r="R23" s="355"/>
      <c r="S23" s="355"/>
      <c r="T23" s="355"/>
      <c r="U23" s="355"/>
      <c r="V23" s="355"/>
      <c r="W23" s="355"/>
      <c r="X23" s="355"/>
      <c r="Y23" s="355"/>
      <c r="Z23" s="379"/>
      <c r="AA23" s="379"/>
      <c r="AB23" s="379"/>
      <c r="AC23" s="370"/>
      <c r="AD23" s="370"/>
      <c r="AE23" s="355"/>
      <c r="AF23" s="378"/>
      <c r="AG23" s="378"/>
      <c r="AH23" s="378"/>
      <c r="AI23" s="378"/>
      <c r="AJ23" s="378"/>
      <c r="AK23" s="380"/>
      <c r="AL23" s="380"/>
      <c r="AM23" s="380"/>
      <c r="AN23" s="380"/>
      <c r="AO23" s="380"/>
      <c r="AP23" s="380"/>
      <c r="AQ23" s="370"/>
      <c r="AR23" s="365"/>
      <c r="AS23" s="378"/>
      <c r="AT23" s="378"/>
      <c r="AU23" s="378"/>
      <c r="AV23" s="357">
        <f t="shared" si="1"/>
        <v>8052621.4939504517</v>
      </c>
      <c r="AW23" s="357">
        <f t="shared" si="3"/>
        <v>8052621.4939504517</v>
      </c>
      <c r="AX23" s="357">
        <f t="shared" si="5"/>
        <v>0</v>
      </c>
      <c r="AY23"/>
      <c r="AZ23" s="491"/>
      <c r="BA23"/>
    </row>
    <row r="24" spans="1:53" ht="14.4" x14ac:dyDescent="0.3">
      <c r="A24" s="353" t="str">
        <f>'6a| Phase 1 Financial'!A72</f>
        <v>Retail Tenant Improvements</v>
      </c>
      <c r="B24" s="354">
        <f>'6a| Phase 1 Financial'!C72</f>
        <v>4550750</v>
      </c>
      <c r="C24" s="365"/>
      <c r="D24" s="355"/>
      <c r="E24" s="355"/>
      <c r="F24" s="355"/>
      <c r="G24" s="355"/>
      <c r="H24" s="355"/>
      <c r="I24" s="355"/>
      <c r="J24" s="355"/>
      <c r="K24" s="355"/>
      <c r="L24" s="355"/>
      <c r="M24" s="355"/>
      <c r="N24" s="355">
        <f t="shared" si="15"/>
        <v>1137687.5</v>
      </c>
      <c r="O24" s="355">
        <f t="shared" si="15"/>
        <v>1137687.5</v>
      </c>
      <c r="P24" s="355">
        <f t="shared" si="15"/>
        <v>1137687.5</v>
      </c>
      <c r="Q24" s="355">
        <f t="shared" si="15"/>
        <v>1137687.5</v>
      </c>
      <c r="R24" s="355"/>
      <c r="S24" s="355"/>
      <c r="T24" s="355"/>
      <c r="U24" s="355"/>
      <c r="V24" s="355"/>
      <c r="W24" s="355"/>
      <c r="X24" s="355"/>
      <c r="Y24" s="355"/>
      <c r="Z24" s="355"/>
      <c r="AA24" s="370"/>
      <c r="AB24" s="370"/>
      <c r="AC24" s="378"/>
      <c r="AD24" s="378"/>
      <c r="AE24" s="378"/>
      <c r="AF24" s="378"/>
      <c r="AG24" s="378"/>
      <c r="AH24" s="378"/>
      <c r="AI24" s="378"/>
      <c r="AJ24" s="379"/>
      <c r="AK24" s="381"/>
      <c r="AL24" s="372"/>
      <c r="AM24" s="370"/>
      <c r="AN24" s="370"/>
      <c r="AO24" s="370"/>
      <c r="AP24" s="371"/>
      <c r="AQ24" s="370"/>
      <c r="AR24" s="370"/>
      <c r="AS24" s="370"/>
      <c r="AT24" s="371"/>
      <c r="AU24" s="371"/>
      <c r="AV24" s="357">
        <f t="shared" si="1"/>
        <v>4550750</v>
      </c>
      <c r="AW24" s="357">
        <f t="shared" si="3"/>
        <v>4550750</v>
      </c>
      <c r="AX24" s="357">
        <f t="shared" si="5"/>
        <v>0</v>
      </c>
      <c r="AY24"/>
      <c r="AZ24" s="491"/>
      <c r="BA24"/>
    </row>
    <row r="25" spans="1:53" ht="14.4" x14ac:dyDescent="0.3">
      <c r="A25" s="353" t="str">
        <f>'6a| Phase 1 Financial'!A73</f>
        <v>Retail brokerage</v>
      </c>
      <c r="B25" s="354">
        <f>'6a| Phase 1 Financial'!C73</f>
        <v>2484709.5</v>
      </c>
      <c r="C25" s="365"/>
      <c r="D25" s="355"/>
      <c r="E25" s="355"/>
      <c r="F25" s="355"/>
      <c r="G25" s="355"/>
      <c r="H25" s="355"/>
      <c r="I25" s="355"/>
      <c r="J25" s="355"/>
      <c r="K25" s="355"/>
      <c r="L25" s="355"/>
      <c r="M25" s="355"/>
      <c r="N25" s="355"/>
      <c r="O25" s="355">
        <f>$B25/4</f>
        <v>621177.375</v>
      </c>
      <c r="P25" s="355">
        <f>$B25/4</f>
        <v>621177.375</v>
      </c>
      <c r="Q25" s="355">
        <f>$B25/4</f>
        <v>621177.375</v>
      </c>
      <c r="R25" s="355">
        <f>$B25/4</f>
        <v>621177.375</v>
      </c>
      <c r="S25" s="355"/>
      <c r="T25" s="355"/>
      <c r="U25" s="355"/>
      <c r="V25" s="355"/>
      <c r="W25" s="355"/>
      <c r="X25" s="355"/>
      <c r="Y25" s="355"/>
      <c r="Z25" s="355"/>
      <c r="AA25" s="355"/>
      <c r="AB25" s="355"/>
      <c r="AC25" s="355"/>
      <c r="AD25" s="355"/>
      <c r="AE25" s="355"/>
      <c r="AF25" s="355"/>
      <c r="AG25" s="355"/>
      <c r="AH25" s="355"/>
      <c r="AI25" s="355"/>
      <c r="AJ25" s="355"/>
      <c r="AK25" s="374"/>
      <c r="AL25" s="372"/>
      <c r="AM25" s="370"/>
      <c r="AN25" s="355"/>
      <c r="AO25" s="355"/>
      <c r="AP25" s="374"/>
      <c r="AQ25" s="355"/>
      <c r="AR25" s="355"/>
      <c r="AS25" s="355"/>
      <c r="AT25" s="374"/>
      <c r="AU25" s="374"/>
      <c r="AV25" s="357">
        <f t="shared" si="1"/>
        <v>2484709.5</v>
      </c>
      <c r="AW25" s="357">
        <f t="shared" si="3"/>
        <v>2484709.5</v>
      </c>
      <c r="AX25" s="357">
        <f t="shared" si="5"/>
        <v>0</v>
      </c>
      <c r="AY25"/>
      <c r="AZ25" s="491"/>
      <c r="BA25"/>
    </row>
    <row r="26" spans="1:53" ht="14.4" x14ac:dyDescent="0.3">
      <c r="A26" s="353" t="str">
        <f>'6a| Phase 1 Financial'!A74</f>
        <v>Construction Loan Origination</v>
      </c>
      <c r="B26" s="354">
        <f>'6a| Phase 1 Financial'!C74</f>
        <v>3432375</v>
      </c>
      <c r="C26" s="355">
        <f>$B$26*C7</f>
        <v>137295</v>
      </c>
      <c r="D26" s="355">
        <f>$B$26*D7</f>
        <v>137295</v>
      </c>
      <c r="E26" s="355">
        <v>0</v>
      </c>
      <c r="F26" s="355">
        <v>0</v>
      </c>
      <c r="G26" s="355">
        <v>0</v>
      </c>
      <c r="H26" s="355">
        <v>0</v>
      </c>
      <c r="I26" s="355">
        <v>0</v>
      </c>
      <c r="J26" s="355">
        <f>$B26-SUM(C26:I26)</f>
        <v>3157785</v>
      </c>
      <c r="K26" s="355"/>
      <c r="L26" s="355">
        <v>0</v>
      </c>
      <c r="M26" s="369"/>
      <c r="N26" s="355">
        <v>0</v>
      </c>
      <c r="O26" s="355">
        <v>0</v>
      </c>
      <c r="P26" s="355"/>
      <c r="Q26" s="355"/>
      <c r="R26" s="355"/>
      <c r="S26" s="355"/>
      <c r="T26" s="355"/>
      <c r="U26" s="355"/>
      <c r="V26" s="355"/>
      <c r="W26" s="369"/>
      <c r="X26" s="355"/>
      <c r="Y26" s="355"/>
      <c r="Z26" s="355"/>
      <c r="AA26" s="355"/>
      <c r="AB26" s="355"/>
      <c r="AC26" s="355"/>
      <c r="AD26" s="355"/>
      <c r="AE26" s="355"/>
      <c r="AF26" s="355"/>
      <c r="AG26" s="355"/>
      <c r="AH26" s="355"/>
      <c r="AI26" s="355"/>
      <c r="AJ26" s="355"/>
      <c r="AK26" s="374"/>
      <c r="AL26" s="377"/>
      <c r="AM26" s="355"/>
      <c r="AN26" s="355"/>
      <c r="AO26" s="355"/>
      <c r="AP26" s="374"/>
      <c r="AQ26" s="355"/>
      <c r="AR26" s="355"/>
      <c r="AS26" s="355"/>
      <c r="AT26" s="374"/>
      <c r="AU26" s="374"/>
      <c r="AV26" s="357">
        <f t="shared" si="1"/>
        <v>3432375</v>
      </c>
      <c r="AW26" s="357">
        <f t="shared" si="3"/>
        <v>3432375</v>
      </c>
      <c r="AX26" s="357">
        <f t="shared" si="5"/>
        <v>0</v>
      </c>
      <c r="AY26"/>
      <c r="AZ26" s="491"/>
      <c r="BA26"/>
    </row>
    <row r="27" spans="1:53" ht="14.4" x14ac:dyDescent="0.3">
      <c r="A27" s="353" t="str">
        <f>'6a| Phase 1 Financial'!A75</f>
        <v>Construction Interest</v>
      </c>
      <c r="B27" s="354">
        <f>'6a| Phase 1 Financial'!C75</f>
        <v>16017750.000000002</v>
      </c>
      <c r="C27" s="382"/>
      <c r="D27" s="355"/>
      <c r="E27" s="355"/>
      <c r="F27" s="355"/>
      <c r="G27" s="355"/>
      <c r="H27" s="355"/>
      <c r="I27" s="355"/>
      <c r="J27" s="355"/>
      <c r="K27" s="355">
        <f t="shared" ref="K27:R27" si="16">0.1*$B27</f>
        <v>1601775.0000000002</v>
      </c>
      <c r="L27" s="355">
        <f t="shared" si="16"/>
        <v>1601775.0000000002</v>
      </c>
      <c r="M27" s="355">
        <f t="shared" si="16"/>
        <v>1601775.0000000002</v>
      </c>
      <c r="N27" s="355">
        <f t="shared" si="16"/>
        <v>1601775.0000000002</v>
      </c>
      <c r="O27" s="355">
        <f t="shared" si="16"/>
        <v>1601775.0000000002</v>
      </c>
      <c r="P27" s="355">
        <f t="shared" si="16"/>
        <v>1601775.0000000002</v>
      </c>
      <c r="Q27" s="355">
        <f t="shared" si="16"/>
        <v>1601775.0000000002</v>
      </c>
      <c r="R27" s="355">
        <f t="shared" si="16"/>
        <v>1601775.0000000002</v>
      </c>
      <c r="S27" s="355">
        <f>0.2*$B27</f>
        <v>3203550.0000000005</v>
      </c>
      <c r="T27" s="355"/>
      <c r="U27" s="355"/>
      <c r="V27" s="355"/>
      <c r="W27" s="355"/>
      <c r="X27" s="355"/>
      <c r="Y27" s="355"/>
      <c r="Z27" s="355"/>
      <c r="AA27" s="355"/>
      <c r="AB27" s="355"/>
      <c r="AC27" s="355"/>
      <c r="AD27" s="355"/>
      <c r="AE27" s="355"/>
      <c r="AF27" s="355"/>
      <c r="AG27" s="355"/>
      <c r="AH27" s="355"/>
      <c r="AI27" s="355"/>
      <c r="AJ27" s="355"/>
      <c r="AK27" s="355"/>
      <c r="AL27" s="355"/>
      <c r="AM27" s="355"/>
      <c r="AN27" s="355"/>
      <c r="AO27" s="355"/>
      <c r="AP27" s="355"/>
      <c r="AQ27" s="355"/>
      <c r="AR27" s="355"/>
      <c r="AS27" s="369"/>
      <c r="AT27" s="355"/>
      <c r="AU27" s="355"/>
      <c r="AV27" s="357">
        <f t="shared" si="1"/>
        <v>16017750.000000002</v>
      </c>
      <c r="AW27" s="357">
        <f t="shared" si="3"/>
        <v>16017750.000000002</v>
      </c>
      <c r="AX27" s="357">
        <f t="shared" si="5"/>
        <v>0</v>
      </c>
      <c r="AY27"/>
      <c r="AZ27" s="491"/>
      <c r="BA27"/>
    </row>
    <row r="28" spans="1:53" ht="26.25" customHeight="1" thickBot="1" x14ac:dyDescent="0.35">
      <c r="A28" s="383" t="str">
        <f>'6a| Phase 1 Financial'!A76</f>
        <v>Additional Contingency</v>
      </c>
      <c r="B28" s="384">
        <f>'6a| Phase 1 Financial'!C76</f>
        <v>1000000</v>
      </c>
      <c r="C28" s="385">
        <f t="shared" ref="C28:P28" si="17">$B28*C7</f>
        <v>40000</v>
      </c>
      <c r="D28" s="385">
        <f t="shared" si="17"/>
        <v>40000</v>
      </c>
      <c r="E28" s="385">
        <f t="shared" si="17"/>
        <v>40000</v>
      </c>
      <c r="F28" s="385">
        <f t="shared" si="17"/>
        <v>40000</v>
      </c>
      <c r="G28" s="385">
        <f t="shared" si="17"/>
        <v>40000</v>
      </c>
      <c r="H28" s="385">
        <f t="shared" si="17"/>
        <v>70000</v>
      </c>
      <c r="I28" s="385">
        <f t="shared" si="17"/>
        <v>80000</v>
      </c>
      <c r="J28" s="385">
        <f t="shared" si="17"/>
        <v>80000</v>
      </c>
      <c r="K28" s="385">
        <f t="shared" si="17"/>
        <v>80000</v>
      </c>
      <c r="L28" s="385">
        <f t="shared" si="17"/>
        <v>80000</v>
      </c>
      <c r="M28" s="385">
        <f t="shared" si="17"/>
        <v>80000</v>
      </c>
      <c r="N28" s="385">
        <f t="shared" si="17"/>
        <v>80000</v>
      </c>
      <c r="O28" s="385">
        <f t="shared" si="17"/>
        <v>50000</v>
      </c>
      <c r="P28" s="385">
        <f t="shared" si="17"/>
        <v>50000</v>
      </c>
      <c r="Q28" s="385">
        <f>$B28*Q7</f>
        <v>50000</v>
      </c>
      <c r="R28" s="385">
        <f t="shared" ref="R28:AE28" si="18">$B28*R7</f>
        <v>50000</v>
      </c>
      <c r="S28" s="385">
        <f t="shared" si="18"/>
        <v>50000</v>
      </c>
      <c r="T28" s="385">
        <f t="shared" si="18"/>
        <v>0</v>
      </c>
      <c r="U28" s="385">
        <f t="shared" si="18"/>
        <v>0</v>
      </c>
      <c r="V28" s="385">
        <f t="shared" si="18"/>
        <v>0</v>
      </c>
      <c r="W28" s="385">
        <f t="shared" si="18"/>
        <v>0</v>
      </c>
      <c r="X28" s="385">
        <f t="shared" si="18"/>
        <v>0</v>
      </c>
      <c r="Y28" s="385">
        <f t="shared" si="18"/>
        <v>0</v>
      </c>
      <c r="Z28" s="385">
        <f t="shared" si="18"/>
        <v>0</v>
      </c>
      <c r="AA28" s="385">
        <f t="shared" si="18"/>
        <v>0</v>
      </c>
      <c r="AB28" s="385">
        <f t="shared" si="18"/>
        <v>0</v>
      </c>
      <c r="AC28" s="385">
        <f t="shared" si="18"/>
        <v>0</v>
      </c>
      <c r="AD28" s="385">
        <f t="shared" si="18"/>
        <v>0</v>
      </c>
      <c r="AE28" s="385">
        <f t="shared" si="18"/>
        <v>0</v>
      </c>
      <c r="AF28" s="385">
        <f>$B28*AF7</f>
        <v>0</v>
      </c>
      <c r="AG28" s="385"/>
      <c r="AH28" s="385"/>
      <c r="AI28" s="385"/>
      <c r="AJ28" s="385"/>
      <c r="AK28" s="385"/>
      <c r="AL28" s="385"/>
      <c r="AM28" s="386"/>
      <c r="AN28" s="386"/>
      <c r="AO28" s="386"/>
      <c r="AP28" s="386"/>
      <c r="AQ28" s="387"/>
      <c r="AR28" s="387"/>
      <c r="AS28" s="388"/>
      <c r="AT28" s="389"/>
      <c r="AU28" s="389"/>
      <c r="AV28" s="384">
        <f t="shared" si="1"/>
        <v>1000000</v>
      </c>
      <c r="AW28" s="357">
        <f t="shared" si="3"/>
        <v>1000000</v>
      </c>
      <c r="AX28" s="357">
        <f t="shared" si="5"/>
        <v>0</v>
      </c>
      <c r="AY28"/>
      <c r="AZ28" s="491"/>
      <c r="BA28"/>
    </row>
    <row r="29" spans="1:53" ht="15.6" thickTop="1" thickBot="1" x14ac:dyDescent="0.35">
      <c r="A29" s="390" t="s">
        <v>216</v>
      </c>
      <c r="B29" s="391">
        <f>SUM(B8:B28)</f>
        <v>386084693.06083935</v>
      </c>
      <c r="C29" s="392">
        <f t="shared" ref="C29:AJ29" si="19">SUM(C8:C28)</f>
        <v>12565473.489786668</v>
      </c>
      <c r="D29" s="392">
        <f t="shared" si="19"/>
        <v>13352065.029786667</v>
      </c>
      <c r="E29" s="392">
        <f t="shared" si="19"/>
        <v>13214770.029786667</v>
      </c>
      <c r="F29" s="392">
        <f t="shared" si="19"/>
        <v>13214770.029786667</v>
      </c>
      <c r="G29" s="392">
        <f t="shared" si="19"/>
        <v>13214770.029786667</v>
      </c>
      <c r="H29" s="392">
        <f t="shared" si="19"/>
        <v>25177875.697126668</v>
      </c>
      <c r="I29" s="392">
        <f t="shared" si="19"/>
        <v>27162948.519573335</v>
      </c>
      <c r="J29" s="392">
        <f t="shared" si="19"/>
        <v>29704655.741795558</v>
      </c>
      <c r="K29" s="392">
        <f t="shared" si="19"/>
        <v>28935237.281795558</v>
      </c>
      <c r="L29" s="392">
        <f t="shared" si="19"/>
        <v>28935237.281795558</v>
      </c>
      <c r="M29" s="392">
        <f t="shared" si="19"/>
        <v>28935237.281795558</v>
      </c>
      <c r="N29" s="392">
        <f t="shared" si="19"/>
        <v>32096080.155283172</v>
      </c>
      <c r="O29" s="392">
        <f t="shared" si="19"/>
        <v>23396123.662943169</v>
      </c>
      <c r="P29" s="392">
        <f t="shared" si="19"/>
        <v>28384532.122943167</v>
      </c>
      <c r="Q29" s="392">
        <f t="shared" si="19"/>
        <v>23349532.122943167</v>
      </c>
      <c r="R29" s="392">
        <f t="shared" si="19"/>
        <v>20198689.249455553</v>
      </c>
      <c r="S29" s="392">
        <f t="shared" si="19"/>
        <v>19602695.334455557</v>
      </c>
      <c r="T29" s="392">
        <f t="shared" si="19"/>
        <v>0</v>
      </c>
      <c r="U29" s="392">
        <f t="shared" si="19"/>
        <v>0</v>
      </c>
      <c r="V29" s="392">
        <f t="shared" si="19"/>
        <v>0</v>
      </c>
      <c r="W29" s="392">
        <f t="shared" si="19"/>
        <v>0</v>
      </c>
      <c r="X29" s="392">
        <f t="shared" si="19"/>
        <v>0</v>
      </c>
      <c r="Y29" s="392">
        <f t="shared" si="19"/>
        <v>0</v>
      </c>
      <c r="Z29" s="392">
        <f t="shared" si="19"/>
        <v>0</v>
      </c>
      <c r="AA29" s="392">
        <f t="shared" si="19"/>
        <v>0</v>
      </c>
      <c r="AB29" s="392">
        <f t="shared" si="19"/>
        <v>0</v>
      </c>
      <c r="AC29" s="392">
        <f t="shared" si="19"/>
        <v>0</v>
      </c>
      <c r="AD29" s="392">
        <f t="shared" si="19"/>
        <v>0</v>
      </c>
      <c r="AE29" s="392">
        <f t="shared" si="19"/>
        <v>0</v>
      </c>
      <c r="AF29" s="392">
        <f t="shared" si="19"/>
        <v>0</v>
      </c>
      <c r="AG29" s="392">
        <f t="shared" si="19"/>
        <v>0</v>
      </c>
      <c r="AH29" s="392">
        <f t="shared" si="19"/>
        <v>0</v>
      </c>
      <c r="AI29" s="392">
        <f t="shared" si="19"/>
        <v>0</v>
      </c>
      <c r="AJ29" s="392">
        <f t="shared" si="19"/>
        <v>0</v>
      </c>
      <c r="AK29" s="392"/>
      <c r="AL29" s="392"/>
      <c r="AM29" s="392"/>
      <c r="AN29" s="392"/>
      <c r="AO29" s="392"/>
      <c r="AP29" s="392"/>
      <c r="AQ29" s="392"/>
      <c r="AR29" s="393"/>
      <c r="AS29" s="394"/>
      <c r="AT29" s="395"/>
      <c r="AU29" s="395"/>
      <c r="AV29" s="396">
        <f>SUM(AV8:AV28)</f>
        <v>381440693.06083935</v>
      </c>
      <c r="AW29" s="397">
        <f>SUM(AW8:AW28)</f>
        <v>386084693.06083935</v>
      </c>
      <c r="AX29" s="397"/>
      <c r="AY29"/>
      <c r="AZ29" s="491"/>
      <c r="BA29"/>
    </row>
    <row r="30" spans="1:53" ht="14.4" x14ac:dyDescent="0.3">
      <c r="A30" s="398" t="s">
        <v>519</v>
      </c>
      <c r="B30" s="399">
        <f>IF('6a| Phase 1 Financial'!B85&lt;0,'6a| Phase 1 Financial'!B85,0)</f>
        <v>-4709000</v>
      </c>
      <c r="C30" s="400"/>
      <c r="D30" s="401"/>
      <c r="E30" s="401"/>
      <c r="F30" s="401"/>
      <c r="G30" s="401"/>
      <c r="H30" s="401"/>
      <c r="I30" s="401"/>
      <c r="J30" s="401"/>
      <c r="K30" s="401"/>
      <c r="L30" s="401"/>
      <c r="M30" s="401"/>
      <c r="N30" s="401"/>
      <c r="O30" s="401"/>
      <c r="P30" s="401"/>
      <c r="Q30" s="401"/>
      <c r="R30" s="401"/>
      <c r="S30" s="401"/>
      <c r="T30" s="401"/>
      <c r="U30" s="401"/>
      <c r="V30" s="401"/>
      <c r="W30" s="401"/>
      <c r="X30" s="401"/>
      <c r="Y30" s="401"/>
      <c r="Z30" s="402"/>
      <c r="AA30" s="402"/>
      <c r="AB30" s="402"/>
      <c r="AC30" s="402"/>
      <c r="AD30" s="402"/>
      <c r="AE30" s="402"/>
      <c r="AF30" s="402"/>
      <c r="AG30" s="402"/>
      <c r="AH30" s="401"/>
      <c r="AI30" s="401"/>
      <c r="AJ30" s="401"/>
      <c r="AK30" s="400"/>
      <c r="AL30" s="403"/>
      <c r="AM30" s="401"/>
      <c r="AN30" s="401"/>
      <c r="AO30" s="401"/>
      <c r="AP30" s="400"/>
      <c r="AQ30" s="401"/>
      <c r="AR30" s="401"/>
      <c r="AS30" s="404"/>
      <c r="AT30" s="405"/>
      <c r="AU30" s="405"/>
      <c r="AV30" s="400"/>
      <c r="AW30" s="400"/>
      <c r="AX30" s="373"/>
      <c r="AY30"/>
      <c r="AZ30" s="491"/>
      <c r="BA30"/>
    </row>
    <row r="31" spans="1:53" ht="15" thickBot="1" x14ac:dyDescent="0.35">
      <c r="A31" s="406" t="s">
        <v>520</v>
      </c>
      <c r="B31" s="407">
        <f>B29+B30</f>
        <v>381375693.06083935</v>
      </c>
      <c r="C31" s="408"/>
      <c r="D31" s="409"/>
      <c r="E31" s="409"/>
      <c r="F31" s="409"/>
      <c r="G31" s="409"/>
      <c r="H31" s="409"/>
      <c r="I31" s="409"/>
      <c r="J31" s="409"/>
      <c r="K31" s="409"/>
      <c r="L31" s="409"/>
      <c r="M31" s="409"/>
      <c r="N31" s="409"/>
      <c r="O31" s="409"/>
      <c r="P31" s="409"/>
      <c r="Q31" s="409"/>
      <c r="R31" s="409"/>
      <c r="S31" s="409"/>
      <c r="T31" s="409"/>
      <c r="U31" s="409"/>
      <c r="V31" s="409"/>
      <c r="W31" s="409"/>
      <c r="X31" s="409"/>
      <c r="Y31" s="409"/>
      <c r="Z31" s="410"/>
      <c r="AA31" s="410"/>
      <c r="AB31" s="410"/>
      <c r="AC31" s="410"/>
      <c r="AD31" s="410"/>
      <c r="AE31" s="410"/>
      <c r="AF31" s="410"/>
      <c r="AG31" s="410"/>
      <c r="AH31" s="409"/>
      <c r="AI31" s="409"/>
      <c r="AJ31" s="409"/>
      <c r="AK31" s="408"/>
      <c r="AL31" s="411"/>
      <c r="AM31" s="409"/>
      <c r="AN31" s="409"/>
      <c r="AO31" s="409"/>
      <c r="AP31" s="408"/>
      <c r="AQ31" s="409"/>
      <c r="AR31" s="409"/>
      <c r="AS31" s="412"/>
      <c r="AT31" s="413"/>
      <c r="AU31" s="413"/>
      <c r="AV31" s="400"/>
      <c r="AW31" s="400"/>
      <c r="AX31" s="373"/>
      <c r="AY31"/>
      <c r="AZ31" s="491"/>
      <c r="BA31"/>
    </row>
    <row r="32" spans="1:53" ht="14.4" x14ac:dyDescent="0.3">
      <c r="A32" s="414" t="s">
        <v>521</v>
      </c>
      <c r="B32" s="415">
        <f>SUM(C32:AS32)</f>
        <v>152550000</v>
      </c>
      <c r="C32" s="416">
        <f>C29</f>
        <v>12565473.489786668</v>
      </c>
      <c r="D32" s="416">
        <f t="shared" ref="D32:S32" si="20">IF(C33+D29&lt;=$B$33,D29,($B$33-C33))</f>
        <v>13352065.029786667</v>
      </c>
      <c r="E32" s="416">
        <f t="shared" si="20"/>
        <v>13214770.029786667</v>
      </c>
      <c r="F32" s="416">
        <f t="shared" si="20"/>
        <v>13214770.029786667</v>
      </c>
      <c r="G32" s="416">
        <f t="shared" si="20"/>
        <v>13214770.029786667</v>
      </c>
      <c r="H32" s="416">
        <f t="shared" si="20"/>
        <v>25177875.697126668</v>
      </c>
      <c r="I32" s="416">
        <f t="shared" si="20"/>
        <v>27162948.519573335</v>
      </c>
      <c r="J32" s="416">
        <f>IF(I33+J29&lt;=$B$33,J29,($B$33-I33))</f>
        <v>29704655.741795558</v>
      </c>
      <c r="K32" s="416">
        <f t="shared" si="20"/>
        <v>4942671.4325711131</v>
      </c>
      <c r="L32" s="416">
        <f t="shared" si="20"/>
        <v>0</v>
      </c>
      <c r="M32" s="416">
        <f t="shared" si="20"/>
        <v>0</v>
      </c>
      <c r="N32" s="416">
        <f t="shared" si="20"/>
        <v>0</v>
      </c>
      <c r="O32" s="416">
        <f t="shared" si="20"/>
        <v>0</v>
      </c>
      <c r="P32" s="416">
        <f t="shared" si="20"/>
        <v>0</v>
      </c>
      <c r="Q32" s="416">
        <f t="shared" si="20"/>
        <v>0</v>
      </c>
      <c r="R32" s="416">
        <f t="shared" si="20"/>
        <v>0</v>
      </c>
      <c r="S32" s="416">
        <f t="shared" si="20"/>
        <v>0</v>
      </c>
      <c r="T32" s="416"/>
      <c r="U32" s="416"/>
      <c r="V32" s="416"/>
      <c r="W32" s="416"/>
      <c r="X32" s="416"/>
      <c r="Y32" s="416"/>
      <c r="Z32" s="416"/>
      <c r="AA32" s="416"/>
      <c r="AB32" s="416"/>
      <c r="AC32" s="416"/>
      <c r="AD32" s="416"/>
      <c r="AE32" s="416"/>
      <c r="AF32" s="416"/>
      <c r="AG32" s="416"/>
      <c r="AH32" s="416"/>
      <c r="AI32" s="416"/>
      <c r="AJ32" s="416"/>
      <c r="AK32" s="416"/>
      <c r="AL32" s="416"/>
      <c r="AM32" s="416"/>
      <c r="AN32" s="416"/>
      <c r="AO32" s="416"/>
      <c r="AP32" s="416"/>
      <c r="AQ32" s="416"/>
      <c r="AR32" s="416"/>
      <c r="AS32" s="416"/>
      <c r="AT32" s="416"/>
      <c r="AU32" s="416"/>
      <c r="AV32" s="375"/>
      <c r="AW32" s="375"/>
      <c r="AX32" s="375"/>
      <c r="AY32"/>
      <c r="AZ32" s="491"/>
      <c r="BA32"/>
    </row>
    <row r="33" spans="1:53" ht="15" thickBot="1" x14ac:dyDescent="0.35">
      <c r="A33" s="417" t="s">
        <v>522</v>
      </c>
      <c r="B33" s="418">
        <f>'6a| Phase 1 Financial'!B88</f>
        <v>152550000</v>
      </c>
      <c r="C33" s="419">
        <f>C32</f>
        <v>12565473.489786668</v>
      </c>
      <c r="D33" s="419">
        <f>IF(SUM($C$32:D32)&lt;=$B33,SUM($C$32:D32),0)</f>
        <v>25917538.519573335</v>
      </c>
      <c r="E33" s="419">
        <f>IF(SUM($C$32:E32)&lt;=$B33,SUM($C$32:E32),0)</f>
        <v>39132308.54936</v>
      </c>
      <c r="F33" s="419">
        <f>IF(SUM($C$32:F32)&lt;=$B33,SUM($C$32:F32),0)</f>
        <v>52347078.579146668</v>
      </c>
      <c r="G33" s="419">
        <f>IF(SUM($C$32:G32)&lt;=$B33,SUM($C$32:G32),0)</f>
        <v>65561848.608933337</v>
      </c>
      <c r="H33" s="419">
        <f>IF(SUM($C$32:H32)&lt;=$B33,SUM($C$32:H32),0)</f>
        <v>90739724.306060001</v>
      </c>
      <c r="I33" s="419">
        <f>IF(SUM($C$32:I32)&lt;=$B33,SUM($C$32:I32),0)</f>
        <v>117902672.82563333</v>
      </c>
      <c r="J33" s="419">
        <f>IF(SUM($C$32:J32)&lt;=$B33,SUM($C$32:J32),0)</f>
        <v>147607328.56742889</v>
      </c>
      <c r="K33" s="419">
        <f>IF(SUM($C$32:K32)&lt;=$B33,SUM($C$32:K32),0)</f>
        <v>152550000</v>
      </c>
      <c r="L33" s="419">
        <f>IF(SUM($C$32:L32)&lt;=$B33,SUM($C$32:L32),0)</f>
        <v>152550000</v>
      </c>
      <c r="M33" s="419">
        <f>IF(SUM($C$32:M32)&lt;=$B33,SUM($C$32:M32),0)</f>
        <v>152550000</v>
      </c>
      <c r="N33" s="419">
        <f>IF(SUM($C$32:N32)&lt;=$B33,SUM($C$32:N32),0)</f>
        <v>152550000</v>
      </c>
      <c r="O33" s="419">
        <f>IF(SUM($C$32:O32)&lt;=$B33,SUM($C$32:O32),0)</f>
        <v>152550000</v>
      </c>
      <c r="P33" s="419">
        <f>IF(SUM($C$32:P32)&lt;=$B33,SUM($C$32:P32),0)</f>
        <v>152550000</v>
      </c>
      <c r="Q33" s="419">
        <f>IF(SUM($C$32:Q32)&lt;=$B33,SUM($C$32:Q32),0)</f>
        <v>152550000</v>
      </c>
      <c r="R33" s="419">
        <f>IF(SUM($C$32:R32)&lt;=$B33,SUM($C$32:R32),0)</f>
        <v>152550000</v>
      </c>
      <c r="S33" s="419">
        <f>IF(SUM($C$32:S32)&lt;=$B33,SUM($C$32:S32),0)</f>
        <v>152550000</v>
      </c>
      <c r="T33" s="419"/>
      <c r="U33" s="419"/>
      <c r="V33" s="419"/>
      <c r="W33" s="419"/>
      <c r="X33" s="419"/>
      <c r="Y33" s="419"/>
      <c r="Z33" s="419"/>
      <c r="AA33" s="419"/>
      <c r="AB33" s="419"/>
      <c r="AC33" s="419"/>
      <c r="AD33" s="419"/>
      <c r="AE33" s="419"/>
      <c r="AF33" s="419"/>
      <c r="AG33" s="419"/>
      <c r="AH33" s="419"/>
      <c r="AI33" s="419"/>
      <c r="AJ33" s="419"/>
      <c r="AK33" s="419"/>
      <c r="AL33" s="419"/>
      <c r="AM33" s="419"/>
      <c r="AN33" s="419"/>
      <c r="AO33" s="419"/>
      <c r="AP33" s="419"/>
      <c r="AQ33" s="419"/>
      <c r="AR33" s="419"/>
      <c r="AS33" s="419"/>
      <c r="AT33" s="419"/>
      <c r="AU33" s="419"/>
      <c r="AV33" s="375"/>
      <c r="AW33" s="375"/>
      <c r="AX33" s="375"/>
      <c r="AY33"/>
      <c r="AZ33" s="491"/>
      <c r="BA33"/>
    </row>
    <row r="34" spans="1:53" ht="14.4" x14ac:dyDescent="0.3">
      <c r="A34" s="420" t="s">
        <v>523</v>
      </c>
      <c r="B34" s="421">
        <f>'6a| Phase 1 Financial'!B87</f>
        <v>228825000</v>
      </c>
      <c r="C34" s="422"/>
      <c r="D34" s="423"/>
      <c r="E34" s="423"/>
      <c r="F34" s="423"/>
      <c r="G34" s="423"/>
      <c r="H34" s="423"/>
      <c r="I34" s="423"/>
      <c r="J34" s="423"/>
      <c r="K34" s="423"/>
      <c r="L34" s="423"/>
      <c r="M34" s="423"/>
      <c r="N34" s="423"/>
      <c r="O34" s="423"/>
      <c r="P34" s="423"/>
      <c r="Q34" s="423"/>
      <c r="R34" s="423"/>
      <c r="S34" s="423"/>
      <c r="T34" s="423"/>
      <c r="U34" s="423"/>
      <c r="V34" s="423"/>
      <c r="W34" s="423"/>
      <c r="X34" s="423"/>
      <c r="Y34" s="423"/>
      <c r="Z34" s="423"/>
      <c r="AA34" s="423"/>
      <c r="AB34" s="423"/>
      <c r="AC34" s="423"/>
      <c r="AD34" s="423"/>
      <c r="AE34" s="423"/>
      <c r="AF34" s="423"/>
      <c r="AG34" s="423"/>
      <c r="AH34" s="423"/>
      <c r="AI34" s="423"/>
      <c r="AJ34" s="423"/>
      <c r="AK34" s="423"/>
      <c r="AL34" s="423"/>
      <c r="AM34" s="423"/>
      <c r="AN34" s="423"/>
      <c r="AO34" s="423"/>
      <c r="AP34" s="423"/>
      <c r="AQ34" s="423"/>
      <c r="AR34" s="423"/>
      <c r="AS34" s="423"/>
      <c r="AT34" s="423"/>
      <c r="AU34" s="423"/>
      <c r="AV34" s="424"/>
      <c r="AW34" s="424"/>
      <c r="AX34" s="375"/>
      <c r="AY34"/>
      <c r="AZ34" s="491"/>
      <c r="BA34"/>
    </row>
    <row r="35" spans="1:53" ht="15" thickBot="1" x14ac:dyDescent="0.35">
      <c r="A35" s="417" t="s">
        <v>524</v>
      </c>
      <c r="B35" s="425">
        <f>PMT(0.045,30,(B34))</f>
        <v>-14047919.806058826</v>
      </c>
      <c r="C35" s="424"/>
      <c r="D35" s="426"/>
      <c r="E35" s="426"/>
      <c r="F35" s="426"/>
      <c r="G35" s="426"/>
      <c r="H35" s="426"/>
      <c r="I35" s="426"/>
      <c r="J35" s="426"/>
      <c r="K35" s="426"/>
      <c r="L35" s="426"/>
      <c r="M35" s="426"/>
      <c r="N35" s="426"/>
      <c r="O35" s="426"/>
      <c r="P35" s="426"/>
      <c r="Q35" s="426"/>
      <c r="R35" s="426"/>
      <c r="S35" s="426"/>
      <c r="T35" s="426"/>
      <c r="U35" s="426"/>
      <c r="V35" s="426"/>
      <c r="W35" s="426"/>
      <c r="X35" s="426"/>
      <c r="Y35" s="426"/>
      <c r="Z35" s="426"/>
      <c r="AA35" s="426"/>
      <c r="AB35" s="426"/>
      <c r="AC35" s="426"/>
      <c r="AD35" s="426"/>
      <c r="AE35" s="426"/>
      <c r="AF35" s="426"/>
      <c r="AG35" s="426"/>
      <c r="AH35" s="426"/>
      <c r="AI35" s="426"/>
      <c r="AJ35" s="426"/>
      <c r="AK35" s="426"/>
      <c r="AL35" s="426"/>
      <c r="AM35" s="426"/>
      <c r="AN35" s="426"/>
      <c r="AO35" s="426"/>
      <c r="AP35" s="426"/>
      <c r="AQ35" s="426"/>
      <c r="AR35" s="426"/>
      <c r="AS35" s="426"/>
      <c r="AT35" s="426"/>
      <c r="AU35" s="426"/>
      <c r="AV35" s="424"/>
      <c r="AW35" s="424"/>
      <c r="AX35" s="375"/>
      <c r="AY35"/>
      <c r="AZ35" s="491"/>
      <c r="BA35"/>
    </row>
    <row r="36" spans="1:53" ht="14.4" x14ac:dyDescent="0.3">
      <c r="A36" s="427" t="s">
        <v>525</v>
      </c>
      <c r="B36" s="428">
        <f>SUM(C36:AV36)</f>
        <v>0</v>
      </c>
      <c r="C36" s="357"/>
      <c r="D36" s="357"/>
      <c r="E36" s="357"/>
      <c r="F36" s="357"/>
      <c r="G36" s="357"/>
      <c r="H36" s="357"/>
      <c r="I36" s="357"/>
      <c r="J36" s="357"/>
      <c r="K36" s="357"/>
      <c r="L36" s="357"/>
      <c r="M36" s="357"/>
      <c r="N36" s="357"/>
      <c r="O36" s="357"/>
      <c r="P36" s="357"/>
      <c r="Q36" s="357"/>
      <c r="R36" s="357"/>
      <c r="S36" s="357"/>
      <c r="T36" s="357"/>
      <c r="U36" s="357"/>
      <c r="V36" s="357"/>
      <c r="W36" s="357"/>
      <c r="X36" s="357"/>
      <c r="Y36" s="357"/>
      <c r="Z36" s="357"/>
      <c r="AA36" s="357"/>
      <c r="AB36" s="357"/>
      <c r="AC36" s="357"/>
      <c r="AD36" s="357"/>
      <c r="AE36" s="357"/>
      <c r="AF36" s="357"/>
      <c r="AG36" s="357"/>
      <c r="AH36" s="357"/>
      <c r="AI36" s="357"/>
      <c r="AJ36" s="357"/>
      <c r="AK36" s="357"/>
      <c r="AL36" s="357"/>
      <c r="AM36" s="357"/>
      <c r="AN36" s="357"/>
      <c r="AO36" s="357"/>
      <c r="AP36" s="357"/>
      <c r="AQ36" s="357"/>
      <c r="AR36" s="357"/>
      <c r="AT36" s="98">
        <v>0</v>
      </c>
      <c r="AU36" s="98">
        <v>0</v>
      </c>
      <c r="AV36" s="402"/>
      <c r="AW36" s="424"/>
      <c r="AX36" s="375"/>
      <c r="AY36"/>
      <c r="AZ36" s="491"/>
      <c r="BA36"/>
    </row>
    <row r="37" spans="1:53" ht="14.4" x14ac:dyDescent="0.3">
      <c r="A37" s="429" t="s">
        <v>526</v>
      </c>
      <c r="B37" s="428"/>
      <c r="C37" s="357"/>
      <c r="D37" s="357"/>
      <c r="E37" s="357"/>
      <c r="F37" s="357"/>
      <c r="G37" s="357"/>
      <c r="H37" s="357"/>
      <c r="I37" s="357"/>
      <c r="J37" s="357"/>
      <c r="K37" s="357"/>
      <c r="L37" s="357"/>
      <c r="M37" s="357"/>
      <c r="N37" s="357"/>
      <c r="O37" s="357"/>
      <c r="P37" s="357"/>
      <c r="Q37" s="357"/>
      <c r="R37" s="357"/>
      <c r="S37" s="357"/>
      <c r="T37" s="357"/>
      <c r="U37" s="357"/>
      <c r="V37" s="357"/>
      <c r="W37" s="357"/>
      <c r="X37" s="357"/>
      <c r="Y37" s="357"/>
      <c r="Z37" s="357"/>
      <c r="AA37" s="357"/>
      <c r="AB37" s="357"/>
      <c r="AC37" s="357"/>
      <c r="AD37" s="357"/>
      <c r="AE37" s="357"/>
      <c r="AF37" s="357"/>
      <c r="AG37" s="357"/>
      <c r="AH37" s="357"/>
      <c r="AI37" s="357"/>
      <c r="AJ37" s="357"/>
      <c r="AK37" s="357"/>
      <c r="AL37" s="357"/>
      <c r="AM37" s="357"/>
      <c r="AN37" s="357"/>
      <c r="AO37" s="357"/>
      <c r="AP37" s="357"/>
      <c r="AQ37" s="357"/>
      <c r="AR37" s="357"/>
      <c r="AS37" s="98"/>
      <c r="AT37" s="98"/>
      <c r="AU37" s="98"/>
      <c r="AV37" s="402"/>
      <c r="AW37" s="426"/>
      <c r="AX37" s="375"/>
      <c r="AY37"/>
      <c r="AZ37" s="491"/>
      <c r="BA37"/>
    </row>
    <row r="38" spans="1:53" ht="14.4" x14ac:dyDescent="0.3">
      <c r="A38" s="430" t="s">
        <v>527</v>
      </c>
      <c r="B38" s="431">
        <f>'6a| Phase 1 Financial'!B95-'6b| Phase 1 Draw'!B34</f>
        <v>257047000</v>
      </c>
      <c r="C38" s="402"/>
      <c r="D38" s="432"/>
      <c r="E38" s="432"/>
      <c r="F38" s="432"/>
      <c r="G38" s="432"/>
      <c r="H38" s="432"/>
      <c r="I38" s="432"/>
      <c r="J38" s="432"/>
      <c r="K38" s="432"/>
      <c r="L38" s="432"/>
      <c r="M38" s="432"/>
      <c r="N38" s="432"/>
      <c r="O38" s="432"/>
      <c r="P38" s="432"/>
      <c r="Q38" s="432"/>
      <c r="R38" s="432"/>
      <c r="S38" s="432"/>
      <c r="T38" s="432"/>
      <c r="U38" s="432"/>
      <c r="V38" s="432"/>
      <c r="W38" s="432"/>
      <c r="X38" s="432"/>
      <c r="Y38" s="432"/>
      <c r="Z38" s="432"/>
      <c r="AA38" s="432"/>
      <c r="AB38" s="432"/>
      <c r="AC38" s="432"/>
      <c r="AD38" s="432"/>
      <c r="AE38" s="432"/>
      <c r="AF38" s="432"/>
      <c r="AG38" s="433"/>
      <c r="AH38" s="432"/>
      <c r="AI38" s="432"/>
      <c r="AJ38" s="432"/>
      <c r="AK38" s="432"/>
      <c r="AL38" s="432"/>
      <c r="AM38" s="432"/>
      <c r="AN38" s="432"/>
      <c r="AO38" s="432"/>
      <c r="AP38" s="432"/>
      <c r="AQ38" s="432"/>
      <c r="AR38" s="432"/>
      <c r="AS38" s="432"/>
      <c r="AT38" s="432"/>
      <c r="AU38" s="432"/>
      <c r="AV38" s="401"/>
      <c r="AW38" s="434"/>
      <c r="AX38" s="435"/>
      <c r="AY38"/>
      <c r="AZ38" s="491"/>
      <c r="BA38"/>
    </row>
    <row r="39" spans="1:53" ht="14.4" x14ac:dyDescent="0.3">
      <c r="A39" s="430" t="s">
        <v>528</v>
      </c>
      <c r="B39" s="436">
        <f>SUM(C39:AU39)</f>
        <v>104497000</v>
      </c>
      <c r="C39" s="437">
        <f>-C32</f>
        <v>-12565473.489786668</v>
      </c>
      <c r="D39" s="437">
        <f t="shared" ref="D39:AR39" si="21">-D32</f>
        <v>-13352065.029786667</v>
      </c>
      <c r="E39" s="437">
        <f t="shared" si="21"/>
        <v>-13214770.029786667</v>
      </c>
      <c r="F39" s="437">
        <f t="shared" si="21"/>
        <v>-13214770.029786667</v>
      </c>
      <c r="G39" s="437">
        <f t="shared" si="21"/>
        <v>-13214770.029786667</v>
      </c>
      <c r="H39" s="437">
        <f t="shared" si="21"/>
        <v>-25177875.697126668</v>
      </c>
      <c r="I39" s="437">
        <f t="shared" si="21"/>
        <v>-27162948.519573335</v>
      </c>
      <c r="J39" s="437">
        <f t="shared" si="21"/>
        <v>-29704655.741795558</v>
      </c>
      <c r="K39" s="437">
        <f t="shared" si="21"/>
        <v>-4942671.4325711131</v>
      </c>
      <c r="L39" s="437">
        <f t="shared" si="21"/>
        <v>0</v>
      </c>
      <c r="M39" s="437">
        <f t="shared" si="21"/>
        <v>0</v>
      </c>
      <c r="N39" s="437">
        <f t="shared" si="21"/>
        <v>0</v>
      </c>
      <c r="O39" s="437">
        <f t="shared" si="21"/>
        <v>0</v>
      </c>
      <c r="P39" s="437">
        <f t="shared" si="21"/>
        <v>0</v>
      </c>
      <c r="Q39" s="437">
        <f t="shared" si="21"/>
        <v>0</v>
      </c>
      <c r="R39" s="437">
        <f t="shared" si="21"/>
        <v>0</v>
      </c>
      <c r="S39" s="437">
        <f>B38</f>
        <v>257047000</v>
      </c>
      <c r="T39" s="437">
        <f t="shared" si="21"/>
        <v>0</v>
      </c>
      <c r="U39" s="437">
        <f t="shared" si="21"/>
        <v>0</v>
      </c>
      <c r="V39" s="437">
        <f t="shared" si="21"/>
        <v>0</v>
      </c>
      <c r="W39" s="437">
        <f t="shared" si="21"/>
        <v>0</v>
      </c>
      <c r="X39" s="437">
        <f t="shared" si="21"/>
        <v>0</v>
      </c>
      <c r="Y39" s="437">
        <f t="shared" si="21"/>
        <v>0</v>
      </c>
      <c r="Z39" s="437">
        <f t="shared" si="21"/>
        <v>0</v>
      </c>
      <c r="AA39" s="437">
        <f t="shared" si="21"/>
        <v>0</v>
      </c>
      <c r="AB39" s="437">
        <f t="shared" si="21"/>
        <v>0</v>
      </c>
      <c r="AC39" s="437">
        <f t="shared" si="21"/>
        <v>0</v>
      </c>
      <c r="AD39" s="437">
        <f t="shared" si="21"/>
        <v>0</v>
      </c>
      <c r="AE39" s="437">
        <f t="shared" si="21"/>
        <v>0</v>
      </c>
      <c r="AF39" s="437">
        <f t="shared" si="21"/>
        <v>0</v>
      </c>
      <c r="AG39" s="437">
        <f t="shared" si="21"/>
        <v>0</v>
      </c>
      <c r="AH39" s="437">
        <f t="shared" si="21"/>
        <v>0</v>
      </c>
      <c r="AI39" s="437">
        <f t="shared" si="21"/>
        <v>0</v>
      </c>
      <c r="AJ39" s="438"/>
      <c r="AK39" s="439">
        <f t="shared" si="21"/>
        <v>0</v>
      </c>
      <c r="AL39" s="440">
        <f t="shared" si="21"/>
        <v>0</v>
      </c>
      <c r="AM39" s="440">
        <f t="shared" si="21"/>
        <v>0</v>
      </c>
      <c r="AN39" s="440">
        <f t="shared" si="21"/>
        <v>0</v>
      </c>
      <c r="AO39" s="440">
        <f t="shared" si="21"/>
        <v>0</v>
      </c>
      <c r="AP39" s="440">
        <f t="shared" si="21"/>
        <v>0</v>
      </c>
      <c r="AQ39" s="440">
        <f t="shared" si="21"/>
        <v>0</v>
      </c>
      <c r="AR39" s="440">
        <f t="shared" si="21"/>
        <v>0</v>
      </c>
      <c r="AS39" s="441">
        <v>0</v>
      </c>
      <c r="AT39" s="441">
        <v>0</v>
      </c>
      <c r="AU39" s="441">
        <v>0</v>
      </c>
      <c r="AV39" s="442"/>
      <c r="AW39" s="357"/>
      <c r="AX39" s="443"/>
      <c r="AY39"/>
      <c r="AZ39" s="491"/>
      <c r="BA39"/>
    </row>
    <row r="40" spans="1:53" ht="14.4" x14ac:dyDescent="0.3">
      <c r="A40" s="430" t="s">
        <v>529</v>
      </c>
      <c r="B40" s="444">
        <f>IF(B39&lt;0,0,IRR(C39:S39))</f>
        <v>4.5438276766765817E-2</v>
      </c>
      <c r="C40" s="445"/>
      <c r="D40" s="445"/>
      <c r="E40" s="445"/>
      <c r="F40" s="445"/>
      <c r="G40" s="445"/>
      <c r="H40" s="445"/>
      <c r="I40" s="445"/>
      <c r="J40" s="445"/>
      <c r="K40" s="445"/>
      <c r="L40" s="445"/>
      <c r="M40" s="445"/>
      <c r="N40" s="445"/>
      <c r="O40" s="445"/>
      <c r="P40" s="445"/>
      <c r="Q40" s="445"/>
      <c r="R40" s="445"/>
      <c r="S40" s="445"/>
      <c r="T40" s="445"/>
      <c r="U40" s="445"/>
      <c r="V40" s="445"/>
      <c r="W40" s="445"/>
      <c r="X40" s="445"/>
      <c r="Y40" s="445"/>
      <c r="Z40" s="445"/>
      <c r="AA40" s="445"/>
      <c r="AB40" s="445"/>
      <c r="AC40" s="445"/>
      <c r="AD40" s="445"/>
      <c r="AE40" s="445"/>
      <c r="AF40" s="445"/>
      <c r="AG40" s="445"/>
      <c r="AH40" s="445"/>
      <c r="AI40" s="445"/>
      <c r="AJ40" s="445"/>
      <c r="AK40" s="445"/>
      <c r="AL40" s="445"/>
      <c r="AM40" s="445"/>
      <c r="AN40" s="445"/>
      <c r="AO40" s="445"/>
      <c r="AP40" s="445"/>
      <c r="AQ40" s="445"/>
      <c r="AR40" s="445"/>
      <c r="AS40" s="445"/>
      <c r="AT40" s="445"/>
      <c r="AU40" s="445"/>
      <c r="AV40" s="401"/>
      <c r="AW40" s="445"/>
      <c r="AX40" s="446"/>
      <c r="AY40"/>
      <c r="AZ40" s="491"/>
      <c r="BA40"/>
    </row>
    <row r="41" spans="1:53" x14ac:dyDescent="0.25">
      <c r="A41" s="442" t="s">
        <v>530</v>
      </c>
      <c r="B41" s="447">
        <f>POWER((1+B40),4)-1</f>
        <v>0.19452044595508977</v>
      </c>
      <c r="C41" s="401"/>
      <c r="D41" s="401"/>
      <c r="E41" s="448"/>
      <c r="F41" s="448"/>
      <c r="G41" s="448"/>
      <c r="H41" s="448"/>
      <c r="I41" s="448"/>
      <c r="J41" s="448"/>
      <c r="K41" s="448"/>
      <c r="L41" s="448"/>
      <c r="M41" s="448"/>
      <c r="N41" s="448"/>
      <c r="O41" s="448"/>
      <c r="P41" s="449"/>
      <c r="Q41" s="448"/>
      <c r="R41" s="448"/>
      <c r="S41" s="448"/>
      <c r="T41" s="448"/>
      <c r="U41" s="448"/>
      <c r="V41" s="449"/>
      <c r="W41" s="448"/>
      <c r="X41" s="448"/>
      <c r="Y41" s="448"/>
      <c r="Z41" s="448"/>
      <c r="AA41" s="448"/>
      <c r="AB41" s="448"/>
      <c r="AC41" s="448"/>
      <c r="AD41" s="448"/>
      <c r="AE41" s="448"/>
      <c r="AF41" s="448"/>
      <c r="AG41" s="448"/>
      <c r="AH41" s="448"/>
      <c r="AI41" s="445"/>
      <c r="AJ41" s="448"/>
      <c r="AK41" s="448"/>
      <c r="AL41" s="448"/>
      <c r="AM41" s="448"/>
      <c r="AN41" s="448"/>
      <c r="AO41" s="448"/>
      <c r="AP41" s="448"/>
      <c r="AQ41" s="448"/>
      <c r="AR41" s="450"/>
      <c r="AS41" s="450"/>
      <c r="AT41" s="448"/>
      <c r="AU41" s="448"/>
      <c r="AV41" s="448"/>
      <c r="AW41" s="448"/>
      <c r="AX41" s="451"/>
      <c r="AZ41" s="488"/>
    </row>
    <row r="42" spans="1:53" x14ac:dyDescent="0.25">
      <c r="A42" s="452" t="s">
        <v>531</v>
      </c>
      <c r="B42" s="453"/>
      <c r="C42" s="401"/>
      <c r="D42" s="401"/>
      <c r="E42" s="401"/>
      <c r="F42" s="401"/>
      <c r="G42" s="401"/>
      <c r="H42" s="401"/>
      <c r="I42" s="401"/>
      <c r="J42" s="401"/>
      <c r="K42" s="401"/>
      <c r="L42" s="401"/>
      <c r="M42" s="401"/>
      <c r="N42" s="401"/>
      <c r="O42" s="401"/>
      <c r="P42" s="401"/>
      <c r="Q42" s="401"/>
      <c r="R42" s="401"/>
      <c r="S42" s="401"/>
      <c r="T42" s="401"/>
      <c r="U42" s="401"/>
      <c r="V42" s="401"/>
      <c r="W42" s="401"/>
      <c r="X42" s="401"/>
      <c r="Y42" s="401"/>
      <c r="Z42" s="401"/>
      <c r="AA42" s="401"/>
      <c r="AB42" s="401"/>
      <c r="AC42" s="401"/>
      <c r="AD42" s="401"/>
      <c r="AE42" s="401"/>
      <c r="AF42" s="401"/>
      <c r="AG42" s="401"/>
      <c r="AH42" s="401"/>
      <c r="AI42" s="445"/>
      <c r="AJ42" s="401"/>
      <c r="AK42" s="401"/>
      <c r="AL42" s="401"/>
      <c r="AM42" s="401"/>
      <c r="AN42" s="401"/>
      <c r="AO42" s="401"/>
      <c r="AP42" s="401"/>
      <c r="AQ42" s="401"/>
      <c r="AR42" s="401"/>
      <c r="AS42" s="401"/>
      <c r="AT42" s="401"/>
      <c r="AU42" s="401"/>
      <c r="AV42" s="401"/>
      <c r="AW42" s="401"/>
      <c r="AZ42" s="488"/>
    </row>
    <row r="43" spans="1:53" x14ac:dyDescent="0.25">
      <c r="A43" s="430" t="s">
        <v>532</v>
      </c>
      <c r="B43" s="98">
        <f>'6a| Phase 1 Financial'!B95-B30</f>
        <v>490581000</v>
      </c>
      <c r="C43" s="401"/>
      <c r="D43" s="401"/>
      <c r="E43" s="401"/>
      <c r="F43" s="401"/>
      <c r="G43" s="401"/>
      <c r="H43" s="401"/>
      <c r="I43" s="401"/>
      <c r="J43" s="401"/>
      <c r="K43" s="401"/>
      <c r="L43" s="401"/>
      <c r="M43" s="426"/>
      <c r="N43" s="401"/>
      <c r="O43" s="401"/>
      <c r="P43" s="401"/>
      <c r="Q43" s="401"/>
      <c r="R43" s="401"/>
      <c r="S43" s="426"/>
      <c r="T43" s="401"/>
      <c r="U43" s="401"/>
      <c r="V43" s="401"/>
      <c r="W43" s="401"/>
      <c r="X43" s="401"/>
      <c r="Y43" s="401"/>
      <c r="Z43" s="401"/>
      <c r="AA43" s="401"/>
      <c r="AB43" s="401"/>
      <c r="AC43" s="401"/>
      <c r="AD43" s="401"/>
      <c r="AE43" s="401"/>
      <c r="AF43" s="401"/>
      <c r="AG43" s="401"/>
      <c r="AH43" s="401"/>
      <c r="AI43" s="445"/>
      <c r="AJ43" s="401"/>
      <c r="AK43" s="401"/>
      <c r="AL43" s="401"/>
      <c r="AM43" s="401"/>
      <c r="AN43" s="401"/>
      <c r="AO43" s="401"/>
      <c r="AP43" s="401"/>
      <c r="AQ43" s="401"/>
      <c r="AR43" s="401"/>
      <c r="AS43" s="401"/>
      <c r="AT43" s="401"/>
      <c r="AU43" s="401"/>
      <c r="AV43" s="401"/>
      <c r="AW43" s="401"/>
      <c r="AZ43" s="488"/>
    </row>
    <row r="44" spans="1:53" x14ac:dyDescent="0.25">
      <c r="A44" s="442" t="s">
        <v>533</v>
      </c>
      <c r="B44" s="454">
        <f>SUM(C44:AU44)</f>
        <v>109140306.93916065</v>
      </c>
      <c r="C44" s="357">
        <f>-C29</f>
        <v>-12565473.489786668</v>
      </c>
      <c r="D44" s="357">
        <f t="shared" ref="D44:AI44" si="22">-D29</f>
        <v>-13352065.029786667</v>
      </c>
      <c r="E44" s="357">
        <f t="shared" si="22"/>
        <v>-13214770.029786667</v>
      </c>
      <c r="F44" s="357">
        <f t="shared" si="22"/>
        <v>-13214770.029786667</v>
      </c>
      <c r="G44" s="357">
        <f>-G29</f>
        <v>-13214770.029786667</v>
      </c>
      <c r="H44" s="357">
        <f t="shared" si="22"/>
        <v>-25177875.697126668</v>
      </c>
      <c r="I44" s="357">
        <f t="shared" si="22"/>
        <v>-27162948.519573335</v>
      </c>
      <c r="J44" s="357">
        <f t="shared" si="22"/>
        <v>-29704655.741795558</v>
      </c>
      <c r="K44" s="357">
        <f t="shared" si="22"/>
        <v>-28935237.281795558</v>
      </c>
      <c r="L44" s="357">
        <f t="shared" si="22"/>
        <v>-28935237.281795558</v>
      </c>
      <c r="M44" s="357">
        <f t="shared" si="22"/>
        <v>-28935237.281795558</v>
      </c>
      <c r="N44" s="357">
        <f t="shared" si="22"/>
        <v>-32096080.155283172</v>
      </c>
      <c r="O44" s="357">
        <f t="shared" si="22"/>
        <v>-23396123.662943169</v>
      </c>
      <c r="P44" s="357">
        <f t="shared" si="22"/>
        <v>-28384532.122943167</v>
      </c>
      <c r="Q44" s="357">
        <f t="shared" si="22"/>
        <v>-23349532.122943167</v>
      </c>
      <c r="R44" s="357">
        <f t="shared" si="22"/>
        <v>-20198689.249455553</v>
      </c>
      <c r="S44" s="357">
        <f>B43-S29</f>
        <v>470978304.66554445</v>
      </c>
      <c r="T44" s="357">
        <f t="shared" si="22"/>
        <v>0</v>
      </c>
      <c r="U44" s="357">
        <f t="shared" si="22"/>
        <v>0</v>
      </c>
      <c r="V44" s="357">
        <f t="shared" si="22"/>
        <v>0</v>
      </c>
      <c r="W44" s="357">
        <f t="shared" si="22"/>
        <v>0</v>
      </c>
      <c r="X44" s="357">
        <f t="shared" si="22"/>
        <v>0</v>
      </c>
      <c r="Y44" s="357">
        <f t="shared" si="22"/>
        <v>0</v>
      </c>
      <c r="Z44" s="357">
        <f t="shared" si="22"/>
        <v>0</v>
      </c>
      <c r="AA44" s="357">
        <f t="shared" si="22"/>
        <v>0</v>
      </c>
      <c r="AB44" s="357">
        <f t="shared" si="22"/>
        <v>0</v>
      </c>
      <c r="AC44" s="357">
        <f t="shared" si="22"/>
        <v>0</v>
      </c>
      <c r="AD44" s="357">
        <f t="shared" si="22"/>
        <v>0</v>
      </c>
      <c r="AE44" s="357">
        <f t="shared" si="22"/>
        <v>0</v>
      </c>
      <c r="AF44" s="357">
        <f t="shared" si="22"/>
        <v>0</v>
      </c>
      <c r="AG44" s="357">
        <f t="shared" si="22"/>
        <v>0</v>
      </c>
      <c r="AH44" s="357">
        <f t="shared" si="22"/>
        <v>0</v>
      </c>
      <c r="AI44" s="357">
        <f t="shared" si="22"/>
        <v>0</v>
      </c>
      <c r="AJ44" s="455"/>
      <c r="AK44" s="357">
        <f t="shared" ref="AK44:AU44" si="23">IF(AK33&gt;=$B$33,-(AK29+AK39),AK39)</f>
        <v>0</v>
      </c>
      <c r="AL44" s="357">
        <f t="shared" si="23"/>
        <v>0</v>
      </c>
      <c r="AM44" s="357">
        <f t="shared" si="23"/>
        <v>0</v>
      </c>
      <c r="AN44" s="357">
        <f t="shared" si="23"/>
        <v>0</v>
      </c>
      <c r="AO44" s="357">
        <f t="shared" si="23"/>
        <v>0</v>
      </c>
      <c r="AP44" s="357">
        <f t="shared" si="23"/>
        <v>0</v>
      </c>
      <c r="AQ44" s="357">
        <f t="shared" si="23"/>
        <v>0</v>
      </c>
      <c r="AR44" s="357">
        <f t="shared" si="23"/>
        <v>0</v>
      </c>
      <c r="AS44" s="357">
        <f t="shared" si="23"/>
        <v>0</v>
      </c>
      <c r="AT44" s="357">
        <f t="shared" si="23"/>
        <v>0</v>
      </c>
      <c r="AU44" s="357">
        <f t="shared" si="23"/>
        <v>0</v>
      </c>
      <c r="AV44" s="442"/>
      <c r="AW44" s="442"/>
      <c r="AZ44" s="488"/>
    </row>
    <row r="45" spans="1:53" x14ac:dyDescent="0.25">
      <c r="A45" s="430" t="s">
        <v>534</v>
      </c>
      <c r="B45" s="444">
        <f>IF(B44&lt;0,0,IRR(C44:S44))</f>
        <v>3.4034606824703939E-2</v>
      </c>
      <c r="C45" s="401"/>
      <c r="D45" s="401"/>
      <c r="E45" s="401"/>
      <c r="F45" s="401"/>
      <c r="G45" s="401"/>
      <c r="H45" s="401"/>
      <c r="I45" s="401"/>
      <c r="J45" s="401"/>
      <c r="K45" s="401"/>
      <c r="L45" s="401"/>
      <c r="M45" s="401"/>
      <c r="N45" s="401"/>
      <c r="O45" s="401"/>
      <c r="P45" s="401"/>
      <c r="Q45" s="401"/>
      <c r="R45" s="401"/>
      <c r="S45" s="401"/>
      <c r="T45" s="401"/>
      <c r="U45" s="401"/>
      <c r="V45" s="401"/>
      <c r="W45" s="401"/>
      <c r="X45" s="401"/>
      <c r="Y45" s="401"/>
      <c r="Z45" s="401"/>
      <c r="AA45" s="401"/>
      <c r="AB45" s="401"/>
      <c r="AC45" s="401"/>
      <c r="AD45" s="401"/>
      <c r="AE45" s="401"/>
      <c r="AF45" s="401"/>
      <c r="AG45" s="401"/>
      <c r="AH45" s="401"/>
      <c r="AI45" s="445"/>
      <c r="AJ45" s="401"/>
      <c r="AK45" s="401"/>
      <c r="AL45" s="401"/>
      <c r="AM45" s="401"/>
      <c r="AN45" s="401"/>
      <c r="AO45" s="401"/>
      <c r="AP45" s="401"/>
      <c r="AQ45" s="401"/>
      <c r="AR45" s="401"/>
      <c r="AS45" s="401"/>
      <c r="AT45" s="401"/>
      <c r="AU45" s="401"/>
      <c r="AV45" s="401"/>
      <c r="AW45" s="401"/>
      <c r="AZ45" s="488"/>
    </row>
    <row r="46" spans="1:53" x14ac:dyDescent="0.25">
      <c r="A46" s="442" t="s">
        <v>535</v>
      </c>
      <c r="B46" s="447">
        <f>POWER((1+B45),4)-1</f>
        <v>0.1432475924088199</v>
      </c>
      <c r="C46" s="401"/>
      <c r="D46" s="401"/>
      <c r="E46" s="401"/>
      <c r="F46" s="401"/>
      <c r="G46" s="401"/>
      <c r="H46" s="401"/>
      <c r="I46" s="401"/>
      <c r="J46" s="401"/>
      <c r="K46" s="401"/>
      <c r="L46" s="401"/>
      <c r="M46" s="401"/>
      <c r="N46" s="401"/>
      <c r="O46" s="401"/>
      <c r="P46" s="401"/>
      <c r="Q46" s="401"/>
      <c r="R46" s="401"/>
      <c r="S46" s="401"/>
      <c r="T46" s="401"/>
      <c r="U46" s="401"/>
      <c r="V46" s="401"/>
      <c r="W46" s="401"/>
      <c r="X46" s="401"/>
      <c r="Y46" s="401"/>
      <c r="Z46" s="401"/>
      <c r="AA46" s="401"/>
      <c r="AB46" s="401"/>
      <c r="AC46" s="401"/>
      <c r="AD46" s="401"/>
      <c r="AE46" s="401"/>
      <c r="AF46" s="401"/>
      <c r="AG46" s="401"/>
      <c r="AH46" s="401"/>
      <c r="AI46" s="445"/>
      <c r="AJ46" s="401"/>
      <c r="AK46" s="401"/>
      <c r="AL46" s="401"/>
      <c r="AM46" s="401"/>
      <c r="AN46" s="401"/>
      <c r="AO46" s="401"/>
      <c r="AP46" s="401"/>
      <c r="AQ46" s="401"/>
      <c r="AR46" s="401"/>
      <c r="AS46" s="401"/>
      <c r="AT46" s="401"/>
      <c r="AU46" s="401"/>
      <c r="AV46" s="401"/>
      <c r="AW46" s="401"/>
      <c r="AZ46" s="488"/>
    </row>
    <row r="47" spans="1:53" x14ac:dyDescent="0.25">
      <c r="G47" s="65"/>
      <c r="AI47" s="301"/>
      <c r="AZ47" s="488"/>
    </row>
    <row r="48" spans="1:53" x14ac:dyDescent="0.25">
      <c r="G48" s="65"/>
      <c r="AZ48" s="488"/>
    </row>
    <row r="49" spans="1:52" x14ac:dyDescent="0.25">
      <c r="G49" s="65"/>
      <c r="AZ49" s="488"/>
    </row>
    <row r="50" spans="1:52" x14ac:dyDescent="0.25">
      <c r="G50" s="65"/>
      <c r="AZ50" s="488"/>
    </row>
    <row r="51" spans="1:52" x14ac:dyDescent="0.25">
      <c r="G51" s="65"/>
      <c r="AZ51" s="488"/>
    </row>
    <row r="52" spans="1:52" x14ac:dyDescent="0.25">
      <c r="G52" s="65"/>
      <c r="AZ52" s="488"/>
    </row>
    <row r="53" spans="1:52" x14ac:dyDescent="0.25">
      <c r="G53" s="65"/>
      <c r="AZ53" s="488"/>
    </row>
    <row r="54" spans="1:52" x14ac:dyDescent="0.25">
      <c r="A54" s="488"/>
      <c r="B54" s="488"/>
      <c r="C54" s="488"/>
      <c r="D54" s="488"/>
      <c r="E54" s="488"/>
      <c r="F54" s="488"/>
      <c r="G54" s="488"/>
      <c r="H54" s="488"/>
      <c r="I54" s="488"/>
      <c r="J54" s="488"/>
      <c r="K54" s="488"/>
      <c r="L54" s="488"/>
      <c r="M54" s="488"/>
      <c r="N54" s="488"/>
      <c r="O54" s="488"/>
      <c r="P54" s="488"/>
      <c r="Q54" s="488"/>
      <c r="R54" s="488"/>
      <c r="S54" s="488"/>
      <c r="T54" s="488"/>
      <c r="U54" s="488"/>
      <c r="V54" s="488"/>
      <c r="W54" s="488"/>
      <c r="X54" s="488"/>
      <c r="Y54" s="488"/>
      <c r="Z54" s="488"/>
      <c r="AA54" s="488"/>
      <c r="AB54" s="488"/>
      <c r="AC54" s="488"/>
      <c r="AD54" s="488"/>
      <c r="AE54" s="488"/>
      <c r="AF54" s="488"/>
      <c r="AG54" s="488"/>
      <c r="AH54" s="488"/>
      <c r="AI54" s="488"/>
      <c r="AJ54" s="488"/>
      <c r="AK54" s="488"/>
      <c r="AL54" s="488"/>
      <c r="AM54" s="488"/>
      <c r="AN54" s="488"/>
      <c r="AO54" s="488"/>
      <c r="AP54" s="488"/>
      <c r="AQ54" s="488"/>
      <c r="AR54" s="488"/>
      <c r="AS54" s="488"/>
      <c r="AT54" s="488"/>
      <c r="AU54" s="488"/>
      <c r="AV54" s="488"/>
      <c r="AW54" s="488"/>
      <c r="AX54" s="488"/>
      <c r="AY54" s="488"/>
      <c r="AZ54" s="488"/>
    </row>
    <row r="55" spans="1:52" x14ac:dyDescent="0.25">
      <c r="G55" s="65"/>
    </row>
    <row r="56" spans="1:52" x14ac:dyDescent="0.25">
      <c r="G56" s="65"/>
    </row>
    <row r="57" spans="1:52" x14ac:dyDescent="0.25">
      <c r="G57" s="65"/>
    </row>
    <row r="58" spans="1:52" x14ac:dyDescent="0.25">
      <c r="G58" s="65"/>
    </row>
    <row r="59" spans="1:52" x14ac:dyDescent="0.25">
      <c r="G59" s="65"/>
    </row>
    <row r="60" spans="1:52" x14ac:dyDescent="0.25">
      <c r="G60" s="65"/>
    </row>
    <row r="61" spans="1:52" x14ac:dyDescent="0.25">
      <c r="G61" s="65"/>
    </row>
    <row r="62" spans="1:52" x14ac:dyDescent="0.25">
      <c r="G62" s="65"/>
    </row>
    <row r="63" spans="1:52" x14ac:dyDescent="0.25">
      <c r="G63" s="65"/>
    </row>
    <row r="64" spans="1:52" x14ac:dyDescent="0.25">
      <c r="G64" s="65"/>
    </row>
    <row r="65" spans="7:7" x14ac:dyDescent="0.25">
      <c r="G65" s="65"/>
    </row>
    <row r="66" spans="7:7" x14ac:dyDescent="0.25">
      <c r="G66" s="65"/>
    </row>
    <row r="67" spans="7:7" x14ac:dyDescent="0.25">
      <c r="G67" s="65"/>
    </row>
    <row r="68" spans="7:7" x14ac:dyDescent="0.25">
      <c r="G68" s="65"/>
    </row>
    <row r="69" spans="7:7" x14ac:dyDescent="0.25">
      <c r="G69" s="65"/>
    </row>
    <row r="70" spans="7:7" x14ac:dyDescent="0.25">
      <c r="G70" s="65"/>
    </row>
    <row r="71" spans="7:7" x14ac:dyDescent="0.25">
      <c r="G71" s="65"/>
    </row>
    <row r="72" spans="7:7" x14ac:dyDescent="0.25">
      <c r="G72" s="65"/>
    </row>
    <row r="73" spans="7:7" x14ac:dyDescent="0.25">
      <c r="G73" s="65"/>
    </row>
    <row r="74" spans="7:7" x14ac:dyDescent="0.25">
      <c r="G74" s="65"/>
    </row>
    <row r="75" spans="7:7" x14ac:dyDescent="0.25">
      <c r="G75" s="65"/>
    </row>
    <row r="76" spans="7:7" x14ac:dyDescent="0.25">
      <c r="G76" s="65"/>
    </row>
    <row r="77" spans="7:7" x14ac:dyDescent="0.25">
      <c r="G77" s="65"/>
    </row>
    <row r="78" spans="7:7" x14ac:dyDescent="0.25">
      <c r="G78" s="65"/>
    </row>
    <row r="79" spans="7:7" x14ac:dyDescent="0.25">
      <c r="G79" s="65"/>
    </row>
    <row r="80" spans="7:7" x14ac:dyDescent="0.25">
      <c r="G80" s="65"/>
    </row>
    <row r="81" spans="7:7" x14ac:dyDescent="0.25">
      <c r="G81" s="65"/>
    </row>
    <row r="82" spans="7:7" x14ac:dyDescent="0.25">
      <c r="G82" s="65"/>
    </row>
    <row r="83" spans="7:7" x14ac:dyDescent="0.25">
      <c r="G83" s="65"/>
    </row>
    <row r="84" spans="7:7" x14ac:dyDescent="0.25">
      <c r="G84" s="65"/>
    </row>
    <row r="85" spans="7:7" x14ac:dyDescent="0.25">
      <c r="G85" s="65"/>
    </row>
    <row r="86" spans="7:7" x14ac:dyDescent="0.25">
      <c r="G86" s="65"/>
    </row>
    <row r="87" spans="7:7" x14ac:dyDescent="0.25">
      <c r="G87" s="65"/>
    </row>
    <row r="88" spans="7:7" x14ac:dyDescent="0.25">
      <c r="G88" s="65"/>
    </row>
    <row r="89" spans="7:7" x14ac:dyDescent="0.25">
      <c r="G89" s="65"/>
    </row>
    <row r="90" spans="7:7" x14ac:dyDescent="0.25">
      <c r="G90" s="65"/>
    </row>
    <row r="91" spans="7:7" x14ac:dyDescent="0.25">
      <c r="G91" s="65"/>
    </row>
    <row r="92" spans="7:7" x14ac:dyDescent="0.25">
      <c r="G92" s="65"/>
    </row>
    <row r="93" spans="7:7" x14ac:dyDescent="0.25">
      <c r="G93" s="65"/>
    </row>
    <row r="94" spans="7:7" x14ac:dyDescent="0.25">
      <c r="G94" s="65"/>
    </row>
    <row r="95" spans="7:7" x14ac:dyDescent="0.25">
      <c r="G95" s="65"/>
    </row>
    <row r="96" spans="7:7" x14ac:dyDescent="0.25">
      <c r="G96" s="65"/>
    </row>
    <row r="97" spans="7:7" x14ac:dyDescent="0.25">
      <c r="G97" s="65"/>
    </row>
    <row r="98" spans="7:7" x14ac:dyDescent="0.25">
      <c r="G98" s="65"/>
    </row>
    <row r="99" spans="7:7" x14ac:dyDescent="0.25">
      <c r="G99" s="65"/>
    </row>
    <row r="100" spans="7:7" x14ac:dyDescent="0.25">
      <c r="G100" s="65"/>
    </row>
    <row r="101" spans="7:7" x14ac:dyDescent="0.25">
      <c r="G101" s="65"/>
    </row>
    <row r="102" spans="7:7" x14ac:dyDescent="0.25">
      <c r="G102" s="65"/>
    </row>
    <row r="103" spans="7:7" x14ac:dyDescent="0.25">
      <c r="G103" s="65"/>
    </row>
    <row r="104" spans="7:7" x14ac:dyDescent="0.25">
      <c r="G104" s="65"/>
    </row>
    <row r="105" spans="7:7" x14ac:dyDescent="0.25">
      <c r="G105" s="65"/>
    </row>
    <row r="106" spans="7:7" x14ac:dyDescent="0.25">
      <c r="G106" s="65"/>
    </row>
    <row r="107" spans="7:7" x14ac:dyDescent="0.25">
      <c r="G107" s="65"/>
    </row>
    <row r="108" spans="7:7" x14ac:dyDescent="0.25">
      <c r="G108" s="65"/>
    </row>
    <row r="109" spans="7:7" x14ac:dyDescent="0.25">
      <c r="G109" s="65"/>
    </row>
    <row r="110" spans="7:7" x14ac:dyDescent="0.25">
      <c r="G110" s="65"/>
    </row>
    <row r="111" spans="7:7" x14ac:dyDescent="0.25">
      <c r="G111" s="65"/>
    </row>
    <row r="112" spans="7:7" x14ac:dyDescent="0.25">
      <c r="G112" s="65"/>
    </row>
    <row r="113" spans="7:7" x14ac:dyDescent="0.25">
      <c r="G113" s="65"/>
    </row>
    <row r="114" spans="7:7" x14ac:dyDescent="0.25">
      <c r="G114" s="65"/>
    </row>
    <row r="115" spans="7:7" x14ac:dyDescent="0.25">
      <c r="G115" s="65"/>
    </row>
    <row r="116" spans="7:7" x14ac:dyDescent="0.25">
      <c r="G116" s="65"/>
    </row>
    <row r="117" spans="7:7" x14ac:dyDescent="0.25">
      <c r="G117" s="65"/>
    </row>
    <row r="118" spans="7:7" x14ac:dyDescent="0.25">
      <c r="G118" s="65"/>
    </row>
    <row r="119" spans="7:7" x14ac:dyDescent="0.25">
      <c r="G119" s="65"/>
    </row>
    <row r="120" spans="7:7" x14ac:dyDescent="0.25">
      <c r="G120" s="65"/>
    </row>
    <row r="121" spans="7:7" x14ac:dyDescent="0.25">
      <c r="G121" s="65"/>
    </row>
    <row r="122" spans="7:7" x14ac:dyDescent="0.25">
      <c r="G122" s="65"/>
    </row>
    <row r="123" spans="7:7" x14ac:dyDescent="0.25">
      <c r="G123" s="65"/>
    </row>
    <row r="124" spans="7:7" x14ac:dyDescent="0.25">
      <c r="G124" s="65"/>
    </row>
    <row r="125" spans="7:7" x14ac:dyDescent="0.25">
      <c r="G125" s="65"/>
    </row>
    <row r="126" spans="7:7" x14ac:dyDescent="0.25">
      <c r="G126" s="65"/>
    </row>
    <row r="127" spans="7:7" x14ac:dyDescent="0.25">
      <c r="G127" s="65"/>
    </row>
    <row r="128" spans="7:7" x14ac:dyDescent="0.25">
      <c r="G128" s="65"/>
    </row>
    <row r="129" spans="7:7" x14ac:dyDescent="0.25">
      <c r="G129" s="65"/>
    </row>
    <row r="130" spans="7:7" x14ac:dyDescent="0.25">
      <c r="G130" s="65"/>
    </row>
    <row r="131" spans="7:7" x14ac:dyDescent="0.25">
      <c r="G131" s="65"/>
    </row>
    <row r="132" spans="7:7" x14ac:dyDescent="0.25">
      <c r="G132" s="65"/>
    </row>
    <row r="133" spans="7:7" x14ac:dyDescent="0.25">
      <c r="G133" s="65"/>
    </row>
    <row r="134" spans="7:7" x14ac:dyDescent="0.25">
      <c r="G134" s="65"/>
    </row>
    <row r="135" spans="7:7" x14ac:dyDescent="0.25">
      <c r="G135" s="65"/>
    </row>
    <row r="136" spans="7:7" x14ac:dyDescent="0.25">
      <c r="G136" s="65"/>
    </row>
    <row r="137" spans="7:7" x14ac:dyDescent="0.25">
      <c r="G137" s="65"/>
    </row>
    <row r="138" spans="7:7" x14ac:dyDescent="0.25">
      <c r="G138" s="65"/>
    </row>
    <row r="139" spans="7:7" x14ac:dyDescent="0.25">
      <c r="G139" s="65"/>
    </row>
    <row r="140" spans="7:7" x14ac:dyDescent="0.25">
      <c r="G140" s="65"/>
    </row>
    <row r="141" spans="7:7" x14ac:dyDescent="0.25">
      <c r="G141" s="65"/>
    </row>
    <row r="142" spans="7:7" x14ac:dyDescent="0.25">
      <c r="G142" s="65"/>
    </row>
    <row r="143" spans="7:7" x14ac:dyDescent="0.25">
      <c r="G143" s="65"/>
    </row>
    <row r="144" spans="7:7" x14ac:dyDescent="0.25">
      <c r="G144" s="65"/>
    </row>
    <row r="145" spans="7:7" x14ac:dyDescent="0.25">
      <c r="G145" s="65"/>
    </row>
    <row r="146" spans="7:7" x14ac:dyDescent="0.25">
      <c r="G146" s="65"/>
    </row>
    <row r="147" spans="7:7" x14ac:dyDescent="0.25">
      <c r="G147" s="65"/>
    </row>
    <row r="148" spans="7:7" x14ac:dyDescent="0.25">
      <c r="G148" s="65"/>
    </row>
    <row r="149" spans="7:7" x14ac:dyDescent="0.25">
      <c r="G149" s="65"/>
    </row>
    <row r="150" spans="7:7" x14ac:dyDescent="0.25">
      <c r="G150" s="65"/>
    </row>
    <row r="151" spans="7:7" x14ac:dyDescent="0.25">
      <c r="G151" s="65"/>
    </row>
    <row r="152" spans="7:7" x14ac:dyDescent="0.25">
      <c r="G152" s="65"/>
    </row>
    <row r="153" spans="7:7" x14ac:dyDescent="0.25">
      <c r="G153" s="65"/>
    </row>
    <row r="154" spans="7:7" x14ac:dyDescent="0.25">
      <c r="G154" s="65"/>
    </row>
    <row r="155" spans="7:7" x14ac:dyDescent="0.25">
      <c r="G155" s="65"/>
    </row>
    <row r="156" spans="7:7" x14ac:dyDescent="0.25">
      <c r="G156" s="65"/>
    </row>
    <row r="157" spans="7:7" x14ac:dyDescent="0.25">
      <c r="G157" s="65"/>
    </row>
    <row r="158" spans="7:7" x14ac:dyDescent="0.25">
      <c r="G158" s="65"/>
    </row>
    <row r="159" spans="7:7" x14ac:dyDescent="0.25">
      <c r="G159" s="65"/>
    </row>
    <row r="160" spans="7:7" x14ac:dyDescent="0.25">
      <c r="G160" s="65"/>
    </row>
    <row r="161" spans="7:7" x14ac:dyDescent="0.25">
      <c r="G161" s="65"/>
    </row>
    <row r="162" spans="7:7" x14ac:dyDescent="0.25">
      <c r="G162" s="65"/>
    </row>
    <row r="163" spans="7:7" x14ac:dyDescent="0.25">
      <c r="G163" s="65"/>
    </row>
    <row r="164" spans="7:7" x14ac:dyDescent="0.25">
      <c r="G164" s="65"/>
    </row>
    <row r="165" spans="7:7" x14ac:dyDescent="0.25">
      <c r="G165" s="65"/>
    </row>
    <row r="166" spans="7:7" x14ac:dyDescent="0.25">
      <c r="G166" s="65"/>
    </row>
    <row r="167" spans="7:7" x14ac:dyDescent="0.25">
      <c r="G167" s="65"/>
    </row>
    <row r="168" spans="7:7" x14ac:dyDescent="0.25">
      <c r="G168" s="65"/>
    </row>
    <row r="169" spans="7:7" x14ac:dyDescent="0.25">
      <c r="G169" s="65"/>
    </row>
    <row r="170" spans="7:7" x14ac:dyDescent="0.25">
      <c r="G170" s="65"/>
    </row>
    <row r="171" spans="7:7" x14ac:dyDescent="0.25">
      <c r="G171" s="65"/>
    </row>
    <row r="172" spans="7:7" x14ac:dyDescent="0.25">
      <c r="G172" s="65"/>
    </row>
    <row r="173" spans="7:7" x14ac:dyDescent="0.25">
      <c r="G173" s="65"/>
    </row>
    <row r="174" spans="7:7" x14ac:dyDescent="0.25">
      <c r="G174" s="65"/>
    </row>
    <row r="175" spans="7:7" x14ac:dyDescent="0.25">
      <c r="G175" s="65"/>
    </row>
    <row r="176" spans="7:7" x14ac:dyDescent="0.25">
      <c r="G176" s="65"/>
    </row>
    <row r="177" spans="7:7" x14ac:dyDescent="0.25">
      <c r="G177" s="65"/>
    </row>
    <row r="178" spans="7:7" x14ac:dyDescent="0.25">
      <c r="G178" s="65"/>
    </row>
    <row r="179" spans="7:7" x14ac:dyDescent="0.25">
      <c r="G179" s="65"/>
    </row>
    <row r="180" spans="7:7" x14ac:dyDescent="0.25">
      <c r="G180" s="65"/>
    </row>
    <row r="181" spans="7:7" x14ac:dyDescent="0.25">
      <c r="G181" s="65"/>
    </row>
    <row r="182" spans="7:7" x14ac:dyDescent="0.25">
      <c r="G182" s="65"/>
    </row>
    <row r="183" spans="7:7" x14ac:dyDescent="0.25">
      <c r="G183" s="65"/>
    </row>
    <row r="184" spans="7:7" x14ac:dyDescent="0.25">
      <c r="G184" s="65"/>
    </row>
    <row r="185" spans="7:7" x14ac:dyDescent="0.25">
      <c r="G185" s="65"/>
    </row>
    <row r="186" spans="7:7" x14ac:dyDescent="0.25">
      <c r="G186" s="65"/>
    </row>
    <row r="187" spans="7:7" x14ac:dyDescent="0.25">
      <c r="G187" s="65"/>
    </row>
    <row r="188" spans="7:7" x14ac:dyDescent="0.25">
      <c r="G188" s="65"/>
    </row>
    <row r="189" spans="7:7" x14ac:dyDescent="0.25">
      <c r="G189" s="65"/>
    </row>
    <row r="190" spans="7:7" x14ac:dyDescent="0.25">
      <c r="G190" s="65"/>
    </row>
    <row r="191" spans="7:7" x14ac:dyDescent="0.25">
      <c r="G191" s="65"/>
    </row>
    <row r="192" spans="7:7" x14ac:dyDescent="0.25">
      <c r="G192" s="65"/>
    </row>
    <row r="193" spans="7:7" x14ac:dyDescent="0.25">
      <c r="G193" s="65"/>
    </row>
    <row r="194" spans="7:7" x14ac:dyDescent="0.25">
      <c r="G194" s="65"/>
    </row>
    <row r="195" spans="7:7" x14ac:dyDescent="0.25">
      <c r="G195" s="65"/>
    </row>
    <row r="196" spans="7:7" x14ac:dyDescent="0.25">
      <c r="G196" s="65"/>
    </row>
    <row r="197" spans="7:7" x14ac:dyDescent="0.25">
      <c r="G197" s="65"/>
    </row>
    <row r="198" spans="7:7" x14ac:dyDescent="0.25">
      <c r="G198" s="65"/>
    </row>
    <row r="199" spans="7:7" x14ac:dyDescent="0.25">
      <c r="G199" s="65"/>
    </row>
    <row r="200" spans="7:7" x14ac:dyDescent="0.25">
      <c r="G200" s="65"/>
    </row>
    <row r="201" spans="7:7" x14ac:dyDescent="0.25">
      <c r="G201" s="65"/>
    </row>
    <row r="202" spans="7:7" x14ac:dyDescent="0.25">
      <c r="G202" s="65"/>
    </row>
    <row r="203" spans="7:7" x14ac:dyDescent="0.25">
      <c r="G203" s="65"/>
    </row>
    <row r="204" spans="7:7" x14ac:dyDescent="0.25">
      <c r="G204" s="65"/>
    </row>
    <row r="205" spans="7:7" x14ac:dyDescent="0.25">
      <c r="G205" s="65"/>
    </row>
    <row r="206" spans="7:7" x14ac:dyDescent="0.25">
      <c r="G206" s="65"/>
    </row>
    <row r="207" spans="7:7" x14ac:dyDescent="0.25">
      <c r="G207" s="65"/>
    </row>
    <row r="208" spans="7:7" x14ac:dyDescent="0.25">
      <c r="G208" s="65"/>
    </row>
    <row r="209" spans="7:7" x14ac:dyDescent="0.25">
      <c r="G209" s="65"/>
    </row>
    <row r="210" spans="7:7" x14ac:dyDescent="0.25">
      <c r="G210" s="65"/>
    </row>
    <row r="211" spans="7:7" x14ac:dyDescent="0.25">
      <c r="G211" s="65"/>
    </row>
    <row r="212" spans="7:7" x14ac:dyDescent="0.25">
      <c r="G212" s="65"/>
    </row>
    <row r="213" spans="7:7" x14ac:dyDescent="0.25">
      <c r="G213" s="65"/>
    </row>
    <row r="214" spans="7:7" x14ac:dyDescent="0.25">
      <c r="G214" s="65"/>
    </row>
    <row r="215" spans="7:7" x14ac:dyDescent="0.25">
      <c r="G215" s="65"/>
    </row>
    <row r="216" spans="7:7" x14ac:dyDescent="0.25">
      <c r="G216" s="65"/>
    </row>
    <row r="217" spans="7:7" x14ac:dyDescent="0.25">
      <c r="G217" s="65"/>
    </row>
    <row r="218" spans="7:7" x14ac:dyDescent="0.25">
      <c r="G218" s="65"/>
    </row>
    <row r="219" spans="7:7" x14ac:dyDescent="0.25">
      <c r="G219" s="65"/>
    </row>
    <row r="220" spans="7:7" x14ac:dyDescent="0.25">
      <c r="G220" s="65"/>
    </row>
    <row r="221" spans="7:7" x14ac:dyDescent="0.25">
      <c r="G221" s="65"/>
    </row>
    <row r="222" spans="7:7" x14ac:dyDescent="0.25">
      <c r="G222" s="65"/>
    </row>
    <row r="223" spans="7:7" x14ac:dyDescent="0.25">
      <c r="G223" s="65"/>
    </row>
    <row r="224" spans="7:7" x14ac:dyDescent="0.25">
      <c r="G224" s="65"/>
    </row>
    <row r="225" spans="7:7" x14ac:dyDescent="0.25">
      <c r="G225" s="65"/>
    </row>
    <row r="226" spans="7:7" x14ac:dyDescent="0.25">
      <c r="G226" s="65"/>
    </row>
    <row r="227" spans="7:7" x14ac:dyDescent="0.25">
      <c r="G227" s="65"/>
    </row>
    <row r="228" spans="7:7" x14ac:dyDescent="0.25">
      <c r="G228" s="65"/>
    </row>
    <row r="229" spans="7:7" x14ac:dyDescent="0.25">
      <c r="G229" s="65"/>
    </row>
    <row r="230" spans="7:7" x14ac:dyDescent="0.25">
      <c r="G230" s="65"/>
    </row>
    <row r="231" spans="7:7" x14ac:dyDescent="0.25">
      <c r="G231" s="65"/>
    </row>
    <row r="232" spans="7:7" x14ac:dyDescent="0.25">
      <c r="G232" s="65"/>
    </row>
    <row r="233" spans="7:7" x14ac:dyDescent="0.25">
      <c r="G233" s="65"/>
    </row>
    <row r="234" spans="7:7" x14ac:dyDescent="0.25">
      <c r="G234" s="65"/>
    </row>
    <row r="235" spans="7:7" x14ac:dyDescent="0.25">
      <c r="G235" s="65"/>
    </row>
    <row r="236" spans="7:7" x14ac:dyDescent="0.25">
      <c r="G236" s="65"/>
    </row>
    <row r="237" spans="7:7" x14ac:dyDescent="0.25">
      <c r="G237" s="65"/>
    </row>
    <row r="238" spans="7:7" x14ac:dyDescent="0.25">
      <c r="G238" s="65"/>
    </row>
    <row r="239" spans="7:7" x14ac:dyDescent="0.25">
      <c r="G239" s="65"/>
    </row>
    <row r="240" spans="7:7" x14ac:dyDescent="0.25">
      <c r="G240" s="65"/>
    </row>
    <row r="241" spans="7:7" x14ac:dyDescent="0.25">
      <c r="G241" s="65"/>
    </row>
    <row r="242" spans="7:7" x14ac:dyDescent="0.25">
      <c r="G242" s="65"/>
    </row>
    <row r="243" spans="7:7" x14ac:dyDescent="0.25">
      <c r="G243" s="65"/>
    </row>
    <row r="244" spans="7:7" x14ac:dyDescent="0.25">
      <c r="G244" s="65"/>
    </row>
    <row r="245" spans="7:7" x14ac:dyDescent="0.25">
      <c r="G245" s="65"/>
    </row>
    <row r="246" spans="7:7" x14ac:dyDescent="0.25">
      <c r="G246" s="65"/>
    </row>
    <row r="247" spans="7:7" x14ac:dyDescent="0.25">
      <c r="G247" s="65"/>
    </row>
    <row r="248" spans="7:7" x14ac:dyDescent="0.25">
      <c r="G248" s="65"/>
    </row>
    <row r="249" spans="7:7" x14ac:dyDescent="0.25">
      <c r="G249" s="65"/>
    </row>
    <row r="250" spans="7:7" x14ac:dyDescent="0.25">
      <c r="G250" s="65"/>
    </row>
    <row r="251" spans="7:7" x14ac:dyDescent="0.25">
      <c r="G251" s="65"/>
    </row>
    <row r="252" spans="7:7" x14ac:dyDescent="0.25">
      <c r="G252" s="65"/>
    </row>
    <row r="253" spans="7:7" x14ac:dyDescent="0.25">
      <c r="G253" s="65"/>
    </row>
    <row r="254" spans="7:7" x14ac:dyDescent="0.25">
      <c r="G254" s="65"/>
    </row>
    <row r="255" spans="7:7" x14ac:dyDescent="0.25">
      <c r="G255" s="65"/>
    </row>
    <row r="256" spans="7:7" x14ac:dyDescent="0.25">
      <c r="G256" s="65"/>
    </row>
    <row r="257" spans="7:7" x14ac:dyDescent="0.25">
      <c r="G257" s="65"/>
    </row>
    <row r="258" spans="7:7" x14ac:dyDescent="0.25">
      <c r="G258" s="65"/>
    </row>
    <row r="259" spans="7:7" x14ac:dyDescent="0.25">
      <c r="G259" s="65"/>
    </row>
    <row r="260" spans="7:7" x14ac:dyDescent="0.25">
      <c r="G260" s="65"/>
    </row>
    <row r="261" spans="7:7" x14ac:dyDescent="0.25">
      <c r="G261" s="65"/>
    </row>
    <row r="262" spans="7:7" x14ac:dyDescent="0.25">
      <c r="G262" s="65"/>
    </row>
    <row r="263" spans="7:7" x14ac:dyDescent="0.25">
      <c r="G263" s="65"/>
    </row>
    <row r="264" spans="7:7" x14ac:dyDescent="0.25">
      <c r="G264" s="65"/>
    </row>
    <row r="265" spans="7:7" x14ac:dyDescent="0.25">
      <c r="G265" s="65"/>
    </row>
    <row r="266" spans="7:7" x14ac:dyDescent="0.25">
      <c r="G266" s="65"/>
    </row>
    <row r="267" spans="7:7" x14ac:dyDescent="0.25">
      <c r="G267" s="65"/>
    </row>
    <row r="268" spans="7:7" x14ac:dyDescent="0.25">
      <c r="G268" s="65"/>
    </row>
    <row r="269" spans="7:7" x14ac:dyDescent="0.25">
      <c r="G269" s="65"/>
    </row>
    <row r="270" spans="7:7" x14ac:dyDescent="0.25">
      <c r="G270" s="65"/>
    </row>
    <row r="271" spans="7:7" x14ac:dyDescent="0.25">
      <c r="G271" s="65"/>
    </row>
    <row r="272" spans="7:7" x14ac:dyDescent="0.25">
      <c r="G272" s="65"/>
    </row>
    <row r="273" spans="7:7" x14ac:dyDescent="0.25">
      <c r="G273" s="65"/>
    </row>
    <row r="274" spans="7:7" x14ac:dyDescent="0.25">
      <c r="G274" s="65"/>
    </row>
    <row r="275" spans="7:7" x14ac:dyDescent="0.25">
      <c r="G275" s="65"/>
    </row>
    <row r="276" spans="7:7" x14ac:dyDescent="0.25">
      <c r="G276" s="65"/>
    </row>
    <row r="277" spans="7:7" x14ac:dyDescent="0.25">
      <c r="G277" s="65"/>
    </row>
    <row r="278" spans="7:7" x14ac:dyDescent="0.25">
      <c r="G278" s="65"/>
    </row>
    <row r="279" spans="7:7" x14ac:dyDescent="0.25">
      <c r="G279" s="65"/>
    </row>
    <row r="280" spans="7:7" x14ac:dyDescent="0.25">
      <c r="G280" s="65"/>
    </row>
    <row r="281" spans="7:7" x14ac:dyDescent="0.25">
      <c r="G281" s="65"/>
    </row>
    <row r="282" spans="7:7" x14ac:dyDescent="0.25">
      <c r="G282" s="65"/>
    </row>
    <row r="283" spans="7:7" x14ac:dyDescent="0.25">
      <c r="G283" s="65"/>
    </row>
    <row r="284" spans="7:7" x14ac:dyDescent="0.25">
      <c r="G284" s="65"/>
    </row>
    <row r="285" spans="7:7" x14ac:dyDescent="0.25">
      <c r="G285" s="65"/>
    </row>
    <row r="286" spans="7:7" x14ac:dyDescent="0.25">
      <c r="G286" s="65"/>
    </row>
    <row r="287" spans="7:7" x14ac:dyDescent="0.25">
      <c r="G287" s="65"/>
    </row>
    <row r="288" spans="7:7" x14ac:dyDescent="0.25">
      <c r="G288" s="65"/>
    </row>
    <row r="289" spans="7:7" x14ac:dyDescent="0.25">
      <c r="G289" s="65"/>
    </row>
    <row r="290" spans="7:7" x14ac:dyDescent="0.25">
      <c r="G290" s="65"/>
    </row>
    <row r="291" spans="7:7" x14ac:dyDescent="0.25">
      <c r="G291" s="65"/>
    </row>
    <row r="292" spans="7:7" x14ac:dyDescent="0.25">
      <c r="G292" s="65"/>
    </row>
    <row r="293" spans="7:7" x14ac:dyDescent="0.25">
      <c r="G293" s="65"/>
    </row>
    <row r="294" spans="7:7" x14ac:dyDescent="0.25">
      <c r="G294" s="65"/>
    </row>
    <row r="295" spans="7:7" x14ac:dyDescent="0.25">
      <c r="G295" s="65"/>
    </row>
    <row r="296" spans="7:7" x14ac:dyDescent="0.25">
      <c r="G296" s="65"/>
    </row>
    <row r="297" spans="7:7" x14ac:dyDescent="0.25">
      <c r="G297" s="65"/>
    </row>
    <row r="298" spans="7:7" x14ac:dyDescent="0.25">
      <c r="G298" s="65"/>
    </row>
    <row r="299" spans="7:7" x14ac:dyDescent="0.25">
      <c r="G299" s="65"/>
    </row>
    <row r="300" spans="7:7" x14ac:dyDescent="0.25">
      <c r="G300" s="65"/>
    </row>
    <row r="301" spans="7:7" x14ac:dyDescent="0.25">
      <c r="G301" s="65"/>
    </row>
    <row r="302" spans="7:7" x14ac:dyDescent="0.25">
      <c r="G302" s="65"/>
    </row>
    <row r="303" spans="7:7" x14ac:dyDescent="0.25">
      <c r="G303" s="65"/>
    </row>
    <row r="304" spans="7:7" x14ac:dyDescent="0.25">
      <c r="G304" s="65"/>
    </row>
    <row r="305" spans="7:7" x14ac:dyDescent="0.25">
      <c r="G305" s="65"/>
    </row>
    <row r="306" spans="7:7" x14ac:dyDescent="0.25">
      <c r="G306" s="65"/>
    </row>
    <row r="307" spans="7:7" x14ac:dyDescent="0.25">
      <c r="G307" s="65"/>
    </row>
    <row r="308" spans="7:7" x14ac:dyDescent="0.25">
      <c r="G308" s="65"/>
    </row>
    <row r="309" spans="7:7" x14ac:dyDescent="0.25">
      <c r="G309" s="65"/>
    </row>
    <row r="310" spans="7:7" x14ac:dyDescent="0.25">
      <c r="G310" s="65"/>
    </row>
    <row r="311" spans="7:7" x14ac:dyDescent="0.25">
      <c r="G311" s="65"/>
    </row>
    <row r="312" spans="7:7" x14ac:dyDescent="0.25">
      <c r="G312" s="65"/>
    </row>
    <row r="313" spans="7:7" x14ac:dyDescent="0.25">
      <c r="G313" s="65"/>
    </row>
    <row r="314" spans="7:7" x14ac:dyDescent="0.25">
      <c r="G314" s="65"/>
    </row>
    <row r="315" spans="7:7" x14ac:dyDescent="0.25">
      <c r="G315" s="65"/>
    </row>
    <row r="316" spans="7:7" x14ac:dyDescent="0.25">
      <c r="G316" s="65"/>
    </row>
    <row r="317" spans="7:7" x14ac:dyDescent="0.25">
      <c r="G317" s="65"/>
    </row>
    <row r="318" spans="7:7" x14ac:dyDescent="0.25">
      <c r="G318" s="65"/>
    </row>
    <row r="319" spans="7:7" x14ac:dyDescent="0.25">
      <c r="G319" s="65"/>
    </row>
    <row r="320" spans="7:7" x14ac:dyDescent="0.25">
      <c r="G320" s="65"/>
    </row>
    <row r="321" spans="7:7" x14ac:dyDescent="0.25">
      <c r="G321" s="65"/>
    </row>
    <row r="322" spans="7:7" x14ac:dyDescent="0.25">
      <c r="G322" s="65"/>
    </row>
    <row r="323" spans="7:7" x14ac:dyDescent="0.25">
      <c r="G323" s="65"/>
    </row>
    <row r="324" spans="7:7" x14ac:dyDescent="0.25">
      <c r="G324" s="65"/>
    </row>
    <row r="325" spans="7:7" x14ac:dyDescent="0.25">
      <c r="G325" s="65"/>
    </row>
    <row r="326" spans="7:7" x14ac:dyDescent="0.25">
      <c r="G326" s="65"/>
    </row>
    <row r="327" spans="7:7" x14ac:dyDescent="0.25">
      <c r="G327" s="65"/>
    </row>
    <row r="328" spans="7:7" x14ac:dyDescent="0.25">
      <c r="G328" s="65"/>
    </row>
    <row r="329" spans="7:7" x14ac:dyDescent="0.25">
      <c r="G329" s="65"/>
    </row>
    <row r="330" spans="7:7" x14ac:dyDescent="0.25">
      <c r="G330" s="65"/>
    </row>
    <row r="331" spans="7:7" x14ac:dyDescent="0.25">
      <c r="G331" s="65"/>
    </row>
    <row r="332" spans="7:7" x14ac:dyDescent="0.25">
      <c r="G332" s="65"/>
    </row>
    <row r="333" spans="7:7" x14ac:dyDescent="0.25">
      <c r="G333" s="65"/>
    </row>
    <row r="334" spans="7:7" x14ac:dyDescent="0.25">
      <c r="G334" s="65"/>
    </row>
    <row r="335" spans="7:7" x14ac:dyDescent="0.25">
      <c r="G335" s="65"/>
    </row>
    <row r="336" spans="7:7" x14ac:dyDescent="0.25">
      <c r="G336" s="65"/>
    </row>
    <row r="337" spans="7:7" x14ac:dyDescent="0.25">
      <c r="G337" s="65"/>
    </row>
    <row r="338" spans="7:7" x14ac:dyDescent="0.25">
      <c r="G338" s="65"/>
    </row>
    <row r="339" spans="7:7" x14ac:dyDescent="0.25">
      <c r="G339" s="65"/>
    </row>
    <row r="340" spans="7:7" x14ac:dyDescent="0.25">
      <c r="G340" s="65"/>
    </row>
    <row r="341" spans="7:7" x14ac:dyDescent="0.25">
      <c r="G341" s="65"/>
    </row>
    <row r="342" spans="7:7" x14ac:dyDescent="0.25">
      <c r="G342" s="65"/>
    </row>
    <row r="343" spans="7:7" x14ac:dyDescent="0.25">
      <c r="G343" s="65"/>
    </row>
    <row r="344" spans="7:7" x14ac:dyDescent="0.25">
      <c r="G344" s="65"/>
    </row>
    <row r="345" spans="7:7" x14ac:dyDescent="0.25">
      <c r="G345" s="65"/>
    </row>
    <row r="346" spans="7:7" x14ac:dyDescent="0.25">
      <c r="G346" s="65"/>
    </row>
    <row r="347" spans="7:7" x14ac:dyDescent="0.25">
      <c r="G347" s="65"/>
    </row>
    <row r="348" spans="7:7" x14ac:dyDescent="0.25">
      <c r="G348" s="65"/>
    </row>
    <row r="349" spans="7:7" x14ac:dyDescent="0.25">
      <c r="G349" s="65"/>
    </row>
    <row r="350" spans="7:7" x14ac:dyDescent="0.25">
      <c r="G350" s="65"/>
    </row>
    <row r="351" spans="7:7" x14ac:dyDescent="0.25">
      <c r="G351" s="65"/>
    </row>
    <row r="352" spans="7:7" x14ac:dyDescent="0.25">
      <c r="G352" s="65"/>
    </row>
    <row r="353" spans="7:7" x14ac:dyDescent="0.25">
      <c r="G353" s="65"/>
    </row>
    <row r="354" spans="7:7" x14ac:dyDescent="0.25">
      <c r="G354" s="65"/>
    </row>
    <row r="355" spans="7:7" x14ac:dyDescent="0.25">
      <c r="G355" s="65"/>
    </row>
    <row r="356" spans="7:7" x14ac:dyDescent="0.25">
      <c r="G356" s="65"/>
    </row>
    <row r="357" spans="7:7" x14ac:dyDescent="0.25">
      <c r="G357" s="65"/>
    </row>
    <row r="358" spans="7:7" x14ac:dyDescent="0.25">
      <c r="G358" s="65"/>
    </row>
    <row r="359" spans="7:7" x14ac:dyDescent="0.25">
      <c r="G359" s="65"/>
    </row>
    <row r="360" spans="7:7" x14ac:dyDescent="0.25">
      <c r="G360" s="65"/>
    </row>
    <row r="361" spans="7:7" x14ac:dyDescent="0.25">
      <c r="G361" s="65"/>
    </row>
    <row r="362" spans="7:7" x14ac:dyDescent="0.25">
      <c r="G362" s="65"/>
    </row>
    <row r="363" spans="7:7" x14ac:dyDescent="0.25">
      <c r="G363" s="65"/>
    </row>
    <row r="364" spans="7:7" x14ac:dyDescent="0.25">
      <c r="G364" s="65"/>
    </row>
    <row r="365" spans="7:7" x14ac:dyDescent="0.25">
      <c r="G365" s="65"/>
    </row>
    <row r="366" spans="7:7" x14ac:dyDescent="0.25">
      <c r="G366" s="65"/>
    </row>
    <row r="367" spans="7:7" x14ac:dyDescent="0.25">
      <c r="G367" s="65"/>
    </row>
    <row r="368" spans="7:7" x14ac:dyDescent="0.25">
      <c r="G368" s="65"/>
    </row>
    <row r="369" spans="7:7" x14ac:dyDescent="0.25">
      <c r="G369" s="65"/>
    </row>
    <row r="370" spans="7:7" x14ac:dyDescent="0.25">
      <c r="G370" s="65"/>
    </row>
    <row r="371" spans="7:7" x14ac:dyDescent="0.25">
      <c r="G371" s="65"/>
    </row>
    <row r="372" spans="7:7" x14ac:dyDescent="0.25">
      <c r="G372" s="65"/>
    </row>
    <row r="373" spans="7:7" x14ac:dyDescent="0.25">
      <c r="G373" s="65"/>
    </row>
    <row r="374" spans="7:7" x14ac:dyDescent="0.25">
      <c r="G374" s="65"/>
    </row>
    <row r="375" spans="7:7" x14ac:dyDescent="0.25">
      <c r="G375" s="65"/>
    </row>
    <row r="376" spans="7:7" x14ac:dyDescent="0.25">
      <c r="G376" s="65"/>
    </row>
    <row r="377" spans="7:7" x14ac:dyDescent="0.25">
      <c r="G377" s="65"/>
    </row>
    <row r="378" spans="7:7" x14ac:dyDescent="0.25">
      <c r="G378" s="65"/>
    </row>
    <row r="379" spans="7:7" x14ac:dyDescent="0.25">
      <c r="G379" s="65"/>
    </row>
    <row r="380" spans="7:7" x14ac:dyDescent="0.25">
      <c r="G380" s="65"/>
    </row>
    <row r="381" spans="7:7" x14ac:dyDescent="0.25">
      <c r="G381" s="65"/>
    </row>
    <row r="382" spans="7:7" x14ac:dyDescent="0.25">
      <c r="G382" s="65"/>
    </row>
    <row r="383" spans="7:7" x14ac:dyDescent="0.25">
      <c r="G383" s="65"/>
    </row>
    <row r="384" spans="7:7" x14ac:dyDescent="0.25">
      <c r="G384" s="65"/>
    </row>
    <row r="385" spans="7:7" x14ac:dyDescent="0.25">
      <c r="G385" s="65"/>
    </row>
    <row r="386" spans="7:7" x14ac:dyDescent="0.25">
      <c r="G386" s="65"/>
    </row>
    <row r="387" spans="7:7" x14ac:dyDescent="0.25">
      <c r="G387" s="65"/>
    </row>
    <row r="388" spans="7:7" x14ac:dyDescent="0.25">
      <c r="G388" s="65"/>
    </row>
    <row r="389" spans="7:7" x14ac:dyDescent="0.25">
      <c r="G389" s="65"/>
    </row>
    <row r="390" spans="7:7" x14ac:dyDescent="0.25">
      <c r="G390" s="65"/>
    </row>
    <row r="391" spans="7:7" x14ac:dyDescent="0.25">
      <c r="G391" s="65"/>
    </row>
    <row r="392" spans="7:7" x14ac:dyDescent="0.25">
      <c r="G392" s="65"/>
    </row>
    <row r="393" spans="7:7" x14ac:dyDescent="0.25">
      <c r="G393" s="65"/>
    </row>
    <row r="394" spans="7:7" x14ac:dyDescent="0.25">
      <c r="G394" s="65"/>
    </row>
    <row r="395" spans="7:7" x14ac:dyDescent="0.25">
      <c r="G395" s="65"/>
    </row>
    <row r="396" spans="7:7" x14ac:dyDescent="0.25">
      <c r="G396" s="65"/>
    </row>
    <row r="397" spans="7:7" x14ac:dyDescent="0.25">
      <c r="G397" s="65"/>
    </row>
    <row r="398" spans="7:7" x14ac:dyDescent="0.25">
      <c r="G398" s="65"/>
    </row>
    <row r="399" spans="7:7" x14ac:dyDescent="0.25">
      <c r="G399" s="65"/>
    </row>
    <row r="400" spans="7:7" x14ac:dyDescent="0.25">
      <c r="G400" s="65"/>
    </row>
    <row r="401" spans="7:7" x14ac:dyDescent="0.25">
      <c r="G401" s="65"/>
    </row>
    <row r="402" spans="7:7" x14ac:dyDescent="0.25">
      <c r="G402" s="65"/>
    </row>
    <row r="403" spans="7:7" x14ac:dyDescent="0.25">
      <c r="G403" s="65"/>
    </row>
    <row r="404" spans="7:7" x14ac:dyDescent="0.25">
      <c r="G404" s="65"/>
    </row>
    <row r="405" spans="7:7" x14ac:dyDescent="0.25">
      <c r="G405" s="65"/>
    </row>
    <row r="406" spans="7:7" x14ac:dyDescent="0.25">
      <c r="G406" s="65"/>
    </row>
    <row r="407" spans="7:7" x14ac:dyDescent="0.25">
      <c r="G407" s="65"/>
    </row>
    <row r="408" spans="7:7" x14ac:dyDescent="0.25">
      <c r="G408" s="65"/>
    </row>
    <row r="409" spans="7:7" x14ac:dyDescent="0.25">
      <c r="G409" s="65"/>
    </row>
    <row r="410" spans="7:7" x14ac:dyDescent="0.25">
      <c r="G410" s="65"/>
    </row>
    <row r="411" spans="7:7" x14ac:dyDescent="0.25">
      <c r="G411" s="65"/>
    </row>
    <row r="412" spans="7:7" x14ac:dyDescent="0.25">
      <c r="G412" s="65"/>
    </row>
    <row r="413" spans="7:7" x14ac:dyDescent="0.25">
      <c r="G413" s="65"/>
    </row>
    <row r="414" spans="7:7" x14ac:dyDescent="0.25">
      <c r="G414" s="65"/>
    </row>
    <row r="415" spans="7:7" x14ac:dyDescent="0.25">
      <c r="G415" s="65"/>
    </row>
    <row r="416" spans="7:7" x14ac:dyDescent="0.25">
      <c r="G416" s="65"/>
    </row>
    <row r="417" spans="7:7" x14ac:dyDescent="0.25">
      <c r="G417" s="65"/>
    </row>
    <row r="418" spans="7:7" x14ac:dyDescent="0.25">
      <c r="G418" s="65"/>
    </row>
    <row r="419" spans="7:7" x14ac:dyDescent="0.25">
      <c r="G419" s="65"/>
    </row>
    <row r="420" spans="7:7" x14ac:dyDescent="0.25">
      <c r="G420" s="65"/>
    </row>
    <row r="421" spans="7:7" x14ac:dyDescent="0.25">
      <c r="G421" s="65"/>
    </row>
    <row r="422" spans="7:7" x14ac:dyDescent="0.25">
      <c r="G422" s="65"/>
    </row>
    <row r="423" spans="7:7" x14ac:dyDescent="0.25">
      <c r="G423" s="65"/>
    </row>
    <row r="424" spans="7:7" x14ac:dyDescent="0.25">
      <c r="G424" s="65"/>
    </row>
    <row r="425" spans="7:7" x14ac:dyDescent="0.25">
      <c r="G425" s="65"/>
    </row>
    <row r="426" spans="7:7" x14ac:dyDescent="0.25">
      <c r="G426" s="65"/>
    </row>
    <row r="427" spans="7:7" x14ac:dyDescent="0.25">
      <c r="G427" s="65"/>
    </row>
    <row r="428" spans="7:7" x14ac:dyDescent="0.25">
      <c r="G428" s="65"/>
    </row>
    <row r="429" spans="7:7" x14ac:dyDescent="0.25">
      <c r="G429" s="65"/>
    </row>
    <row r="430" spans="7:7" x14ac:dyDescent="0.25">
      <c r="G430" s="65"/>
    </row>
    <row r="431" spans="7:7" x14ac:dyDescent="0.25">
      <c r="G431" s="65"/>
    </row>
    <row r="432" spans="7:7" x14ac:dyDescent="0.25">
      <c r="G432" s="65"/>
    </row>
    <row r="433" spans="7:7" x14ac:dyDescent="0.25">
      <c r="G433" s="65"/>
    </row>
    <row r="434" spans="7:7" x14ac:dyDescent="0.25">
      <c r="G434" s="65"/>
    </row>
    <row r="435" spans="7:7" x14ac:dyDescent="0.25">
      <c r="G435" s="65"/>
    </row>
    <row r="436" spans="7:7" x14ac:dyDescent="0.25">
      <c r="G436" s="65"/>
    </row>
    <row r="437" spans="7:7" x14ac:dyDescent="0.25">
      <c r="G437" s="65"/>
    </row>
    <row r="438" spans="7:7" x14ac:dyDescent="0.25">
      <c r="G438" s="65"/>
    </row>
    <row r="439" spans="7:7" x14ac:dyDescent="0.25">
      <c r="G439" s="65"/>
    </row>
    <row r="440" spans="7:7" x14ac:dyDescent="0.25">
      <c r="G440" s="65"/>
    </row>
    <row r="441" spans="7:7" x14ac:dyDescent="0.25">
      <c r="G441" s="65"/>
    </row>
    <row r="442" spans="7:7" x14ac:dyDescent="0.25">
      <c r="G442" s="65"/>
    </row>
    <row r="443" spans="7:7" x14ac:dyDescent="0.25">
      <c r="G443" s="65"/>
    </row>
    <row r="444" spans="7:7" x14ac:dyDescent="0.25">
      <c r="G444" s="65"/>
    </row>
    <row r="445" spans="7:7" x14ac:dyDescent="0.25">
      <c r="G445" s="65"/>
    </row>
    <row r="446" spans="7:7" x14ac:dyDescent="0.25">
      <c r="G446" s="65"/>
    </row>
    <row r="447" spans="7:7" x14ac:dyDescent="0.25">
      <c r="G447" s="65"/>
    </row>
    <row r="448" spans="7:7" x14ac:dyDescent="0.25">
      <c r="G448" s="65"/>
    </row>
    <row r="449" spans="7:7" x14ac:dyDescent="0.25">
      <c r="G449" s="65"/>
    </row>
    <row r="450" spans="7:7" x14ac:dyDescent="0.25">
      <c r="G450" s="65"/>
    </row>
    <row r="451" spans="7:7" x14ac:dyDescent="0.25">
      <c r="G451" s="65"/>
    </row>
    <row r="452" spans="7:7" x14ac:dyDescent="0.25">
      <c r="G452" s="65"/>
    </row>
    <row r="453" spans="7:7" x14ac:dyDescent="0.25">
      <c r="G453" s="65"/>
    </row>
    <row r="454" spans="7:7" x14ac:dyDescent="0.25">
      <c r="G454" s="65"/>
    </row>
    <row r="455" spans="7:7" x14ac:dyDescent="0.25">
      <c r="G455" s="65"/>
    </row>
    <row r="456" spans="7:7" x14ac:dyDescent="0.25">
      <c r="G456" s="65"/>
    </row>
    <row r="457" spans="7:7" x14ac:dyDescent="0.25">
      <c r="G457" s="65"/>
    </row>
    <row r="458" spans="7:7" x14ac:dyDescent="0.25">
      <c r="G458" s="65"/>
    </row>
    <row r="459" spans="7:7" x14ac:dyDescent="0.25">
      <c r="G459" s="65"/>
    </row>
    <row r="460" spans="7:7" x14ac:dyDescent="0.25">
      <c r="G460" s="65"/>
    </row>
    <row r="461" spans="7:7" x14ac:dyDescent="0.25">
      <c r="G461" s="65"/>
    </row>
    <row r="462" spans="7:7" x14ac:dyDescent="0.25">
      <c r="G462" s="65"/>
    </row>
    <row r="463" spans="7:7" x14ac:dyDescent="0.25">
      <c r="G463" s="65"/>
    </row>
    <row r="464" spans="7:7" x14ac:dyDescent="0.25">
      <c r="G464" s="65"/>
    </row>
    <row r="465" spans="7:7" x14ac:dyDescent="0.25">
      <c r="G465" s="65"/>
    </row>
    <row r="466" spans="7:7" x14ac:dyDescent="0.25">
      <c r="G466" s="65"/>
    </row>
    <row r="467" spans="7:7" x14ac:dyDescent="0.25">
      <c r="G467" s="65"/>
    </row>
    <row r="468" spans="7:7" x14ac:dyDescent="0.25">
      <c r="G468" s="65"/>
    </row>
    <row r="469" spans="7:7" x14ac:dyDescent="0.25">
      <c r="G469" s="65"/>
    </row>
    <row r="470" spans="7:7" x14ac:dyDescent="0.25">
      <c r="G470" s="65"/>
    </row>
    <row r="471" spans="7:7" x14ac:dyDescent="0.25">
      <c r="G471" s="65"/>
    </row>
    <row r="472" spans="7:7" x14ac:dyDescent="0.25">
      <c r="G472" s="65"/>
    </row>
    <row r="473" spans="7:7" x14ac:dyDescent="0.25">
      <c r="G473" s="65"/>
    </row>
    <row r="474" spans="7:7" x14ac:dyDescent="0.25">
      <c r="G474" s="65"/>
    </row>
    <row r="475" spans="7:7" x14ac:dyDescent="0.25">
      <c r="G475" s="65"/>
    </row>
    <row r="476" spans="7:7" x14ac:dyDescent="0.25">
      <c r="G476" s="65"/>
    </row>
    <row r="477" spans="7:7" x14ac:dyDescent="0.25">
      <c r="G477" s="65"/>
    </row>
    <row r="478" spans="7:7" x14ac:dyDescent="0.25">
      <c r="G478" s="65"/>
    </row>
    <row r="479" spans="7:7" x14ac:dyDescent="0.25">
      <c r="G479" s="65"/>
    </row>
    <row r="480" spans="7:7" x14ac:dyDescent="0.25">
      <c r="G480" s="65"/>
    </row>
    <row r="481" spans="7:7" x14ac:dyDescent="0.25">
      <c r="G481" s="65"/>
    </row>
    <row r="482" spans="7:7" x14ac:dyDescent="0.25">
      <c r="G482" s="65"/>
    </row>
    <row r="483" spans="7:7" x14ac:dyDescent="0.25">
      <c r="G483" s="65"/>
    </row>
    <row r="484" spans="7:7" x14ac:dyDescent="0.25">
      <c r="G484" s="65"/>
    </row>
    <row r="485" spans="7:7" x14ac:dyDescent="0.25">
      <c r="G485" s="65"/>
    </row>
    <row r="486" spans="7:7" x14ac:dyDescent="0.25">
      <c r="G486" s="65"/>
    </row>
    <row r="487" spans="7:7" x14ac:dyDescent="0.25">
      <c r="G487" s="65"/>
    </row>
    <row r="488" spans="7:7" x14ac:dyDescent="0.25">
      <c r="G488" s="65"/>
    </row>
    <row r="489" spans="7:7" x14ac:dyDescent="0.25">
      <c r="G489" s="65"/>
    </row>
    <row r="490" spans="7:7" x14ac:dyDescent="0.25">
      <c r="G490" s="65"/>
    </row>
    <row r="491" spans="7:7" x14ac:dyDescent="0.25">
      <c r="G491" s="65"/>
    </row>
    <row r="492" spans="7:7" x14ac:dyDescent="0.25">
      <c r="G492" s="65"/>
    </row>
    <row r="493" spans="7:7" x14ac:dyDescent="0.25">
      <c r="G493" s="65"/>
    </row>
    <row r="494" spans="7:7" x14ac:dyDescent="0.25">
      <c r="G494" s="65"/>
    </row>
    <row r="495" spans="7:7" x14ac:dyDescent="0.25">
      <c r="G495" s="65"/>
    </row>
    <row r="496" spans="7:7" x14ac:dyDescent="0.25">
      <c r="G496" s="65"/>
    </row>
    <row r="497" spans="7:7" x14ac:dyDescent="0.25">
      <c r="G497" s="65"/>
    </row>
    <row r="498" spans="7:7" x14ac:dyDescent="0.25">
      <c r="G498" s="65"/>
    </row>
    <row r="499" spans="7:7" x14ac:dyDescent="0.25">
      <c r="G499" s="65"/>
    </row>
    <row r="500" spans="7:7" x14ac:dyDescent="0.25">
      <c r="G500" s="65"/>
    </row>
    <row r="501" spans="7:7" x14ac:dyDescent="0.25">
      <c r="G501" s="65"/>
    </row>
    <row r="502" spans="7:7" x14ac:dyDescent="0.25">
      <c r="G502" s="65"/>
    </row>
    <row r="503" spans="7:7" x14ac:dyDescent="0.25">
      <c r="G503" s="65"/>
    </row>
    <row r="504" spans="7:7" x14ac:dyDescent="0.25">
      <c r="G504" s="65"/>
    </row>
    <row r="505" spans="7:7" x14ac:dyDescent="0.25">
      <c r="G505" s="65"/>
    </row>
    <row r="506" spans="7:7" x14ac:dyDescent="0.25">
      <c r="G506" s="65"/>
    </row>
    <row r="507" spans="7:7" x14ac:dyDescent="0.25">
      <c r="G507" s="65"/>
    </row>
    <row r="508" spans="7:7" x14ac:dyDescent="0.25">
      <c r="G508" s="65"/>
    </row>
    <row r="509" spans="7:7" x14ac:dyDescent="0.25">
      <c r="G509" s="65"/>
    </row>
    <row r="510" spans="7:7" x14ac:dyDescent="0.25">
      <c r="G510" s="65"/>
    </row>
    <row r="511" spans="7:7" x14ac:dyDescent="0.25">
      <c r="G511" s="65"/>
    </row>
    <row r="512" spans="7:7" x14ac:dyDescent="0.25">
      <c r="G512" s="65"/>
    </row>
    <row r="513" spans="7:7" x14ac:dyDescent="0.25">
      <c r="G513" s="65"/>
    </row>
    <row r="514" spans="7:7" x14ac:dyDescent="0.25">
      <c r="G514" s="65"/>
    </row>
    <row r="515" spans="7:7" x14ac:dyDescent="0.25">
      <c r="G515" s="65"/>
    </row>
    <row r="516" spans="7:7" x14ac:dyDescent="0.25">
      <c r="G516" s="65"/>
    </row>
    <row r="517" spans="7:7" x14ac:dyDescent="0.25">
      <c r="G517" s="65"/>
    </row>
    <row r="518" spans="7:7" x14ac:dyDescent="0.25">
      <c r="G518" s="65"/>
    </row>
    <row r="519" spans="7:7" x14ac:dyDescent="0.25">
      <c r="G519" s="65"/>
    </row>
    <row r="520" spans="7:7" x14ac:dyDescent="0.25">
      <c r="G520" s="65"/>
    </row>
    <row r="521" spans="7:7" x14ac:dyDescent="0.25">
      <c r="G521" s="65"/>
    </row>
    <row r="522" spans="7:7" x14ac:dyDescent="0.25">
      <c r="G522" s="65"/>
    </row>
    <row r="523" spans="7:7" x14ac:dyDescent="0.25">
      <c r="G523" s="65"/>
    </row>
    <row r="524" spans="7:7" x14ac:dyDescent="0.25">
      <c r="G524" s="65"/>
    </row>
    <row r="525" spans="7:7" x14ac:dyDescent="0.25">
      <c r="G525" s="65"/>
    </row>
    <row r="526" spans="7:7" x14ac:dyDescent="0.25">
      <c r="G526" s="65"/>
    </row>
    <row r="527" spans="7:7" x14ac:dyDescent="0.25">
      <c r="G527" s="65"/>
    </row>
    <row r="528" spans="7:7" x14ac:dyDescent="0.25">
      <c r="G528" s="65"/>
    </row>
    <row r="529" spans="7:7" x14ac:dyDescent="0.25">
      <c r="G529" s="65"/>
    </row>
    <row r="530" spans="7:7" x14ac:dyDescent="0.25">
      <c r="G530" s="65"/>
    </row>
    <row r="531" spans="7:7" x14ac:dyDescent="0.25">
      <c r="G531" s="65"/>
    </row>
    <row r="532" spans="7:7" x14ac:dyDescent="0.25">
      <c r="G532" s="65"/>
    </row>
    <row r="533" spans="7:7" x14ac:dyDescent="0.25">
      <c r="G533" s="65"/>
    </row>
    <row r="534" spans="7:7" x14ac:dyDescent="0.25">
      <c r="G534" s="65"/>
    </row>
    <row r="535" spans="7:7" x14ac:dyDescent="0.25">
      <c r="G535" s="65"/>
    </row>
    <row r="536" spans="7:7" x14ac:dyDescent="0.25">
      <c r="G536" s="65"/>
    </row>
    <row r="537" spans="7:7" x14ac:dyDescent="0.25">
      <c r="G537" s="65"/>
    </row>
    <row r="538" spans="7:7" x14ac:dyDescent="0.25">
      <c r="G538" s="65"/>
    </row>
    <row r="539" spans="7:7" x14ac:dyDescent="0.25">
      <c r="G539" s="65"/>
    </row>
    <row r="540" spans="7:7" x14ac:dyDescent="0.25">
      <c r="G540" s="65"/>
    </row>
    <row r="541" spans="7:7" x14ac:dyDescent="0.25">
      <c r="G541" s="65"/>
    </row>
    <row r="542" spans="7:7" x14ac:dyDescent="0.25">
      <c r="G542" s="65"/>
    </row>
    <row r="543" spans="7:7" x14ac:dyDescent="0.25">
      <c r="G543" s="65"/>
    </row>
    <row r="544" spans="7:7" x14ac:dyDescent="0.25">
      <c r="G544" s="65"/>
    </row>
    <row r="545" spans="7:7" x14ac:dyDescent="0.25">
      <c r="G545" s="65"/>
    </row>
    <row r="546" spans="7:7" x14ac:dyDescent="0.25">
      <c r="G546" s="65"/>
    </row>
    <row r="547" spans="7:7" x14ac:dyDescent="0.25">
      <c r="G547" s="65"/>
    </row>
    <row r="548" spans="7:7" x14ac:dyDescent="0.25">
      <c r="G548" s="65"/>
    </row>
    <row r="549" spans="7:7" x14ac:dyDescent="0.25">
      <c r="G549" s="65"/>
    </row>
    <row r="550" spans="7:7" x14ac:dyDescent="0.25">
      <c r="G550" s="65"/>
    </row>
    <row r="551" spans="7:7" x14ac:dyDescent="0.25">
      <c r="G551" s="65"/>
    </row>
    <row r="552" spans="7:7" x14ac:dyDescent="0.25">
      <c r="G552" s="65"/>
    </row>
    <row r="553" spans="7:7" x14ac:dyDescent="0.25">
      <c r="G553" s="65"/>
    </row>
    <row r="554" spans="7:7" x14ac:dyDescent="0.25">
      <c r="G554" s="65"/>
    </row>
    <row r="555" spans="7:7" x14ac:dyDescent="0.25">
      <c r="G555" s="65"/>
    </row>
    <row r="556" spans="7:7" x14ac:dyDescent="0.25">
      <c r="G556" s="65"/>
    </row>
    <row r="557" spans="7:7" x14ac:dyDescent="0.25">
      <c r="G557" s="65"/>
    </row>
    <row r="558" spans="7:7" x14ac:dyDescent="0.25">
      <c r="G558" s="65"/>
    </row>
    <row r="559" spans="7:7" x14ac:dyDescent="0.25">
      <c r="G559" s="65"/>
    </row>
    <row r="560" spans="7:7" x14ac:dyDescent="0.25">
      <c r="G560" s="65"/>
    </row>
    <row r="561" spans="7:7" x14ac:dyDescent="0.25">
      <c r="G561" s="65"/>
    </row>
    <row r="562" spans="7:7" x14ac:dyDescent="0.25">
      <c r="G562" s="65"/>
    </row>
    <row r="563" spans="7:7" x14ac:dyDescent="0.25">
      <c r="G563" s="65"/>
    </row>
    <row r="564" spans="7:7" x14ac:dyDescent="0.25">
      <c r="G564" s="65"/>
    </row>
    <row r="565" spans="7:7" x14ac:dyDescent="0.25">
      <c r="G565" s="65"/>
    </row>
    <row r="566" spans="7:7" x14ac:dyDescent="0.25">
      <c r="G566" s="65"/>
    </row>
    <row r="567" spans="7:7" x14ac:dyDescent="0.25">
      <c r="G567" s="65"/>
    </row>
    <row r="568" spans="7:7" x14ac:dyDescent="0.25">
      <c r="G568" s="65"/>
    </row>
    <row r="569" spans="7:7" x14ac:dyDescent="0.25">
      <c r="G569" s="65"/>
    </row>
    <row r="570" spans="7:7" x14ac:dyDescent="0.25">
      <c r="G570" s="65"/>
    </row>
    <row r="571" spans="7:7" x14ac:dyDescent="0.25">
      <c r="G571" s="65"/>
    </row>
    <row r="572" spans="7:7" x14ac:dyDescent="0.25">
      <c r="G572" s="65"/>
    </row>
    <row r="573" spans="7:7" x14ac:dyDescent="0.25">
      <c r="G573" s="65"/>
    </row>
    <row r="574" spans="7:7" x14ac:dyDescent="0.25">
      <c r="G574" s="65"/>
    </row>
    <row r="575" spans="7:7" x14ac:dyDescent="0.25">
      <c r="G575" s="65"/>
    </row>
    <row r="576" spans="7:7" x14ac:dyDescent="0.25">
      <c r="G576" s="65"/>
    </row>
    <row r="577" spans="7:7" x14ac:dyDescent="0.25">
      <c r="G577" s="65"/>
    </row>
    <row r="578" spans="7:7" x14ac:dyDescent="0.25">
      <c r="G578" s="65"/>
    </row>
    <row r="579" spans="7:7" x14ac:dyDescent="0.25">
      <c r="G579" s="65"/>
    </row>
    <row r="580" spans="7:7" x14ac:dyDescent="0.25">
      <c r="G580" s="65"/>
    </row>
    <row r="581" spans="7:7" x14ac:dyDescent="0.25">
      <c r="G581" s="65"/>
    </row>
    <row r="582" spans="7:7" x14ac:dyDescent="0.25">
      <c r="G582" s="65"/>
    </row>
    <row r="583" spans="7:7" x14ac:dyDescent="0.25">
      <c r="G583" s="65"/>
    </row>
    <row r="584" spans="7:7" x14ac:dyDescent="0.25">
      <c r="G584" s="65"/>
    </row>
    <row r="585" spans="7:7" x14ac:dyDescent="0.25">
      <c r="G585" s="65"/>
    </row>
    <row r="586" spans="7:7" x14ac:dyDescent="0.25">
      <c r="G586" s="65"/>
    </row>
    <row r="587" spans="7:7" x14ac:dyDescent="0.25">
      <c r="G587" s="65"/>
    </row>
    <row r="588" spans="7:7" x14ac:dyDescent="0.25">
      <c r="G588" s="65"/>
    </row>
    <row r="589" spans="7:7" x14ac:dyDescent="0.25">
      <c r="G589" s="65"/>
    </row>
    <row r="590" spans="7:7" x14ac:dyDescent="0.25">
      <c r="G590" s="65"/>
    </row>
    <row r="591" spans="7:7" x14ac:dyDescent="0.25">
      <c r="G591" s="65"/>
    </row>
    <row r="592" spans="7:7" x14ac:dyDescent="0.25">
      <c r="G592" s="65"/>
    </row>
    <row r="593" spans="7:7" x14ac:dyDescent="0.25">
      <c r="G593" s="65"/>
    </row>
    <row r="594" spans="7:7" x14ac:dyDescent="0.25">
      <c r="G594" s="65"/>
    </row>
    <row r="595" spans="7:7" x14ac:dyDescent="0.25">
      <c r="G595" s="65"/>
    </row>
    <row r="596" spans="7:7" x14ac:dyDescent="0.25">
      <c r="G596" s="65"/>
    </row>
    <row r="597" spans="7:7" x14ac:dyDescent="0.25">
      <c r="G597" s="65"/>
    </row>
    <row r="598" spans="7:7" x14ac:dyDescent="0.25">
      <c r="G598" s="65"/>
    </row>
    <row r="599" spans="7:7" x14ac:dyDescent="0.25">
      <c r="G599" s="65"/>
    </row>
    <row r="600" spans="7:7" x14ac:dyDescent="0.25">
      <c r="G600" s="65"/>
    </row>
    <row r="601" spans="7:7" x14ac:dyDescent="0.25">
      <c r="G601" s="65"/>
    </row>
  </sheetData>
  <mergeCells count="2">
    <mergeCell ref="A4:A6"/>
    <mergeCell ref="AV5:AX5"/>
  </mergeCells>
  <conditionalFormatting sqref="D6:AU6">
    <cfRule type="cellIs" dxfId="47" priority="1" operator="equal">
      <formula>#REF!</formula>
    </cfRule>
    <cfRule type="cellIs" dxfId="46" priority="2" operator="equal">
      <formula>#REF!</formula>
    </cfRule>
    <cfRule type="cellIs" dxfId="45" priority="3" operator="equal">
      <formula>#REF!</formula>
    </cfRule>
    <cfRule type="cellIs" dxfId="44" priority="4" operator="equal">
      <formula>#REF!</formula>
    </cfRule>
  </conditionalFormatting>
  <conditionalFormatting sqref="G6:AX6">
    <cfRule type="cellIs" dxfId="43" priority="13" operator="equal">
      <formula>#REF!</formula>
    </cfRule>
    <cfRule type="cellIs" dxfId="42" priority="14" operator="equal">
      <formula>#REF!</formula>
    </cfRule>
    <cfRule type="cellIs" dxfId="41" priority="15" operator="equal">
      <formula>#REF!</formula>
    </cfRule>
    <cfRule type="cellIs" dxfId="40" priority="16" operator="equal">
      <formula>#REF!</formula>
    </cfRule>
  </conditionalFormatting>
  <conditionalFormatting sqref="AC7">
    <cfRule type="cellIs" dxfId="39" priority="5" operator="equal">
      <formula>#REF!</formula>
    </cfRule>
    <cfRule type="cellIs" dxfId="38" priority="6" operator="equal">
      <formula>#REF!</formula>
    </cfRule>
    <cfRule type="cellIs" dxfId="37" priority="7" operator="equal">
      <formula>#REF!</formula>
    </cfRule>
    <cfRule type="cellIs" dxfId="36" priority="8" operator="equal">
      <formula>#REF!</formula>
    </cfRule>
  </conditionalFormatting>
  <conditionalFormatting sqref="AC7:AR7">
    <cfRule type="cellIs" dxfId="35" priority="9" operator="equal">
      <formula>#REF!</formula>
    </cfRule>
    <cfRule type="cellIs" dxfId="34" priority="10" operator="equal">
      <formula>#REF!</formula>
    </cfRule>
    <cfRule type="cellIs" dxfId="33" priority="11" operator="equal">
      <formula>#REF!</formula>
    </cfRule>
    <cfRule type="cellIs" dxfId="32" priority="12" operator="equal">
      <formula>#REF!</formula>
    </cfRule>
  </conditionalFormatting>
  <pageMargins left="0.7" right="0.7" top="0.75" bottom="0.75" header="0.3" footer="0.3"/>
  <pageSetup orientation="portrait" horizontalDpi="1200" verticalDpi="1200" r:id="rId1"/>
  <headerFooter>
    <oddHeader>&amp;C&amp;"Calibri,Regular"&amp;K000000OVERALL DRAW</oddHeader>
    <oddFooter>&amp;C&amp;"Calibri,Regular"&amp;K000000PAGE &amp;P OF &amp;N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55EBB2-024B-4767-934D-609FE85959AD}">
  <sheetPr>
    <tabColor rgb="FF65764C"/>
    <pageSetUpPr fitToPage="1"/>
  </sheetPr>
  <dimension ref="A1:H110"/>
  <sheetViews>
    <sheetView showGridLines="0" topLeftCell="A52" zoomScale="68" zoomScaleNormal="100" zoomScaleSheetLayoutView="90" workbookViewId="0">
      <selection activeCell="F59" sqref="F59"/>
    </sheetView>
  </sheetViews>
  <sheetFormatPr defaultColWidth="8.6640625" defaultRowHeight="23.25" customHeight="1" x14ac:dyDescent="0.25"/>
  <cols>
    <col min="1" max="1" width="40.33203125" style="65" bestFit="1" customWidth="1"/>
    <col min="2" max="2" width="35.33203125" style="65" bestFit="1" customWidth="1"/>
    <col min="3" max="3" width="22.5546875" style="65" bestFit="1" customWidth="1"/>
    <col min="4" max="4" width="17.109375" style="65" bestFit="1" customWidth="1"/>
    <col min="5" max="5" width="22.6640625" style="65" bestFit="1" customWidth="1"/>
    <col min="6" max="6" width="31.5546875" style="65" customWidth="1"/>
    <col min="7" max="7" width="13.88671875" style="65" bestFit="1" customWidth="1"/>
    <col min="8" max="8" width="2.33203125" style="65" customWidth="1"/>
    <col min="9" max="9" width="32.44140625" style="65" customWidth="1"/>
    <col min="10" max="10" width="20.33203125" style="65" customWidth="1"/>
    <col min="11" max="16384" width="8.6640625" style="65"/>
  </cols>
  <sheetData>
    <row r="1" spans="1:8" ht="23.25" customHeight="1" x14ac:dyDescent="0.3">
      <c r="A1" s="28" t="s">
        <v>0</v>
      </c>
      <c r="H1" s="488"/>
    </row>
    <row r="2" spans="1:8" ht="23.25" customHeight="1" x14ac:dyDescent="0.3">
      <c r="A2" s="28" t="s">
        <v>1</v>
      </c>
      <c r="H2" s="488"/>
    </row>
    <row r="3" spans="1:8" ht="23.25" customHeight="1" x14ac:dyDescent="0.3">
      <c r="A3" s="28" t="s">
        <v>536</v>
      </c>
      <c r="H3" s="488"/>
    </row>
    <row r="4" spans="1:8" ht="23.25" customHeight="1" thickBot="1" x14ac:dyDescent="0.3">
      <c r="A4" s="103"/>
      <c r="B4" s="104"/>
      <c r="C4" s="105"/>
      <c r="D4" s="106"/>
      <c r="H4" s="488"/>
    </row>
    <row r="5" spans="1:8" ht="23.25" customHeight="1" thickBot="1" x14ac:dyDescent="0.35">
      <c r="A5" s="851" t="s">
        <v>537</v>
      </c>
      <c r="B5" s="852"/>
      <c r="C5" s="852"/>
      <c r="D5" s="853" t="s">
        <v>304</v>
      </c>
      <c r="E5" s="853"/>
      <c r="H5" s="488"/>
    </row>
    <row r="6" spans="1:8" ht="23.25" customHeight="1" x14ac:dyDescent="0.25">
      <c r="A6" s="107"/>
      <c r="B6" s="108"/>
      <c r="C6" s="108"/>
      <c r="D6" s="109">
        <v>0</v>
      </c>
      <c r="E6" s="110" t="s">
        <v>149</v>
      </c>
      <c r="H6" s="488"/>
    </row>
    <row r="7" spans="1:8" ht="24" customHeight="1" x14ac:dyDescent="0.25">
      <c r="A7" s="111" t="s">
        <v>150</v>
      </c>
      <c r="B7" s="112" t="s">
        <v>151</v>
      </c>
      <c r="C7" s="112" t="s">
        <v>481</v>
      </c>
      <c r="D7" s="112" t="s">
        <v>153</v>
      </c>
      <c r="E7" s="114" t="s">
        <v>154</v>
      </c>
      <c r="H7" s="488"/>
    </row>
    <row r="8" spans="1:8" ht="23.25" customHeight="1" x14ac:dyDescent="0.25">
      <c r="A8" s="115" t="s">
        <v>482</v>
      </c>
      <c r="B8" s="657">
        <f>SUM('4| Development Program'!F58,'4| Development Program'!F65,'4| Development Program'!F72,'4| Development Program'!F79,'4| Development Program'!F86,'4| Development Program'!F93)</f>
        <v>24</v>
      </c>
      <c r="C8" s="658">
        <f>'2| Assumptions'!D10</f>
        <v>525</v>
      </c>
      <c r="D8" s="659">
        <f>('4| Development Program'!F7)*(1+D$6)</f>
        <v>3.1517509727626458</v>
      </c>
      <c r="E8" s="660">
        <f t="shared" ref="E8:E19" si="0">12*B8*C8*D8</f>
        <v>476544.74708171206</v>
      </c>
      <c r="H8" s="488"/>
    </row>
    <row r="9" spans="1:8" ht="23.25" customHeight="1" x14ac:dyDescent="0.25">
      <c r="A9" s="115" t="s">
        <v>483</v>
      </c>
      <c r="B9" s="657">
        <f>SUM('4| Development Program'!F59,'4| Development Program'!F66,'4| Development Program'!F73,'4| Development Program'!F80,'4| Development Program'!F87,'4| Development Program'!F94)</f>
        <v>99</v>
      </c>
      <c r="C9" s="658">
        <f>'2| Assumptions'!D13</f>
        <v>700</v>
      </c>
      <c r="D9" s="659">
        <f>('4| Development Program'!F8)*(1+D$6)</f>
        <v>3.5169111044597425</v>
      </c>
      <c r="E9" s="660">
        <f t="shared" si="0"/>
        <v>2924663.2744687218</v>
      </c>
      <c r="H9" s="488"/>
    </row>
    <row r="10" spans="1:8" ht="23.25" customHeight="1" x14ac:dyDescent="0.25">
      <c r="A10" s="121" t="s">
        <v>484</v>
      </c>
      <c r="B10" s="657">
        <f>SUM('4| Development Program'!F60,'4| Development Program'!F67,'4| Development Program'!F74,'4| Development Program'!F81,'4| Development Program'!F88,'4| Development Program'!F95)</f>
        <v>100</v>
      </c>
      <c r="C10" s="658">
        <f>'2| Assumptions'!D16</f>
        <v>900</v>
      </c>
      <c r="D10" s="659">
        <f>('4| Development Program'!F9)*(1+D$6)</f>
        <v>3.7413947919784492</v>
      </c>
      <c r="E10" s="660">
        <f t="shared" si="0"/>
        <v>4040706.3753367253</v>
      </c>
      <c r="H10" s="488"/>
    </row>
    <row r="11" spans="1:8" ht="23.25" customHeight="1" x14ac:dyDescent="0.25">
      <c r="A11" s="121" t="s">
        <v>485</v>
      </c>
      <c r="B11" s="657">
        <f>SUM('4| Development Program'!F61,'4| Development Program'!F68,'4| Development Program'!F75,'4| Development Program'!F82,'4| Development Program'!F89,'4| Development Program'!F96)</f>
        <v>51</v>
      </c>
      <c r="C11" s="658">
        <f>'2| Assumptions'!D19</f>
        <v>1100</v>
      </c>
      <c r="D11" s="659">
        <f>('4| Development Program'!F10)*(1+D$6)</f>
        <v>5.899891787350632</v>
      </c>
      <c r="E11" s="660">
        <f t="shared" si="0"/>
        <v>3971807.1512444457</v>
      </c>
      <c r="H11" s="488"/>
    </row>
    <row r="12" spans="1:8" ht="23.25" customHeight="1" x14ac:dyDescent="0.25">
      <c r="A12" s="115" t="s">
        <v>486</v>
      </c>
      <c r="B12" s="657">
        <f>SUM('4| Development Program'!G58,'4| Development Program'!G65,'4| Development Program'!G72,'4| Development Program'!G79,'4| Development Program'!G86,'4| Development Program'!G93)</f>
        <v>9</v>
      </c>
      <c r="C12" s="658">
        <f>C8</f>
        <v>525</v>
      </c>
      <c r="D12" s="659">
        <f>('4| Development Program'!I7)*(1+D$6)</f>
        <v>2.2062256809338519</v>
      </c>
      <c r="E12" s="660">
        <f t="shared" si="0"/>
        <v>125092.9961089494</v>
      </c>
      <c r="H12" s="488"/>
    </row>
    <row r="13" spans="1:8" ht="23.25" customHeight="1" x14ac:dyDescent="0.25">
      <c r="A13" s="115" t="s">
        <v>487</v>
      </c>
      <c r="B13" s="657">
        <f>SUM('4| Development Program'!G59,'4| Development Program'!G66,'4| Development Program'!G73,'4| Development Program'!G80,'4| Development Program'!G87,'4| Development Program'!G94)</f>
        <v>35</v>
      </c>
      <c r="C13" s="658">
        <f>C9</f>
        <v>700</v>
      </c>
      <c r="D13" s="659">
        <f>('4| Development Program'!I8)*(1+D$6)</f>
        <v>2.4618377731218195</v>
      </c>
      <c r="E13" s="660">
        <f t="shared" si="0"/>
        <v>723780.30529781489</v>
      </c>
      <c r="H13" s="488"/>
    </row>
    <row r="14" spans="1:8" ht="23.25" customHeight="1" x14ac:dyDescent="0.25">
      <c r="A14" s="121" t="s">
        <v>488</v>
      </c>
      <c r="B14" s="657">
        <f>SUM('4| Development Program'!G60,'4| Development Program'!G67,'4| Development Program'!G74,'4| Development Program'!G81,'4| Development Program'!G88,'4| Development Program'!G95)</f>
        <v>37</v>
      </c>
      <c r="C14" s="658">
        <f>C10</f>
        <v>900</v>
      </c>
      <c r="D14" s="659">
        <f>('4| Development Program'!I9)*(1+D$6)</f>
        <v>2.6189763543849143</v>
      </c>
      <c r="E14" s="660">
        <f t="shared" si="0"/>
        <v>1046542.9512122117</v>
      </c>
      <c r="H14" s="488"/>
    </row>
    <row r="15" spans="1:8" ht="23.25" customHeight="1" x14ac:dyDescent="0.25">
      <c r="A15" s="121" t="s">
        <v>489</v>
      </c>
      <c r="B15" s="657">
        <f>SUM('4| Development Program'!G61,'4| Development Program'!G68,'4| Development Program'!G75,'4| Development Program'!G82,'4| Development Program'!G89,'4| Development Program'!G96)</f>
        <v>20</v>
      </c>
      <c r="C15" s="658">
        <f>C11</f>
        <v>1100</v>
      </c>
      <c r="D15" s="659">
        <f>('4| Development Program'!I10)*(1+D$6)</f>
        <v>4.1299242511454421</v>
      </c>
      <c r="E15" s="660">
        <f t="shared" si="0"/>
        <v>1090300.0023023968</v>
      </c>
      <c r="H15" s="488"/>
    </row>
    <row r="16" spans="1:8" ht="23.25" customHeight="1" x14ac:dyDescent="0.25">
      <c r="A16" s="115" t="s">
        <v>490</v>
      </c>
      <c r="B16" s="657">
        <f>SUM('4| Development Program'!H58,'4| Development Program'!H65,'4| Development Program'!H72,'4| Development Program'!H79,'4| Development Program'!H86,'4| Development Program'!H93)</f>
        <v>0</v>
      </c>
      <c r="C16" s="658">
        <f>C8</f>
        <v>525</v>
      </c>
      <c r="D16" s="659">
        <f>('4| Development Program'!M7)*(1+D$6)</f>
        <v>4.0972762645914393</v>
      </c>
      <c r="E16" s="660">
        <f t="shared" si="0"/>
        <v>0</v>
      </c>
      <c r="H16" s="488"/>
    </row>
    <row r="17" spans="1:8" ht="23.25" customHeight="1" x14ac:dyDescent="0.25">
      <c r="A17" s="115" t="s">
        <v>491</v>
      </c>
      <c r="B17" s="657">
        <f>SUM('4| Development Program'!H59,'4| Development Program'!H66,'4| Development Program'!H73,'4| Development Program'!H80,'4| Development Program'!H87,'4| Development Program'!H94)</f>
        <v>5</v>
      </c>
      <c r="C17" s="658">
        <f>C9</f>
        <v>700</v>
      </c>
      <c r="D17" s="659">
        <f>('4| Development Program'!M8)*(1+D$6)</f>
        <v>4.5719844357976651</v>
      </c>
      <c r="E17" s="660">
        <f t="shared" si="0"/>
        <v>192023.34630350192</v>
      </c>
      <c r="H17" s="488"/>
    </row>
    <row r="18" spans="1:8" ht="13.2" x14ac:dyDescent="0.25">
      <c r="A18" s="121" t="s">
        <v>492</v>
      </c>
      <c r="B18" s="657">
        <f>SUM('4| Development Program'!H60,'4| Development Program'!H67,'4| Development Program'!H74,'4| Development Program'!H81,'4| Development Program'!H88,'4| Development Program'!H95)</f>
        <v>6</v>
      </c>
      <c r="C18" s="661">
        <f>C10</f>
        <v>900</v>
      </c>
      <c r="D18" s="659">
        <f>('4| Development Program'!M9)*(1+D$6)</f>
        <v>4.863813229571984</v>
      </c>
      <c r="E18" s="660">
        <f t="shared" si="0"/>
        <v>315175.09727626457</v>
      </c>
      <c r="H18" s="488"/>
    </row>
    <row r="19" spans="1:8" ht="13.2" x14ac:dyDescent="0.25">
      <c r="A19" s="121" t="s">
        <v>493</v>
      </c>
      <c r="B19" s="657">
        <f>SUM('4| Development Program'!H61,'4| Development Program'!H68,'4| Development Program'!H75,'4| Development Program'!H82,'4| Development Program'!H89,'4| Development Program'!H96)</f>
        <v>2</v>
      </c>
      <c r="C19" s="658">
        <f>C11</f>
        <v>1100</v>
      </c>
      <c r="D19" s="659">
        <f>('4| Development Program'!M10)*(1+D$6)</f>
        <v>7.6698593235558219</v>
      </c>
      <c r="E19" s="660">
        <f t="shared" si="0"/>
        <v>202484.28614187369</v>
      </c>
      <c r="H19" s="488"/>
    </row>
    <row r="20" spans="1:8" ht="13.2" x14ac:dyDescent="0.25">
      <c r="A20" s="121"/>
      <c r="B20" s="7"/>
      <c r="C20" s="7"/>
      <c r="D20" s="127"/>
      <c r="E20" s="660"/>
      <c r="H20" s="488"/>
    </row>
    <row r="21" spans="1:8" ht="13.8" thickBot="1" x14ac:dyDescent="0.3">
      <c r="A21" s="121"/>
      <c r="B21" s="7"/>
      <c r="C21" s="7"/>
      <c r="D21" s="127"/>
      <c r="E21" s="662"/>
      <c r="H21" s="488"/>
    </row>
    <row r="22" spans="1:8" ht="14.4" thickTop="1" thickBot="1" x14ac:dyDescent="0.3">
      <c r="A22" s="130" t="s">
        <v>167</v>
      </c>
      <c r="B22" s="663">
        <f>SUM(B8:B21)</f>
        <v>388</v>
      </c>
      <c r="C22" s="664">
        <f>B8*C8+B17*C17+B18*C18+B19*C19+B20*C20+B21*C21+B9*C9+B10*C10+B11*C11+B12*C12+B13*C13+B14*C14+B15*C15+B16*C16</f>
        <v>323625</v>
      </c>
      <c r="D22" s="133"/>
      <c r="E22" s="667">
        <f>SUM(E8:E21)</f>
        <v>15109120.532774618</v>
      </c>
      <c r="H22" s="488"/>
    </row>
    <row r="23" spans="1:8" ht="14.4" thickTop="1" thickBot="1" x14ac:dyDescent="0.3">
      <c r="A23" s="135" t="s">
        <v>168</v>
      </c>
      <c r="B23" s="136"/>
      <c r="C23" s="665">
        <f>C22/B22</f>
        <v>834.0850515463917</v>
      </c>
      <c r="D23" s="666">
        <f>(E22/12)/C22</f>
        <v>3.8905936739473721</v>
      </c>
      <c r="E23" s="139"/>
      <c r="H23" s="488"/>
    </row>
    <row r="24" spans="1:8" ht="13.2" x14ac:dyDescent="0.25">
      <c r="A24" s="141"/>
      <c r="B24" s="142"/>
      <c r="C24" s="143"/>
      <c r="D24" s="144"/>
      <c r="H24" s="488"/>
    </row>
    <row r="25" spans="1:8" ht="13.2" x14ac:dyDescent="0.25">
      <c r="A25" s="111" t="s">
        <v>169</v>
      </c>
      <c r="B25" s="112" t="s">
        <v>170</v>
      </c>
      <c r="C25" s="112" t="s">
        <v>171</v>
      </c>
      <c r="D25" s="112" t="s">
        <v>154</v>
      </c>
      <c r="H25" s="488"/>
    </row>
    <row r="26" spans="1:8" ht="13.2" x14ac:dyDescent="0.25">
      <c r="A26" s="145" t="s">
        <v>10</v>
      </c>
      <c r="B26" s="668">
        <f>SUM('4| Development Program'!K61,'4| Development Program'!K68,'4| Development Program'!K75,'4| Development Program'!K82,'4| Development Program'!K89,'4| Development Program'!K96)</f>
        <v>101080</v>
      </c>
      <c r="C26" s="669">
        <f>'4| Development Program'!S10</f>
        <v>45.5</v>
      </c>
      <c r="D26" s="670">
        <f>B26*C26</f>
        <v>4599140</v>
      </c>
      <c r="H26" s="488"/>
    </row>
    <row r="27" spans="1:8" ht="13.8" thickBot="1" x14ac:dyDescent="0.3">
      <c r="A27" s="154" t="s">
        <v>172</v>
      </c>
      <c r="B27" s="671">
        <f>SUM(B26:B26)</f>
        <v>101080</v>
      </c>
      <c r="C27" s="672">
        <f>IF(B27=0,0,D27/B27)</f>
        <v>45.5</v>
      </c>
      <c r="D27" s="673">
        <f>SUM(D26:D26)</f>
        <v>4599140</v>
      </c>
      <c r="E27" s="140"/>
      <c r="H27" s="488"/>
    </row>
    <row r="28" spans="1:8" ht="13.2" x14ac:dyDescent="0.25">
      <c r="A28" s="165" t="s">
        <v>173</v>
      </c>
      <c r="B28" s="159"/>
      <c r="H28" s="488"/>
    </row>
    <row r="29" spans="1:8" ht="13.2" x14ac:dyDescent="0.25">
      <c r="A29" s="91" t="s">
        <v>174</v>
      </c>
      <c r="B29" s="674">
        <f>SUM('4| Development Program'!R60,'4| Development Program'!R67,'4| Development Program'!R74,'4| Development Program'!R81,'4| Development Program'!R88,'4| Development Program'!R95)</f>
        <v>0</v>
      </c>
      <c r="C29" s="161"/>
      <c r="D29" s="162"/>
      <c r="H29" s="488"/>
    </row>
    <row r="30" spans="1:8" ht="13.8" thickBot="1" x14ac:dyDescent="0.3">
      <c r="A30" s="97" t="s">
        <v>175</v>
      </c>
      <c r="B30" s="674">
        <f>SUM('4| Development Program'!R59,'4| Development Program'!R66,'4| Development Program'!R73,'4| Development Program'!R80,'4| Development Program'!R87,'4| Development Program'!R94)</f>
        <v>0</v>
      </c>
      <c r="C30" s="161"/>
      <c r="D30" s="162"/>
      <c r="H30" s="488"/>
    </row>
    <row r="31" spans="1:8" ht="14.4" thickTop="1" thickBot="1" x14ac:dyDescent="0.3">
      <c r="A31" s="163" t="s">
        <v>176</v>
      </c>
      <c r="B31" s="675">
        <f>SUM(B29:B30)</f>
        <v>0</v>
      </c>
      <c r="C31" s="161"/>
      <c r="D31" s="162"/>
      <c r="H31" s="488"/>
    </row>
    <row r="32" spans="1:8" ht="13.2" x14ac:dyDescent="0.25">
      <c r="A32" s="165" t="s">
        <v>177</v>
      </c>
      <c r="B32" s="166" t="s">
        <v>280</v>
      </c>
      <c r="C32" s="167"/>
      <c r="D32" s="167"/>
      <c r="E32" s="167"/>
      <c r="H32" s="488"/>
    </row>
    <row r="33" spans="1:8" ht="13.2" x14ac:dyDescent="0.25">
      <c r="A33" s="168" t="s">
        <v>178</v>
      </c>
      <c r="B33" s="174">
        <f>SUM('5| Demolitions &amp; Land'!O15,'5| Demolitions &amp; Land'!O17,'5| Demolitions &amp; Land'!O18,'5| Demolitions &amp; Land'!O20,'5| Demolitions &amp; Land'!O21,'5| Demolitions &amp; Land'!O22)</f>
        <v>109072</v>
      </c>
      <c r="C33" s="170"/>
      <c r="D33" s="171"/>
      <c r="E33" s="167"/>
      <c r="H33" s="488"/>
    </row>
    <row r="34" spans="1:8" ht="13.2" x14ac:dyDescent="0.25">
      <c r="A34" s="168" t="s">
        <v>179</v>
      </c>
      <c r="B34" s="174">
        <f>C22+B27</f>
        <v>424705</v>
      </c>
      <c r="C34" s="170"/>
      <c r="D34" s="171"/>
      <c r="E34" s="167"/>
      <c r="H34" s="488"/>
    </row>
    <row r="35" spans="1:8" ht="13.2" x14ac:dyDescent="0.25">
      <c r="A35" s="172">
        <f>'2| Assumptions'!C32</f>
        <v>150</v>
      </c>
      <c r="B35" s="174">
        <f>B31*'2| Assumptions'!C32</f>
        <v>0</v>
      </c>
      <c r="C35" s="170"/>
      <c r="D35" s="171"/>
      <c r="E35" s="167"/>
      <c r="H35" s="488"/>
    </row>
    <row r="36" spans="1:8" ht="13.8" thickBot="1" x14ac:dyDescent="0.3">
      <c r="A36" s="331">
        <v>0.15</v>
      </c>
      <c r="B36" s="174">
        <f>(1+A36)*(B34+B35)</f>
        <v>488410.74999999994</v>
      </c>
      <c r="C36" s="170"/>
      <c r="D36" s="171"/>
      <c r="E36" s="167"/>
      <c r="H36" s="488"/>
    </row>
    <row r="37" spans="1:8" ht="15" customHeight="1" thickBot="1" x14ac:dyDescent="0.3">
      <c r="A37" s="790" t="s">
        <v>180</v>
      </c>
      <c r="B37" s="791"/>
      <c r="C37" s="840" t="str">
        <f>D5</f>
        <v>Phase 2</v>
      </c>
      <c r="D37" s="841"/>
      <c r="E37" s="167"/>
      <c r="H37" s="488"/>
    </row>
    <row r="38" spans="1:8" ht="13.8" thickBot="1" x14ac:dyDescent="0.3">
      <c r="A38" s="179" t="s">
        <v>181</v>
      </c>
      <c r="B38" s="180" t="s">
        <v>155</v>
      </c>
      <c r="C38" s="180" t="s">
        <v>182</v>
      </c>
      <c r="D38" s="181" t="s">
        <v>183</v>
      </c>
      <c r="E38" s="167"/>
      <c r="H38" s="488"/>
    </row>
    <row r="39" spans="1:8" ht="13.2" x14ac:dyDescent="0.25">
      <c r="A39" s="676" t="s">
        <v>184</v>
      </c>
      <c r="B39" s="677">
        <f>D39/B22</f>
        <v>38941.032300965511</v>
      </c>
      <c r="C39" s="678">
        <f>D39/C22</f>
        <v>46.68712408736846</v>
      </c>
      <c r="D39" s="679">
        <f>E22</f>
        <v>15109120.532774618</v>
      </c>
      <c r="E39" s="167"/>
      <c r="H39" s="488"/>
    </row>
    <row r="40" spans="1:8" ht="13.2" x14ac:dyDescent="0.25">
      <c r="A40" s="680">
        <f>B27</f>
        <v>101080</v>
      </c>
      <c r="B40" s="842" t="s">
        <v>185</v>
      </c>
      <c r="C40" s="843"/>
      <c r="D40" s="681">
        <f>D27</f>
        <v>4599140</v>
      </c>
      <c r="E40" s="167"/>
      <c r="H40" s="488"/>
    </row>
    <row r="41" spans="1:8" ht="13.2" x14ac:dyDescent="0.25">
      <c r="A41" s="192"/>
      <c r="B41" s="844" t="s">
        <v>186</v>
      </c>
      <c r="C41" s="844"/>
      <c r="D41" s="474">
        <f>SUM(D39:D40)</f>
        <v>19708260.53277462</v>
      </c>
      <c r="E41" s="167"/>
      <c r="H41" s="488"/>
    </row>
    <row r="42" spans="1:8" ht="13.2" x14ac:dyDescent="0.25">
      <c r="A42" s="190" t="s">
        <v>187</v>
      </c>
      <c r="B42" s="474" t="s">
        <v>188</v>
      </c>
      <c r="C42" s="474" t="s">
        <v>189</v>
      </c>
      <c r="D42" s="474"/>
      <c r="E42" s="167"/>
      <c r="H42" s="488"/>
    </row>
    <row r="43" spans="1:8" ht="13.2" x14ac:dyDescent="0.25">
      <c r="A43" s="192" t="s">
        <v>190</v>
      </c>
      <c r="B43" s="238">
        <f>'2| Assumptions'!C35</f>
        <v>250</v>
      </c>
      <c r="C43" s="475">
        <f>D43/C22</f>
        <v>0</v>
      </c>
      <c r="D43" s="238">
        <f>B43*B29*12</f>
        <v>0</v>
      </c>
      <c r="E43" s="167"/>
      <c r="H43" s="488"/>
    </row>
    <row r="44" spans="1:8" ht="13.2" x14ac:dyDescent="0.25">
      <c r="A44" s="192" t="s">
        <v>191</v>
      </c>
      <c r="B44" s="238">
        <f>D44/B22</f>
        <v>2539.7242954606468</v>
      </c>
      <c r="C44" s="475">
        <f>D44/C22</f>
        <v>3.044922446160621</v>
      </c>
      <c r="D44" s="238">
        <f>'2| Assumptions'!F17*D41</f>
        <v>985413.02663873101</v>
      </c>
      <c r="E44" s="167"/>
      <c r="H44" s="488"/>
    </row>
    <row r="45" spans="1:8" ht="13.8" thickBot="1" x14ac:dyDescent="0.3">
      <c r="A45" s="197" t="s">
        <v>192</v>
      </c>
      <c r="B45" s="830"/>
      <c r="C45" s="831"/>
      <c r="D45" s="682">
        <f>SUM(D43:D44)</f>
        <v>985413.02663873101</v>
      </c>
      <c r="E45" s="167"/>
      <c r="H45" s="488"/>
    </row>
    <row r="46" spans="1:8" ht="14.4" thickTop="1" thickBot="1" x14ac:dyDescent="0.3">
      <c r="A46" s="683">
        <v>0.05</v>
      </c>
      <c r="B46" s="832"/>
      <c r="C46" s="833"/>
      <c r="D46" s="684">
        <f>-A46*D41</f>
        <v>-985413.02663873101</v>
      </c>
      <c r="E46" s="167"/>
      <c r="H46" s="488"/>
    </row>
    <row r="47" spans="1:8" ht="14.4" thickTop="1" thickBot="1" x14ac:dyDescent="0.3">
      <c r="A47" s="201" t="s">
        <v>193</v>
      </c>
      <c r="B47" s="202">
        <f>D47/B22</f>
        <v>50794.485909212941</v>
      </c>
      <c r="C47" s="203">
        <f>D47/C22</f>
        <v>60.89844892321242</v>
      </c>
      <c r="D47" s="204">
        <f>D41+D45+D46</f>
        <v>19708260.53277462</v>
      </c>
      <c r="E47" s="167"/>
      <c r="H47" s="488"/>
    </row>
    <row r="48" spans="1:8" ht="13.2" x14ac:dyDescent="0.25">
      <c r="A48" s="111" t="s">
        <v>194</v>
      </c>
      <c r="B48" s="112" t="s">
        <v>155</v>
      </c>
      <c r="C48" s="112" t="s">
        <v>195</v>
      </c>
      <c r="D48" s="205" t="s">
        <v>183</v>
      </c>
      <c r="E48" s="167"/>
      <c r="H48" s="488"/>
    </row>
    <row r="49" spans="1:8" ht="13.2" x14ac:dyDescent="0.25">
      <c r="A49" s="206" t="s">
        <v>196</v>
      </c>
      <c r="B49" s="208">
        <f>D49/B22</f>
        <v>-15238.34577276388</v>
      </c>
      <c r="C49" s="208">
        <f>D49/C22</f>
        <v>-18.269534676963726</v>
      </c>
      <c r="D49" s="208">
        <f>-0.3*D41</f>
        <v>-5912478.1598323854</v>
      </c>
      <c r="E49" s="167"/>
      <c r="H49" s="488"/>
    </row>
    <row r="50" spans="1:8" ht="13.2" x14ac:dyDescent="0.25">
      <c r="A50" s="731" t="s">
        <v>494</v>
      </c>
      <c r="B50" s="732">
        <f>D50/B22</f>
        <v>-15423.19477455213</v>
      </c>
      <c r="C50" s="732">
        <f>D50/C22</f>
        <v>-18.491153565164083</v>
      </c>
      <c r="D50" s="732">
        <f>-('5b| Land Lease Calculations'!C22)</f>
        <v>-5984199.5725262268</v>
      </c>
      <c r="E50" s="167"/>
      <c r="H50" s="488"/>
    </row>
    <row r="51" spans="1:8" ht="13.8" thickBot="1" x14ac:dyDescent="0.3">
      <c r="A51" s="503" t="s">
        <v>197</v>
      </c>
      <c r="B51" s="504">
        <f>D51/B22</f>
        <v>20132.945361896931</v>
      </c>
      <c r="C51" s="505"/>
      <c r="D51" s="504">
        <f>D47+D49+D50</f>
        <v>7811582.8004160086</v>
      </c>
      <c r="E51" s="167"/>
      <c r="H51" s="488"/>
    </row>
    <row r="52" spans="1:8" ht="13.8" thickBot="1" x14ac:dyDescent="0.3">
      <c r="A52" s="212" t="s">
        <v>198</v>
      </c>
      <c r="B52" s="213" t="s">
        <v>495</v>
      </c>
      <c r="C52" s="214">
        <f>'2| Assumptions'!H11</f>
        <v>4.7500000000000001E-2</v>
      </c>
      <c r="D52" s="215">
        <f>SUM(D39,D46,(SUM(D49,D50)/2))/C52+SUM(D40,D45,(SUM(D49,D50)/2))/C53</f>
        <v>166292450.56643671</v>
      </c>
      <c r="E52" s="167"/>
      <c r="H52" s="488"/>
    </row>
    <row r="53" spans="1:8" ht="13.8" thickBot="1" x14ac:dyDescent="0.3">
      <c r="A53" s="479"/>
      <c r="B53" s="213" t="s">
        <v>496</v>
      </c>
      <c r="C53" s="480">
        <f>'2| Assumptions'!H13</f>
        <v>6.25E-2</v>
      </c>
      <c r="D53" s="481"/>
      <c r="E53" s="167"/>
      <c r="H53" s="488"/>
    </row>
    <row r="54" spans="1:8" ht="13.8" thickBot="1" x14ac:dyDescent="0.3">
      <c r="A54" s="781" t="s">
        <v>497</v>
      </c>
      <c r="B54" s="782"/>
      <c r="C54" s="783" t="str">
        <f>D5</f>
        <v>Phase 2</v>
      </c>
      <c r="D54" s="834"/>
      <c r="H54" s="488"/>
    </row>
    <row r="55" spans="1:8" ht="13.8" thickBot="1" x14ac:dyDescent="0.3">
      <c r="A55" s="165"/>
      <c r="B55" s="113" t="s">
        <v>202</v>
      </c>
      <c r="C55" s="113" t="s">
        <v>203</v>
      </c>
      <c r="D55" s="113" t="s">
        <v>155</v>
      </c>
      <c r="H55" s="488"/>
    </row>
    <row r="56" spans="1:8" ht="13.2" x14ac:dyDescent="0.25">
      <c r="A56" s="687" t="s">
        <v>498</v>
      </c>
      <c r="B56" s="688" t="s">
        <v>499</v>
      </c>
      <c r="C56" s="689">
        <f>SUM('4| Development Program'!P61,'4| Development Program'!P68,'4| Development Program'!P75,'4| Development Program'!P82,'4| Development Program'!P89,'4| Development Program'!P96)</f>
        <v>133738500</v>
      </c>
      <c r="D56" s="238">
        <f>C56/$B$22</f>
        <v>344686.8556701031</v>
      </c>
      <c r="E56" s="535"/>
      <c r="H56" s="488"/>
    </row>
    <row r="57" spans="1:8" ht="13.2" x14ac:dyDescent="0.25">
      <c r="A57" s="690" t="s">
        <v>205</v>
      </c>
      <c r="B57" s="691">
        <f>'2| Assumptions'!C29</f>
        <v>65625</v>
      </c>
      <c r="C57" s="677">
        <f>B31*B57</f>
        <v>0</v>
      </c>
      <c r="D57" s="238">
        <f>C57/$B$22</f>
        <v>0</v>
      </c>
      <c r="E57" s="535"/>
      <c r="H57" s="488"/>
    </row>
    <row r="58" spans="1:8" ht="13.2" x14ac:dyDescent="0.25">
      <c r="A58" s="690" t="s">
        <v>103</v>
      </c>
      <c r="B58" s="692">
        <f>'2| Assumptions'!F30</f>
        <v>0.05</v>
      </c>
      <c r="C58" s="677">
        <f>B58*C56</f>
        <v>6686925</v>
      </c>
      <c r="D58" s="238">
        <f>C58/$B$22</f>
        <v>17234.342783505155</v>
      </c>
      <c r="E58" s="535"/>
      <c r="H58" s="488"/>
    </row>
    <row r="59" spans="1:8" ht="13.2" x14ac:dyDescent="0.25">
      <c r="A59" s="690" t="s">
        <v>31</v>
      </c>
      <c r="B59" s="630" t="s">
        <v>110</v>
      </c>
      <c r="C59" s="677">
        <f>SUM('5| Demolitions &amp; Land'!D15,'5| Demolitions &amp; Land'!D17,'5| Demolitions &amp; Land'!D18,'5| Demolitions &amp; Land'!D21,'5| Demolitions &amp; Land'!D22)</f>
        <v>1750000</v>
      </c>
      <c r="D59" s="238"/>
      <c r="E59" s="535"/>
      <c r="H59" s="488"/>
    </row>
    <row r="60" spans="1:8" ht="13.2" x14ac:dyDescent="0.25">
      <c r="A60" s="690" t="s">
        <v>206</v>
      </c>
      <c r="B60" s="693" t="s">
        <v>500</v>
      </c>
      <c r="C60" s="733">
        <v>0</v>
      </c>
      <c r="D60" s="238">
        <f>C60/$B$22</f>
        <v>0</v>
      </c>
      <c r="E60" s="535"/>
      <c r="H60" s="488"/>
    </row>
    <row r="61" spans="1:8" ht="13.2" x14ac:dyDescent="0.25">
      <c r="A61" s="690" t="s">
        <v>208</v>
      </c>
      <c r="B61" s="695">
        <f>'2| Assumptions'!F31</f>
        <v>4000</v>
      </c>
      <c r="C61" s="677">
        <f>B61*B22</f>
        <v>1552000</v>
      </c>
      <c r="D61" s="677">
        <f>C61/B22</f>
        <v>4000</v>
      </c>
      <c r="E61" s="535"/>
      <c r="H61" s="488"/>
    </row>
    <row r="62" spans="1:8" ht="13.2" x14ac:dyDescent="0.25">
      <c r="A62" s="690" t="s">
        <v>209</v>
      </c>
      <c r="B62" s="696" t="s">
        <v>210</v>
      </c>
      <c r="C62" s="677">
        <f>SUM('4| Development Program'!W61,'4| Development Program'!W68,'4| Development Program'!W75,'4| Development Program'!W82,'4| Development Program'!W89,'4| Development Program'!W96)</f>
        <v>13564177.777777778</v>
      </c>
      <c r="D62" s="238">
        <f>C62/$B$22</f>
        <v>34959.22107674685</v>
      </c>
      <c r="E62" s="535"/>
      <c r="H62" s="488"/>
    </row>
    <row r="63" spans="1:8" ht="13.2" x14ac:dyDescent="0.25">
      <c r="A63" s="91" t="s">
        <v>109</v>
      </c>
      <c r="B63" s="231" t="s">
        <v>110</v>
      </c>
      <c r="C63" s="697">
        <v>300000</v>
      </c>
      <c r="D63" s="238">
        <f t="shared" ref="D63:D64" si="1">C63/$B$22</f>
        <v>773.19587628865975</v>
      </c>
      <c r="E63" s="535"/>
      <c r="H63" s="488"/>
    </row>
    <row r="64" spans="1:8" ht="13.2" x14ac:dyDescent="0.25">
      <c r="A64" s="91" t="s">
        <v>112</v>
      </c>
      <c r="B64" s="698">
        <f>'2| Assumptions'!F34</f>
        <v>0.01</v>
      </c>
      <c r="C64" s="238">
        <f>B64*(C56+C58)</f>
        <v>1404254.25</v>
      </c>
      <c r="D64" s="238">
        <f t="shared" si="1"/>
        <v>3619.2119845360826</v>
      </c>
      <c r="E64" s="535"/>
      <c r="H64" s="488"/>
    </row>
    <row r="65" spans="1:8" ht="13.2" x14ac:dyDescent="0.25">
      <c r="A65" s="91" t="s">
        <v>114</v>
      </c>
      <c r="B65" s="698">
        <f>'2| Assumptions'!F35</f>
        <v>0.06</v>
      </c>
      <c r="C65" s="238">
        <f>B65*(C56+C58)</f>
        <v>8425525.5</v>
      </c>
      <c r="D65" s="238">
        <f>C65/$B$22</f>
        <v>21715.271907216495</v>
      </c>
      <c r="E65" s="535"/>
      <c r="H65" s="488"/>
    </row>
    <row r="66" spans="1:8" ht="13.2" x14ac:dyDescent="0.25">
      <c r="A66" s="91" t="s">
        <v>117</v>
      </c>
      <c r="B66" s="699">
        <f>'2| Assumptions'!F36</f>
        <v>0.03</v>
      </c>
      <c r="C66" s="236">
        <f>B66*SUM(C56:C65)</f>
        <v>5022641.4758333331</v>
      </c>
      <c r="D66" s="238">
        <f>C66/$B$22</f>
        <v>12944.952257302404</v>
      </c>
      <c r="E66" s="535"/>
      <c r="H66" s="488"/>
    </row>
    <row r="67" spans="1:8" ht="13.2" x14ac:dyDescent="0.25">
      <c r="A67" s="91" t="s">
        <v>119</v>
      </c>
      <c r="B67" s="698">
        <f>'2| Assumptions'!F37</f>
        <v>0.02</v>
      </c>
      <c r="C67" s="238">
        <f>B67*(C56+C58)</f>
        <v>2808508.5</v>
      </c>
      <c r="D67" s="238">
        <f t="shared" ref="D67:D76" si="2">C67/$B$22</f>
        <v>7238.4239690721652</v>
      </c>
      <c r="E67" s="535"/>
      <c r="H67" s="488"/>
    </row>
    <row r="68" spans="1:8" ht="13.2" x14ac:dyDescent="0.25">
      <c r="A68" s="91" t="s">
        <v>211</v>
      </c>
      <c r="B68" s="700" t="s">
        <v>110</v>
      </c>
      <c r="C68" s="697">
        <v>0</v>
      </c>
      <c r="D68" s="238">
        <f t="shared" si="2"/>
        <v>0</v>
      </c>
      <c r="E68" s="535"/>
      <c r="H68" s="488"/>
    </row>
    <row r="69" spans="1:8" ht="13.2" x14ac:dyDescent="0.25">
      <c r="A69" s="91" t="s">
        <v>123</v>
      </c>
      <c r="B69" s="696">
        <f>'2| Assumptions'!F39</f>
        <v>5000</v>
      </c>
      <c r="C69" s="238">
        <f>B69*B22</f>
        <v>1940000</v>
      </c>
      <c r="D69" s="238">
        <f t="shared" si="2"/>
        <v>5000</v>
      </c>
      <c r="E69" s="535"/>
      <c r="H69" s="488"/>
    </row>
    <row r="70" spans="1:8" ht="13.2" x14ac:dyDescent="0.25">
      <c r="A70" s="91" t="s">
        <v>124</v>
      </c>
      <c r="B70" s="231" t="s">
        <v>110</v>
      </c>
      <c r="C70" s="697">
        <v>3000000</v>
      </c>
      <c r="D70" s="238">
        <f t="shared" si="2"/>
        <v>7731.9587628865984</v>
      </c>
      <c r="E70" s="535"/>
      <c r="H70" s="488"/>
    </row>
    <row r="71" spans="1:8" ht="13.2" x14ac:dyDescent="0.25">
      <c r="A71" s="91" t="s">
        <v>125</v>
      </c>
      <c r="B71" s="701">
        <f>'2| Assumptions'!F41</f>
        <v>6</v>
      </c>
      <c r="C71" s="238">
        <f>-B71*(D49/12)</f>
        <v>2956239.0799161927</v>
      </c>
      <c r="D71" s="238">
        <f t="shared" si="2"/>
        <v>7619.1728863819399</v>
      </c>
      <c r="E71" s="535"/>
      <c r="H71" s="488"/>
    </row>
    <row r="72" spans="1:8" ht="13.2" x14ac:dyDescent="0.25">
      <c r="A72" s="91" t="s">
        <v>212</v>
      </c>
      <c r="B72" s="702">
        <v>25</v>
      </c>
      <c r="C72" s="238">
        <f>B27*B72</f>
        <v>2527000</v>
      </c>
      <c r="D72" s="238">
        <f t="shared" si="2"/>
        <v>6512.8865979381444</v>
      </c>
      <c r="E72" s="535"/>
      <c r="H72" s="488"/>
    </row>
    <row r="73" spans="1:8" ht="13.2" x14ac:dyDescent="0.25">
      <c r="A73" s="91" t="s">
        <v>213</v>
      </c>
      <c r="B73" s="703">
        <f>'2| Assumptions'!F43</f>
        <v>0.06</v>
      </c>
      <c r="C73" s="236">
        <f>B73*D27*5</f>
        <v>1379741.9999999998</v>
      </c>
      <c r="D73" s="238">
        <f t="shared" si="2"/>
        <v>3556.0360824742261</v>
      </c>
      <c r="E73" s="535"/>
      <c r="H73" s="488"/>
    </row>
    <row r="74" spans="1:8" ht="13.2" x14ac:dyDescent="0.25">
      <c r="A74" s="91" t="s">
        <v>128</v>
      </c>
      <c r="B74" s="704">
        <f>'2| Assumptions'!F44</f>
        <v>1.4999999999999999E-2</v>
      </c>
      <c r="C74" s="236">
        <v>1151250</v>
      </c>
      <c r="D74" s="238">
        <f t="shared" si="2"/>
        <v>2967.1391752577319</v>
      </c>
      <c r="E74" s="835" t="s">
        <v>501</v>
      </c>
      <c r="F74" s="836"/>
      <c r="G74" s="245">
        <f>B74*B87</f>
        <v>1151250</v>
      </c>
      <c r="H74" s="488"/>
    </row>
    <row r="75" spans="1:8" ht="13.2" x14ac:dyDescent="0.25">
      <c r="A75" s="246" t="s">
        <v>130</v>
      </c>
      <c r="B75" s="705">
        <f>'2| Assumptions'!F46</f>
        <v>7.0000000000000007E-2</v>
      </c>
      <c r="C75" s="236">
        <v>5372500.0000000009</v>
      </c>
      <c r="D75" s="238">
        <f t="shared" si="2"/>
        <v>13846.649484536085</v>
      </c>
      <c r="E75" s="835" t="s">
        <v>501</v>
      </c>
      <c r="F75" s="836"/>
      <c r="G75" s="248">
        <f>B75*B87</f>
        <v>5372500.0000000009</v>
      </c>
      <c r="H75" s="488"/>
    </row>
    <row r="76" spans="1:8" ht="13.8" thickBot="1" x14ac:dyDescent="0.3">
      <c r="A76" s="97" t="s">
        <v>215</v>
      </c>
      <c r="B76" s="706" t="s">
        <v>110</v>
      </c>
      <c r="C76" s="707">
        <v>500000</v>
      </c>
      <c r="D76" s="708">
        <f t="shared" si="2"/>
        <v>1288.659793814433</v>
      </c>
      <c r="E76" s="535"/>
      <c r="H76" s="488"/>
    </row>
    <row r="77" spans="1:8" ht="14.4" thickTop="1" thickBot="1" x14ac:dyDescent="0.3">
      <c r="A77" s="252" t="s">
        <v>216</v>
      </c>
      <c r="B77" s="253"/>
      <c r="C77" s="254">
        <f>SUM(C56:C76)</f>
        <v>194079263.5835273</v>
      </c>
      <c r="D77" s="254">
        <f>ROUND(C77/$B$22,-3)</f>
        <v>500000</v>
      </c>
      <c r="H77" s="488"/>
    </row>
    <row r="78" spans="1:8" ht="13.2" x14ac:dyDescent="0.25">
      <c r="A78" s="255" t="s">
        <v>217</v>
      </c>
      <c r="B78" s="256">
        <f>D51/C77</f>
        <v>4.0249445799520368E-2</v>
      </c>
      <c r="H78" s="488"/>
    </row>
    <row r="79" spans="1:8" ht="13.2" x14ac:dyDescent="0.25">
      <c r="A79" s="257" t="s">
        <v>218</v>
      </c>
      <c r="B79" s="258">
        <f>(D52/C77)-1</f>
        <v>-0.14317249820525924</v>
      </c>
      <c r="C79" s="259"/>
      <c r="D79" s="260"/>
      <c r="H79" s="488"/>
    </row>
    <row r="80" spans="1:8" ht="13.8" thickBot="1" x14ac:dyDescent="0.3">
      <c r="A80" s="261">
        <v>0.3</v>
      </c>
      <c r="B80" s="262">
        <f>(D52/(1+A80))</f>
        <v>127917269.66648977</v>
      </c>
      <c r="H80" s="488"/>
    </row>
    <row r="81" spans="1:8" ht="13.8" thickBot="1" x14ac:dyDescent="0.3">
      <c r="A81" s="332">
        <v>0.3</v>
      </c>
      <c r="B81" s="262">
        <f>ROUND((D52/(1+A81))-C77,-3)</f>
        <v>-66162000</v>
      </c>
      <c r="C81" s="264" t="s">
        <v>219</v>
      </c>
      <c r="H81" s="488"/>
    </row>
    <row r="82" spans="1:8" ht="13.8" thickBot="1" x14ac:dyDescent="0.3">
      <c r="A82" s="265"/>
      <c r="B82" s="266"/>
      <c r="H82" s="488"/>
    </row>
    <row r="83" spans="1:8" ht="14.7" customHeight="1" x14ac:dyDescent="0.25">
      <c r="A83" s="849" t="s">
        <v>220</v>
      </c>
      <c r="B83" s="850"/>
      <c r="C83" s="592" t="str">
        <f>D5</f>
        <v>Phase 2</v>
      </c>
      <c r="H83" s="488"/>
    </row>
    <row r="84" spans="1:8" ht="13.8" thickBot="1" x14ac:dyDescent="0.3">
      <c r="A84" s="476"/>
      <c r="B84" s="477" t="s">
        <v>221</v>
      </c>
      <c r="C84" s="478" t="s">
        <v>155</v>
      </c>
      <c r="H84" s="488"/>
    </row>
    <row r="85" spans="1:8" ht="13.2" x14ac:dyDescent="0.25">
      <c r="A85" s="271" t="s">
        <v>222</v>
      </c>
      <c r="B85" s="709">
        <f>IF(B81&lt;0,B81,0)</f>
        <v>-66162000</v>
      </c>
      <c r="C85" s="710"/>
      <c r="H85" s="488"/>
    </row>
    <row r="86" spans="1:8" ht="13.2" x14ac:dyDescent="0.25">
      <c r="A86" s="274" t="s">
        <v>223</v>
      </c>
      <c r="B86" s="667">
        <f>C77+B85</f>
        <v>127917263.5835273</v>
      </c>
      <c r="C86" s="711"/>
      <c r="H86" s="488"/>
    </row>
    <row r="87" spans="1:8" ht="13.2" x14ac:dyDescent="0.25">
      <c r="A87" s="712">
        <f>'2| Assumptions'!H19</f>
        <v>0.6</v>
      </c>
      <c r="B87" s="713">
        <f>ROUND(A87*B$86,-3)</f>
        <v>76750000</v>
      </c>
      <c r="C87" s="713">
        <f>B87/B22</f>
        <v>197809.27835051547</v>
      </c>
      <c r="H87" s="488"/>
    </row>
    <row r="88" spans="1:8" ht="13.8" thickBot="1" x14ac:dyDescent="0.3">
      <c r="A88" s="278">
        <f>1-A87</f>
        <v>0.4</v>
      </c>
      <c r="B88" s="714">
        <f>ROUND(A88*B$86,-3)</f>
        <v>51167000</v>
      </c>
      <c r="C88" s="715">
        <f>B88/B22</f>
        <v>131873.71134020618</v>
      </c>
      <c r="D88" s="260"/>
      <c r="H88" s="488"/>
    </row>
    <row r="89" spans="1:8" ht="13.8" thickTop="1" x14ac:dyDescent="0.25">
      <c r="A89" s="96" t="s">
        <v>224</v>
      </c>
      <c r="B89" s="716">
        <f>B87+B88</f>
        <v>127917000</v>
      </c>
      <c r="C89" s="717">
        <f>ROUND((C88+C87),-3)</f>
        <v>330000</v>
      </c>
      <c r="H89" s="488"/>
    </row>
    <row r="90" spans="1:8" ht="13.2" x14ac:dyDescent="0.25">
      <c r="A90" s="307"/>
      <c r="B90" s="461"/>
      <c r="C90" s="461"/>
      <c r="H90" s="488"/>
    </row>
    <row r="91" spans="1:8" ht="15" customHeight="1" x14ac:dyDescent="0.25">
      <c r="A91" s="829" t="s">
        <v>538</v>
      </c>
      <c r="B91" s="829"/>
      <c r="C91" s="463" t="str">
        <f>D5</f>
        <v>Phase 2</v>
      </c>
      <c r="H91" s="488"/>
    </row>
    <row r="92" spans="1:8" ht="13.2" x14ac:dyDescent="0.25">
      <c r="A92" s="718"/>
      <c r="B92" s="711" t="s">
        <v>226</v>
      </c>
      <c r="C92" s="464"/>
      <c r="H92" s="488"/>
    </row>
    <row r="93" spans="1:8" ht="13.2" x14ac:dyDescent="0.25">
      <c r="A93" s="549" t="s">
        <v>227</v>
      </c>
      <c r="B93" s="719">
        <f>ROUND(D52,-2)</f>
        <v>166292500</v>
      </c>
      <c r="C93" s="465"/>
      <c r="H93" s="488"/>
    </row>
    <row r="94" spans="1:8" ht="13.2" x14ac:dyDescent="0.25">
      <c r="A94" s="720">
        <f>'2| Assumptions'!F45</f>
        <v>0.02</v>
      </c>
      <c r="B94" s="713">
        <f>(-ROUND(A94*B93,-2))</f>
        <v>-3325900</v>
      </c>
      <c r="C94" s="465"/>
      <c r="H94" s="488"/>
    </row>
    <row r="95" spans="1:8" ht="13.2" x14ac:dyDescent="0.25">
      <c r="A95" s="549" t="s">
        <v>228</v>
      </c>
      <c r="B95" s="719">
        <f>SUM(B93:B94)</f>
        <v>162966600</v>
      </c>
      <c r="C95" s="465"/>
      <c r="E95" s="296"/>
      <c r="H95" s="488"/>
    </row>
    <row r="96" spans="1:8" ht="13.2" x14ac:dyDescent="0.25">
      <c r="A96" s="549" t="s">
        <v>229</v>
      </c>
      <c r="B96" s="719">
        <f>-B87</f>
        <v>-76750000</v>
      </c>
      <c r="C96" s="465"/>
      <c r="H96" s="488"/>
    </row>
    <row r="97" spans="1:8" ht="13.2" x14ac:dyDescent="0.25">
      <c r="A97" s="549" t="s">
        <v>230</v>
      </c>
      <c r="B97" s="719">
        <f>-B88</f>
        <v>-51167000</v>
      </c>
      <c r="C97" s="465"/>
      <c r="H97" s="488"/>
    </row>
    <row r="98" spans="1:8" ht="13.2" x14ac:dyDescent="0.25">
      <c r="A98" s="721" t="s">
        <v>231</v>
      </c>
      <c r="B98" s="722">
        <f>ROUND(B95+B96+B97,-2)</f>
        <v>35049600</v>
      </c>
      <c r="C98" s="466"/>
      <c r="D98" s="301"/>
      <c r="H98" s="488"/>
    </row>
    <row r="99" spans="1:8" ht="15" customHeight="1" x14ac:dyDescent="0.25">
      <c r="A99" s="829" t="s">
        <v>232</v>
      </c>
      <c r="B99" s="829"/>
      <c r="C99" s="467"/>
      <c r="H99" s="488"/>
    </row>
    <row r="100" spans="1:8" ht="13.2" x14ac:dyDescent="0.25">
      <c r="A100" s="723" t="s">
        <v>233</v>
      </c>
      <c r="B100" s="724">
        <f>ROUND((B93)/B$22,-2)</f>
        <v>428600</v>
      </c>
      <c r="C100" s="468"/>
      <c r="H100" s="488"/>
    </row>
    <row r="101" spans="1:8" ht="13.2" x14ac:dyDescent="0.25">
      <c r="A101" s="725" t="s">
        <v>234</v>
      </c>
      <c r="B101" s="726">
        <f>ROUND((B95)/B$22,-2)</f>
        <v>420000</v>
      </c>
      <c r="C101" s="469"/>
      <c r="H101" s="488"/>
    </row>
    <row r="102" spans="1:8" ht="14.7" customHeight="1" x14ac:dyDescent="0.25">
      <c r="A102" s="829" t="s">
        <v>235</v>
      </c>
      <c r="B102" s="829"/>
      <c r="C102" s="467"/>
      <c r="H102" s="488"/>
    </row>
    <row r="103" spans="1:8" ht="13.2" x14ac:dyDescent="0.25">
      <c r="A103" s="473"/>
      <c r="B103" s="473"/>
      <c r="C103" s="461"/>
      <c r="H103" s="488"/>
    </row>
    <row r="104" spans="1:8" ht="13.2" x14ac:dyDescent="0.25">
      <c r="A104" s="473"/>
      <c r="B104" s="711" t="s">
        <v>226</v>
      </c>
      <c r="C104" s="464"/>
      <c r="H104" s="488"/>
    </row>
    <row r="105" spans="1:8" ht="13.2" x14ac:dyDescent="0.25">
      <c r="A105" s="549" t="s">
        <v>236</v>
      </c>
      <c r="B105" s="727">
        <f>(B98+B88)/B88</f>
        <v>1.685004006488557</v>
      </c>
      <c r="C105" s="462"/>
      <c r="H105" s="488"/>
    </row>
    <row r="106" spans="1:8" ht="13.2" x14ac:dyDescent="0.25">
      <c r="A106" s="721" t="s">
        <v>237</v>
      </c>
      <c r="B106" s="728">
        <f>'7b| Phase 2 Draw'!B41</f>
        <v>0.17633018350268004</v>
      </c>
      <c r="C106" s="470"/>
      <c r="D106" s="312"/>
      <c r="H106" s="488"/>
    </row>
    <row r="107" spans="1:8" ht="13.2" x14ac:dyDescent="0.25">
      <c r="A107" s="549" t="s">
        <v>239</v>
      </c>
      <c r="B107" s="729">
        <f>D51/B87</f>
        <v>0.10177958046144636</v>
      </c>
      <c r="C107" s="471"/>
      <c r="H107" s="488"/>
    </row>
    <row r="108" spans="1:8" ht="13.2" x14ac:dyDescent="0.25">
      <c r="A108" s="549" t="s">
        <v>240</v>
      </c>
      <c r="B108" s="730">
        <f>C52</f>
        <v>4.7500000000000001E-2</v>
      </c>
      <c r="C108" s="472"/>
      <c r="H108" s="488"/>
    </row>
    <row r="109" spans="1:8" ht="23.25" customHeight="1" x14ac:dyDescent="0.25">
      <c r="H109" s="488"/>
    </row>
    <row r="110" spans="1:8" ht="11.7" customHeight="1" x14ac:dyDescent="0.25">
      <c r="A110" s="488"/>
      <c r="B110" s="488"/>
      <c r="C110" s="488"/>
      <c r="D110" s="488"/>
      <c r="E110" s="488"/>
      <c r="F110" s="488"/>
      <c r="G110" s="488"/>
      <c r="H110" s="488"/>
    </row>
  </sheetData>
  <mergeCells count="16">
    <mergeCell ref="E74:F74"/>
    <mergeCell ref="E75:F75"/>
    <mergeCell ref="A5:C5"/>
    <mergeCell ref="D5:E5"/>
    <mergeCell ref="A37:B37"/>
    <mergeCell ref="C37:D37"/>
    <mergeCell ref="B40:C40"/>
    <mergeCell ref="B41:C41"/>
    <mergeCell ref="A83:B83"/>
    <mergeCell ref="A91:B91"/>
    <mergeCell ref="A99:B99"/>
    <mergeCell ref="A102:B102"/>
    <mergeCell ref="B45:C45"/>
    <mergeCell ref="B46:C46"/>
    <mergeCell ref="A54:B54"/>
    <mergeCell ref="C54:D54"/>
  </mergeCells>
  <printOptions horizontalCentered="1" verticalCentered="1"/>
  <pageMargins left="0.7" right="0.7" top="0.75" bottom="0.75" header="0.3" footer="0.3"/>
  <pageSetup scale="51" fitToHeight="0" orientation="landscape" horizontalDpi="4294967292" verticalDpi="4294967292" r:id="rId1"/>
  <headerFooter>
    <oddHeader>&amp;C&amp;"Times New Roman Bold,Bold"&amp;14&amp;K000000INVESTOR SHEET</oddHeader>
    <oddFooter>&amp;CPage &amp;P of &amp;N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59D475-1552-47F3-9711-5908192E17E7}">
  <sheetPr>
    <tabColor rgb="FF65764C"/>
  </sheetPr>
  <dimension ref="A1:BA601"/>
  <sheetViews>
    <sheetView showGridLines="0" zoomScale="60" zoomScaleNormal="100" zoomScalePageLayoutView="125" workbookViewId="0">
      <pane xSplit="1" ySplit="6" topLeftCell="B23" activePane="bottomRight" state="frozen"/>
      <selection pane="topRight" activeCell="C9" sqref="C9"/>
      <selection pane="bottomLeft" activeCell="C9" sqref="C9"/>
      <selection pane="bottomRight" activeCell="AG23" sqref="AG23"/>
    </sheetView>
  </sheetViews>
  <sheetFormatPr defaultColWidth="8.6640625" defaultRowHeight="13.2" x14ac:dyDescent="0.25"/>
  <cols>
    <col min="1" max="1" width="45.5546875" style="65" customWidth="1"/>
    <col min="2" max="2" width="21.44140625" style="65" customWidth="1"/>
    <col min="3" max="3" width="18.33203125" style="65" customWidth="1"/>
    <col min="4" max="4" width="15.5546875" style="65" customWidth="1"/>
    <col min="5" max="5" width="16.6640625" style="65" customWidth="1"/>
    <col min="6" max="6" width="18.5546875" style="65" customWidth="1"/>
    <col min="7" max="7" width="14.44140625" style="456" customWidth="1"/>
    <col min="8" max="8" width="19" style="65" customWidth="1"/>
    <col min="9" max="9" width="13.44140625" style="65" customWidth="1"/>
    <col min="10" max="10" width="16.44140625" style="65" customWidth="1"/>
    <col min="11" max="11" width="12.44140625" style="65" customWidth="1"/>
    <col min="12" max="12" width="14.33203125" style="65" customWidth="1"/>
    <col min="13" max="13" width="14.44140625" style="65" customWidth="1"/>
    <col min="14" max="14" width="15.44140625" style="65" customWidth="1"/>
    <col min="15" max="15" width="16.33203125" style="65" customWidth="1"/>
    <col min="16" max="16" width="22.33203125" style="65" customWidth="1"/>
    <col min="17" max="17" width="19.44140625" style="65" customWidth="1"/>
    <col min="18" max="19" width="14" style="65" customWidth="1"/>
    <col min="20" max="20" width="12.6640625" style="65" customWidth="1"/>
    <col min="21" max="21" width="14.44140625" style="65" customWidth="1"/>
    <col min="22" max="22" width="12.5546875" style="65" customWidth="1"/>
    <col min="23" max="23" width="17" style="65" customWidth="1"/>
    <col min="24" max="24" width="16.44140625" style="65" customWidth="1"/>
    <col min="25" max="25" width="15.109375" style="65" bestFit="1" customWidth="1"/>
    <col min="26" max="26" width="15" style="65" customWidth="1"/>
    <col min="27" max="27" width="15.109375" style="65" bestFit="1" customWidth="1"/>
    <col min="28" max="28" width="16.6640625" style="65" customWidth="1"/>
    <col min="29" max="29" width="15" style="65" customWidth="1"/>
    <col min="30" max="30" width="16.33203125" style="65" customWidth="1"/>
    <col min="31" max="31" width="19.109375" style="65" bestFit="1" customWidth="1"/>
    <col min="32" max="32" width="16.6640625" style="65" bestFit="1" customWidth="1"/>
    <col min="33" max="33" width="15.109375" style="65" bestFit="1" customWidth="1"/>
    <col min="34" max="34" width="17.5546875" style="65" customWidth="1"/>
    <col min="35" max="35" width="14.44140625" style="65" customWidth="1"/>
    <col min="36" max="36" width="14.6640625" style="65" customWidth="1"/>
    <col min="37" max="37" width="15" style="65" hidden="1" customWidth="1"/>
    <col min="38" max="38" width="15.33203125" style="65" hidden="1" customWidth="1"/>
    <col min="39" max="39" width="13.5546875" style="65" hidden="1" customWidth="1"/>
    <col min="40" max="40" width="13.6640625" style="65" hidden="1" customWidth="1"/>
    <col min="41" max="41" width="15.5546875" style="65" hidden="1" customWidth="1"/>
    <col min="42" max="43" width="15" style="65" hidden="1" customWidth="1"/>
    <col min="44" max="44" width="15.33203125" style="65" hidden="1" customWidth="1"/>
    <col min="45" max="47" width="13.44140625" style="65" hidden="1" customWidth="1"/>
    <col min="48" max="50" width="17" style="65" customWidth="1"/>
    <col min="51" max="51" width="16.5546875" style="65" customWidth="1"/>
    <col min="52" max="52" width="2.33203125" style="65" customWidth="1"/>
    <col min="53" max="53" width="17.6640625" style="65" bestFit="1" customWidth="1"/>
    <col min="54" max="54" width="9.5546875" style="65" bestFit="1" customWidth="1"/>
    <col min="55" max="55" width="11.6640625" style="65" bestFit="1" customWidth="1"/>
    <col min="56" max="57" width="9.5546875" style="65" bestFit="1" customWidth="1"/>
    <col min="58" max="16384" width="8.6640625" style="65"/>
  </cols>
  <sheetData>
    <row r="1" spans="1:53" ht="15.6" x14ac:dyDescent="0.3">
      <c r="A1" s="28" t="s">
        <v>0</v>
      </c>
      <c r="G1" s="65"/>
      <c r="AZ1" s="488"/>
    </row>
    <row r="2" spans="1:53" ht="15.6" x14ac:dyDescent="0.3">
      <c r="A2" s="28" t="s">
        <v>1</v>
      </c>
      <c r="G2" s="65"/>
      <c r="AZ2" s="488"/>
    </row>
    <row r="3" spans="1:53" ht="16.2" thickBot="1" x14ac:dyDescent="0.35">
      <c r="A3" s="28" t="s">
        <v>539</v>
      </c>
      <c r="G3" s="65"/>
      <c r="AZ3" s="488"/>
    </row>
    <row r="4" spans="1:53" ht="14.4" x14ac:dyDescent="0.3">
      <c r="A4" s="845" t="s">
        <v>304</v>
      </c>
      <c r="B4" s="333" t="s">
        <v>504</v>
      </c>
      <c r="C4" s="334" t="s">
        <v>310</v>
      </c>
      <c r="D4" s="334" t="s">
        <v>31</v>
      </c>
      <c r="E4" s="334" t="s">
        <v>276</v>
      </c>
      <c r="F4" s="335" t="s">
        <v>505</v>
      </c>
      <c r="G4" s="65"/>
      <c r="AY4"/>
      <c r="AZ4" s="491"/>
      <c r="BA4"/>
    </row>
    <row r="5" spans="1:53" ht="15" thickBot="1" x14ac:dyDescent="0.35">
      <c r="A5" s="846"/>
      <c r="B5" s="336" t="s">
        <v>506</v>
      </c>
      <c r="C5" s="337" t="str">
        <f>'4a| Phasing Timeline'!C11</f>
        <v>1/1/28 to 12/31/28</v>
      </c>
      <c r="D5" s="337" t="str">
        <f>'4a| Phasing Timeline'!D11</f>
        <v>1/1/29 to 3/31/29</v>
      </c>
      <c r="E5" s="337" t="str">
        <f>'4a| Phasing Timeline'!E11</f>
        <v>4/1/29 to 3/31/32</v>
      </c>
      <c r="F5" s="337" t="str">
        <f>'4a| Phasing Timeline'!F11</f>
        <v>4/1/32 to 9/30/32</v>
      </c>
      <c r="G5" s="65"/>
      <c r="O5" s="338" t="s">
        <v>540</v>
      </c>
      <c r="R5" s="338" t="s">
        <v>541</v>
      </c>
      <c r="S5" s="338" t="s">
        <v>508</v>
      </c>
      <c r="T5" s="338" t="s">
        <v>509</v>
      </c>
      <c r="AE5" s="338" t="s">
        <v>510</v>
      </c>
      <c r="AF5" s="338" t="s">
        <v>542</v>
      </c>
      <c r="AG5" s="338" t="s">
        <v>543</v>
      </c>
      <c r="AV5" s="848" t="s">
        <v>513</v>
      </c>
      <c r="AW5" s="848"/>
      <c r="AX5" s="848"/>
      <c r="AY5"/>
      <c r="AZ5" s="491"/>
      <c r="BA5"/>
    </row>
    <row r="6" spans="1:53" ht="15" thickBot="1" x14ac:dyDescent="0.35">
      <c r="A6" s="847"/>
      <c r="B6" s="339" t="s">
        <v>514</v>
      </c>
      <c r="C6" s="340">
        <v>45658</v>
      </c>
      <c r="D6" s="341">
        <f>EOMONTH(C6,3)</f>
        <v>45777</v>
      </c>
      <c r="E6" s="341">
        <f t="shared" ref="E6:AU6" si="0">EOMONTH(D6,3)</f>
        <v>45869</v>
      </c>
      <c r="F6" s="341">
        <f t="shared" si="0"/>
        <v>45961</v>
      </c>
      <c r="G6" s="342">
        <f t="shared" si="0"/>
        <v>46053</v>
      </c>
      <c r="H6" s="342">
        <f t="shared" si="0"/>
        <v>46142</v>
      </c>
      <c r="I6" s="342">
        <f t="shared" si="0"/>
        <v>46234</v>
      </c>
      <c r="J6" s="342">
        <f t="shared" si="0"/>
        <v>46326</v>
      </c>
      <c r="K6" s="342">
        <f t="shared" si="0"/>
        <v>46418</v>
      </c>
      <c r="L6" s="342">
        <f t="shared" si="0"/>
        <v>46507</v>
      </c>
      <c r="M6" s="342">
        <f t="shared" si="0"/>
        <v>46599</v>
      </c>
      <c r="N6" s="342">
        <f t="shared" si="0"/>
        <v>46691</v>
      </c>
      <c r="O6" s="342">
        <f t="shared" si="0"/>
        <v>46783</v>
      </c>
      <c r="P6" s="342">
        <f t="shared" si="0"/>
        <v>46873</v>
      </c>
      <c r="Q6" s="342">
        <f t="shared" si="0"/>
        <v>46965</v>
      </c>
      <c r="R6" s="342">
        <f t="shared" si="0"/>
        <v>47057</v>
      </c>
      <c r="S6" s="342">
        <f t="shared" si="0"/>
        <v>47149</v>
      </c>
      <c r="T6" s="342">
        <f t="shared" si="0"/>
        <v>47238</v>
      </c>
      <c r="U6" s="342">
        <f t="shared" si="0"/>
        <v>47330</v>
      </c>
      <c r="V6" s="342">
        <f t="shared" si="0"/>
        <v>47422</v>
      </c>
      <c r="W6" s="342">
        <f t="shared" si="0"/>
        <v>47514</v>
      </c>
      <c r="X6" s="342">
        <f t="shared" si="0"/>
        <v>47603</v>
      </c>
      <c r="Y6" s="342">
        <f t="shared" si="0"/>
        <v>47695</v>
      </c>
      <c r="Z6" s="342">
        <f t="shared" si="0"/>
        <v>47787</v>
      </c>
      <c r="AA6" s="342">
        <f t="shared" si="0"/>
        <v>47879</v>
      </c>
      <c r="AB6" s="342">
        <f t="shared" si="0"/>
        <v>47968</v>
      </c>
      <c r="AC6" s="342">
        <f t="shared" si="0"/>
        <v>48060</v>
      </c>
      <c r="AD6" s="342">
        <f t="shared" si="0"/>
        <v>48152</v>
      </c>
      <c r="AE6" s="342">
        <f t="shared" si="0"/>
        <v>48244</v>
      </c>
      <c r="AF6" s="342">
        <f t="shared" si="0"/>
        <v>48334</v>
      </c>
      <c r="AG6" s="342">
        <f t="shared" si="0"/>
        <v>48426</v>
      </c>
      <c r="AH6" s="342">
        <f t="shared" si="0"/>
        <v>48518</v>
      </c>
      <c r="AI6" s="342">
        <f t="shared" si="0"/>
        <v>48610</v>
      </c>
      <c r="AJ6" s="342">
        <f t="shared" si="0"/>
        <v>48699</v>
      </c>
      <c r="AK6" s="342">
        <f t="shared" si="0"/>
        <v>48791</v>
      </c>
      <c r="AL6" s="342">
        <f t="shared" si="0"/>
        <v>48883</v>
      </c>
      <c r="AM6" s="342">
        <f t="shared" si="0"/>
        <v>48975</v>
      </c>
      <c r="AN6" s="342">
        <f t="shared" si="0"/>
        <v>49064</v>
      </c>
      <c r="AO6" s="342">
        <f t="shared" si="0"/>
        <v>49156</v>
      </c>
      <c r="AP6" s="342">
        <f t="shared" si="0"/>
        <v>49248</v>
      </c>
      <c r="AQ6" s="342">
        <f t="shared" si="0"/>
        <v>49340</v>
      </c>
      <c r="AR6" s="342">
        <f t="shared" si="0"/>
        <v>49429</v>
      </c>
      <c r="AS6" s="342">
        <f t="shared" si="0"/>
        <v>49521</v>
      </c>
      <c r="AT6" s="342">
        <f t="shared" si="0"/>
        <v>49613</v>
      </c>
      <c r="AU6" s="342">
        <f t="shared" si="0"/>
        <v>49705</v>
      </c>
      <c r="AV6" s="343" t="s">
        <v>515</v>
      </c>
      <c r="AW6" s="344" t="s">
        <v>516</v>
      </c>
      <c r="AX6" s="345"/>
      <c r="AY6"/>
      <c r="AZ6" s="491"/>
      <c r="BA6"/>
    </row>
    <row r="7" spans="1:53" ht="15" thickBot="1" x14ac:dyDescent="0.35">
      <c r="A7" s="346" t="s">
        <v>517</v>
      </c>
      <c r="B7" s="347">
        <v>1</v>
      </c>
      <c r="C7" s="348">
        <v>0</v>
      </c>
      <c r="D7" s="348">
        <v>0</v>
      </c>
      <c r="E7" s="348">
        <v>0</v>
      </c>
      <c r="F7" s="348">
        <f t="shared" ref="F7:P7" si="1">E7</f>
        <v>0</v>
      </c>
      <c r="G7" s="349">
        <f t="shared" si="1"/>
        <v>0</v>
      </c>
      <c r="H7" s="349">
        <f t="shared" si="1"/>
        <v>0</v>
      </c>
      <c r="I7" s="349">
        <f t="shared" si="1"/>
        <v>0</v>
      </c>
      <c r="J7" s="349">
        <f t="shared" si="1"/>
        <v>0</v>
      </c>
      <c r="K7" s="349">
        <f t="shared" si="1"/>
        <v>0</v>
      </c>
      <c r="L7" s="349">
        <f t="shared" si="1"/>
        <v>0</v>
      </c>
      <c r="M7" s="349">
        <f t="shared" si="1"/>
        <v>0</v>
      </c>
      <c r="N7" s="349">
        <f t="shared" si="1"/>
        <v>0</v>
      </c>
      <c r="O7" s="349">
        <f t="shared" si="1"/>
        <v>0</v>
      </c>
      <c r="P7" s="349">
        <f t="shared" si="1"/>
        <v>0</v>
      </c>
      <c r="Q7" s="349">
        <v>0</v>
      </c>
      <c r="R7" s="349">
        <v>0</v>
      </c>
      <c r="S7" s="349">
        <v>0.06</v>
      </c>
      <c r="T7" s="349">
        <v>0.06</v>
      </c>
      <c r="U7" s="349">
        <v>0.08</v>
      </c>
      <c r="V7" s="349">
        <v>0.08</v>
      </c>
      <c r="W7" s="349">
        <v>0.08</v>
      </c>
      <c r="X7" s="349">
        <v>0.06</v>
      </c>
      <c r="Y7" s="349">
        <v>0.06</v>
      </c>
      <c r="Z7" s="349">
        <v>0.06</v>
      </c>
      <c r="AA7" s="349">
        <v>7.0000000000000007E-2</v>
      </c>
      <c r="AB7" s="349">
        <v>7.0000000000000007E-2</v>
      </c>
      <c r="AC7" s="349">
        <v>0.06</v>
      </c>
      <c r="AD7" s="349">
        <v>0.08</v>
      </c>
      <c r="AE7" s="349">
        <v>0.06</v>
      </c>
      <c r="AF7" s="349">
        <v>0.06</v>
      </c>
      <c r="AG7" s="349">
        <v>0.06</v>
      </c>
      <c r="AH7" s="349"/>
      <c r="AI7" s="349"/>
      <c r="AJ7" s="349"/>
      <c r="AK7" s="349"/>
      <c r="AL7" s="349"/>
      <c r="AM7" s="349"/>
      <c r="AN7" s="349"/>
      <c r="AO7" s="349"/>
      <c r="AP7" s="349"/>
      <c r="AQ7" s="349"/>
      <c r="AR7" s="349"/>
      <c r="AS7" s="349"/>
      <c r="AT7" s="349"/>
      <c r="AU7" s="349"/>
      <c r="AV7" s="350">
        <f t="shared" ref="AV7:AV28" si="2">SUM(C7:AU7)</f>
        <v>1.0000000000000002</v>
      </c>
      <c r="AW7" s="351"/>
      <c r="AX7" s="352" t="s">
        <v>518</v>
      </c>
      <c r="AY7"/>
      <c r="AZ7" s="491"/>
      <c r="BA7"/>
    </row>
    <row r="8" spans="1:53" ht="14.4" x14ac:dyDescent="0.3">
      <c r="A8" s="353" t="str">
        <f>'7a| Phase 2 Financial'!A56</f>
        <v>Hard Costs for Construction</v>
      </c>
      <c r="B8" s="354">
        <f>'7a| Phase 2 Financial'!C56</f>
        <v>133738500</v>
      </c>
      <c r="C8" s="355">
        <f t="shared" ref="C8:AF8" si="3">$B$8*C7</f>
        <v>0</v>
      </c>
      <c r="D8" s="355">
        <f t="shared" si="3"/>
        <v>0</v>
      </c>
      <c r="E8" s="355">
        <f t="shared" si="3"/>
        <v>0</v>
      </c>
      <c r="F8" s="355">
        <f t="shared" si="3"/>
        <v>0</v>
      </c>
      <c r="G8" s="355">
        <f t="shared" si="3"/>
        <v>0</v>
      </c>
      <c r="H8" s="355">
        <f t="shared" si="3"/>
        <v>0</v>
      </c>
      <c r="I8" s="355">
        <f t="shared" si="3"/>
        <v>0</v>
      </c>
      <c r="J8" s="355">
        <f t="shared" si="3"/>
        <v>0</v>
      </c>
      <c r="K8" s="355">
        <f t="shared" si="3"/>
        <v>0</v>
      </c>
      <c r="L8" s="355">
        <f t="shared" si="3"/>
        <v>0</v>
      </c>
      <c r="M8" s="355">
        <f t="shared" si="3"/>
        <v>0</v>
      </c>
      <c r="N8" s="355">
        <f t="shared" si="3"/>
        <v>0</v>
      </c>
      <c r="O8" s="355">
        <f t="shared" si="3"/>
        <v>0</v>
      </c>
      <c r="P8" s="355">
        <f t="shared" si="3"/>
        <v>0</v>
      </c>
      <c r="Q8" s="355">
        <f t="shared" si="3"/>
        <v>0</v>
      </c>
      <c r="R8" s="355">
        <f t="shared" si="3"/>
        <v>0</v>
      </c>
      <c r="S8" s="355">
        <f t="shared" si="3"/>
        <v>8024310</v>
      </c>
      <c r="T8" s="355">
        <f t="shared" si="3"/>
        <v>8024310</v>
      </c>
      <c r="U8" s="355">
        <f t="shared" si="3"/>
        <v>10699080</v>
      </c>
      <c r="V8" s="355">
        <f t="shared" si="3"/>
        <v>10699080</v>
      </c>
      <c r="W8" s="355">
        <f t="shared" si="3"/>
        <v>10699080</v>
      </c>
      <c r="X8" s="355">
        <f t="shared" si="3"/>
        <v>8024310</v>
      </c>
      <c r="Y8" s="355">
        <f t="shared" si="3"/>
        <v>8024310</v>
      </c>
      <c r="Z8" s="355">
        <f t="shared" si="3"/>
        <v>8024310</v>
      </c>
      <c r="AA8" s="355">
        <f t="shared" si="3"/>
        <v>9361695</v>
      </c>
      <c r="AB8" s="355">
        <f t="shared" si="3"/>
        <v>9361695</v>
      </c>
      <c r="AC8" s="355">
        <f t="shared" si="3"/>
        <v>8024310</v>
      </c>
      <c r="AD8" s="355">
        <f t="shared" si="3"/>
        <v>10699080</v>
      </c>
      <c r="AE8" s="355">
        <f t="shared" si="3"/>
        <v>8024310</v>
      </c>
      <c r="AF8" s="355">
        <f t="shared" si="3"/>
        <v>8024310</v>
      </c>
      <c r="AG8" s="355">
        <f t="shared" ref="AG8" si="4">$B$8*AG7</f>
        <v>8024310</v>
      </c>
      <c r="AH8" s="355"/>
      <c r="AI8" s="355"/>
      <c r="AJ8" s="355"/>
      <c r="AK8" s="355"/>
      <c r="AL8" s="355"/>
      <c r="AM8" s="355"/>
      <c r="AN8" s="355"/>
      <c r="AO8" s="355"/>
      <c r="AP8" s="355"/>
      <c r="AQ8" s="355"/>
      <c r="AR8" s="355"/>
      <c r="AS8" s="355"/>
      <c r="AT8" s="355"/>
      <c r="AU8" s="355"/>
      <c r="AV8" s="356">
        <f t="shared" si="2"/>
        <v>133738500</v>
      </c>
      <c r="AW8" s="357">
        <f t="shared" ref="AW8:AW28" si="5">B8</f>
        <v>133738500</v>
      </c>
      <c r="AX8" s="357">
        <f>AW8-AV8</f>
        <v>0</v>
      </c>
      <c r="AY8"/>
      <c r="AZ8" s="491"/>
      <c r="BA8"/>
    </row>
    <row r="9" spans="1:53" ht="14.4" x14ac:dyDescent="0.3">
      <c r="A9" s="353" t="str">
        <f>'7a| Phase 2 Financial'!A57</f>
        <v>Parking stalls</v>
      </c>
      <c r="B9" s="354">
        <f>'7a| Phase 2 Financial'!C57</f>
        <v>0</v>
      </c>
      <c r="C9" s="355">
        <f>$B$9*C7</f>
        <v>0</v>
      </c>
      <c r="D9" s="355">
        <f t="shared" ref="D9:AF9" si="6">$B$9*D7</f>
        <v>0</v>
      </c>
      <c r="E9" s="355">
        <f t="shared" si="6"/>
        <v>0</v>
      </c>
      <c r="F9" s="355">
        <f t="shared" si="6"/>
        <v>0</v>
      </c>
      <c r="G9" s="355">
        <f t="shared" si="6"/>
        <v>0</v>
      </c>
      <c r="H9" s="355">
        <f t="shared" si="6"/>
        <v>0</v>
      </c>
      <c r="I9" s="355">
        <f t="shared" si="6"/>
        <v>0</v>
      </c>
      <c r="J9" s="355">
        <f t="shared" si="6"/>
        <v>0</v>
      </c>
      <c r="K9" s="355">
        <f t="shared" si="6"/>
        <v>0</v>
      </c>
      <c r="L9" s="355">
        <f t="shared" si="6"/>
        <v>0</v>
      </c>
      <c r="M9" s="355">
        <f t="shared" si="6"/>
        <v>0</v>
      </c>
      <c r="N9" s="355">
        <f t="shared" si="6"/>
        <v>0</v>
      </c>
      <c r="O9" s="355">
        <f t="shared" si="6"/>
        <v>0</v>
      </c>
      <c r="P9" s="355">
        <f t="shared" si="6"/>
        <v>0</v>
      </c>
      <c r="Q9" s="355">
        <f t="shared" si="6"/>
        <v>0</v>
      </c>
      <c r="R9" s="355">
        <f t="shared" si="6"/>
        <v>0</v>
      </c>
      <c r="S9" s="355">
        <f t="shared" si="6"/>
        <v>0</v>
      </c>
      <c r="T9" s="355">
        <f t="shared" si="6"/>
        <v>0</v>
      </c>
      <c r="U9" s="355">
        <f t="shared" si="6"/>
        <v>0</v>
      </c>
      <c r="V9" s="355">
        <f t="shared" si="6"/>
        <v>0</v>
      </c>
      <c r="W9" s="355">
        <f t="shared" si="6"/>
        <v>0</v>
      </c>
      <c r="X9" s="355">
        <f t="shared" si="6"/>
        <v>0</v>
      </c>
      <c r="Y9" s="355">
        <f t="shared" si="6"/>
        <v>0</v>
      </c>
      <c r="Z9" s="355">
        <f t="shared" si="6"/>
        <v>0</v>
      </c>
      <c r="AA9" s="355">
        <f t="shared" si="6"/>
        <v>0</v>
      </c>
      <c r="AB9" s="355">
        <f t="shared" si="6"/>
        <v>0</v>
      </c>
      <c r="AC9" s="355">
        <f t="shared" si="6"/>
        <v>0</v>
      </c>
      <c r="AD9" s="355">
        <f t="shared" si="6"/>
        <v>0</v>
      </c>
      <c r="AE9" s="355">
        <f t="shared" si="6"/>
        <v>0</v>
      </c>
      <c r="AF9" s="355">
        <f t="shared" si="6"/>
        <v>0</v>
      </c>
      <c r="AG9" s="355">
        <f t="shared" ref="AG9" si="7">$B$9*AG7</f>
        <v>0</v>
      </c>
      <c r="AH9" s="355"/>
      <c r="AI9" s="355"/>
      <c r="AJ9" s="355"/>
      <c r="AK9" s="355"/>
      <c r="AL9" s="355"/>
      <c r="AM9" s="355"/>
      <c r="AN9" s="355"/>
      <c r="AO9" s="355"/>
      <c r="AP9" s="355"/>
      <c r="AQ9" s="355"/>
      <c r="AR9" s="355"/>
      <c r="AS9" s="355"/>
      <c r="AT9" s="355"/>
      <c r="AU9" s="355"/>
      <c r="AV9" s="357">
        <f t="shared" si="2"/>
        <v>0</v>
      </c>
      <c r="AW9" s="357">
        <f t="shared" si="5"/>
        <v>0</v>
      </c>
      <c r="AX9" s="357">
        <f t="shared" ref="AX9:AX28" si="8">AW9-AV9</f>
        <v>0</v>
      </c>
      <c r="AY9"/>
      <c r="AZ9" s="491"/>
      <c r="BA9"/>
    </row>
    <row r="10" spans="1:53" ht="14.4" x14ac:dyDescent="0.3">
      <c r="A10" s="353" t="str">
        <f>'7a| Phase 2 Financial'!A58</f>
        <v>Hard Cost Contingency</v>
      </c>
      <c r="B10" s="354">
        <f>'7a| Phase 2 Financial'!C58</f>
        <v>6686925</v>
      </c>
      <c r="C10" s="355">
        <f t="shared" ref="C10:Q10" si="9">$B10*C$7</f>
        <v>0</v>
      </c>
      <c r="D10" s="355">
        <f t="shared" si="9"/>
        <v>0</v>
      </c>
      <c r="E10" s="355">
        <f t="shared" si="9"/>
        <v>0</v>
      </c>
      <c r="F10" s="355">
        <f t="shared" si="9"/>
        <v>0</v>
      </c>
      <c r="G10" s="355">
        <f t="shared" si="9"/>
        <v>0</v>
      </c>
      <c r="H10" s="355">
        <f t="shared" si="9"/>
        <v>0</v>
      </c>
      <c r="I10" s="355">
        <f t="shared" si="9"/>
        <v>0</v>
      </c>
      <c r="J10" s="355">
        <f t="shared" si="9"/>
        <v>0</v>
      </c>
      <c r="K10" s="355">
        <f t="shared" si="9"/>
        <v>0</v>
      </c>
      <c r="L10" s="355">
        <f t="shared" si="9"/>
        <v>0</v>
      </c>
      <c r="M10" s="355">
        <f t="shared" si="9"/>
        <v>0</v>
      </c>
      <c r="N10" s="355">
        <f t="shared" si="9"/>
        <v>0</v>
      </c>
      <c r="O10" s="355">
        <f t="shared" si="9"/>
        <v>0</v>
      </c>
      <c r="P10" s="355">
        <f t="shared" si="9"/>
        <v>0</v>
      </c>
      <c r="Q10" s="355">
        <f t="shared" si="9"/>
        <v>0</v>
      </c>
      <c r="R10" s="355">
        <f>$B10*R$7</f>
        <v>0</v>
      </c>
      <c r="S10" s="355">
        <f t="shared" ref="S10:AG10" si="10">$B10*S$7</f>
        <v>401215.5</v>
      </c>
      <c r="T10" s="355">
        <f t="shared" si="10"/>
        <v>401215.5</v>
      </c>
      <c r="U10" s="355">
        <f t="shared" si="10"/>
        <v>534954</v>
      </c>
      <c r="V10" s="355">
        <f t="shared" si="10"/>
        <v>534954</v>
      </c>
      <c r="W10" s="355">
        <f t="shared" si="10"/>
        <v>534954</v>
      </c>
      <c r="X10" s="355">
        <f t="shared" si="10"/>
        <v>401215.5</v>
      </c>
      <c r="Y10" s="355">
        <f t="shared" si="10"/>
        <v>401215.5</v>
      </c>
      <c r="Z10" s="355">
        <f t="shared" si="10"/>
        <v>401215.5</v>
      </c>
      <c r="AA10" s="355">
        <f t="shared" si="10"/>
        <v>468084.75000000006</v>
      </c>
      <c r="AB10" s="355">
        <f t="shared" si="10"/>
        <v>468084.75000000006</v>
      </c>
      <c r="AC10" s="355">
        <f t="shared" si="10"/>
        <v>401215.5</v>
      </c>
      <c r="AD10" s="355">
        <f t="shared" si="10"/>
        <v>534954</v>
      </c>
      <c r="AE10" s="355">
        <f t="shared" si="10"/>
        <v>401215.5</v>
      </c>
      <c r="AF10" s="355">
        <f t="shared" si="10"/>
        <v>401215.5</v>
      </c>
      <c r="AG10" s="355">
        <f t="shared" si="10"/>
        <v>401215.5</v>
      </c>
      <c r="AH10" s="355"/>
      <c r="AI10" s="355"/>
      <c r="AJ10" s="355"/>
      <c r="AK10" s="355"/>
      <c r="AL10" s="355"/>
      <c r="AM10" s="355"/>
      <c r="AN10" s="355"/>
      <c r="AO10" s="355"/>
      <c r="AP10" s="355"/>
      <c r="AQ10" s="355"/>
      <c r="AR10" s="355"/>
      <c r="AS10" s="355"/>
      <c r="AT10" s="355"/>
      <c r="AU10" s="355"/>
      <c r="AV10" s="357">
        <f t="shared" si="2"/>
        <v>6686925</v>
      </c>
      <c r="AW10" s="357">
        <f t="shared" si="5"/>
        <v>6686925</v>
      </c>
      <c r="AX10" s="357">
        <f t="shared" si="8"/>
        <v>0</v>
      </c>
      <c r="AY10"/>
      <c r="AZ10" s="491"/>
      <c r="BA10"/>
    </row>
    <row r="11" spans="1:53" ht="14.4" x14ac:dyDescent="0.3">
      <c r="A11" s="353" t="str">
        <f>'7a| Phase 2 Financial'!A59</f>
        <v>Demolition</v>
      </c>
      <c r="B11" s="354">
        <f>'7a| Phase 2 Financial'!C59</f>
        <v>1750000</v>
      </c>
      <c r="C11" s="355"/>
      <c r="D11" s="355"/>
      <c r="E11" s="355"/>
      <c r="F11" s="355"/>
      <c r="G11" s="355"/>
      <c r="H11" s="355"/>
      <c r="I11" s="355"/>
      <c r="J11" s="355"/>
      <c r="K11" s="355"/>
      <c r="L11" s="355"/>
      <c r="M11" s="355"/>
      <c r="N11" s="355"/>
      <c r="O11" s="355"/>
      <c r="P11" s="355"/>
      <c r="Q11" s="355"/>
      <c r="R11" s="355"/>
      <c r="S11" s="355">
        <f>B11</f>
        <v>1750000</v>
      </c>
      <c r="T11" s="355"/>
      <c r="U11" s="355"/>
      <c r="V11" s="355"/>
      <c r="W11" s="355"/>
      <c r="X11" s="355"/>
      <c r="Y11" s="355"/>
      <c r="Z11" s="355"/>
      <c r="AA11" s="355"/>
      <c r="AB11" s="355"/>
      <c r="AC11" s="355"/>
      <c r="AD11" s="355"/>
      <c r="AE11" s="355"/>
      <c r="AF11" s="355"/>
      <c r="AG11" s="355"/>
      <c r="AH11" s="355"/>
      <c r="AI11" s="355"/>
      <c r="AJ11" s="355"/>
      <c r="AK11" s="355"/>
      <c r="AL11" s="355"/>
      <c r="AM11" s="355"/>
      <c r="AN11" s="355"/>
      <c r="AO11" s="355"/>
      <c r="AP11" s="355"/>
      <c r="AQ11" s="355"/>
      <c r="AR11" s="355"/>
      <c r="AS11" s="355"/>
      <c r="AT11" s="355"/>
      <c r="AU11" s="355"/>
      <c r="AV11" s="357">
        <f t="shared" si="2"/>
        <v>1750000</v>
      </c>
      <c r="AW11" s="357">
        <f t="shared" si="5"/>
        <v>1750000</v>
      </c>
      <c r="AX11" s="357">
        <f t="shared" si="8"/>
        <v>0</v>
      </c>
      <c r="AY11"/>
      <c r="AZ11" s="491"/>
      <c r="BA11"/>
    </row>
    <row r="12" spans="1:53" ht="14.4" x14ac:dyDescent="0.3">
      <c r="A12" s="353" t="str">
        <f>'7a| Phase 2 Financial'!A60</f>
        <v>LAND</v>
      </c>
      <c r="B12" s="354">
        <f>'7a| Phase 2 Financial'!C60</f>
        <v>0</v>
      </c>
      <c r="C12" s="358"/>
      <c r="D12" s="359"/>
      <c r="E12" s="359"/>
      <c r="F12" s="359"/>
      <c r="G12" s="360"/>
      <c r="H12" s="358"/>
      <c r="I12" s="360"/>
      <c r="J12" s="358"/>
      <c r="K12" s="359"/>
      <c r="L12" s="359"/>
      <c r="M12" s="358"/>
      <c r="N12" s="359"/>
      <c r="O12" s="359"/>
      <c r="P12" s="359"/>
      <c r="Q12" s="359"/>
      <c r="R12" s="359"/>
      <c r="S12" s="359"/>
      <c r="T12" s="359"/>
      <c r="U12" s="359"/>
      <c r="V12" s="359"/>
      <c r="W12" s="359"/>
      <c r="X12" s="359"/>
      <c r="Y12" s="359"/>
      <c r="Z12" s="359"/>
      <c r="AA12" s="359"/>
      <c r="AB12" s="359"/>
      <c r="AC12" s="359"/>
      <c r="AD12" s="359"/>
      <c r="AE12" s="360"/>
      <c r="AF12" s="360"/>
      <c r="AG12" s="360"/>
      <c r="AH12" s="360"/>
      <c r="AI12" s="360"/>
      <c r="AJ12" s="360"/>
      <c r="AK12" s="360"/>
      <c r="AL12" s="360"/>
      <c r="AM12" s="360"/>
      <c r="AN12" s="360"/>
      <c r="AO12" s="360"/>
      <c r="AP12" s="360"/>
      <c r="AQ12" s="360"/>
      <c r="AR12" s="360"/>
      <c r="AS12" s="360"/>
      <c r="AT12" s="360"/>
      <c r="AU12" s="360"/>
      <c r="AV12" s="357">
        <f t="shared" si="2"/>
        <v>0</v>
      </c>
      <c r="AW12" s="357">
        <f t="shared" si="5"/>
        <v>0</v>
      </c>
      <c r="AX12" s="357">
        <f t="shared" si="8"/>
        <v>0</v>
      </c>
      <c r="AY12"/>
      <c r="AZ12" s="491"/>
      <c r="BA12"/>
    </row>
    <row r="13" spans="1:53" ht="14.4" x14ac:dyDescent="0.3">
      <c r="A13" s="353" t="str">
        <f>'7a| Phase 2 Financial'!A61</f>
        <v>Municipal Fees and Allowances</v>
      </c>
      <c r="B13" s="354">
        <f>'7a| Phase 2 Financial'!C61</f>
        <v>1552000</v>
      </c>
      <c r="C13" s="358"/>
      <c r="D13" s="359"/>
      <c r="E13" s="359"/>
      <c r="F13" s="359"/>
      <c r="G13" s="359"/>
      <c r="H13" s="359"/>
      <c r="I13" s="359"/>
      <c r="J13" s="359"/>
      <c r="K13" s="359"/>
      <c r="L13" s="359"/>
      <c r="M13" s="359"/>
      <c r="N13" s="359"/>
      <c r="O13" s="359"/>
      <c r="P13" s="359"/>
      <c r="Q13" s="359"/>
      <c r="R13" s="359"/>
      <c r="S13" s="361"/>
      <c r="T13" s="359"/>
      <c r="U13" s="359"/>
      <c r="V13" s="359"/>
      <c r="W13" s="359"/>
      <c r="X13" s="359"/>
      <c r="Y13" s="359"/>
      <c r="Z13" s="359"/>
      <c r="AA13" s="359"/>
      <c r="AB13" s="359"/>
      <c r="AC13" s="359"/>
      <c r="AD13" s="359"/>
      <c r="AE13" s="360"/>
      <c r="AF13" s="360"/>
      <c r="AG13" s="360"/>
      <c r="AH13" s="360"/>
      <c r="AI13" s="360"/>
      <c r="AJ13" s="360"/>
      <c r="AK13" s="362"/>
      <c r="AL13" s="363"/>
      <c r="AM13" s="360"/>
      <c r="AN13" s="360"/>
      <c r="AO13" s="360"/>
      <c r="AP13" s="362"/>
      <c r="AQ13" s="360"/>
      <c r="AR13" s="360"/>
      <c r="AS13" s="360"/>
      <c r="AT13" s="362"/>
      <c r="AU13" s="362"/>
      <c r="AV13" s="357">
        <f t="shared" si="2"/>
        <v>0</v>
      </c>
      <c r="AW13" s="357">
        <f t="shared" si="5"/>
        <v>1552000</v>
      </c>
      <c r="AX13" s="357">
        <f t="shared" si="8"/>
        <v>1552000</v>
      </c>
      <c r="AY13"/>
      <c r="AZ13" s="491"/>
      <c r="BA13"/>
    </row>
    <row r="14" spans="1:53" ht="14.4" x14ac:dyDescent="0.3">
      <c r="A14" s="353" t="str">
        <f>'7a| Phase 2 Financial'!A62</f>
        <v>Infrastructure allocation</v>
      </c>
      <c r="B14" s="354">
        <f>'7a| Phase 2 Financial'!C62</f>
        <v>13564177.777777778</v>
      </c>
      <c r="C14" s="358"/>
      <c r="D14" s="359"/>
      <c r="E14" s="359"/>
      <c r="F14" s="359"/>
      <c r="G14" s="359"/>
      <c r="H14" s="359"/>
      <c r="I14" s="355"/>
      <c r="J14" s="355"/>
      <c r="K14" s="355"/>
      <c r="L14" s="355"/>
      <c r="M14" s="355"/>
      <c r="N14" s="355"/>
      <c r="O14" s="355"/>
      <c r="P14" s="355"/>
      <c r="Q14" s="355"/>
      <c r="R14" s="359"/>
      <c r="S14" s="361"/>
      <c r="T14" s="359"/>
      <c r="U14" s="359"/>
      <c r="V14" s="359"/>
      <c r="W14" s="359"/>
      <c r="X14" s="368">
        <f t="shared" ref="X14:AF14" si="11">$B$14/10</f>
        <v>1356417.7777777778</v>
      </c>
      <c r="Y14" s="368">
        <f t="shared" si="11"/>
        <v>1356417.7777777778</v>
      </c>
      <c r="Z14" s="368">
        <f t="shared" si="11"/>
        <v>1356417.7777777778</v>
      </c>
      <c r="AA14" s="368">
        <f t="shared" si="11"/>
        <v>1356417.7777777778</v>
      </c>
      <c r="AB14" s="368">
        <f t="shared" si="11"/>
        <v>1356417.7777777778</v>
      </c>
      <c r="AC14" s="368">
        <f t="shared" si="11"/>
        <v>1356417.7777777778</v>
      </c>
      <c r="AD14" s="368">
        <f t="shared" si="11"/>
        <v>1356417.7777777778</v>
      </c>
      <c r="AE14" s="368">
        <f t="shared" si="11"/>
        <v>1356417.7777777778</v>
      </c>
      <c r="AF14" s="368">
        <f t="shared" si="11"/>
        <v>1356417.7777777778</v>
      </c>
      <c r="AG14" s="368">
        <f>$B$14/10</f>
        <v>1356417.7777777778</v>
      </c>
      <c r="AH14" s="360"/>
      <c r="AI14" s="360"/>
      <c r="AJ14" s="360"/>
      <c r="AK14" s="362"/>
      <c r="AL14" s="363"/>
      <c r="AM14" s="360"/>
      <c r="AN14" s="360"/>
      <c r="AO14" s="360"/>
      <c r="AP14" s="362"/>
      <c r="AQ14" s="360"/>
      <c r="AR14" s="364"/>
      <c r="AS14" s="360"/>
      <c r="AT14" s="362"/>
      <c r="AU14" s="362"/>
      <c r="AV14" s="357">
        <f t="shared" si="2"/>
        <v>13564177.777777778</v>
      </c>
      <c r="AW14" s="357">
        <f t="shared" si="5"/>
        <v>13564177.777777778</v>
      </c>
      <c r="AX14" s="357">
        <f t="shared" si="8"/>
        <v>0</v>
      </c>
      <c r="AY14"/>
      <c r="AZ14" s="491"/>
      <c r="BA14"/>
    </row>
    <row r="15" spans="1:53" ht="14.4" x14ac:dyDescent="0.3">
      <c r="A15" s="353" t="str">
        <f>'7a| Phase 2 Financial'!A63</f>
        <v>Legal</v>
      </c>
      <c r="B15" s="354">
        <f>'7a| Phase 2 Financial'!C63</f>
        <v>300000</v>
      </c>
      <c r="C15" s="358"/>
      <c r="D15" s="358"/>
      <c r="E15" s="365"/>
      <c r="F15" s="365"/>
      <c r="G15" s="365"/>
      <c r="H15" s="365"/>
      <c r="I15" s="365"/>
      <c r="J15" s="365"/>
      <c r="K15" s="355"/>
      <c r="L15" s="355"/>
      <c r="M15" s="355"/>
      <c r="N15" s="355"/>
      <c r="O15" s="355">
        <f t="shared" ref="O15" si="12">0.1*$B15</f>
        <v>30000</v>
      </c>
      <c r="P15" s="355">
        <f t="shared" ref="P15:X15" si="13">0.1*$B15</f>
        <v>30000</v>
      </c>
      <c r="Q15" s="355">
        <f t="shared" si="13"/>
        <v>30000</v>
      </c>
      <c r="R15" s="359">
        <f t="shared" si="13"/>
        <v>30000</v>
      </c>
      <c r="S15" s="359">
        <f t="shared" si="13"/>
        <v>30000</v>
      </c>
      <c r="T15" s="359">
        <f t="shared" si="13"/>
        <v>30000</v>
      </c>
      <c r="U15" s="359">
        <f t="shared" si="13"/>
        <v>30000</v>
      </c>
      <c r="V15" s="359">
        <f t="shared" si="13"/>
        <v>30000</v>
      </c>
      <c r="W15" s="359">
        <f t="shared" si="13"/>
        <v>30000</v>
      </c>
      <c r="X15" s="359">
        <f t="shared" si="13"/>
        <v>30000</v>
      </c>
      <c r="Y15" s="359"/>
      <c r="Z15" s="359"/>
      <c r="AA15" s="359"/>
      <c r="AB15" s="359"/>
      <c r="AC15" s="359"/>
      <c r="AD15" s="359"/>
      <c r="AE15" s="359"/>
      <c r="AF15" s="359"/>
      <c r="AG15" s="359"/>
      <c r="AH15" s="359"/>
      <c r="AI15" s="359"/>
      <c r="AJ15" s="359"/>
      <c r="AK15" s="366"/>
      <c r="AL15" s="367"/>
      <c r="AM15" s="359"/>
      <c r="AN15" s="359"/>
      <c r="AO15" s="359"/>
      <c r="AP15" s="366"/>
      <c r="AQ15" s="359"/>
      <c r="AR15" s="359"/>
      <c r="AS15" s="368"/>
      <c r="AT15" s="366"/>
      <c r="AU15" s="366"/>
      <c r="AV15" s="357">
        <f t="shared" si="2"/>
        <v>300000</v>
      </c>
      <c r="AW15" s="357">
        <f t="shared" si="5"/>
        <v>300000</v>
      </c>
      <c r="AX15" s="357">
        <f t="shared" si="8"/>
        <v>0</v>
      </c>
      <c r="AY15"/>
      <c r="AZ15" s="491"/>
      <c r="BA15"/>
    </row>
    <row r="16" spans="1:53" ht="14.4" x14ac:dyDescent="0.3">
      <c r="A16" s="353" t="str">
        <f>'7a| Phase 2 Financial'!A64</f>
        <v>Land Closing Costs/commissions</v>
      </c>
      <c r="B16" s="354">
        <f>'7a| Phase 2 Financial'!C64</f>
        <v>1404254.25</v>
      </c>
      <c r="C16" s="365"/>
      <c r="D16" s="355"/>
      <c r="E16" s="355"/>
      <c r="F16" s="355"/>
      <c r="G16" s="369"/>
      <c r="H16" s="355"/>
      <c r="I16" s="355"/>
      <c r="J16" s="355"/>
      <c r="K16" s="355"/>
      <c r="L16" s="355"/>
      <c r="M16" s="355"/>
      <c r="N16" s="355"/>
      <c r="O16" s="355"/>
      <c r="P16" s="355"/>
      <c r="Q16" s="355">
        <v>0</v>
      </c>
      <c r="R16" s="355">
        <f>B16</f>
        <v>1404254.25</v>
      </c>
      <c r="S16" s="355"/>
      <c r="T16" s="355"/>
      <c r="U16" s="355"/>
      <c r="V16" s="355"/>
      <c r="W16" s="355"/>
      <c r="X16" s="355"/>
      <c r="Y16" s="355"/>
      <c r="Z16" s="355"/>
      <c r="AA16" s="355"/>
      <c r="AB16" s="355"/>
      <c r="AC16" s="355"/>
      <c r="AD16" s="355"/>
      <c r="AE16" s="370"/>
      <c r="AF16" s="370"/>
      <c r="AG16" s="370"/>
      <c r="AH16" s="370"/>
      <c r="AI16" s="370"/>
      <c r="AJ16" s="370"/>
      <c r="AK16" s="371"/>
      <c r="AL16" s="372"/>
      <c r="AM16" s="370"/>
      <c r="AN16" s="370"/>
      <c r="AO16" s="370"/>
      <c r="AP16" s="371"/>
      <c r="AQ16" s="370"/>
      <c r="AR16" s="370"/>
      <c r="AS16" s="370"/>
      <c r="AT16" s="371"/>
      <c r="AU16" s="371"/>
      <c r="AV16" s="357">
        <f t="shared" si="2"/>
        <v>1404254.25</v>
      </c>
      <c r="AW16" s="357">
        <f t="shared" si="5"/>
        <v>1404254.25</v>
      </c>
      <c r="AX16" s="357">
        <f t="shared" si="8"/>
        <v>0</v>
      </c>
      <c r="AY16"/>
      <c r="AZ16" s="491"/>
      <c r="BA16"/>
    </row>
    <row r="17" spans="1:53" ht="14.4" x14ac:dyDescent="0.3">
      <c r="A17" s="353" t="str">
        <f>'7a| Phase 2 Financial'!A65</f>
        <v xml:space="preserve">Design </v>
      </c>
      <c r="B17" s="354">
        <f>'7a| Phase 2 Financial'!C65</f>
        <v>8425525.5</v>
      </c>
      <c r="C17" s="355">
        <v>0</v>
      </c>
      <c r="D17" s="355">
        <v>0</v>
      </c>
      <c r="E17" s="355">
        <v>0</v>
      </c>
      <c r="F17" s="355">
        <v>0</v>
      </c>
      <c r="G17" s="355">
        <v>0</v>
      </c>
      <c r="H17" s="355">
        <v>0</v>
      </c>
      <c r="I17" s="355">
        <v>0</v>
      </c>
      <c r="J17" s="355">
        <v>0</v>
      </c>
      <c r="K17" s="355">
        <v>0</v>
      </c>
      <c r="L17" s="355">
        <v>0</v>
      </c>
      <c r="M17" s="355">
        <v>0</v>
      </c>
      <c r="N17" s="355">
        <v>0</v>
      </c>
      <c r="O17" s="355">
        <f t="shared" ref="O17:R17" si="14">$B17/20</f>
        <v>421276.27500000002</v>
      </c>
      <c r="P17" s="355">
        <f t="shared" si="14"/>
        <v>421276.27500000002</v>
      </c>
      <c r="Q17" s="355">
        <f t="shared" si="14"/>
        <v>421276.27500000002</v>
      </c>
      <c r="R17" s="355">
        <f t="shared" si="14"/>
        <v>421276.27500000002</v>
      </c>
      <c r="S17" s="355">
        <f>$B17/20</f>
        <v>421276.27500000002</v>
      </c>
      <c r="T17" s="355">
        <f>$B17/20</f>
        <v>421276.27500000002</v>
      </c>
      <c r="U17" s="355">
        <f t="shared" ref="U17:AF17" si="15">$B17/20</f>
        <v>421276.27500000002</v>
      </c>
      <c r="V17" s="355">
        <f t="shared" si="15"/>
        <v>421276.27500000002</v>
      </c>
      <c r="W17" s="355">
        <f t="shared" si="15"/>
        <v>421276.27500000002</v>
      </c>
      <c r="X17" s="355">
        <f t="shared" si="15"/>
        <v>421276.27500000002</v>
      </c>
      <c r="Y17" s="355">
        <f t="shared" si="15"/>
        <v>421276.27500000002</v>
      </c>
      <c r="Z17" s="355">
        <f>$B17/10</f>
        <v>842552.55</v>
      </c>
      <c r="AA17" s="355">
        <f>$B17/10</f>
        <v>842552.55</v>
      </c>
      <c r="AB17" s="355">
        <f t="shared" si="15"/>
        <v>421276.27500000002</v>
      </c>
      <c r="AC17" s="355">
        <f t="shared" si="15"/>
        <v>421276.27500000002</v>
      </c>
      <c r="AD17" s="355">
        <f t="shared" si="15"/>
        <v>421276.27500000002</v>
      </c>
      <c r="AE17" s="355">
        <f t="shared" si="15"/>
        <v>421276.27500000002</v>
      </c>
      <c r="AF17" s="355">
        <f t="shared" si="15"/>
        <v>421276.27500000002</v>
      </c>
      <c r="AG17" s="355"/>
      <c r="AH17" s="355"/>
      <c r="AI17" s="355"/>
      <c r="AJ17" s="355"/>
      <c r="AK17" s="355"/>
      <c r="AL17" s="355"/>
      <c r="AM17" s="355"/>
      <c r="AN17" s="355"/>
      <c r="AO17" s="355"/>
      <c r="AP17" s="355"/>
      <c r="AQ17" s="370"/>
      <c r="AR17" s="370"/>
      <c r="AS17" s="370"/>
      <c r="AT17" s="371"/>
      <c r="AU17" s="371"/>
      <c r="AV17" s="357">
        <f t="shared" si="2"/>
        <v>8425525.5000000019</v>
      </c>
      <c r="AW17" s="357">
        <f t="shared" si="5"/>
        <v>8425525.5</v>
      </c>
      <c r="AX17" s="357">
        <f t="shared" si="8"/>
        <v>0</v>
      </c>
      <c r="AY17"/>
      <c r="AZ17" s="491"/>
      <c r="BA17"/>
    </row>
    <row r="18" spans="1:53" ht="14.4" x14ac:dyDescent="0.3">
      <c r="A18" s="353" t="str">
        <f>'7a| Phase 2 Financial'!A66</f>
        <v>Developer Fee</v>
      </c>
      <c r="B18" s="354">
        <f>'7a| Phase 2 Financial'!C66</f>
        <v>5022641.4758333331</v>
      </c>
      <c r="C18" s="355">
        <f>$B18*C$7</f>
        <v>0</v>
      </c>
      <c r="D18" s="355">
        <f t="shared" ref="D18:AE18" si="16">$B18*D7</f>
        <v>0</v>
      </c>
      <c r="E18" s="355">
        <f t="shared" si="16"/>
        <v>0</v>
      </c>
      <c r="F18" s="355">
        <f t="shared" si="16"/>
        <v>0</v>
      </c>
      <c r="G18" s="355">
        <f t="shared" si="16"/>
        <v>0</v>
      </c>
      <c r="H18" s="355">
        <f t="shared" si="16"/>
        <v>0</v>
      </c>
      <c r="I18" s="355">
        <f t="shared" si="16"/>
        <v>0</v>
      </c>
      <c r="J18" s="355">
        <f t="shared" si="16"/>
        <v>0</v>
      </c>
      <c r="K18" s="355">
        <f t="shared" si="16"/>
        <v>0</v>
      </c>
      <c r="L18" s="355">
        <f t="shared" si="16"/>
        <v>0</v>
      </c>
      <c r="M18" s="355">
        <f t="shared" si="16"/>
        <v>0</v>
      </c>
      <c r="N18" s="355">
        <f t="shared" si="16"/>
        <v>0</v>
      </c>
      <c r="O18" s="355">
        <f t="shared" si="16"/>
        <v>0</v>
      </c>
      <c r="P18" s="355">
        <f t="shared" si="16"/>
        <v>0</v>
      </c>
      <c r="Q18" s="355">
        <f t="shared" si="16"/>
        <v>0</v>
      </c>
      <c r="R18" s="355">
        <f t="shared" si="16"/>
        <v>0</v>
      </c>
      <c r="S18" s="355">
        <f t="shared" si="16"/>
        <v>301358.48854999995</v>
      </c>
      <c r="T18" s="355">
        <f t="shared" si="16"/>
        <v>301358.48854999995</v>
      </c>
      <c r="U18" s="355">
        <f t="shared" si="16"/>
        <v>401811.31806666666</v>
      </c>
      <c r="V18" s="355">
        <f t="shared" si="16"/>
        <v>401811.31806666666</v>
      </c>
      <c r="W18" s="355">
        <f t="shared" si="16"/>
        <v>401811.31806666666</v>
      </c>
      <c r="X18" s="355">
        <f t="shared" si="16"/>
        <v>301358.48854999995</v>
      </c>
      <c r="Y18" s="355">
        <f t="shared" si="16"/>
        <v>301358.48854999995</v>
      </c>
      <c r="Z18" s="355">
        <f t="shared" si="16"/>
        <v>301358.48854999995</v>
      </c>
      <c r="AA18" s="355">
        <f t="shared" si="16"/>
        <v>351584.90330833336</v>
      </c>
      <c r="AB18" s="355">
        <f t="shared" si="16"/>
        <v>351584.90330833336</v>
      </c>
      <c r="AC18" s="355">
        <f t="shared" si="16"/>
        <v>301358.48854999995</v>
      </c>
      <c r="AD18" s="355">
        <f t="shared" si="16"/>
        <v>401811.31806666666</v>
      </c>
      <c r="AE18" s="355">
        <f t="shared" si="16"/>
        <v>301358.48854999995</v>
      </c>
      <c r="AF18" s="355">
        <f>$B18*AF$7</f>
        <v>301358.48854999995</v>
      </c>
      <c r="AG18" s="355">
        <f>$B18*AG$7</f>
        <v>301358.48854999995</v>
      </c>
      <c r="AH18" s="355"/>
      <c r="AI18" s="355"/>
      <c r="AJ18" s="355"/>
      <c r="AK18" s="355"/>
      <c r="AL18" s="355"/>
      <c r="AM18" s="355"/>
      <c r="AN18" s="355"/>
      <c r="AO18" s="355"/>
      <c r="AP18" s="355"/>
      <c r="AQ18" s="355"/>
      <c r="AR18" s="355"/>
      <c r="AS18" s="355"/>
      <c r="AT18" s="374"/>
      <c r="AU18" s="374"/>
      <c r="AV18" s="357">
        <f t="shared" si="2"/>
        <v>5022641.4758333331</v>
      </c>
      <c r="AW18" s="357">
        <f t="shared" si="5"/>
        <v>5022641.4758333331</v>
      </c>
      <c r="AX18" s="357">
        <f t="shared" si="8"/>
        <v>0</v>
      </c>
      <c r="AY18"/>
      <c r="AZ18" s="491"/>
      <c r="BA18"/>
    </row>
    <row r="19" spans="1:53" ht="14.4" x14ac:dyDescent="0.3">
      <c r="A19" s="353" t="str">
        <f>'7a| Phase 2 Financial'!A67</f>
        <v>Construction Management Fee</v>
      </c>
      <c r="B19" s="354">
        <f>'7a| Phase 2 Financial'!C67</f>
        <v>2808508.5</v>
      </c>
      <c r="C19" s="355">
        <f>$B19*C$7</f>
        <v>0</v>
      </c>
      <c r="D19" s="355">
        <f t="shared" ref="D19:AE19" si="17">$B19*D$7</f>
        <v>0</v>
      </c>
      <c r="E19" s="355">
        <f t="shared" si="17"/>
        <v>0</v>
      </c>
      <c r="F19" s="355">
        <f t="shared" si="17"/>
        <v>0</v>
      </c>
      <c r="G19" s="355">
        <f t="shared" si="17"/>
        <v>0</v>
      </c>
      <c r="H19" s="355">
        <f t="shared" si="17"/>
        <v>0</v>
      </c>
      <c r="I19" s="355">
        <f t="shared" si="17"/>
        <v>0</v>
      </c>
      <c r="J19" s="355">
        <f t="shared" si="17"/>
        <v>0</v>
      </c>
      <c r="K19" s="355">
        <f t="shared" si="17"/>
        <v>0</v>
      </c>
      <c r="L19" s="355">
        <f t="shared" si="17"/>
        <v>0</v>
      </c>
      <c r="M19" s="355">
        <f t="shared" si="17"/>
        <v>0</v>
      </c>
      <c r="N19" s="355">
        <f t="shared" si="17"/>
        <v>0</v>
      </c>
      <c r="O19" s="355">
        <f t="shared" si="17"/>
        <v>0</v>
      </c>
      <c r="P19" s="355">
        <f t="shared" si="17"/>
        <v>0</v>
      </c>
      <c r="Q19" s="355">
        <f t="shared" si="17"/>
        <v>0</v>
      </c>
      <c r="R19" s="355">
        <f t="shared" si="17"/>
        <v>0</v>
      </c>
      <c r="S19" s="355">
        <f t="shared" si="17"/>
        <v>168510.50999999998</v>
      </c>
      <c r="T19" s="355">
        <f t="shared" si="17"/>
        <v>168510.50999999998</v>
      </c>
      <c r="U19" s="355">
        <f t="shared" si="17"/>
        <v>224680.68</v>
      </c>
      <c r="V19" s="355">
        <f t="shared" si="17"/>
        <v>224680.68</v>
      </c>
      <c r="W19" s="355">
        <f t="shared" si="17"/>
        <v>224680.68</v>
      </c>
      <c r="X19" s="355">
        <f t="shared" si="17"/>
        <v>168510.50999999998</v>
      </c>
      <c r="Y19" s="355">
        <f t="shared" si="17"/>
        <v>168510.50999999998</v>
      </c>
      <c r="Z19" s="355">
        <f t="shared" si="17"/>
        <v>168510.50999999998</v>
      </c>
      <c r="AA19" s="355">
        <f t="shared" si="17"/>
        <v>196595.59500000003</v>
      </c>
      <c r="AB19" s="355">
        <f t="shared" si="17"/>
        <v>196595.59500000003</v>
      </c>
      <c r="AC19" s="355">
        <f t="shared" si="17"/>
        <v>168510.50999999998</v>
      </c>
      <c r="AD19" s="355">
        <f t="shared" si="17"/>
        <v>224680.68</v>
      </c>
      <c r="AE19" s="355">
        <f t="shared" si="17"/>
        <v>168510.50999999998</v>
      </c>
      <c r="AF19" s="355">
        <f>$B19*AF$7</f>
        <v>168510.50999999998</v>
      </c>
      <c r="AG19" s="355">
        <f>$B19*AG$7</f>
        <v>168510.50999999998</v>
      </c>
      <c r="AH19" s="355"/>
      <c r="AI19" s="355"/>
      <c r="AJ19" s="355"/>
      <c r="AK19" s="355"/>
      <c r="AL19" s="355"/>
      <c r="AM19" s="355"/>
      <c r="AN19" s="355"/>
      <c r="AO19" s="355"/>
      <c r="AP19" s="355"/>
      <c r="AQ19" s="355"/>
      <c r="AR19" s="355"/>
      <c r="AS19" s="355"/>
      <c r="AT19" s="374"/>
      <c r="AU19" s="374"/>
      <c r="AV19" s="357">
        <f t="shared" si="2"/>
        <v>2808508.4999999991</v>
      </c>
      <c r="AW19" s="357">
        <f t="shared" si="5"/>
        <v>2808508.5</v>
      </c>
      <c r="AX19" s="357">
        <f t="shared" si="8"/>
        <v>0</v>
      </c>
      <c r="AY19"/>
      <c r="AZ19" s="491"/>
      <c r="BA19"/>
    </row>
    <row r="20" spans="1:53" ht="14.4" x14ac:dyDescent="0.3">
      <c r="A20" s="353" t="str">
        <f>'7a| Phase 2 Financial'!A68</f>
        <v>Taxes</v>
      </c>
      <c r="B20" s="354">
        <f>'7a| Phase 2 Financial'!C68</f>
        <v>0</v>
      </c>
      <c r="C20" s="365"/>
      <c r="D20" s="355"/>
      <c r="E20" s="355"/>
      <c r="F20" s="355"/>
      <c r="G20" s="370"/>
      <c r="H20" s="355"/>
      <c r="I20" s="355"/>
      <c r="J20" s="376"/>
      <c r="K20" s="355"/>
      <c r="L20" s="370"/>
      <c r="M20" s="355"/>
      <c r="N20" s="355"/>
      <c r="O20" s="355"/>
      <c r="P20" s="355"/>
      <c r="Q20" s="369"/>
      <c r="R20" s="355"/>
      <c r="S20" s="369"/>
      <c r="T20" s="355"/>
      <c r="U20" s="355"/>
      <c r="V20" s="355"/>
      <c r="W20" s="355"/>
      <c r="X20" s="369"/>
      <c r="Y20" s="355"/>
      <c r="Z20" s="355"/>
      <c r="AA20" s="355"/>
      <c r="AB20" s="355"/>
      <c r="AC20" s="355"/>
      <c r="AD20" s="355"/>
      <c r="AE20" s="369"/>
      <c r="AF20" s="355"/>
      <c r="AG20" s="369"/>
      <c r="AH20" s="355"/>
      <c r="AI20" s="370"/>
      <c r="AJ20" s="355"/>
      <c r="AK20" s="355"/>
      <c r="AL20" s="355"/>
      <c r="AM20" s="355"/>
      <c r="AN20" s="355"/>
      <c r="AO20" s="355"/>
      <c r="AP20" s="374"/>
      <c r="AQ20" s="355"/>
      <c r="AR20" s="355"/>
      <c r="AS20" s="355"/>
      <c r="AT20" s="374"/>
      <c r="AU20" s="374"/>
      <c r="AV20" s="357">
        <f t="shared" si="2"/>
        <v>0</v>
      </c>
      <c r="AW20" s="357">
        <f t="shared" si="5"/>
        <v>0</v>
      </c>
      <c r="AX20" s="357">
        <f t="shared" si="8"/>
        <v>0</v>
      </c>
      <c r="AY20"/>
      <c r="AZ20" s="491"/>
      <c r="BA20"/>
    </row>
    <row r="21" spans="1:53" ht="14.4" x14ac:dyDescent="0.3">
      <c r="A21" s="353" t="str">
        <f>'7a| Phase 2 Financial'!A69</f>
        <v>Insurance</v>
      </c>
      <c r="B21" s="354">
        <f>'7a| Phase 2 Financial'!C69</f>
        <v>1940000</v>
      </c>
      <c r="C21" s="365"/>
      <c r="D21" s="369"/>
      <c r="E21" s="369"/>
      <c r="F21" s="355"/>
      <c r="G21" s="355"/>
      <c r="H21" s="355"/>
      <c r="I21" s="355"/>
      <c r="J21" s="369"/>
      <c r="K21" s="370"/>
      <c r="L21" s="370"/>
      <c r="M21" s="355"/>
      <c r="N21" s="355"/>
      <c r="O21" s="355">
        <v>10000</v>
      </c>
      <c r="P21" s="365">
        <v>10000</v>
      </c>
      <c r="Q21" s="355">
        <f>$B21-SUM(C21:P21)</f>
        <v>1920000</v>
      </c>
      <c r="R21" s="355"/>
      <c r="S21" s="355"/>
      <c r="T21" s="369"/>
      <c r="U21" s="355"/>
      <c r="V21" s="355">
        <f>$B21-SUM(C21:U21)</f>
        <v>0</v>
      </c>
      <c r="W21" s="355"/>
      <c r="X21" s="355"/>
      <c r="Y21" s="355"/>
      <c r="Z21" s="355"/>
      <c r="AA21" s="355"/>
      <c r="AB21" s="355"/>
      <c r="AC21" s="355"/>
      <c r="AD21" s="355"/>
      <c r="AE21" s="355"/>
      <c r="AF21" s="355"/>
      <c r="AG21" s="355"/>
      <c r="AH21" s="355"/>
      <c r="AI21" s="355"/>
      <c r="AJ21" s="355"/>
      <c r="AK21" s="374"/>
      <c r="AL21" s="377"/>
      <c r="AM21" s="355"/>
      <c r="AN21" s="355"/>
      <c r="AO21" s="355"/>
      <c r="AP21" s="374"/>
      <c r="AQ21" s="355"/>
      <c r="AR21" s="355"/>
      <c r="AS21" s="355"/>
      <c r="AT21" s="374"/>
      <c r="AU21" s="374"/>
      <c r="AV21" s="357">
        <f t="shared" si="2"/>
        <v>1940000</v>
      </c>
      <c r="AW21" s="357">
        <f t="shared" si="5"/>
        <v>1940000</v>
      </c>
      <c r="AX21" s="357">
        <f t="shared" si="8"/>
        <v>0</v>
      </c>
      <c r="AY21"/>
      <c r="AZ21" s="491"/>
      <c r="BA21"/>
    </row>
    <row r="22" spans="1:53" ht="14.4" x14ac:dyDescent="0.3">
      <c r="A22" s="353" t="str">
        <f>'7a| Phase 2 Financial'!A70</f>
        <v>Marketing, FFE and Preleasing</v>
      </c>
      <c r="B22" s="354">
        <f>'7a| Phase 2 Financial'!C70</f>
        <v>3000000</v>
      </c>
      <c r="C22" s="365"/>
      <c r="D22" s="355"/>
      <c r="E22" s="355"/>
      <c r="F22" s="355"/>
      <c r="G22" s="355"/>
      <c r="H22" s="355"/>
      <c r="I22" s="355"/>
      <c r="J22" s="355"/>
      <c r="K22" s="355"/>
      <c r="L22" s="355"/>
      <c r="M22" s="355"/>
      <c r="N22" s="355"/>
      <c r="O22" s="355"/>
      <c r="P22" s="355"/>
      <c r="Q22" s="355"/>
      <c r="R22" s="355"/>
      <c r="S22" s="355"/>
      <c r="T22" s="355"/>
      <c r="U22" s="355"/>
      <c r="V22" s="355"/>
      <c r="W22" s="355"/>
      <c r="X22" s="378"/>
      <c r="Y22" s="378"/>
      <c r="Z22" s="378"/>
      <c r="AA22" s="378"/>
      <c r="AB22" s="370"/>
      <c r="AC22" s="370"/>
      <c r="AD22" s="370"/>
      <c r="AE22" s="355">
        <f>$B22/2</f>
        <v>1500000</v>
      </c>
      <c r="AF22" s="355">
        <f>$B22/2</f>
        <v>1500000</v>
      </c>
      <c r="AG22" s="370"/>
      <c r="AH22" s="370"/>
      <c r="AI22" s="378"/>
      <c r="AJ22" s="378"/>
      <c r="AK22" s="378"/>
      <c r="AL22" s="378"/>
      <c r="AM22" s="370"/>
      <c r="AN22" s="370"/>
      <c r="AO22" s="370"/>
      <c r="AP22" s="371"/>
      <c r="AQ22" s="370"/>
      <c r="AR22" s="370"/>
      <c r="AS22" s="370"/>
      <c r="AT22" s="371"/>
      <c r="AU22" s="371"/>
      <c r="AV22" s="357">
        <f t="shared" si="2"/>
        <v>3000000</v>
      </c>
      <c r="AW22" s="357">
        <f t="shared" si="5"/>
        <v>3000000</v>
      </c>
      <c r="AX22" s="357">
        <f t="shared" si="8"/>
        <v>0</v>
      </c>
      <c r="AY22"/>
      <c r="AZ22" s="491"/>
      <c r="BA22"/>
    </row>
    <row r="23" spans="1:53" ht="14.4" x14ac:dyDescent="0.3">
      <c r="A23" s="353" t="str">
        <f>'7a| Phase 2 Financial'!A71</f>
        <v>Operating Deficit</v>
      </c>
      <c r="B23" s="354">
        <f>'7a| Phase 2 Financial'!C71</f>
        <v>2956239.0799161927</v>
      </c>
      <c r="C23" s="365"/>
      <c r="D23" s="355"/>
      <c r="E23" s="355"/>
      <c r="F23" s="355"/>
      <c r="G23" s="355"/>
      <c r="H23" s="355"/>
      <c r="I23" s="355"/>
      <c r="J23" s="355"/>
      <c r="K23" s="355"/>
      <c r="L23" s="355"/>
      <c r="M23" s="355"/>
      <c r="N23" s="355"/>
      <c r="O23" s="355"/>
      <c r="P23" s="355"/>
      <c r="Q23" s="355"/>
      <c r="R23" s="355"/>
      <c r="S23" s="355"/>
      <c r="T23" s="355"/>
      <c r="U23" s="355"/>
      <c r="V23" s="355"/>
      <c r="W23" s="355"/>
      <c r="X23" s="355"/>
      <c r="Y23" s="355"/>
      <c r="Z23" s="379"/>
      <c r="AA23" s="379"/>
      <c r="AB23" s="379"/>
      <c r="AC23" s="370"/>
      <c r="AD23" s="734">
        <f>$B23/4</f>
        <v>739059.76997904817</v>
      </c>
      <c r="AE23" s="355">
        <f>$B23/4</f>
        <v>739059.76997904817</v>
      </c>
      <c r="AF23" s="378">
        <f>$B23/4</f>
        <v>739059.76997904817</v>
      </c>
      <c r="AG23" s="378">
        <f>$B23/4</f>
        <v>739059.76997904817</v>
      </c>
      <c r="AH23" s="378"/>
      <c r="AI23" s="378"/>
      <c r="AJ23" s="378"/>
      <c r="AK23" s="380"/>
      <c r="AL23" s="380"/>
      <c r="AM23" s="380"/>
      <c r="AN23" s="380"/>
      <c r="AO23" s="380"/>
      <c r="AP23" s="380"/>
      <c r="AQ23" s="370"/>
      <c r="AR23" s="365"/>
      <c r="AS23" s="378"/>
      <c r="AT23" s="378"/>
      <c r="AU23" s="378"/>
      <c r="AV23" s="357">
        <f t="shared" si="2"/>
        <v>2956239.0799161927</v>
      </c>
      <c r="AW23" s="357">
        <f t="shared" si="5"/>
        <v>2956239.0799161927</v>
      </c>
      <c r="AX23" s="357">
        <f t="shared" si="8"/>
        <v>0</v>
      </c>
      <c r="AY23"/>
      <c r="AZ23" s="491"/>
      <c r="BA23"/>
    </row>
    <row r="24" spans="1:53" ht="14.4" x14ac:dyDescent="0.3">
      <c r="A24" s="353" t="str">
        <f>'7a| Phase 2 Financial'!A72</f>
        <v>Retail Tenant Improvements</v>
      </c>
      <c r="B24" s="354">
        <f>'7a| Phase 2 Financial'!C72</f>
        <v>2527000</v>
      </c>
      <c r="C24" s="365"/>
      <c r="D24" s="355"/>
      <c r="E24" s="355"/>
      <c r="F24" s="355"/>
      <c r="G24" s="355"/>
      <c r="H24" s="355"/>
      <c r="I24" s="355"/>
      <c r="J24" s="355"/>
      <c r="K24" s="355"/>
      <c r="L24" s="355"/>
      <c r="M24" s="355"/>
      <c r="N24" s="355"/>
      <c r="O24" s="355"/>
      <c r="P24" s="355"/>
      <c r="Q24" s="355"/>
      <c r="R24" s="355"/>
      <c r="S24" s="355"/>
      <c r="T24" s="355"/>
      <c r="U24" s="355"/>
      <c r="V24" s="355"/>
      <c r="W24" s="355"/>
      <c r="X24" s="355"/>
      <c r="Y24" s="355"/>
      <c r="Z24" s="355"/>
      <c r="AA24" s="370"/>
      <c r="AB24" s="370"/>
      <c r="AC24" s="378">
        <f t="shared" ref="AC24:AE24" si="18">$B24/4</f>
        <v>631750</v>
      </c>
      <c r="AD24" s="378">
        <f t="shared" si="18"/>
        <v>631750</v>
      </c>
      <c r="AE24" s="378">
        <f t="shared" si="18"/>
        <v>631750</v>
      </c>
      <c r="AF24" s="378">
        <f>$B24/4</f>
        <v>631750</v>
      </c>
      <c r="AG24" s="378"/>
      <c r="AH24" s="378"/>
      <c r="AI24" s="378"/>
      <c r="AJ24" s="379"/>
      <c r="AK24" s="381"/>
      <c r="AL24" s="372"/>
      <c r="AM24" s="370"/>
      <c r="AN24" s="370"/>
      <c r="AO24" s="370"/>
      <c r="AP24" s="371"/>
      <c r="AQ24" s="370"/>
      <c r="AR24" s="370"/>
      <c r="AS24" s="370"/>
      <c r="AT24" s="371"/>
      <c r="AU24" s="371"/>
      <c r="AV24" s="357">
        <f t="shared" si="2"/>
        <v>2527000</v>
      </c>
      <c r="AW24" s="357">
        <f t="shared" si="5"/>
        <v>2527000</v>
      </c>
      <c r="AX24" s="357">
        <f t="shared" si="8"/>
        <v>0</v>
      </c>
      <c r="AY24"/>
      <c r="AZ24" s="491"/>
      <c r="BA24"/>
    </row>
    <row r="25" spans="1:53" ht="14.4" x14ac:dyDescent="0.3">
      <c r="A25" s="353" t="str">
        <f>'7a| Phase 2 Financial'!A73</f>
        <v>Retail brokerage</v>
      </c>
      <c r="B25" s="354">
        <f>'7a| Phase 2 Financial'!C73</f>
        <v>1379741.9999999998</v>
      </c>
      <c r="C25" s="365"/>
      <c r="D25" s="355"/>
      <c r="E25" s="355"/>
      <c r="F25" s="355"/>
      <c r="G25" s="355"/>
      <c r="H25" s="355"/>
      <c r="I25" s="355"/>
      <c r="J25" s="355"/>
      <c r="K25" s="355"/>
      <c r="L25" s="355"/>
      <c r="M25" s="355"/>
      <c r="N25" s="355"/>
      <c r="O25" s="355"/>
      <c r="P25" s="355"/>
      <c r="Q25" s="355"/>
      <c r="R25" s="355"/>
      <c r="S25" s="355"/>
      <c r="T25" s="355"/>
      <c r="U25" s="355"/>
      <c r="V25" s="355"/>
      <c r="W25" s="355"/>
      <c r="X25" s="355"/>
      <c r="Y25" s="355"/>
      <c r="Z25" s="355"/>
      <c r="AA25" s="355"/>
      <c r="AB25" s="355"/>
      <c r="AC25" s="355"/>
      <c r="AD25" s="355">
        <f>$B25/4</f>
        <v>344935.49999999994</v>
      </c>
      <c r="AE25" s="355">
        <f>$B25/4</f>
        <v>344935.49999999994</v>
      </c>
      <c r="AF25" s="355">
        <f>$B25/4</f>
        <v>344935.49999999994</v>
      </c>
      <c r="AG25" s="355">
        <f>$B25/4</f>
        <v>344935.49999999994</v>
      </c>
      <c r="AH25" s="355"/>
      <c r="AI25" s="355"/>
      <c r="AJ25" s="355"/>
      <c r="AK25" s="374"/>
      <c r="AL25" s="372"/>
      <c r="AM25" s="370"/>
      <c r="AN25" s="355"/>
      <c r="AO25" s="355"/>
      <c r="AP25" s="374"/>
      <c r="AQ25" s="355"/>
      <c r="AR25" s="355"/>
      <c r="AS25" s="355"/>
      <c r="AT25" s="374"/>
      <c r="AU25" s="374"/>
      <c r="AV25" s="357">
        <f t="shared" si="2"/>
        <v>1379741.9999999998</v>
      </c>
      <c r="AW25" s="357">
        <f t="shared" si="5"/>
        <v>1379741.9999999998</v>
      </c>
      <c r="AX25" s="357">
        <f t="shared" si="8"/>
        <v>0</v>
      </c>
      <c r="AY25"/>
      <c r="AZ25" s="491"/>
      <c r="BA25"/>
    </row>
    <row r="26" spans="1:53" ht="14.4" x14ac:dyDescent="0.3">
      <c r="A26" s="353" t="str">
        <f>'7a| Phase 2 Financial'!A74</f>
        <v>Construction Loan Origination</v>
      </c>
      <c r="B26" s="354">
        <f>'7a| Phase 2 Financial'!C74</f>
        <v>1151250</v>
      </c>
      <c r="C26" s="355">
        <f>$B$26*C7</f>
        <v>0</v>
      </c>
      <c r="D26" s="355">
        <f>$B$26*D7</f>
        <v>0</v>
      </c>
      <c r="E26" s="355">
        <v>0</v>
      </c>
      <c r="F26" s="355">
        <v>0</v>
      </c>
      <c r="G26" s="355">
        <v>0</v>
      </c>
      <c r="H26" s="355">
        <v>0</v>
      </c>
      <c r="I26" s="355">
        <v>0</v>
      </c>
      <c r="J26" s="355">
        <v>0</v>
      </c>
      <c r="K26" s="355"/>
      <c r="L26" s="355">
        <v>0</v>
      </c>
      <c r="M26" s="369"/>
      <c r="N26" s="355">
        <v>0</v>
      </c>
      <c r="O26" s="355">
        <v>0</v>
      </c>
      <c r="P26" s="355"/>
      <c r="Q26" s="355"/>
      <c r="R26" s="355"/>
      <c r="S26" s="355"/>
      <c r="T26" s="355">
        <f>$B26</f>
        <v>1151250</v>
      </c>
      <c r="U26" s="355"/>
      <c r="V26" s="355"/>
      <c r="W26" s="369"/>
      <c r="X26" s="355"/>
      <c r="Y26" s="355"/>
      <c r="Z26" s="355"/>
      <c r="AA26" s="355"/>
      <c r="AB26" s="355"/>
      <c r="AC26" s="355"/>
      <c r="AD26" s="355"/>
      <c r="AE26" s="355"/>
      <c r="AF26" s="355"/>
      <c r="AG26" s="355"/>
      <c r="AH26" s="355"/>
      <c r="AI26" s="355"/>
      <c r="AJ26" s="355"/>
      <c r="AK26" s="374"/>
      <c r="AL26" s="377"/>
      <c r="AM26" s="355"/>
      <c r="AN26" s="355"/>
      <c r="AO26" s="355"/>
      <c r="AP26" s="374"/>
      <c r="AQ26" s="355"/>
      <c r="AR26" s="355"/>
      <c r="AS26" s="355"/>
      <c r="AT26" s="374"/>
      <c r="AU26" s="374"/>
      <c r="AV26" s="357">
        <f t="shared" si="2"/>
        <v>1151250</v>
      </c>
      <c r="AW26" s="357">
        <f t="shared" si="5"/>
        <v>1151250</v>
      </c>
      <c r="AX26" s="357">
        <f t="shared" si="8"/>
        <v>0</v>
      </c>
      <c r="AY26"/>
      <c r="AZ26" s="491"/>
      <c r="BA26"/>
    </row>
    <row r="27" spans="1:53" ht="14.4" x14ac:dyDescent="0.3">
      <c r="A27" s="353" t="str">
        <f>'7a| Phase 2 Financial'!A75</f>
        <v>Construction Interest</v>
      </c>
      <c r="B27" s="354">
        <f>'7a| Phase 2 Financial'!C75</f>
        <v>5372500.0000000009</v>
      </c>
      <c r="C27" s="382"/>
      <c r="D27" s="355"/>
      <c r="E27" s="355"/>
      <c r="F27" s="355"/>
      <c r="G27" s="355"/>
      <c r="H27" s="355"/>
      <c r="I27" s="355"/>
      <c r="J27" s="355"/>
      <c r="K27" s="355"/>
      <c r="L27" s="355"/>
      <c r="M27" s="355"/>
      <c r="N27" s="355"/>
      <c r="O27" s="355"/>
      <c r="P27" s="355"/>
      <c r="Q27" s="355"/>
      <c r="R27" s="355"/>
      <c r="S27" s="355"/>
      <c r="T27" s="355"/>
      <c r="U27" s="355">
        <f>0.05*$B27</f>
        <v>268625.00000000006</v>
      </c>
      <c r="V27" s="355">
        <f>0.05*$B27</f>
        <v>268625.00000000006</v>
      </c>
      <c r="W27" s="355">
        <f>0.05*$B27</f>
        <v>268625.00000000006</v>
      </c>
      <c r="X27" s="355">
        <f t="shared" ref="X27:Z27" si="19">0.05*$B27</f>
        <v>268625.00000000006</v>
      </c>
      <c r="Y27" s="355">
        <f t="shared" si="19"/>
        <v>268625.00000000006</v>
      </c>
      <c r="Z27" s="355">
        <f t="shared" si="19"/>
        <v>268625.00000000006</v>
      </c>
      <c r="AA27" s="355">
        <f>0.1*$B27</f>
        <v>537250.00000000012</v>
      </c>
      <c r="AB27" s="355">
        <f>0.1*$B27</f>
        <v>537250.00000000012</v>
      </c>
      <c r="AC27" s="355">
        <f>0.1*$B27</f>
        <v>537250.00000000012</v>
      </c>
      <c r="AD27" s="355">
        <f>0.1*$B27</f>
        <v>537250.00000000012</v>
      </c>
      <c r="AE27" s="355">
        <f t="shared" ref="AE27:AG27" si="20">0.1*$B27</f>
        <v>537250.00000000012</v>
      </c>
      <c r="AF27" s="355">
        <f t="shared" si="20"/>
        <v>537250.00000000012</v>
      </c>
      <c r="AG27" s="355">
        <f t="shared" si="20"/>
        <v>537250.00000000012</v>
      </c>
      <c r="AH27" s="355"/>
      <c r="AI27" s="355"/>
      <c r="AJ27" s="355"/>
      <c r="AK27" s="355"/>
      <c r="AL27" s="355"/>
      <c r="AM27" s="355"/>
      <c r="AN27" s="355"/>
      <c r="AO27" s="355"/>
      <c r="AP27" s="355"/>
      <c r="AQ27" s="355"/>
      <c r="AR27" s="355"/>
      <c r="AS27" s="369"/>
      <c r="AT27" s="355"/>
      <c r="AU27" s="355"/>
      <c r="AV27" s="357">
        <f t="shared" si="2"/>
        <v>5372500.0000000009</v>
      </c>
      <c r="AW27" s="357">
        <f t="shared" si="5"/>
        <v>5372500.0000000009</v>
      </c>
      <c r="AX27" s="357">
        <f>AW27-AV27</f>
        <v>0</v>
      </c>
      <c r="AY27"/>
      <c r="AZ27" s="491"/>
      <c r="BA27"/>
    </row>
    <row r="28" spans="1:53" ht="26.25" customHeight="1" thickBot="1" x14ac:dyDescent="0.35">
      <c r="A28" s="383" t="str">
        <f>'7a| Phase 2 Financial'!A76</f>
        <v>Additional Contingency</v>
      </c>
      <c r="B28" s="384">
        <f>'7a| Phase 2 Financial'!C76</f>
        <v>500000</v>
      </c>
      <c r="C28" s="385">
        <v>0</v>
      </c>
      <c r="D28" s="385">
        <v>0</v>
      </c>
      <c r="E28" s="385">
        <v>0</v>
      </c>
      <c r="F28" s="385"/>
      <c r="G28" s="385">
        <v>0</v>
      </c>
      <c r="H28" s="385">
        <v>0</v>
      </c>
      <c r="I28" s="385">
        <v>0</v>
      </c>
      <c r="J28" s="385">
        <v>0</v>
      </c>
      <c r="K28" s="385">
        <v>0</v>
      </c>
      <c r="L28" s="385"/>
      <c r="M28" s="385"/>
      <c r="N28" s="385"/>
      <c r="O28" s="385"/>
      <c r="P28" s="385"/>
      <c r="Q28" s="385">
        <f t="shared" ref="Q28:AE28" si="21">$B28*Q7</f>
        <v>0</v>
      </c>
      <c r="R28" s="385">
        <f t="shared" si="21"/>
        <v>0</v>
      </c>
      <c r="S28" s="385">
        <f t="shared" si="21"/>
        <v>30000</v>
      </c>
      <c r="T28" s="385">
        <f t="shared" si="21"/>
        <v>30000</v>
      </c>
      <c r="U28" s="385">
        <f t="shared" si="21"/>
        <v>40000</v>
      </c>
      <c r="V28" s="385">
        <f t="shared" si="21"/>
        <v>40000</v>
      </c>
      <c r="W28" s="385">
        <f t="shared" si="21"/>
        <v>40000</v>
      </c>
      <c r="X28" s="385">
        <f t="shared" si="21"/>
        <v>30000</v>
      </c>
      <c r="Y28" s="385">
        <f t="shared" si="21"/>
        <v>30000</v>
      </c>
      <c r="Z28" s="385">
        <f t="shared" si="21"/>
        <v>30000</v>
      </c>
      <c r="AA28" s="385">
        <f t="shared" si="21"/>
        <v>35000</v>
      </c>
      <c r="AB28" s="385">
        <f t="shared" si="21"/>
        <v>35000</v>
      </c>
      <c r="AC28" s="385">
        <f t="shared" si="21"/>
        <v>30000</v>
      </c>
      <c r="AD28" s="385">
        <f t="shared" si="21"/>
        <v>40000</v>
      </c>
      <c r="AE28" s="385">
        <f t="shared" si="21"/>
        <v>30000</v>
      </c>
      <c r="AF28" s="385">
        <f>$B28*AF7</f>
        <v>30000</v>
      </c>
      <c r="AG28" s="385"/>
      <c r="AH28" s="385"/>
      <c r="AI28" s="385"/>
      <c r="AJ28" s="385"/>
      <c r="AK28" s="385"/>
      <c r="AL28" s="385"/>
      <c r="AM28" s="386"/>
      <c r="AN28" s="386"/>
      <c r="AO28" s="386"/>
      <c r="AP28" s="386"/>
      <c r="AQ28" s="387"/>
      <c r="AR28" s="387"/>
      <c r="AS28" s="388"/>
      <c r="AT28" s="389"/>
      <c r="AU28" s="389"/>
      <c r="AV28" s="384">
        <f t="shared" si="2"/>
        <v>470000</v>
      </c>
      <c r="AW28" s="357">
        <f t="shared" si="5"/>
        <v>500000</v>
      </c>
      <c r="AX28" s="357">
        <f t="shared" si="8"/>
        <v>30000</v>
      </c>
      <c r="AY28"/>
      <c r="AZ28" s="491"/>
      <c r="BA28"/>
    </row>
    <row r="29" spans="1:53" ht="15.6" thickTop="1" thickBot="1" x14ac:dyDescent="0.35">
      <c r="A29" s="390" t="s">
        <v>216</v>
      </c>
      <c r="B29" s="391">
        <f t="shared" ref="B29:AJ29" si="22">SUM(B8:B28)</f>
        <v>194079263.5835273</v>
      </c>
      <c r="C29" s="392">
        <f t="shared" si="22"/>
        <v>0</v>
      </c>
      <c r="D29" s="392">
        <f t="shared" si="22"/>
        <v>0</v>
      </c>
      <c r="E29" s="392">
        <f t="shared" si="22"/>
        <v>0</v>
      </c>
      <c r="F29" s="392">
        <f t="shared" si="22"/>
        <v>0</v>
      </c>
      <c r="G29" s="392">
        <f t="shared" si="22"/>
        <v>0</v>
      </c>
      <c r="H29" s="392">
        <f t="shared" si="22"/>
        <v>0</v>
      </c>
      <c r="I29" s="392">
        <f t="shared" si="22"/>
        <v>0</v>
      </c>
      <c r="J29" s="392">
        <f t="shared" si="22"/>
        <v>0</v>
      </c>
      <c r="K29" s="392">
        <f t="shared" si="22"/>
        <v>0</v>
      </c>
      <c r="L29" s="392">
        <f t="shared" si="22"/>
        <v>0</v>
      </c>
      <c r="M29" s="392">
        <f t="shared" si="22"/>
        <v>0</v>
      </c>
      <c r="N29" s="392">
        <f t="shared" si="22"/>
        <v>0</v>
      </c>
      <c r="O29" s="392">
        <f t="shared" si="22"/>
        <v>461276.27500000002</v>
      </c>
      <c r="P29" s="392">
        <f t="shared" si="22"/>
        <v>461276.27500000002</v>
      </c>
      <c r="Q29" s="392">
        <f t="shared" si="22"/>
        <v>2371276.2749999999</v>
      </c>
      <c r="R29" s="392">
        <f t="shared" si="22"/>
        <v>1855530.5249999999</v>
      </c>
      <c r="S29" s="392">
        <f t="shared" si="22"/>
        <v>11126670.77355</v>
      </c>
      <c r="T29" s="392">
        <f t="shared" si="22"/>
        <v>10527920.77355</v>
      </c>
      <c r="U29" s="392">
        <f t="shared" si="22"/>
        <v>12620427.273066666</v>
      </c>
      <c r="V29" s="392">
        <f t="shared" si="22"/>
        <v>12620427.273066666</v>
      </c>
      <c r="W29" s="392">
        <f t="shared" si="22"/>
        <v>12620427.273066666</v>
      </c>
      <c r="X29" s="392">
        <f t="shared" si="22"/>
        <v>11001713.551327778</v>
      </c>
      <c r="Y29" s="392">
        <f t="shared" si="22"/>
        <v>10971713.551327778</v>
      </c>
      <c r="Z29" s="392">
        <f t="shared" si="22"/>
        <v>11392989.826327778</v>
      </c>
      <c r="AA29" s="392">
        <f t="shared" si="22"/>
        <v>13149180.576086113</v>
      </c>
      <c r="AB29" s="392">
        <f t="shared" si="22"/>
        <v>12727904.301086113</v>
      </c>
      <c r="AC29" s="392">
        <f t="shared" si="22"/>
        <v>11872088.551327778</v>
      </c>
      <c r="AD29" s="392">
        <f t="shared" si="22"/>
        <v>15931215.320823492</v>
      </c>
      <c r="AE29" s="392">
        <f t="shared" si="22"/>
        <v>14456083.821306827</v>
      </c>
      <c r="AF29" s="392">
        <f t="shared" si="22"/>
        <v>14456083.821306827</v>
      </c>
      <c r="AG29" s="392">
        <f t="shared" si="22"/>
        <v>11873057.546306826</v>
      </c>
      <c r="AH29" s="392">
        <f t="shared" si="22"/>
        <v>0</v>
      </c>
      <c r="AI29" s="392">
        <f t="shared" si="22"/>
        <v>0</v>
      </c>
      <c r="AJ29" s="392">
        <f t="shared" si="22"/>
        <v>0</v>
      </c>
      <c r="AK29" s="392"/>
      <c r="AL29" s="392"/>
      <c r="AM29" s="392"/>
      <c r="AN29" s="392"/>
      <c r="AO29" s="392"/>
      <c r="AP29" s="392"/>
      <c r="AQ29" s="392"/>
      <c r="AR29" s="393"/>
      <c r="AS29" s="394"/>
      <c r="AT29" s="395"/>
      <c r="AU29" s="395"/>
      <c r="AV29" s="396">
        <f>SUM(AV8:AV28)</f>
        <v>192497263.5835273</v>
      </c>
      <c r="AW29" s="397">
        <f>SUM(AW8:AW28)</f>
        <v>194079263.5835273</v>
      </c>
      <c r="AX29" s="397"/>
      <c r="AY29"/>
      <c r="AZ29" s="491"/>
      <c r="BA29"/>
    </row>
    <row r="30" spans="1:53" ht="14.4" x14ac:dyDescent="0.3">
      <c r="A30" s="398" t="s">
        <v>519</v>
      </c>
      <c r="B30" s="399">
        <f>IF('7a| Phase 2 Financial'!B85&lt;0,'7a| Phase 2 Financial'!B85,0)</f>
        <v>-66162000</v>
      </c>
      <c r="C30" s="400"/>
      <c r="D30" s="401"/>
      <c r="E30" s="401"/>
      <c r="F30" s="401"/>
      <c r="G30" s="401"/>
      <c r="H30" s="401"/>
      <c r="I30" s="401"/>
      <c r="J30" s="401"/>
      <c r="K30" s="401"/>
      <c r="L30" s="401"/>
      <c r="M30" s="401"/>
      <c r="N30" s="401"/>
      <c r="O30" s="401"/>
      <c r="P30" s="401"/>
      <c r="Q30" s="401"/>
      <c r="R30" s="401"/>
      <c r="S30" s="401"/>
      <c r="T30" s="401"/>
      <c r="U30" s="401"/>
      <c r="V30" s="401"/>
      <c r="W30" s="401"/>
      <c r="X30" s="401"/>
      <c r="Y30" s="401"/>
      <c r="Z30" s="402"/>
      <c r="AA30" s="402"/>
      <c r="AB30" s="402"/>
      <c r="AC30" s="402"/>
      <c r="AD30" s="402"/>
      <c r="AE30" s="402"/>
      <c r="AF30" s="402"/>
      <c r="AG30" s="402"/>
      <c r="AH30" s="401"/>
      <c r="AI30" s="401"/>
      <c r="AJ30" s="401"/>
      <c r="AK30" s="400"/>
      <c r="AL30" s="403"/>
      <c r="AM30" s="401"/>
      <c r="AN30" s="401"/>
      <c r="AO30" s="401"/>
      <c r="AP30" s="400"/>
      <c r="AQ30" s="401"/>
      <c r="AR30" s="401"/>
      <c r="AS30" s="404"/>
      <c r="AT30" s="405"/>
      <c r="AU30" s="405"/>
      <c r="AV30" s="400"/>
      <c r="AW30" s="400"/>
      <c r="AX30" s="373"/>
      <c r="AY30"/>
      <c r="AZ30" s="491"/>
      <c r="BA30"/>
    </row>
    <row r="31" spans="1:53" ht="15" thickBot="1" x14ac:dyDescent="0.35">
      <c r="A31" s="406" t="s">
        <v>520</v>
      </c>
      <c r="B31" s="407">
        <f>B29+B30</f>
        <v>127917263.5835273</v>
      </c>
      <c r="C31" s="408"/>
      <c r="D31" s="409"/>
      <c r="E31" s="409"/>
      <c r="F31" s="409"/>
      <c r="G31" s="409"/>
      <c r="H31" s="409"/>
      <c r="I31" s="409"/>
      <c r="J31" s="409"/>
      <c r="K31" s="409"/>
      <c r="L31" s="409"/>
      <c r="M31" s="409"/>
      <c r="N31" s="409"/>
      <c r="O31" s="409"/>
      <c r="P31" s="409"/>
      <c r="Q31" s="409"/>
      <c r="R31" s="409"/>
      <c r="S31" s="409"/>
      <c r="T31" s="409"/>
      <c r="U31" s="409"/>
      <c r="V31" s="409"/>
      <c r="W31" s="409"/>
      <c r="X31" s="409"/>
      <c r="Y31" s="409"/>
      <c r="Z31" s="410"/>
      <c r="AA31" s="410"/>
      <c r="AB31" s="410"/>
      <c r="AC31" s="410"/>
      <c r="AD31" s="410"/>
      <c r="AE31" s="410"/>
      <c r="AF31" s="410"/>
      <c r="AG31" s="410"/>
      <c r="AH31" s="409"/>
      <c r="AI31" s="409"/>
      <c r="AJ31" s="409"/>
      <c r="AK31" s="408"/>
      <c r="AL31" s="411"/>
      <c r="AM31" s="409"/>
      <c r="AN31" s="409"/>
      <c r="AO31" s="409"/>
      <c r="AP31" s="408"/>
      <c r="AQ31" s="409"/>
      <c r="AR31" s="409"/>
      <c r="AS31" s="412"/>
      <c r="AT31" s="413"/>
      <c r="AU31" s="413"/>
      <c r="AV31" s="400"/>
      <c r="AW31" s="400"/>
      <c r="AX31" s="373"/>
      <c r="AY31"/>
      <c r="AZ31" s="491"/>
      <c r="BA31"/>
    </row>
    <row r="32" spans="1:53" ht="14.4" x14ac:dyDescent="0.3">
      <c r="A32" s="414" t="s">
        <v>521</v>
      </c>
      <c r="B32" s="415">
        <f>SUM(C32:AS32)</f>
        <v>51167000</v>
      </c>
      <c r="C32" s="416">
        <f>C29</f>
        <v>0</v>
      </c>
      <c r="D32" s="416">
        <f t="shared" ref="D32:AE32" si="23">IF(C33+D29&lt;=$B$33,D29,($B$33-C33))</f>
        <v>0</v>
      </c>
      <c r="E32" s="416">
        <f t="shared" si="23"/>
        <v>0</v>
      </c>
      <c r="F32" s="416">
        <f t="shared" si="23"/>
        <v>0</v>
      </c>
      <c r="G32" s="416">
        <f t="shared" si="23"/>
        <v>0</v>
      </c>
      <c r="H32" s="416">
        <f t="shared" si="23"/>
        <v>0</v>
      </c>
      <c r="I32" s="416">
        <f t="shared" si="23"/>
        <v>0</v>
      </c>
      <c r="J32" s="416">
        <f t="shared" si="23"/>
        <v>0</v>
      </c>
      <c r="K32" s="416">
        <f t="shared" si="23"/>
        <v>0</v>
      </c>
      <c r="L32" s="416">
        <f t="shared" si="23"/>
        <v>0</v>
      </c>
      <c r="M32" s="416">
        <f t="shared" si="23"/>
        <v>0</v>
      </c>
      <c r="N32" s="416">
        <f t="shared" si="23"/>
        <v>0</v>
      </c>
      <c r="O32" s="416">
        <f t="shared" si="23"/>
        <v>461276.27500000002</v>
      </c>
      <c r="P32" s="416">
        <f t="shared" si="23"/>
        <v>461276.27500000002</v>
      </c>
      <c r="Q32" s="416">
        <f t="shared" si="23"/>
        <v>2371276.2749999999</v>
      </c>
      <c r="R32" s="416">
        <f t="shared" si="23"/>
        <v>1855530.5249999999</v>
      </c>
      <c r="S32" s="416">
        <f t="shared" si="23"/>
        <v>11126670.77355</v>
      </c>
      <c r="T32" s="416">
        <f t="shared" si="23"/>
        <v>10527920.77355</v>
      </c>
      <c r="U32" s="416">
        <f t="shared" si="23"/>
        <v>12620427.273066666</v>
      </c>
      <c r="V32" s="416">
        <f t="shared" si="23"/>
        <v>11742621.829833329</v>
      </c>
      <c r="W32" s="416">
        <f t="shared" ref="W32:AB32" si="24">IF(V33+W29&lt;=$B$33,W29,($B$33-V33))</f>
        <v>0</v>
      </c>
      <c r="X32" s="416">
        <f t="shared" si="24"/>
        <v>0</v>
      </c>
      <c r="Y32" s="416">
        <f t="shared" si="24"/>
        <v>0</v>
      </c>
      <c r="Z32" s="416">
        <f t="shared" si="24"/>
        <v>0</v>
      </c>
      <c r="AA32" s="416">
        <f t="shared" si="24"/>
        <v>0</v>
      </c>
      <c r="AB32" s="416">
        <f t="shared" si="24"/>
        <v>0</v>
      </c>
      <c r="AC32" s="416">
        <f t="shared" si="23"/>
        <v>0</v>
      </c>
      <c r="AD32" s="416">
        <f t="shared" si="23"/>
        <v>0</v>
      </c>
      <c r="AE32" s="416">
        <f t="shared" si="23"/>
        <v>0</v>
      </c>
      <c r="AF32" s="416">
        <f>IF(AE33+AF29&lt;=$B$33,AF29,($B$33-AE33))</f>
        <v>0</v>
      </c>
      <c r="AG32" s="416">
        <f>IF(AF33+AG29&lt;=$B$33,AG29,($B$33-AF33))</f>
        <v>0</v>
      </c>
      <c r="AH32" s="401"/>
      <c r="AI32" s="401"/>
      <c r="AJ32" s="401"/>
      <c r="AK32" s="401"/>
      <c r="AL32" s="401"/>
      <c r="AM32" s="401"/>
      <c r="AN32" s="401"/>
      <c r="AO32" s="401"/>
      <c r="AP32" s="401"/>
      <c r="AQ32" s="401"/>
      <c r="AR32" s="401"/>
      <c r="AS32" s="401"/>
      <c r="AT32" s="401"/>
      <c r="AU32" s="401"/>
      <c r="AV32" s="401"/>
      <c r="AW32" s="401"/>
      <c r="AX32" s="375"/>
      <c r="AY32"/>
      <c r="AZ32" s="491"/>
      <c r="BA32"/>
    </row>
    <row r="33" spans="1:53" ht="15" thickBot="1" x14ac:dyDescent="0.35">
      <c r="A33" s="417" t="s">
        <v>522</v>
      </c>
      <c r="B33" s="418">
        <f>'7a| Phase 2 Financial'!B88</f>
        <v>51167000</v>
      </c>
      <c r="C33" s="419">
        <f>C32</f>
        <v>0</v>
      </c>
      <c r="D33" s="419">
        <f>IF(SUM($C$32:D32)&lt;=$B33,SUM($C$32:D32),0)</f>
        <v>0</v>
      </c>
      <c r="E33" s="419">
        <f>IF(SUM($C$32:E32)&lt;=$B33,SUM($C$32:E32),0)</f>
        <v>0</v>
      </c>
      <c r="F33" s="419">
        <f>IF(SUM($C$32:F32)&lt;=$B33,SUM($C$32:F32),0)</f>
        <v>0</v>
      </c>
      <c r="G33" s="419">
        <f>IF(SUM($C$32:G32)&lt;=$B33,SUM($C$32:G32),0)</f>
        <v>0</v>
      </c>
      <c r="H33" s="419">
        <f>IF(SUM($C$32:H32)&lt;=$B33,SUM($C$32:H32),0)</f>
        <v>0</v>
      </c>
      <c r="I33" s="419">
        <f>IF(SUM($C$32:I32)&lt;=$B33,SUM($C$32:I32),0)</f>
        <v>0</v>
      </c>
      <c r="J33" s="419">
        <f>IF(SUM($C$32:J32)&lt;=$B33,SUM($C$32:J32),0)</f>
        <v>0</v>
      </c>
      <c r="K33" s="419">
        <f>IF(SUM($C$32:K32)&lt;=$B33,SUM($C$32:K32),0)</f>
        <v>0</v>
      </c>
      <c r="L33" s="419">
        <f>IF(SUM($C$32:L32)&lt;=$B33,SUM($C$32:L32),0)</f>
        <v>0</v>
      </c>
      <c r="M33" s="419">
        <f>IF(SUM($C$32:M32)&lt;=$B33,SUM($C$32:M32),0)</f>
        <v>0</v>
      </c>
      <c r="N33" s="419">
        <f>IF(SUM($C$32:N32)&lt;=$B33,SUM($C$32:N32),0)</f>
        <v>0</v>
      </c>
      <c r="O33" s="419">
        <f>IF(SUM($C$32:O32)&lt;=$B33,SUM($C$32:O32),0)</f>
        <v>461276.27500000002</v>
      </c>
      <c r="P33" s="419">
        <f>IF(SUM($C$32:P32)&lt;=$B33,SUM($C$32:P32),0)</f>
        <v>922552.55</v>
      </c>
      <c r="Q33" s="419">
        <f>IF(SUM($C$32:Q32)&lt;=$B33,SUM($C$32:Q32),0)</f>
        <v>3293828.8250000002</v>
      </c>
      <c r="R33" s="419">
        <f>IF(SUM($C$32:R32)&lt;=$B33,SUM($C$32:R32),0)</f>
        <v>5149359.3499999996</v>
      </c>
      <c r="S33" s="419">
        <f>IF(SUM($C$32:S32)&lt;=$B33,SUM($C$32:S32),0)</f>
        <v>16276030.12355</v>
      </c>
      <c r="T33" s="419">
        <f>IF(SUM($C$32:T32)&lt;=$B33,SUM($C$32:T32),0)</f>
        <v>26803950.897100002</v>
      </c>
      <c r="U33" s="419">
        <f>IF(SUM($C$32:U32)&lt;=$B33,SUM($C$32:U32),0)</f>
        <v>39424378.170166671</v>
      </c>
      <c r="V33" s="419">
        <f>IF(SUM($C$32:V32)&lt;=$B33,SUM($C$32:V32),0)</f>
        <v>51167000</v>
      </c>
      <c r="W33" s="419">
        <f>IF(SUM($C$32:W32)&lt;=$B33,SUM($C$32:W32),0)</f>
        <v>51167000</v>
      </c>
      <c r="X33" s="419">
        <f>IF(SUM($C$32:X32)&lt;=$B33,SUM($C$32:X32),0)</f>
        <v>51167000</v>
      </c>
      <c r="Y33" s="419">
        <f>IF(SUM($C$32:Y32)&lt;=$B33,SUM($C$32:Y32),0)</f>
        <v>51167000</v>
      </c>
      <c r="Z33" s="419">
        <f>IF(SUM($C$32:Z32)&lt;=$B33,SUM($C$32:Z32),0)</f>
        <v>51167000</v>
      </c>
      <c r="AA33" s="419">
        <f>IF(SUM($C$32:AA32)&lt;=$B33,SUM($C$32:AA32),0)</f>
        <v>51167000</v>
      </c>
      <c r="AB33" s="419">
        <f>IF(SUM($C$32:AB32)&lt;=$B33,SUM($C$32:AB32),0)</f>
        <v>51167000</v>
      </c>
      <c r="AC33" s="419">
        <f>IF(SUM($C$32:AC32)&lt;=$B33,SUM($C$32:AC32),0)</f>
        <v>51167000</v>
      </c>
      <c r="AD33" s="419">
        <f>IF(SUM($C$32:AD32)&lt;=$B33,SUM($C$32:AD32),0)</f>
        <v>51167000</v>
      </c>
      <c r="AE33" s="419">
        <f>IF(SUM($C$32:AE32)&lt;=$B33,SUM($C$32:AE32),0)</f>
        <v>51167000</v>
      </c>
      <c r="AF33" s="419">
        <f>IF(SUM($C$32:AF32)&lt;=$B33,SUM($C$32:AF32),0)</f>
        <v>51167000</v>
      </c>
      <c r="AG33" s="419">
        <f>IF(SUM($C$32:AG32)&lt;=$B33,SUM($C$32:AG32),0)</f>
        <v>51167000</v>
      </c>
      <c r="AH33" s="401"/>
      <c r="AI33" s="401"/>
      <c r="AJ33" s="401"/>
      <c r="AK33" s="401"/>
      <c r="AL33" s="401"/>
      <c r="AM33" s="401"/>
      <c r="AN33" s="401"/>
      <c r="AO33" s="401"/>
      <c r="AP33" s="401"/>
      <c r="AQ33" s="401"/>
      <c r="AR33" s="401"/>
      <c r="AS33" s="401"/>
      <c r="AT33" s="401"/>
      <c r="AU33" s="401"/>
      <c r="AV33" s="401"/>
      <c r="AW33" s="401"/>
      <c r="AX33" s="375"/>
      <c r="AY33"/>
      <c r="AZ33" s="491"/>
      <c r="BA33"/>
    </row>
    <row r="34" spans="1:53" ht="14.4" x14ac:dyDescent="0.3">
      <c r="A34" s="420" t="s">
        <v>523</v>
      </c>
      <c r="B34" s="421">
        <f>'7a| Phase 2 Financial'!B87</f>
        <v>76750000</v>
      </c>
      <c r="C34" s="422"/>
      <c r="D34" s="423"/>
      <c r="E34" s="423"/>
      <c r="F34" s="423"/>
      <c r="G34" s="423"/>
      <c r="H34" s="423"/>
      <c r="I34" s="423"/>
      <c r="J34" s="423"/>
      <c r="K34" s="423"/>
      <c r="L34" s="423"/>
      <c r="M34" s="423"/>
      <c r="N34" s="423"/>
      <c r="O34" s="423"/>
      <c r="P34" s="423"/>
      <c r="Q34" s="423"/>
      <c r="R34" s="423"/>
      <c r="S34" s="423"/>
      <c r="T34" s="423"/>
      <c r="U34" s="423"/>
      <c r="V34" s="423"/>
      <c r="W34" s="423"/>
      <c r="X34" s="423"/>
      <c r="Y34" s="423"/>
      <c r="Z34" s="423"/>
      <c r="AA34" s="423"/>
      <c r="AB34" s="423"/>
      <c r="AC34" s="423"/>
      <c r="AD34" s="423"/>
      <c r="AE34" s="423"/>
      <c r="AF34" s="423"/>
      <c r="AG34" s="423"/>
      <c r="AH34" s="423"/>
      <c r="AI34" s="423"/>
      <c r="AJ34" s="423"/>
      <c r="AK34" s="423"/>
      <c r="AL34" s="423"/>
      <c r="AM34" s="423"/>
      <c r="AN34" s="423"/>
      <c r="AO34" s="423"/>
      <c r="AP34" s="423"/>
      <c r="AQ34" s="423"/>
      <c r="AR34" s="423"/>
      <c r="AS34" s="423"/>
      <c r="AT34" s="423"/>
      <c r="AU34" s="423"/>
      <c r="AV34" s="424"/>
      <c r="AW34" s="424"/>
      <c r="AX34" s="375"/>
      <c r="AY34"/>
      <c r="AZ34" s="491"/>
      <c r="BA34"/>
    </row>
    <row r="35" spans="1:53" ht="15" thickBot="1" x14ac:dyDescent="0.35">
      <c r="A35" s="417" t="s">
        <v>524</v>
      </c>
      <c r="B35" s="425">
        <f>PMT(0.045,30,(B34))</f>
        <v>-4711800.9182345243</v>
      </c>
      <c r="C35" s="424"/>
      <c r="D35" s="426"/>
      <c r="E35" s="426"/>
      <c r="F35" s="426"/>
      <c r="G35" s="426"/>
      <c r="H35" s="426"/>
      <c r="I35" s="426"/>
      <c r="J35" s="426"/>
      <c r="K35" s="426"/>
      <c r="L35" s="426"/>
      <c r="M35" s="426"/>
      <c r="N35" s="426"/>
      <c r="O35" s="426"/>
      <c r="P35" s="426"/>
      <c r="Q35" s="426"/>
      <c r="R35" s="426"/>
      <c r="S35" s="426"/>
      <c r="T35" s="426"/>
      <c r="U35" s="426"/>
      <c r="V35" s="426"/>
      <c r="W35" s="426"/>
      <c r="X35" s="426"/>
      <c r="Y35" s="426"/>
      <c r="Z35" s="426"/>
      <c r="AA35" s="426"/>
      <c r="AB35" s="426"/>
      <c r="AC35" s="426"/>
      <c r="AD35" s="426"/>
      <c r="AE35" s="426"/>
      <c r="AF35" s="426"/>
      <c r="AG35" s="426"/>
      <c r="AH35" s="426"/>
      <c r="AI35" s="426"/>
      <c r="AJ35" s="426"/>
      <c r="AK35" s="426"/>
      <c r="AL35" s="426"/>
      <c r="AM35" s="426"/>
      <c r="AN35" s="426"/>
      <c r="AO35" s="426"/>
      <c r="AP35" s="426"/>
      <c r="AQ35" s="426"/>
      <c r="AR35" s="426"/>
      <c r="AS35" s="426"/>
      <c r="AT35" s="426"/>
      <c r="AU35" s="426"/>
      <c r="AV35" s="424"/>
      <c r="AW35" s="424"/>
      <c r="AX35" s="375"/>
      <c r="AY35"/>
      <c r="AZ35" s="491"/>
      <c r="BA35"/>
    </row>
    <row r="36" spans="1:53" ht="14.4" x14ac:dyDescent="0.3">
      <c r="A36" s="427" t="s">
        <v>525</v>
      </c>
      <c r="B36" s="428">
        <f>SUM(C36:AV36)</f>
        <v>0</v>
      </c>
      <c r="C36" s="357"/>
      <c r="D36" s="357"/>
      <c r="E36" s="357"/>
      <c r="F36" s="357"/>
      <c r="G36" s="357"/>
      <c r="H36" s="357"/>
      <c r="I36" s="357"/>
      <c r="J36" s="357"/>
      <c r="K36" s="357"/>
      <c r="L36" s="357"/>
      <c r="M36" s="357"/>
      <c r="N36" s="357"/>
      <c r="O36" s="357"/>
      <c r="P36" s="357"/>
      <c r="Q36" s="357"/>
      <c r="R36" s="357"/>
      <c r="S36" s="357"/>
      <c r="T36" s="357"/>
      <c r="U36" s="357"/>
      <c r="V36" s="357"/>
      <c r="W36" s="357"/>
      <c r="X36" s="357"/>
      <c r="Y36" s="357"/>
      <c r="Z36" s="357"/>
      <c r="AA36" s="357"/>
      <c r="AB36" s="357"/>
      <c r="AC36" s="357"/>
      <c r="AD36" s="357"/>
      <c r="AE36" s="357"/>
      <c r="AF36" s="357"/>
      <c r="AG36" s="357"/>
      <c r="AH36" s="357"/>
      <c r="AI36" s="357"/>
      <c r="AJ36" s="357"/>
      <c r="AK36" s="357"/>
      <c r="AL36" s="357"/>
      <c r="AM36" s="357"/>
      <c r="AN36" s="357"/>
      <c r="AO36" s="357"/>
      <c r="AP36" s="357"/>
      <c r="AQ36" s="357"/>
      <c r="AR36" s="357"/>
      <c r="AT36" s="98">
        <v>0</v>
      </c>
      <c r="AU36" s="98">
        <v>0</v>
      </c>
      <c r="AV36" s="402"/>
      <c r="AW36" s="424"/>
      <c r="AX36" s="375"/>
      <c r="AY36"/>
      <c r="AZ36" s="491"/>
      <c r="BA36"/>
    </row>
    <row r="37" spans="1:53" ht="14.4" x14ac:dyDescent="0.3">
      <c r="A37" s="429" t="s">
        <v>526</v>
      </c>
      <c r="B37" s="428"/>
      <c r="C37" s="357"/>
      <c r="D37" s="357"/>
      <c r="E37" s="357"/>
      <c r="F37" s="357"/>
      <c r="G37" s="357"/>
      <c r="H37" s="357"/>
      <c r="I37" s="357"/>
      <c r="J37" s="357"/>
      <c r="K37" s="357"/>
      <c r="L37" s="357"/>
      <c r="M37" s="357"/>
      <c r="N37" s="357"/>
      <c r="O37" s="357"/>
      <c r="P37" s="357"/>
      <c r="Q37" s="357"/>
      <c r="R37" s="357"/>
      <c r="S37" s="357"/>
      <c r="T37" s="357"/>
      <c r="U37" s="357"/>
      <c r="V37" s="357"/>
      <c r="W37" s="357"/>
      <c r="X37" s="357"/>
      <c r="Y37" s="357"/>
      <c r="Z37" s="357"/>
      <c r="AA37" s="357"/>
      <c r="AB37" s="357"/>
      <c r="AC37" s="357"/>
      <c r="AD37" s="357"/>
      <c r="AE37" s="357"/>
      <c r="AF37" s="357"/>
      <c r="AG37" s="357"/>
      <c r="AH37" s="357"/>
      <c r="AI37" s="357"/>
      <c r="AJ37" s="357"/>
      <c r="AK37" s="357"/>
      <c r="AL37" s="357"/>
      <c r="AM37" s="357"/>
      <c r="AN37" s="357"/>
      <c r="AO37" s="357"/>
      <c r="AP37" s="357"/>
      <c r="AQ37" s="357"/>
      <c r="AR37" s="357"/>
      <c r="AS37" s="98"/>
      <c r="AT37" s="98"/>
      <c r="AU37" s="98"/>
      <c r="AV37" s="402"/>
      <c r="AW37" s="426"/>
      <c r="AX37" s="375"/>
      <c r="AY37"/>
      <c r="AZ37" s="491"/>
      <c r="BA37"/>
    </row>
    <row r="38" spans="1:53" ht="14.4" x14ac:dyDescent="0.3">
      <c r="A38" s="430" t="s">
        <v>527</v>
      </c>
      <c r="B38" s="431">
        <f>'7a| Phase 2 Financial'!B95-'7b| Phase 2 Draw'!B34</f>
        <v>86216600</v>
      </c>
      <c r="C38" s="402"/>
      <c r="D38" s="432"/>
      <c r="E38" s="432"/>
      <c r="F38" s="432"/>
      <c r="G38" s="432"/>
      <c r="H38" s="432"/>
      <c r="I38" s="432"/>
      <c r="J38" s="432"/>
      <c r="K38" s="432"/>
      <c r="L38" s="432"/>
      <c r="M38" s="432"/>
      <c r="N38" s="432"/>
      <c r="O38" s="432"/>
      <c r="P38" s="432"/>
      <c r="Q38" s="432"/>
      <c r="R38" s="432"/>
      <c r="S38" s="432"/>
      <c r="T38" s="432"/>
      <c r="U38" s="432"/>
      <c r="V38" s="432"/>
      <c r="W38" s="432"/>
      <c r="X38" s="432"/>
      <c r="Y38" s="432"/>
      <c r="Z38" s="432"/>
      <c r="AA38" s="432"/>
      <c r="AB38" s="432"/>
      <c r="AC38" s="432"/>
      <c r="AD38" s="432"/>
      <c r="AE38" s="432"/>
      <c r="AF38" s="432"/>
      <c r="AG38" s="433"/>
      <c r="AH38" s="432"/>
      <c r="AI38" s="432"/>
      <c r="AJ38" s="432"/>
      <c r="AK38" s="432"/>
      <c r="AL38" s="432"/>
      <c r="AM38" s="432"/>
      <c r="AN38" s="432"/>
      <c r="AO38" s="432"/>
      <c r="AP38" s="432"/>
      <c r="AQ38" s="432"/>
      <c r="AR38" s="432"/>
      <c r="AS38" s="432"/>
      <c r="AT38" s="432"/>
      <c r="AU38" s="432"/>
      <c r="AV38" s="401"/>
      <c r="AW38" s="434"/>
      <c r="AX38" s="435"/>
      <c r="AY38"/>
      <c r="AZ38" s="491"/>
      <c r="BA38"/>
    </row>
    <row r="39" spans="1:53" ht="14.4" x14ac:dyDescent="0.3">
      <c r="A39" s="430" t="s">
        <v>528</v>
      </c>
      <c r="B39" s="436">
        <f>SUM(C39:AU39)</f>
        <v>35049600</v>
      </c>
      <c r="C39" s="437">
        <f t="shared" ref="C39:AF39" si="25">-C32</f>
        <v>0</v>
      </c>
      <c r="D39" s="437">
        <f t="shared" si="25"/>
        <v>0</v>
      </c>
      <c r="E39" s="437">
        <f t="shared" si="25"/>
        <v>0</v>
      </c>
      <c r="F39" s="437">
        <f t="shared" si="25"/>
        <v>0</v>
      </c>
      <c r="G39" s="437">
        <f t="shared" si="25"/>
        <v>0</v>
      </c>
      <c r="H39" s="437">
        <f t="shared" si="25"/>
        <v>0</v>
      </c>
      <c r="I39" s="437">
        <f t="shared" si="25"/>
        <v>0</v>
      </c>
      <c r="J39" s="437">
        <f t="shared" si="25"/>
        <v>0</v>
      </c>
      <c r="K39" s="437">
        <f t="shared" si="25"/>
        <v>0</v>
      </c>
      <c r="L39" s="437">
        <f t="shared" si="25"/>
        <v>0</v>
      </c>
      <c r="M39" s="437">
        <f t="shared" si="25"/>
        <v>0</v>
      </c>
      <c r="N39" s="437">
        <f t="shared" si="25"/>
        <v>0</v>
      </c>
      <c r="O39" s="437">
        <f t="shared" si="25"/>
        <v>-461276.27500000002</v>
      </c>
      <c r="P39" s="437">
        <f t="shared" si="25"/>
        <v>-461276.27500000002</v>
      </c>
      <c r="Q39" s="437">
        <f t="shared" si="25"/>
        <v>-2371276.2749999999</v>
      </c>
      <c r="R39" s="437">
        <f t="shared" si="25"/>
        <v>-1855530.5249999999</v>
      </c>
      <c r="S39" s="437">
        <f t="shared" si="25"/>
        <v>-11126670.77355</v>
      </c>
      <c r="T39" s="437">
        <f t="shared" si="25"/>
        <v>-10527920.77355</v>
      </c>
      <c r="U39" s="437">
        <f t="shared" si="25"/>
        <v>-12620427.273066666</v>
      </c>
      <c r="V39" s="437">
        <f t="shared" si="25"/>
        <v>-11742621.829833329</v>
      </c>
      <c r="W39" s="437">
        <f t="shared" si="25"/>
        <v>0</v>
      </c>
      <c r="X39" s="437">
        <f>-X32</f>
        <v>0</v>
      </c>
      <c r="Y39" s="437">
        <f t="shared" si="25"/>
        <v>0</v>
      </c>
      <c r="Z39" s="437">
        <f t="shared" si="25"/>
        <v>0</v>
      </c>
      <c r="AA39" s="437">
        <f t="shared" si="25"/>
        <v>0</v>
      </c>
      <c r="AB39" s="437">
        <f t="shared" si="25"/>
        <v>0</v>
      </c>
      <c r="AC39" s="437">
        <f t="shared" si="25"/>
        <v>0</v>
      </c>
      <c r="AD39" s="437">
        <f t="shared" si="25"/>
        <v>0</v>
      </c>
      <c r="AE39" s="437">
        <f t="shared" si="25"/>
        <v>0</v>
      </c>
      <c r="AF39" s="437">
        <f t="shared" si="25"/>
        <v>0</v>
      </c>
      <c r="AG39" s="437">
        <f>B38</f>
        <v>86216600</v>
      </c>
      <c r="AH39" s="401"/>
      <c r="AI39" s="401"/>
      <c r="AJ39" s="401"/>
      <c r="AK39" s="401"/>
      <c r="AL39" s="401"/>
      <c r="AM39" s="401"/>
      <c r="AN39" s="401"/>
      <c r="AO39" s="401"/>
      <c r="AP39" s="401"/>
      <c r="AQ39" s="401"/>
      <c r="AR39" s="401"/>
      <c r="AS39" s="401"/>
      <c r="AT39" s="401"/>
      <c r="AU39" s="401"/>
      <c r="AV39" s="401"/>
      <c r="AW39" s="401"/>
      <c r="AX39" s="443"/>
      <c r="AY39"/>
      <c r="AZ39" s="491"/>
      <c r="BA39"/>
    </row>
    <row r="40" spans="1:53" ht="14.4" x14ac:dyDescent="0.3">
      <c r="A40" s="430" t="s">
        <v>529</v>
      </c>
      <c r="B40" s="444">
        <f>IF(B39&lt;0,0,IRR(C39:AIX39))</f>
        <v>4.1435338260787491E-2</v>
      </c>
      <c r="C40" s="445"/>
      <c r="D40" s="445"/>
      <c r="E40" s="445"/>
      <c r="F40" s="445"/>
      <c r="G40" s="445"/>
      <c r="H40" s="445"/>
      <c r="I40" s="445"/>
      <c r="J40" s="445"/>
      <c r="K40" s="445"/>
      <c r="L40" s="445"/>
      <c r="M40" s="445"/>
      <c r="N40" s="445"/>
      <c r="O40" s="445"/>
      <c r="P40" s="445"/>
      <c r="Q40" s="445"/>
      <c r="R40" s="445"/>
      <c r="S40" s="445"/>
      <c r="T40" s="445"/>
      <c r="U40" s="445"/>
      <c r="V40" s="445"/>
      <c r="W40" s="445"/>
      <c r="X40" s="445"/>
      <c r="Y40" s="445"/>
      <c r="Z40" s="445"/>
      <c r="AA40" s="445"/>
      <c r="AB40" s="445"/>
      <c r="AC40" s="445"/>
      <c r="AD40" s="445"/>
      <c r="AE40" s="445"/>
      <c r="AF40" s="445"/>
      <c r="AG40" s="445"/>
      <c r="AH40" s="445"/>
      <c r="AI40" s="445"/>
      <c r="AJ40" s="445"/>
      <c r="AK40" s="445"/>
      <c r="AL40" s="445"/>
      <c r="AM40" s="445"/>
      <c r="AN40" s="445"/>
      <c r="AO40" s="445"/>
      <c r="AP40" s="445"/>
      <c r="AQ40" s="445"/>
      <c r="AR40" s="445"/>
      <c r="AS40" s="445"/>
      <c r="AT40" s="445"/>
      <c r="AU40" s="445"/>
      <c r="AV40" s="401"/>
      <c r="AW40" s="445"/>
      <c r="AX40" s="446"/>
      <c r="AY40"/>
      <c r="AZ40" s="491"/>
      <c r="BA40"/>
    </row>
    <row r="41" spans="1:53" x14ac:dyDescent="0.25">
      <c r="A41" s="442" t="s">
        <v>530</v>
      </c>
      <c r="B41" s="447">
        <f>POWER((1+B40),4)-1</f>
        <v>0.17633018350268004</v>
      </c>
      <c r="C41" s="401"/>
      <c r="D41" s="401"/>
      <c r="E41" s="448"/>
      <c r="F41" s="448"/>
      <c r="G41" s="448"/>
      <c r="H41" s="448"/>
      <c r="I41" s="448"/>
      <c r="J41" s="448"/>
      <c r="K41" s="448"/>
      <c r="L41" s="448"/>
      <c r="M41" s="448"/>
      <c r="N41" s="448"/>
      <c r="O41" s="448"/>
      <c r="P41" s="449"/>
      <c r="Q41" s="448"/>
      <c r="R41" s="448"/>
      <c r="S41" s="448"/>
      <c r="T41" s="448"/>
      <c r="U41" s="448"/>
      <c r="V41" s="449"/>
      <c r="W41" s="448"/>
      <c r="X41" s="448"/>
      <c r="Y41" s="448"/>
      <c r="Z41" s="448"/>
      <c r="AA41" s="448"/>
      <c r="AB41" s="448"/>
      <c r="AC41" s="448"/>
      <c r="AD41" s="448"/>
      <c r="AE41" s="448"/>
      <c r="AF41" s="448"/>
      <c r="AG41" s="448"/>
      <c r="AH41" s="448"/>
      <c r="AI41" s="445"/>
      <c r="AJ41" s="448"/>
      <c r="AK41" s="448"/>
      <c r="AL41" s="448"/>
      <c r="AM41" s="448"/>
      <c r="AN41" s="448"/>
      <c r="AO41" s="448"/>
      <c r="AP41" s="448"/>
      <c r="AQ41" s="448"/>
      <c r="AR41" s="450"/>
      <c r="AS41" s="450"/>
      <c r="AT41" s="448"/>
      <c r="AU41" s="448"/>
      <c r="AV41" s="448"/>
      <c r="AW41" s="448"/>
      <c r="AX41" s="451"/>
      <c r="AZ41" s="488"/>
    </row>
    <row r="42" spans="1:53" x14ac:dyDescent="0.25">
      <c r="A42" s="452" t="s">
        <v>531</v>
      </c>
      <c r="B42" s="453"/>
      <c r="C42" s="401"/>
      <c r="D42" s="401"/>
      <c r="E42" s="401"/>
      <c r="F42" s="401"/>
      <c r="G42" s="401"/>
      <c r="H42" s="401"/>
      <c r="I42" s="401"/>
      <c r="J42" s="401"/>
      <c r="K42" s="401"/>
      <c r="L42" s="401"/>
      <c r="M42" s="401"/>
      <c r="N42" s="401"/>
      <c r="O42" s="401"/>
      <c r="P42" s="401"/>
      <c r="Q42" s="401"/>
      <c r="R42" s="401"/>
      <c r="S42" s="401"/>
      <c r="T42" s="401"/>
      <c r="U42" s="401"/>
      <c r="V42" s="401"/>
      <c r="W42" s="401"/>
      <c r="X42" s="401"/>
      <c r="Y42" s="401"/>
      <c r="Z42" s="401"/>
      <c r="AA42" s="401"/>
      <c r="AB42" s="401"/>
      <c r="AC42" s="401"/>
      <c r="AD42" s="401"/>
      <c r="AE42" s="401"/>
      <c r="AF42" s="401"/>
      <c r="AG42" s="401"/>
      <c r="AH42" s="401"/>
      <c r="AI42" s="445"/>
      <c r="AJ42" s="401"/>
      <c r="AK42" s="401"/>
      <c r="AL42" s="401"/>
      <c r="AM42" s="401"/>
      <c r="AN42" s="401"/>
      <c r="AO42" s="401"/>
      <c r="AP42" s="401"/>
      <c r="AQ42" s="401"/>
      <c r="AR42" s="401"/>
      <c r="AS42" s="401"/>
      <c r="AT42" s="401"/>
      <c r="AU42" s="401"/>
      <c r="AV42" s="401"/>
      <c r="AW42" s="401"/>
      <c r="AZ42" s="488"/>
    </row>
    <row r="43" spans="1:53" x14ac:dyDescent="0.25">
      <c r="A43" s="430" t="s">
        <v>532</v>
      </c>
      <c r="B43" s="98">
        <f>'7a| Phase 2 Financial'!B95-B30</f>
        <v>229128600</v>
      </c>
      <c r="C43" s="401"/>
      <c r="D43" s="401"/>
      <c r="E43" s="401"/>
      <c r="F43" s="401"/>
      <c r="G43" s="401"/>
      <c r="H43" s="401"/>
      <c r="I43" s="401"/>
      <c r="J43" s="401"/>
      <c r="K43" s="401"/>
      <c r="L43" s="401"/>
      <c r="M43" s="426"/>
      <c r="N43" s="401"/>
      <c r="O43" s="401"/>
      <c r="P43" s="401"/>
      <c r="Q43" s="401"/>
      <c r="R43" s="401"/>
      <c r="S43" s="426"/>
      <c r="T43" s="401"/>
      <c r="U43" s="401"/>
      <c r="V43" s="401"/>
      <c r="W43" s="401"/>
      <c r="X43" s="401"/>
      <c r="Y43" s="401"/>
      <c r="Z43" s="401"/>
      <c r="AA43" s="401"/>
      <c r="AB43" s="401"/>
      <c r="AC43" s="401"/>
      <c r="AD43" s="401"/>
      <c r="AE43" s="401"/>
      <c r="AF43" s="401"/>
      <c r="AG43" s="401"/>
      <c r="AH43" s="401"/>
      <c r="AI43" s="445"/>
      <c r="AJ43" s="401"/>
      <c r="AK43" s="401"/>
      <c r="AL43" s="401"/>
      <c r="AM43" s="401"/>
      <c r="AN43" s="401"/>
      <c r="AO43" s="401"/>
      <c r="AP43" s="401"/>
      <c r="AQ43" s="401"/>
      <c r="AR43" s="401"/>
      <c r="AS43" s="401"/>
      <c r="AT43" s="401"/>
      <c r="AU43" s="401"/>
      <c r="AV43" s="401"/>
      <c r="AW43" s="401"/>
      <c r="AZ43" s="488"/>
    </row>
    <row r="44" spans="1:53" x14ac:dyDescent="0.25">
      <c r="A44" s="442" t="s">
        <v>533</v>
      </c>
      <c r="B44" s="454">
        <f>SUM(C44:AU44)</f>
        <v>36631336.416472703</v>
      </c>
      <c r="C44" s="357">
        <f>-C29</f>
        <v>0</v>
      </c>
      <c r="D44" s="357">
        <f t="shared" ref="D44:AE44" si="26">-D29</f>
        <v>0</v>
      </c>
      <c r="E44" s="357">
        <f t="shared" si="26"/>
        <v>0</v>
      </c>
      <c r="F44" s="357">
        <f t="shared" si="26"/>
        <v>0</v>
      </c>
      <c r="G44" s="357">
        <f t="shared" si="26"/>
        <v>0</v>
      </c>
      <c r="H44" s="357">
        <f t="shared" si="26"/>
        <v>0</v>
      </c>
      <c r="I44" s="357">
        <f t="shared" si="26"/>
        <v>0</v>
      </c>
      <c r="J44" s="357">
        <f t="shared" si="26"/>
        <v>0</v>
      </c>
      <c r="K44" s="357">
        <f t="shared" si="26"/>
        <v>0</v>
      </c>
      <c r="L44" s="357">
        <f t="shared" si="26"/>
        <v>0</v>
      </c>
      <c r="M44" s="357">
        <f t="shared" si="26"/>
        <v>0</v>
      </c>
      <c r="N44" s="357">
        <f t="shared" si="26"/>
        <v>0</v>
      </c>
      <c r="O44" s="357">
        <f t="shared" si="26"/>
        <v>-461276.27500000002</v>
      </c>
      <c r="P44" s="357">
        <f t="shared" si="26"/>
        <v>-461276.27500000002</v>
      </c>
      <c r="Q44" s="357">
        <f t="shared" si="26"/>
        <v>-2371276.2749999999</v>
      </c>
      <c r="R44" s="357">
        <f t="shared" si="26"/>
        <v>-1855530.5249999999</v>
      </c>
      <c r="S44" s="357">
        <f t="shared" si="26"/>
        <v>-11126670.77355</v>
      </c>
      <c r="T44" s="357">
        <f t="shared" si="26"/>
        <v>-10527920.77355</v>
      </c>
      <c r="U44" s="357">
        <f t="shared" si="26"/>
        <v>-12620427.273066666</v>
      </c>
      <c r="V44" s="357">
        <f t="shared" si="26"/>
        <v>-12620427.273066666</v>
      </c>
      <c r="W44" s="357">
        <f t="shared" si="26"/>
        <v>-12620427.273066666</v>
      </c>
      <c r="X44" s="357">
        <f t="shared" si="26"/>
        <v>-11001713.551327778</v>
      </c>
      <c r="Y44" s="357">
        <f t="shared" si="26"/>
        <v>-10971713.551327778</v>
      </c>
      <c r="Z44" s="357">
        <f t="shared" si="26"/>
        <v>-11392989.826327778</v>
      </c>
      <c r="AA44" s="357">
        <f t="shared" si="26"/>
        <v>-13149180.576086113</v>
      </c>
      <c r="AB44" s="357">
        <f t="shared" si="26"/>
        <v>-12727904.301086113</v>
      </c>
      <c r="AC44" s="357">
        <f t="shared" si="26"/>
        <v>-11872088.551327778</v>
      </c>
      <c r="AD44" s="357">
        <f t="shared" si="26"/>
        <v>-15931215.320823492</v>
      </c>
      <c r="AE44" s="357">
        <f t="shared" si="26"/>
        <v>-14456083.821306827</v>
      </c>
      <c r="AF44" s="357">
        <f>-AF29</f>
        <v>-14456083.821306827</v>
      </c>
      <c r="AG44" s="357">
        <f>B43-AG29</f>
        <v>217255542.45369318</v>
      </c>
      <c r="AH44" s="401"/>
      <c r="AI44" s="401"/>
      <c r="AJ44" s="401"/>
      <c r="AK44" s="401"/>
      <c r="AL44" s="401"/>
      <c r="AM44" s="401"/>
      <c r="AN44" s="401"/>
      <c r="AO44" s="401"/>
      <c r="AP44" s="401"/>
      <c r="AQ44" s="401"/>
      <c r="AR44" s="401"/>
      <c r="AS44" s="401"/>
      <c r="AT44" s="401"/>
      <c r="AU44" s="401"/>
      <c r="AV44" s="401"/>
      <c r="AW44" s="401"/>
      <c r="AZ44" s="488"/>
    </row>
    <row r="45" spans="1:53" x14ac:dyDescent="0.25">
      <c r="A45" s="430" t="s">
        <v>534</v>
      </c>
      <c r="B45" s="444">
        <f>IF(B44&lt;0,0,IRR(C44:AU44))</f>
        <v>2.4484317912618181E-2</v>
      </c>
      <c r="C45" s="401"/>
      <c r="D45" s="401"/>
      <c r="E45" s="401"/>
      <c r="F45" s="401"/>
      <c r="G45" s="401"/>
      <c r="H45" s="401"/>
      <c r="I45" s="401"/>
      <c r="J45" s="401"/>
      <c r="K45" s="401"/>
      <c r="L45" s="401"/>
      <c r="M45" s="401"/>
      <c r="N45" s="401"/>
      <c r="O45" s="401"/>
      <c r="P45" s="401"/>
      <c r="Q45" s="401"/>
      <c r="R45" s="401"/>
      <c r="S45" s="401"/>
      <c r="T45" s="401"/>
      <c r="U45" s="401"/>
      <c r="V45" s="401"/>
      <c r="W45" s="401"/>
      <c r="X45" s="401"/>
      <c r="Y45" s="401"/>
      <c r="Z45" s="401"/>
      <c r="AA45" s="401"/>
      <c r="AB45" s="401"/>
      <c r="AC45" s="401"/>
      <c r="AD45" s="401"/>
      <c r="AE45" s="401"/>
      <c r="AF45" s="401"/>
      <c r="AG45" s="401"/>
      <c r="AH45" s="401"/>
      <c r="AI45" s="445"/>
      <c r="AJ45" s="401"/>
      <c r="AK45" s="401"/>
      <c r="AL45" s="401"/>
      <c r="AM45" s="401"/>
      <c r="AN45" s="401"/>
      <c r="AO45" s="401"/>
      <c r="AP45" s="401"/>
      <c r="AQ45" s="401"/>
      <c r="AR45" s="401"/>
      <c r="AS45" s="401"/>
      <c r="AT45" s="401"/>
      <c r="AU45" s="401"/>
      <c r="AV45" s="401"/>
      <c r="AW45" s="401"/>
      <c r="AZ45" s="488"/>
    </row>
    <row r="46" spans="1:53" x14ac:dyDescent="0.25">
      <c r="A46" s="442" t="s">
        <v>535</v>
      </c>
      <c r="B46" s="447">
        <f>POWER((1+B45),4)-1</f>
        <v>0.10159323358501848</v>
      </c>
      <c r="C46" s="401"/>
      <c r="D46" s="401"/>
      <c r="E46" s="401"/>
      <c r="F46" s="401"/>
      <c r="G46" s="401"/>
      <c r="H46" s="401"/>
      <c r="I46" s="401"/>
      <c r="J46" s="401"/>
      <c r="K46" s="401"/>
      <c r="L46" s="401"/>
      <c r="M46" s="401"/>
      <c r="N46" s="401"/>
      <c r="O46" s="401"/>
      <c r="P46" s="401"/>
      <c r="Q46" s="401"/>
      <c r="R46" s="401"/>
      <c r="S46" s="401"/>
      <c r="T46" s="401"/>
      <c r="U46" s="401"/>
      <c r="V46" s="401"/>
      <c r="W46" s="401"/>
      <c r="X46" s="401"/>
      <c r="Y46" s="401"/>
      <c r="Z46" s="401"/>
      <c r="AA46" s="401"/>
      <c r="AB46" s="401"/>
      <c r="AC46" s="401"/>
      <c r="AD46" s="401"/>
      <c r="AE46" s="401"/>
      <c r="AF46" s="401"/>
      <c r="AG46" s="401"/>
      <c r="AH46" s="401"/>
      <c r="AI46" s="445"/>
      <c r="AJ46" s="401"/>
      <c r="AK46" s="401"/>
      <c r="AL46" s="401"/>
      <c r="AM46" s="401"/>
      <c r="AN46" s="401"/>
      <c r="AO46" s="401"/>
      <c r="AP46" s="401"/>
      <c r="AQ46" s="401"/>
      <c r="AR46" s="401"/>
      <c r="AS46" s="401"/>
      <c r="AT46" s="401"/>
      <c r="AU46" s="401"/>
      <c r="AV46" s="401"/>
      <c r="AW46" s="401"/>
      <c r="AZ46" s="488"/>
    </row>
    <row r="47" spans="1:53" x14ac:dyDescent="0.25">
      <c r="G47" s="65"/>
      <c r="AI47" s="301"/>
      <c r="AZ47" s="488"/>
    </row>
    <row r="48" spans="1:53" x14ac:dyDescent="0.25">
      <c r="G48" s="65"/>
      <c r="AZ48" s="488"/>
    </row>
    <row r="49" spans="1:52" x14ac:dyDescent="0.25">
      <c r="G49" s="65"/>
      <c r="AZ49" s="488"/>
    </row>
    <row r="50" spans="1:52" x14ac:dyDescent="0.25">
      <c r="G50" s="65"/>
      <c r="AZ50" s="488"/>
    </row>
    <row r="51" spans="1:52" x14ac:dyDescent="0.25">
      <c r="G51" s="65"/>
      <c r="AZ51" s="488"/>
    </row>
    <row r="52" spans="1:52" x14ac:dyDescent="0.25">
      <c r="G52" s="65"/>
      <c r="AZ52" s="488"/>
    </row>
    <row r="53" spans="1:52" x14ac:dyDescent="0.25">
      <c r="A53" s="488"/>
      <c r="B53" s="488"/>
      <c r="C53" s="488"/>
      <c r="D53" s="488"/>
      <c r="E53" s="488"/>
      <c r="F53" s="488"/>
      <c r="G53" s="488"/>
      <c r="H53" s="488"/>
      <c r="I53" s="488"/>
      <c r="J53" s="488"/>
      <c r="K53" s="488"/>
      <c r="L53" s="488"/>
      <c r="M53" s="488"/>
      <c r="N53" s="488"/>
      <c r="O53" s="488"/>
      <c r="P53" s="488"/>
      <c r="Q53" s="488"/>
      <c r="R53" s="488"/>
      <c r="S53" s="488"/>
      <c r="T53" s="488"/>
      <c r="U53" s="488"/>
      <c r="V53" s="488"/>
      <c r="W53" s="488"/>
      <c r="X53" s="488"/>
      <c r="Y53" s="488"/>
      <c r="Z53" s="488"/>
      <c r="AA53" s="488"/>
      <c r="AB53" s="488"/>
      <c r="AC53" s="488"/>
      <c r="AD53" s="488"/>
      <c r="AE53" s="488"/>
      <c r="AF53" s="488"/>
      <c r="AG53" s="488"/>
      <c r="AH53" s="488"/>
      <c r="AI53" s="488"/>
      <c r="AJ53" s="488"/>
      <c r="AK53" s="488"/>
      <c r="AL53" s="488"/>
      <c r="AM53" s="488"/>
      <c r="AN53" s="488"/>
      <c r="AO53" s="488"/>
      <c r="AP53" s="488"/>
      <c r="AQ53" s="488"/>
      <c r="AR53" s="488"/>
      <c r="AS53" s="488"/>
      <c r="AT53" s="488"/>
      <c r="AU53" s="488"/>
      <c r="AV53" s="488"/>
      <c r="AW53" s="488"/>
      <c r="AX53" s="488"/>
      <c r="AY53" s="488"/>
      <c r="AZ53" s="488"/>
    </row>
    <row r="54" spans="1:52" x14ac:dyDescent="0.25">
      <c r="G54" s="65"/>
    </row>
    <row r="55" spans="1:52" x14ac:dyDescent="0.25">
      <c r="G55" s="65"/>
    </row>
    <row r="56" spans="1:52" x14ac:dyDescent="0.25">
      <c r="G56" s="65"/>
    </row>
    <row r="57" spans="1:52" x14ac:dyDescent="0.25">
      <c r="G57" s="65"/>
    </row>
    <row r="58" spans="1:52" x14ac:dyDescent="0.25">
      <c r="G58" s="65"/>
    </row>
    <row r="59" spans="1:52" x14ac:dyDescent="0.25">
      <c r="G59" s="65"/>
    </row>
    <row r="60" spans="1:52" x14ac:dyDescent="0.25">
      <c r="G60" s="65"/>
    </row>
    <row r="61" spans="1:52" x14ac:dyDescent="0.25">
      <c r="G61" s="65"/>
    </row>
    <row r="62" spans="1:52" x14ac:dyDescent="0.25">
      <c r="G62" s="65"/>
    </row>
    <row r="63" spans="1:52" x14ac:dyDescent="0.25">
      <c r="G63" s="65"/>
    </row>
    <row r="64" spans="1:52" x14ac:dyDescent="0.25">
      <c r="G64" s="65"/>
    </row>
    <row r="65" spans="7:7" x14ac:dyDescent="0.25">
      <c r="G65" s="65"/>
    </row>
    <row r="66" spans="7:7" x14ac:dyDescent="0.25">
      <c r="G66" s="65"/>
    </row>
    <row r="67" spans="7:7" x14ac:dyDescent="0.25">
      <c r="G67" s="65"/>
    </row>
    <row r="68" spans="7:7" x14ac:dyDescent="0.25">
      <c r="G68" s="65"/>
    </row>
    <row r="69" spans="7:7" x14ac:dyDescent="0.25">
      <c r="G69" s="65"/>
    </row>
    <row r="70" spans="7:7" x14ac:dyDescent="0.25">
      <c r="G70" s="65"/>
    </row>
    <row r="71" spans="7:7" x14ac:dyDescent="0.25">
      <c r="G71" s="65"/>
    </row>
    <row r="72" spans="7:7" x14ac:dyDescent="0.25">
      <c r="G72" s="65"/>
    </row>
    <row r="73" spans="7:7" x14ac:dyDescent="0.25">
      <c r="G73" s="65"/>
    </row>
    <row r="74" spans="7:7" x14ac:dyDescent="0.25">
      <c r="G74" s="65"/>
    </row>
    <row r="75" spans="7:7" x14ac:dyDescent="0.25">
      <c r="G75" s="65"/>
    </row>
    <row r="76" spans="7:7" x14ac:dyDescent="0.25">
      <c r="G76" s="65"/>
    </row>
    <row r="77" spans="7:7" x14ac:dyDescent="0.25">
      <c r="G77" s="65"/>
    </row>
    <row r="78" spans="7:7" x14ac:dyDescent="0.25">
      <c r="G78" s="65"/>
    </row>
    <row r="79" spans="7:7" x14ac:dyDescent="0.25">
      <c r="G79" s="65"/>
    </row>
    <row r="80" spans="7:7" x14ac:dyDescent="0.25">
      <c r="G80" s="65"/>
    </row>
    <row r="81" spans="7:7" x14ac:dyDescent="0.25">
      <c r="G81" s="65"/>
    </row>
    <row r="82" spans="7:7" x14ac:dyDescent="0.25">
      <c r="G82" s="65"/>
    </row>
    <row r="83" spans="7:7" x14ac:dyDescent="0.25">
      <c r="G83" s="65"/>
    </row>
    <row r="84" spans="7:7" x14ac:dyDescent="0.25">
      <c r="G84" s="65"/>
    </row>
    <row r="85" spans="7:7" x14ac:dyDescent="0.25">
      <c r="G85" s="65"/>
    </row>
    <row r="86" spans="7:7" x14ac:dyDescent="0.25">
      <c r="G86" s="65"/>
    </row>
    <row r="87" spans="7:7" x14ac:dyDescent="0.25">
      <c r="G87" s="65"/>
    </row>
    <row r="88" spans="7:7" x14ac:dyDescent="0.25">
      <c r="G88" s="65"/>
    </row>
    <row r="89" spans="7:7" x14ac:dyDescent="0.25">
      <c r="G89" s="65"/>
    </row>
    <row r="90" spans="7:7" x14ac:dyDescent="0.25">
      <c r="G90" s="65"/>
    </row>
    <row r="91" spans="7:7" x14ac:dyDescent="0.25">
      <c r="G91" s="65"/>
    </row>
    <row r="92" spans="7:7" x14ac:dyDescent="0.25">
      <c r="G92" s="65"/>
    </row>
    <row r="93" spans="7:7" x14ac:dyDescent="0.25">
      <c r="G93" s="65"/>
    </row>
    <row r="94" spans="7:7" x14ac:dyDescent="0.25">
      <c r="G94" s="65"/>
    </row>
    <row r="95" spans="7:7" x14ac:dyDescent="0.25">
      <c r="G95" s="65"/>
    </row>
    <row r="96" spans="7:7" x14ac:dyDescent="0.25">
      <c r="G96" s="65"/>
    </row>
    <row r="97" spans="7:7" x14ac:dyDescent="0.25">
      <c r="G97" s="65"/>
    </row>
    <row r="98" spans="7:7" x14ac:dyDescent="0.25">
      <c r="G98" s="65"/>
    </row>
    <row r="99" spans="7:7" x14ac:dyDescent="0.25">
      <c r="G99" s="65"/>
    </row>
    <row r="100" spans="7:7" x14ac:dyDescent="0.25">
      <c r="G100" s="65"/>
    </row>
    <row r="101" spans="7:7" x14ac:dyDescent="0.25">
      <c r="G101" s="65"/>
    </row>
    <row r="102" spans="7:7" x14ac:dyDescent="0.25">
      <c r="G102" s="65"/>
    </row>
    <row r="103" spans="7:7" x14ac:dyDescent="0.25">
      <c r="G103" s="65"/>
    </row>
    <row r="104" spans="7:7" x14ac:dyDescent="0.25">
      <c r="G104" s="65"/>
    </row>
    <row r="105" spans="7:7" x14ac:dyDescent="0.25">
      <c r="G105" s="65"/>
    </row>
    <row r="106" spans="7:7" x14ac:dyDescent="0.25">
      <c r="G106" s="65"/>
    </row>
    <row r="107" spans="7:7" x14ac:dyDescent="0.25">
      <c r="G107" s="65"/>
    </row>
    <row r="108" spans="7:7" x14ac:dyDescent="0.25">
      <c r="G108" s="65"/>
    </row>
    <row r="109" spans="7:7" x14ac:dyDescent="0.25">
      <c r="G109" s="65"/>
    </row>
    <row r="110" spans="7:7" x14ac:dyDescent="0.25">
      <c r="G110" s="65"/>
    </row>
    <row r="111" spans="7:7" x14ac:dyDescent="0.25">
      <c r="G111" s="65"/>
    </row>
    <row r="112" spans="7:7" x14ac:dyDescent="0.25">
      <c r="G112" s="65"/>
    </row>
    <row r="113" spans="7:7" x14ac:dyDescent="0.25">
      <c r="G113" s="65"/>
    </row>
    <row r="114" spans="7:7" x14ac:dyDescent="0.25">
      <c r="G114" s="65"/>
    </row>
    <row r="115" spans="7:7" x14ac:dyDescent="0.25">
      <c r="G115" s="65"/>
    </row>
    <row r="116" spans="7:7" x14ac:dyDescent="0.25">
      <c r="G116" s="65"/>
    </row>
    <row r="117" spans="7:7" x14ac:dyDescent="0.25">
      <c r="G117" s="65"/>
    </row>
    <row r="118" spans="7:7" x14ac:dyDescent="0.25">
      <c r="G118" s="65"/>
    </row>
    <row r="119" spans="7:7" x14ac:dyDescent="0.25">
      <c r="G119" s="65"/>
    </row>
    <row r="120" spans="7:7" x14ac:dyDescent="0.25">
      <c r="G120" s="65"/>
    </row>
    <row r="121" spans="7:7" x14ac:dyDescent="0.25">
      <c r="G121" s="65"/>
    </row>
    <row r="122" spans="7:7" x14ac:dyDescent="0.25">
      <c r="G122" s="65"/>
    </row>
    <row r="123" spans="7:7" x14ac:dyDescent="0.25">
      <c r="G123" s="65"/>
    </row>
    <row r="124" spans="7:7" x14ac:dyDescent="0.25">
      <c r="G124" s="65"/>
    </row>
    <row r="125" spans="7:7" x14ac:dyDescent="0.25">
      <c r="G125" s="65"/>
    </row>
    <row r="126" spans="7:7" x14ac:dyDescent="0.25">
      <c r="G126" s="65"/>
    </row>
    <row r="127" spans="7:7" x14ac:dyDescent="0.25">
      <c r="G127" s="65"/>
    </row>
    <row r="128" spans="7:7" x14ac:dyDescent="0.25">
      <c r="G128" s="65"/>
    </row>
    <row r="129" spans="7:7" x14ac:dyDescent="0.25">
      <c r="G129" s="65"/>
    </row>
    <row r="130" spans="7:7" x14ac:dyDescent="0.25">
      <c r="G130" s="65"/>
    </row>
    <row r="131" spans="7:7" x14ac:dyDescent="0.25">
      <c r="G131" s="65"/>
    </row>
    <row r="132" spans="7:7" x14ac:dyDescent="0.25">
      <c r="G132" s="65"/>
    </row>
    <row r="133" spans="7:7" x14ac:dyDescent="0.25">
      <c r="G133" s="65"/>
    </row>
    <row r="134" spans="7:7" x14ac:dyDescent="0.25">
      <c r="G134" s="65"/>
    </row>
    <row r="135" spans="7:7" x14ac:dyDescent="0.25">
      <c r="G135" s="65"/>
    </row>
    <row r="136" spans="7:7" x14ac:dyDescent="0.25">
      <c r="G136" s="65"/>
    </row>
    <row r="137" spans="7:7" x14ac:dyDescent="0.25">
      <c r="G137" s="65"/>
    </row>
    <row r="138" spans="7:7" x14ac:dyDescent="0.25">
      <c r="G138" s="65"/>
    </row>
    <row r="139" spans="7:7" x14ac:dyDescent="0.25">
      <c r="G139" s="65"/>
    </row>
    <row r="140" spans="7:7" x14ac:dyDescent="0.25">
      <c r="G140" s="65"/>
    </row>
    <row r="141" spans="7:7" x14ac:dyDescent="0.25">
      <c r="G141" s="65"/>
    </row>
    <row r="142" spans="7:7" x14ac:dyDescent="0.25">
      <c r="G142" s="65"/>
    </row>
    <row r="143" spans="7:7" x14ac:dyDescent="0.25">
      <c r="G143" s="65"/>
    </row>
    <row r="144" spans="7:7" x14ac:dyDescent="0.25">
      <c r="G144" s="65"/>
    </row>
    <row r="145" spans="7:7" x14ac:dyDescent="0.25">
      <c r="G145" s="65"/>
    </row>
    <row r="146" spans="7:7" x14ac:dyDescent="0.25">
      <c r="G146" s="65"/>
    </row>
    <row r="147" spans="7:7" x14ac:dyDescent="0.25">
      <c r="G147" s="65"/>
    </row>
    <row r="148" spans="7:7" x14ac:dyDescent="0.25">
      <c r="G148" s="65"/>
    </row>
    <row r="149" spans="7:7" x14ac:dyDescent="0.25">
      <c r="G149" s="65"/>
    </row>
    <row r="150" spans="7:7" x14ac:dyDescent="0.25">
      <c r="G150" s="65"/>
    </row>
    <row r="151" spans="7:7" x14ac:dyDescent="0.25">
      <c r="G151" s="65"/>
    </row>
    <row r="152" spans="7:7" x14ac:dyDescent="0.25">
      <c r="G152" s="65"/>
    </row>
    <row r="153" spans="7:7" x14ac:dyDescent="0.25">
      <c r="G153" s="65"/>
    </row>
    <row r="154" spans="7:7" x14ac:dyDescent="0.25">
      <c r="G154" s="65"/>
    </row>
    <row r="155" spans="7:7" x14ac:dyDescent="0.25">
      <c r="G155" s="65"/>
    </row>
    <row r="156" spans="7:7" x14ac:dyDescent="0.25">
      <c r="G156" s="65"/>
    </row>
    <row r="157" spans="7:7" x14ac:dyDescent="0.25">
      <c r="G157" s="65"/>
    </row>
    <row r="158" spans="7:7" x14ac:dyDescent="0.25">
      <c r="G158" s="65"/>
    </row>
    <row r="159" spans="7:7" x14ac:dyDescent="0.25">
      <c r="G159" s="65"/>
    </row>
    <row r="160" spans="7:7" x14ac:dyDescent="0.25">
      <c r="G160" s="65"/>
    </row>
    <row r="161" spans="7:7" x14ac:dyDescent="0.25">
      <c r="G161" s="65"/>
    </row>
    <row r="162" spans="7:7" x14ac:dyDescent="0.25">
      <c r="G162" s="65"/>
    </row>
    <row r="163" spans="7:7" x14ac:dyDescent="0.25">
      <c r="G163" s="65"/>
    </row>
    <row r="164" spans="7:7" x14ac:dyDescent="0.25">
      <c r="G164" s="65"/>
    </row>
    <row r="165" spans="7:7" x14ac:dyDescent="0.25">
      <c r="G165" s="65"/>
    </row>
    <row r="166" spans="7:7" x14ac:dyDescent="0.25">
      <c r="G166" s="65"/>
    </row>
    <row r="167" spans="7:7" x14ac:dyDescent="0.25">
      <c r="G167" s="65"/>
    </row>
    <row r="168" spans="7:7" x14ac:dyDescent="0.25">
      <c r="G168" s="65"/>
    </row>
    <row r="169" spans="7:7" x14ac:dyDescent="0.25">
      <c r="G169" s="65"/>
    </row>
    <row r="170" spans="7:7" x14ac:dyDescent="0.25">
      <c r="G170" s="65"/>
    </row>
    <row r="171" spans="7:7" x14ac:dyDescent="0.25">
      <c r="G171" s="65"/>
    </row>
    <row r="172" spans="7:7" x14ac:dyDescent="0.25">
      <c r="G172" s="65"/>
    </row>
    <row r="173" spans="7:7" x14ac:dyDescent="0.25">
      <c r="G173" s="65"/>
    </row>
    <row r="174" spans="7:7" x14ac:dyDescent="0.25">
      <c r="G174" s="65"/>
    </row>
    <row r="175" spans="7:7" x14ac:dyDescent="0.25">
      <c r="G175" s="65"/>
    </row>
    <row r="176" spans="7:7" x14ac:dyDescent="0.25">
      <c r="G176" s="65"/>
    </row>
    <row r="177" spans="7:7" x14ac:dyDescent="0.25">
      <c r="G177" s="65"/>
    </row>
    <row r="178" spans="7:7" x14ac:dyDescent="0.25">
      <c r="G178" s="65"/>
    </row>
    <row r="179" spans="7:7" x14ac:dyDescent="0.25">
      <c r="G179" s="65"/>
    </row>
    <row r="180" spans="7:7" x14ac:dyDescent="0.25">
      <c r="G180" s="65"/>
    </row>
    <row r="181" spans="7:7" x14ac:dyDescent="0.25">
      <c r="G181" s="65"/>
    </row>
    <row r="182" spans="7:7" x14ac:dyDescent="0.25">
      <c r="G182" s="65"/>
    </row>
    <row r="183" spans="7:7" x14ac:dyDescent="0.25">
      <c r="G183" s="65"/>
    </row>
    <row r="184" spans="7:7" x14ac:dyDescent="0.25">
      <c r="G184" s="65"/>
    </row>
    <row r="185" spans="7:7" x14ac:dyDescent="0.25">
      <c r="G185" s="65"/>
    </row>
    <row r="186" spans="7:7" x14ac:dyDescent="0.25">
      <c r="G186" s="65"/>
    </row>
    <row r="187" spans="7:7" x14ac:dyDescent="0.25">
      <c r="G187" s="65"/>
    </row>
    <row r="188" spans="7:7" x14ac:dyDescent="0.25">
      <c r="G188" s="65"/>
    </row>
    <row r="189" spans="7:7" x14ac:dyDescent="0.25">
      <c r="G189" s="65"/>
    </row>
    <row r="190" spans="7:7" x14ac:dyDescent="0.25">
      <c r="G190" s="65"/>
    </row>
    <row r="191" spans="7:7" x14ac:dyDescent="0.25">
      <c r="G191" s="65"/>
    </row>
    <row r="192" spans="7:7" x14ac:dyDescent="0.25">
      <c r="G192" s="65"/>
    </row>
    <row r="193" spans="7:7" x14ac:dyDescent="0.25">
      <c r="G193" s="65"/>
    </row>
    <row r="194" spans="7:7" x14ac:dyDescent="0.25">
      <c r="G194" s="65"/>
    </row>
    <row r="195" spans="7:7" x14ac:dyDescent="0.25">
      <c r="G195" s="65"/>
    </row>
    <row r="196" spans="7:7" x14ac:dyDescent="0.25">
      <c r="G196" s="65"/>
    </row>
    <row r="197" spans="7:7" x14ac:dyDescent="0.25">
      <c r="G197" s="65"/>
    </row>
    <row r="198" spans="7:7" x14ac:dyDescent="0.25">
      <c r="G198" s="65"/>
    </row>
    <row r="199" spans="7:7" x14ac:dyDescent="0.25">
      <c r="G199" s="65"/>
    </row>
    <row r="200" spans="7:7" x14ac:dyDescent="0.25">
      <c r="G200" s="65"/>
    </row>
    <row r="201" spans="7:7" x14ac:dyDescent="0.25">
      <c r="G201" s="65"/>
    </row>
    <row r="202" spans="7:7" x14ac:dyDescent="0.25">
      <c r="G202" s="65"/>
    </row>
    <row r="203" spans="7:7" x14ac:dyDescent="0.25">
      <c r="G203" s="65"/>
    </row>
    <row r="204" spans="7:7" x14ac:dyDescent="0.25">
      <c r="G204" s="65"/>
    </row>
    <row r="205" spans="7:7" x14ac:dyDescent="0.25">
      <c r="G205" s="65"/>
    </row>
    <row r="206" spans="7:7" x14ac:dyDescent="0.25">
      <c r="G206" s="65"/>
    </row>
    <row r="207" spans="7:7" x14ac:dyDescent="0.25">
      <c r="G207" s="65"/>
    </row>
    <row r="208" spans="7:7" x14ac:dyDescent="0.25">
      <c r="G208" s="65"/>
    </row>
    <row r="209" spans="7:7" x14ac:dyDescent="0.25">
      <c r="G209" s="65"/>
    </row>
    <row r="210" spans="7:7" x14ac:dyDescent="0.25">
      <c r="G210" s="65"/>
    </row>
    <row r="211" spans="7:7" x14ac:dyDescent="0.25">
      <c r="G211" s="65"/>
    </row>
    <row r="212" spans="7:7" x14ac:dyDescent="0.25">
      <c r="G212" s="65"/>
    </row>
    <row r="213" spans="7:7" x14ac:dyDescent="0.25">
      <c r="G213" s="65"/>
    </row>
    <row r="214" spans="7:7" x14ac:dyDescent="0.25">
      <c r="G214" s="65"/>
    </row>
    <row r="215" spans="7:7" x14ac:dyDescent="0.25">
      <c r="G215" s="65"/>
    </row>
    <row r="216" spans="7:7" x14ac:dyDescent="0.25">
      <c r="G216" s="65"/>
    </row>
    <row r="217" spans="7:7" x14ac:dyDescent="0.25">
      <c r="G217" s="65"/>
    </row>
    <row r="218" spans="7:7" x14ac:dyDescent="0.25">
      <c r="G218" s="65"/>
    </row>
    <row r="219" spans="7:7" x14ac:dyDescent="0.25">
      <c r="G219" s="65"/>
    </row>
    <row r="220" spans="7:7" x14ac:dyDescent="0.25">
      <c r="G220" s="65"/>
    </row>
    <row r="221" spans="7:7" x14ac:dyDescent="0.25">
      <c r="G221" s="65"/>
    </row>
    <row r="222" spans="7:7" x14ac:dyDescent="0.25">
      <c r="G222" s="65"/>
    </row>
    <row r="223" spans="7:7" x14ac:dyDescent="0.25">
      <c r="G223" s="65"/>
    </row>
    <row r="224" spans="7:7" x14ac:dyDescent="0.25">
      <c r="G224" s="65"/>
    </row>
    <row r="225" spans="7:7" x14ac:dyDescent="0.25">
      <c r="G225" s="65"/>
    </row>
    <row r="226" spans="7:7" x14ac:dyDescent="0.25">
      <c r="G226" s="65"/>
    </row>
    <row r="227" spans="7:7" x14ac:dyDescent="0.25">
      <c r="G227" s="65"/>
    </row>
    <row r="228" spans="7:7" x14ac:dyDescent="0.25">
      <c r="G228" s="65"/>
    </row>
    <row r="229" spans="7:7" x14ac:dyDescent="0.25">
      <c r="G229" s="65"/>
    </row>
    <row r="230" spans="7:7" x14ac:dyDescent="0.25">
      <c r="G230" s="65"/>
    </row>
    <row r="231" spans="7:7" x14ac:dyDescent="0.25">
      <c r="G231" s="65"/>
    </row>
    <row r="232" spans="7:7" x14ac:dyDescent="0.25">
      <c r="G232" s="65"/>
    </row>
    <row r="233" spans="7:7" x14ac:dyDescent="0.25">
      <c r="G233" s="65"/>
    </row>
    <row r="234" spans="7:7" x14ac:dyDescent="0.25">
      <c r="G234" s="65"/>
    </row>
    <row r="235" spans="7:7" x14ac:dyDescent="0.25">
      <c r="G235" s="65"/>
    </row>
    <row r="236" spans="7:7" x14ac:dyDescent="0.25">
      <c r="G236" s="65"/>
    </row>
    <row r="237" spans="7:7" x14ac:dyDescent="0.25">
      <c r="G237" s="65"/>
    </row>
    <row r="238" spans="7:7" x14ac:dyDescent="0.25">
      <c r="G238" s="65"/>
    </row>
    <row r="239" spans="7:7" x14ac:dyDescent="0.25">
      <c r="G239" s="65"/>
    </row>
    <row r="240" spans="7:7" x14ac:dyDescent="0.25">
      <c r="G240" s="65"/>
    </row>
    <row r="241" spans="7:7" x14ac:dyDescent="0.25">
      <c r="G241" s="65"/>
    </row>
    <row r="242" spans="7:7" x14ac:dyDescent="0.25">
      <c r="G242" s="65"/>
    </row>
    <row r="243" spans="7:7" x14ac:dyDescent="0.25">
      <c r="G243" s="65"/>
    </row>
    <row r="244" spans="7:7" x14ac:dyDescent="0.25">
      <c r="G244" s="65"/>
    </row>
    <row r="245" spans="7:7" x14ac:dyDescent="0.25">
      <c r="G245" s="65"/>
    </row>
    <row r="246" spans="7:7" x14ac:dyDescent="0.25">
      <c r="G246" s="65"/>
    </row>
    <row r="247" spans="7:7" x14ac:dyDescent="0.25">
      <c r="G247" s="65"/>
    </row>
    <row r="248" spans="7:7" x14ac:dyDescent="0.25">
      <c r="G248" s="65"/>
    </row>
    <row r="249" spans="7:7" x14ac:dyDescent="0.25">
      <c r="G249" s="65"/>
    </row>
    <row r="250" spans="7:7" x14ac:dyDescent="0.25">
      <c r="G250" s="65"/>
    </row>
    <row r="251" spans="7:7" x14ac:dyDescent="0.25">
      <c r="G251" s="65"/>
    </row>
    <row r="252" spans="7:7" x14ac:dyDescent="0.25">
      <c r="G252" s="65"/>
    </row>
    <row r="253" spans="7:7" x14ac:dyDescent="0.25">
      <c r="G253" s="65"/>
    </row>
    <row r="254" spans="7:7" x14ac:dyDescent="0.25">
      <c r="G254" s="65"/>
    </row>
    <row r="255" spans="7:7" x14ac:dyDescent="0.25">
      <c r="G255" s="65"/>
    </row>
    <row r="256" spans="7:7" x14ac:dyDescent="0.25">
      <c r="G256" s="65"/>
    </row>
    <row r="257" spans="7:7" x14ac:dyDescent="0.25">
      <c r="G257" s="65"/>
    </row>
    <row r="258" spans="7:7" x14ac:dyDescent="0.25">
      <c r="G258" s="65"/>
    </row>
    <row r="259" spans="7:7" x14ac:dyDescent="0.25">
      <c r="G259" s="65"/>
    </row>
    <row r="260" spans="7:7" x14ac:dyDescent="0.25">
      <c r="G260" s="65"/>
    </row>
    <row r="261" spans="7:7" x14ac:dyDescent="0.25">
      <c r="G261" s="65"/>
    </row>
    <row r="262" spans="7:7" x14ac:dyDescent="0.25">
      <c r="G262" s="65"/>
    </row>
    <row r="263" spans="7:7" x14ac:dyDescent="0.25">
      <c r="G263" s="65"/>
    </row>
    <row r="264" spans="7:7" x14ac:dyDescent="0.25">
      <c r="G264" s="65"/>
    </row>
    <row r="265" spans="7:7" x14ac:dyDescent="0.25">
      <c r="G265" s="65"/>
    </row>
    <row r="266" spans="7:7" x14ac:dyDescent="0.25">
      <c r="G266" s="65"/>
    </row>
    <row r="267" spans="7:7" x14ac:dyDescent="0.25">
      <c r="G267" s="65"/>
    </row>
    <row r="268" spans="7:7" x14ac:dyDescent="0.25">
      <c r="G268" s="65"/>
    </row>
    <row r="269" spans="7:7" x14ac:dyDescent="0.25">
      <c r="G269" s="65"/>
    </row>
    <row r="270" spans="7:7" x14ac:dyDescent="0.25">
      <c r="G270" s="65"/>
    </row>
    <row r="271" spans="7:7" x14ac:dyDescent="0.25">
      <c r="G271" s="65"/>
    </row>
    <row r="272" spans="7:7" x14ac:dyDescent="0.25">
      <c r="G272" s="65"/>
    </row>
    <row r="273" spans="7:7" x14ac:dyDescent="0.25">
      <c r="G273" s="65"/>
    </row>
    <row r="274" spans="7:7" x14ac:dyDescent="0.25">
      <c r="G274" s="65"/>
    </row>
    <row r="275" spans="7:7" x14ac:dyDescent="0.25">
      <c r="G275" s="65"/>
    </row>
    <row r="276" spans="7:7" x14ac:dyDescent="0.25">
      <c r="G276" s="65"/>
    </row>
    <row r="277" spans="7:7" x14ac:dyDescent="0.25">
      <c r="G277" s="65"/>
    </row>
    <row r="278" spans="7:7" x14ac:dyDescent="0.25">
      <c r="G278" s="65"/>
    </row>
    <row r="279" spans="7:7" x14ac:dyDescent="0.25">
      <c r="G279" s="65"/>
    </row>
    <row r="280" spans="7:7" x14ac:dyDescent="0.25">
      <c r="G280" s="65"/>
    </row>
    <row r="281" spans="7:7" x14ac:dyDescent="0.25">
      <c r="G281" s="65"/>
    </row>
    <row r="282" spans="7:7" x14ac:dyDescent="0.25">
      <c r="G282" s="65"/>
    </row>
    <row r="283" spans="7:7" x14ac:dyDescent="0.25">
      <c r="G283" s="65"/>
    </row>
    <row r="284" spans="7:7" x14ac:dyDescent="0.25">
      <c r="G284" s="65"/>
    </row>
    <row r="285" spans="7:7" x14ac:dyDescent="0.25">
      <c r="G285" s="65"/>
    </row>
    <row r="286" spans="7:7" x14ac:dyDescent="0.25">
      <c r="G286" s="65"/>
    </row>
    <row r="287" spans="7:7" x14ac:dyDescent="0.25">
      <c r="G287" s="65"/>
    </row>
    <row r="288" spans="7:7" x14ac:dyDescent="0.25">
      <c r="G288" s="65"/>
    </row>
    <row r="289" spans="7:7" x14ac:dyDescent="0.25">
      <c r="G289" s="65"/>
    </row>
    <row r="290" spans="7:7" x14ac:dyDescent="0.25">
      <c r="G290" s="65"/>
    </row>
    <row r="291" spans="7:7" x14ac:dyDescent="0.25">
      <c r="G291" s="65"/>
    </row>
    <row r="292" spans="7:7" x14ac:dyDescent="0.25">
      <c r="G292" s="65"/>
    </row>
    <row r="293" spans="7:7" x14ac:dyDescent="0.25">
      <c r="G293" s="65"/>
    </row>
    <row r="294" spans="7:7" x14ac:dyDescent="0.25">
      <c r="G294" s="65"/>
    </row>
    <row r="295" spans="7:7" x14ac:dyDescent="0.25">
      <c r="G295" s="65"/>
    </row>
    <row r="296" spans="7:7" x14ac:dyDescent="0.25">
      <c r="G296" s="65"/>
    </row>
    <row r="297" spans="7:7" x14ac:dyDescent="0.25">
      <c r="G297" s="65"/>
    </row>
    <row r="298" spans="7:7" x14ac:dyDescent="0.25">
      <c r="G298" s="65"/>
    </row>
    <row r="299" spans="7:7" x14ac:dyDescent="0.25">
      <c r="G299" s="65"/>
    </row>
    <row r="300" spans="7:7" x14ac:dyDescent="0.25">
      <c r="G300" s="65"/>
    </row>
    <row r="301" spans="7:7" x14ac:dyDescent="0.25">
      <c r="G301" s="65"/>
    </row>
    <row r="302" spans="7:7" x14ac:dyDescent="0.25">
      <c r="G302" s="65"/>
    </row>
    <row r="303" spans="7:7" x14ac:dyDescent="0.25">
      <c r="G303" s="65"/>
    </row>
    <row r="304" spans="7:7" x14ac:dyDescent="0.25">
      <c r="G304" s="65"/>
    </row>
    <row r="305" spans="7:7" x14ac:dyDescent="0.25">
      <c r="G305" s="65"/>
    </row>
    <row r="306" spans="7:7" x14ac:dyDescent="0.25">
      <c r="G306" s="65"/>
    </row>
    <row r="307" spans="7:7" x14ac:dyDescent="0.25">
      <c r="G307" s="65"/>
    </row>
    <row r="308" spans="7:7" x14ac:dyDescent="0.25">
      <c r="G308" s="65"/>
    </row>
    <row r="309" spans="7:7" x14ac:dyDescent="0.25">
      <c r="G309" s="65"/>
    </row>
    <row r="310" spans="7:7" x14ac:dyDescent="0.25">
      <c r="G310" s="65"/>
    </row>
    <row r="311" spans="7:7" x14ac:dyDescent="0.25">
      <c r="G311" s="65"/>
    </row>
    <row r="312" spans="7:7" x14ac:dyDescent="0.25">
      <c r="G312" s="65"/>
    </row>
    <row r="313" spans="7:7" x14ac:dyDescent="0.25">
      <c r="G313" s="65"/>
    </row>
    <row r="314" spans="7:7" x14ac:dyDescent="0.25">
      <c r="G314" s="65"/>
    </row>
    <row r="315" spans="7:7" x14ac:dyDescent="0.25">
      <c r="G315" s="65"/>
    </row>
    <row r="316" spans="7:7" x14ac:dyDescent="0.25">
      <c r="G316" s="65"/>
    </row>
    <row r="317" spans="7:7" x14ac:dyDescent="0.25">
      <c r="G317" s="65"/>
    </row>
    <row r="318" spans="7:7" x14ac:dyDescent="0.25">
      <c r="G318" s="65"/>
    </row>
    <row r="319" spans="7:7" x14ac:dyDescent="0.25">
      <c r="G319" s="65"/>
    </row>
    <row r="320" spans="7:7" x14ac:dyDescent="0.25">
      <c r="G320" s="65"/>
    </row>
    <row r="321" spans="7:7" x14ac:dyDescent="0.25">
      <c r="G321" s="65"/>
    </row>
    <row r="322" spans="7:7" x14ac:dyDescent="0.25">
      <c r="G322" s="65"/>
    </row>
    <row r="323" spans="7:7" x14ac:dyDescent="0.25">
      <c r="G323" s="65"/>
    </row>
    <row r="324" spans="7:7" x14ac:dyDescent="0.25">
      <c r="G324" s="65"/>
    </row>
    <row r="325" spans="7:7" x14ac:dyDescent="0.25">
      <c r="G325" s="65"/>
    </row>
    <row r="326" spans="7:7" x14ac:dyDescent="0.25">
      <c r="G326" s="65"/>
    </row>
    <row r="327" spans="7:7" x14ac:dyDescent="0.25">
      <c r="G327" s="65"/>
    </row>
    <row r="328" spans="7:7" x14ac:dyDescent="0.25">
      <c r="G328" s="65"/>
    </row>
    <row r="329" spans="7:7" x14ac:dyDescent="0.25">
      <c r="G329" s="65"/>
    </row>
    <row r="330" spans="7:7" x14ac:dyDescent="0.25">
      <c r="G330" s="65"/>
    </row>
    <row r="331" spans="7:7" x14ac:dyDescent="0.25">
      <c r="G331" s="65"/>
    </row>
    <row r="332" spans="7:7" x14ac:dyDescent="0.25">
      <c r="G332" s="65"/>
    </row>
    <row r="333" spans="7:7" x14ac:dyDescent="0.25">
      <c r="G333" s="65"/>
    </row>
    <row r="334" spans="7:7" x14ac:dyDescent="0.25">
      <c r="G334" s="65"/>
    </row>
    <row r="335" spans="7:7" x14ac:dyDescent="0.25">
      <c r="G335" s="65"/>
    </row>
    <row r="336" spans="7:7" x14ac:dyDescent="0.25">
      <c r="G336" s="65"/>
    </row>
    <row r="337" spans="7:7" x14ac:dyDescent="0.25">
      <c r="G337" s="65"/>
    </row>
    <row r="338" spans="7:7" x14ac:dyDescent="0.25">
      <c r="G338" s="65"/>
    </row>
    <row r="339" spans="7:7" x14ac:dyDescent="0.25">
      <c r="G339" s="65"/>
    </row>
    <row r="340" spans="7:7" x14ac:dyDescent="0.25">
      <c r="G340" s="65"/>
    </row>
    <row r="341" spans="7:7" x14ac:dyDescent="0.25">
      <c r="G341" s="65"/>
    </row>
    <row r="342" spans="7:7" x14ac:dyDescent="0.25">
      <c r="G342" s="65"/>
    </row>
    <row r="343" spans="7:7" x14ac:dyDescent="0.25">
      <c r="G343" s="65"/>
    </row>
    <row r="344" spans="7:7" x14ac:dyDescent="0.25">
      <c r="G344" s="65"/>
    </row>
    <row r="345" spans="7:7" x14ac:dyDescent="0.25">
      <c r="G345" s="65"/>
    </row>
    <row r="346" spans="7:7" x14ac:dyDescent="0.25">
      <c r="G346" s="65"/>
    </row>
    <row r="347" spans="7:7" x14ac:dyDescent="0.25">
      <c r="G347" s="65"/>
    </row>
    <row r="348" spans="7:7" x14ac:dyDescent="0.25">
      <c r="G348" s="65"/>
    </row>
    <row r="349" spans="7:7" x14ac:dyDescent="0.25">
      <c r="G349" s="65"/>
    </row>
    <row r="350" spans="7:7" x14ac:dyDescent="0.25">
      <c r="G350" s="65"/>
    </row>
    <row r="351" spans="7:7" x14ac:dyDescent="0.25">
      <c r="G351" s="65"/>
    </row>
    <row r="352" spans="7:7" x14ac:dyDescent="0.25">
      <c r="G352" s="65"/>
    </row>
    <row r="353" spans="7:7" x14ac:dyDescent="0.25">
      <c r="G353" s="65"/>
    </row>
    <row r="354" spans="7:7" x14ac:dyDescent="0.25">
      <c r="G354" s="65"/>
    </row>
    <row r="355" spans="7:7" x14ac:dyDescent="0.25">
      <c r="G355" s="65"/>
    </row>
    <row r="356" spans="7:7" x14ac:dyDescent="0.25">
      <c r="G356" s="65"/>
    </row>
    <row r="357" spans="7:7" x14ac:dyDescent="0.25">
      <c r="G357" s="65"/>
    </row>
    <row r="358" spans="7:7" x14ac:dyDescent="0.25">
      <c r="G358" s="65"/>
    </row>
    <row r="359" spans="7:7" x14ac:dyDescent="0.25">
      <c r="G359" s="65"/>
    </row>
    <row r="360" spans="7:7" x14ac:dyDescent="0.25">
      <c r="G360" s="65"/>
    </row>
    <row r="361" spans="7:7" x14ac:dyDescent="0.25">
      <c r="G361" s="65"/>
    </row>
    <row r="362" spans="7:7" x14ac:dyDescent="0.25">
      <c r="G362" s="65"/>
    </row>
    <row r="363" spans="7:7" x14ac:dyDescent="0.25">
      <c r="G363" s="65"/>
    </row>
    <row r="364" spans="7:7" x14ac:dyDescent="0.25">
      <c r="G364" s="65"/>
    </row>
    <row r="365" spans="7:7" x14ac:dyDescent="0.25">
      <c r="G365" s="65"/>
    </row>
    <row r="366" spans="7:7" x14ac:dyDescent="0.25">
      <c r="G366" s="65"/>
    </row>
    <row r="367" spans="7:7" x14ac:dyDescent="0.25">
      <c r="G367" s="65"/>
    </row>
    <row r="368" spans="7:7" x14ac:dyDescent="0.25">
      <c r="G368" s="65"/>
    </row>
    <row r="369" spans="7:7" x14ac:dyDescent="0.25">
      <c r="G369" s="65"/>
    </row>
    <row r="370" spans="7:7" x14ac:dyDescent="0.25">
      <c r="G370" s="65"/>
    </row>
    <row r="371" spans="7:7" x14ac:dyDescent="0.25">
      <c r="G371" s="65"/>
    </row>
    <row r="372" spans="7:7" x14ac:dyDescent="0.25">
      <c r="G372" s="65"/>
    </row>
    <row r="373" spans="7:7" x14ac:dyDescent="0.25">
      <c r="G373" s="65"/>
    </row>
    <row r="374" spans="7:7" x14ac:dyDescent="0.25">
      <c r="G374" s="65"/>
    </row>
    <row r="375" spans="7:7" x14ac:dyDescent="0.25">
      <c r="G375" s="65"/>
    </row>
    <row r="376" spans="7:7" x14ac:dyDescent="0.25">
      <c r="G376" s="65"/>
    </row>
    <row r="377" spans="7:7" x14ac:dyDescent="0.25">
      <c r="G377" s="65"/>
    </row>
    <row r="378" spans="7:7" x14ac:dyDescent="0.25">
      <c r="G378" s="65"/>
    </row>
    <row r="379" spans="7:7" x14ac:dyDescent="0.25">
      <c r="G379" s="65"/>
    </row>
    <row r="380" spans="7:7" x14ac:dyDescent="0.25">
      <c r="G380" s="65"/>
    </row>
    <row r="381" spans="7:7" x14ac:dyDescent="0.25">
      <c r="G381" s="65"/>
    </row>
    <row r="382" spans="7:7" x14ac:dyDescent="0.25">
      <c r="G382" s="65"/>
    </row>
    <row r="383" spans="7:7" x14ac:dyDescent="0.25">
      <c r="G383" s="65"/>
    </row>
    <row r="384" spans="7:7" x14ac:dyDescent="0.25">
      <c r="G384" s="65"/>
    </row>
    <row r="385" spans="7:7" x14ac:dyDescent="0.25">
      <c r="G385" s="65"/>
    </row>
    <row r="386" spans="7:7" x14ac:dyDescent="0.25">
      <c r="G386" s="65"/>
    </row>
    <row r="387" spans="7:7" x14ac:dyDescent="0.25">
      <c r="G387" s="65"/>
    </row>
    <row r="388" spans="7:7" x14ac:dyDescent="0.25">
      <c r="G388" s="65"/>
    </row>
    <row r="389" spans="7:7" x14ac:dyDescent="0.25">
      <c r="G389" s="65"/>
    </row>
    <row r="390" spans="7:7" x14ac:dyDescent="0.25">
      <c r="G390" s="65"/>
    </row>
    <row r="391" spans="7:7" x14ac:dyDescent="0.25">
      <c r="G391" s="65"/>
    </row>
    <row r="392" spans="7:7" x14ac:dyDescent="0.25">
      <c r="G392" s="65"/>
    </row>
    <row r="393" spans="7:7" x14ac:dyDescent="0.25">
      <c r="G393" s="65"/>
    </row>
    <row r="394" spans="7:7" x14ac:dyDescent="0.25">
      <c r="G394" s="65"/>
    </row>
    <row r="395" spans="7:7" x14ac:dyDescent="0.25">
      <c r="G395" s="65"/>
    </row>
    <row r="396" spans="7:7" x14ac:dyDescent="0.25">
      <c r="G396" s="65"/>
    </row>
    <row r="397" spans="7:7" x14ac:dyDescent="0.25">
      <c r="G397" s="65"/>
    </row>
    <row r="398" spans="7:7" x14ac:dyDescent="0.25">
      <c r="G398" s="65"/>
    </row>
    <row r="399" spans="7:7" x14ac:dyDescent="0.25">
      <c r="G399" s="65"/>
    </row>
    <row r="400" spans="7:7" x14ac:dyDescent="0.25">
      <c r="G400" s="65"/>
    </row>
    <row r="401" spans="7:7" x14ac:dyDescent="0.25">
      <c r="G401" s="65"/>
    </row>
    <row r="402" spans="7:7" x14ac:dyDescent="0.25">
      <c r="G402" s="65"/>
    </row>
    <row r="403" spans="7:7" x14ac:dyDescent="0.25">
      <c r="G403" s="65"/>
    </row>
    <row r="404" spans="7:7" x14ac:dyDescent="0.25">
      <c r="G404" s="65"/>
    </row>
    <row r="405" spans="7:7" x14ac:dyDescent="0.25">
      <c r="G405" s="65"/>
    </row>
    <row r="406" spans="7:7" x14ac:dyDescent="0.25">
      <c r="G406" s="65"/>
    </row>
    <row r="407" spans="7:7" x14ac:dyDescent="0.25">
      <c r="G407" s="65"/>
    </row>
    <row r="408" spans="7:7" x14ac:dyDescent="0.25">
      <c r="G408" s="65"/>
    </row>
    <row r="409" spans="7:7" x14ac:dyDescent="0.25">
      <c r="G409" s="65"/>
    </row>
    <row r="410" spans="7:7" x14ac:dyDescent="0.25">
      <c r="G410" s="65"/>
    </row>
    <row r="411" spans="7:7" x14ac:dyDescent="0.25">
      <c r="G411" s="65"/>
    </row>
    <row r="412" spans="7:7" x14ac:dyDescent="0.25">
      <c r="G412" s="65"/>
    </row>
    <row r="413" spans="7:7" x14ac:dyDescent="0.25">
      <c r="G413" s="65"/>
    </row>
    <row r="414" spans="7:7" x14ac:dyDescent="0.25">
      <c r="G414" s="65"/>
    </row>
    <row r="415" spans="7:7" x14ac:dyDescent="0.25">
      <c r="G415" s="65"/>
    </row>
    <row r="416" spans="7:7" x14ac:dyDescent="0.25">
      <c r="G416" s="65"/>
    </row>
    <row r="417" spans="7:7" x14ac:dyDescent="0.25">
      <c r="G417" s="65"/>
    </row>
    <row r="418" spans="7:7" x14ac:dyDescent="0.25">
      <c r="G418" s="65"/>
    </row>
    <row r="419" spans="7:7" x14ac:dyDescent="0.25">
      <c r="G419" s="65"/>
    </row>
    <row r="420" spans="7:7" x14ac:dyDescent="0.25">
      <c r="G420" s="65"/>
    </row>
    <row r="421" spans="7:7" x14ac:dyDescent="0.25">
      <c r="G421" s="65"/>
    </row>
    <row r="422" spans="7:7" x14ac:dyDescent="0.25">
      <c r="G422" s="65"/>
    </row>
    <row r="423" spans="7:7" x14ac:dyDescent="0.25">
      <c r="G423" s="65"/>
    </row>
    <row r="424" spans="7:7" x14ac:dyDescent="0.25">
      <c r="G424" s="65"/>
    </row>
    <row r="425" spans="7:7" x14ac:dyDescent="0.25">
      <c r="G425" s="65"/>
    </row>
    <row r="426" spans="7:7" x14ac:dyDescent="0.25">
      <c r="G426" s="65"/>
    </row>
    <row r="427" spans="7:7" x14ac:dyDescent="0.25">
      <c r="G427" s="65"/>
    </row>
    <row r="428" spans="7:7" x14ac:dyDescent="0.25">
      <c r="G428" s="65"/>
    </row>
    <row r="429" spans="7:7" x14ac:dyDescent="0.25">
      <c r="G429" s="65"/>
    </row>
    <row r="430" spans="7:7" x14ac:dyDescent="0.25">
      <c r="G430" s="65"/>
    </row>
    <row r="431" spans="7:7" x14ac:dyDescent="0.25">
      <c r="G431" s="65"/>
    </row>
    <row r="432" spans="7:7" x14ac:dyDescent="0.25">
      <c r="G432" s="65"/>
    </row>
    <row r="433" spans="7:7" x14ac:dyDescent="0.25">
      <c r="G433" s="65"/>
    </row>
    <row r="434" spans="7:7" x14ac:dyDescent="0.25">
      <c r="G434" s="65"/>
    </row>
    <row r="435" spans="7:7" x14ac:dyDescent="0.25">
      <c r="G435" s="65"/>
    </row>
    <row r="436" spans="7:7" x14ac:dyDescent="0.25">
      <c r="G436" s="65"/>
    </row>
    <row r="437" spans="7:7" x14ac:dyDescent="0.25">
      <c r="G437" s="65"/>
    </row>
    <row r="438" spans="7:7" x14ac:dyDescent="0.25">
      <c r="G438" s="65"/>
    </row>
    <row r="439" spans="7:7" x14ac:dyDescent="0.25">
      <c r="G439" s="65"/>
    </row>
    <row r="440" spans="7:7" x14ac:dyDescent="0.25">
      <c r="G440" s="65"/>
    </row>
    <row r="441" spans="7:7" x14ac:dyDescent="0.25">
      <c r="G441" s="65"/>
    </row>
    <row r="442" spans="7:7" x14ac:dyDescent="0.25">
      <c r="G442" s="65"/>
    </row>
    <row r="443" spans="7:7" x14ac:dyDescent="0.25">
      <c r="G443" s="65"/>
    </row>
    <row r="444" spans="7:7" x14ac:dyDescent="0.25">
      <c r="G444" s="65"/>
    </row>
    <row r="445" spans="7:7" x14ac:dyDescent="0.25">
      <c r="G445" s="65"/>
    </row>
    <row r="446" spans="7:7" x14ac:dyDescent="0.25">
      <c r="G446" s="65"/>
    </row>
    <row r="447" spans="7:7" x14ac:dyDescent="0.25">
      <c r="G447" s="65"/>
    </row>
    <row r="448" spans="7:7" x14ac:dyDescent="0.25">
      <c r="G448" s="65"/>
    </row>
    <row r="449" spans="7:7" x14ac:dyDescent="0.25">
      <c r="G449" s="65"/>
    </row>
    <row r="450" spans="7:7" x14ac:dyDescent="0.25">
      <c r="G450" s="65"/>
    </row>
    <row r="451" spans="7:7" x14ac:dyDescent="0.25">
      <c r="G451" s="65"/>
    </row>
    <row r="452" spans="7:7" x14ac:dyDescent="0.25">
      <c r="G452" s="65"/>
    </row>
    <row r="453" spans="7:7" x14ac:dyDescent="0.25">
      <c r="G453" s="65"/>
    </row>
    <row r="454" spans="7:7" x14ac:dyDescent="0.25">
      <c r="G454" s="65"/>
    </row>
    <row r="455" spans="7:7" x14ac:dyDescent="0.25">
      <c r="G455" s="65"/>
    </row>
    <row r="456" spans="7:7" x14ac:dyDescent="0.25">
      <c r="G456" s="65"/>
    </row>
    <row r="457" spans="7:7" x14ac:dyDescent="0.25">
      <c r="G457" s="65"/>
    </row>
    <row r="458" spans="7:7" x14ac:dyDescent="0.25">
      <c r="G458" s="65"/>
    </row>
    <row r="459" spans="7:7" x14ac:dyDescent="0.25">
      <c r="G459" s="65"/>
    </row>
    <row r="460" spans="7:7" x14ac:dyDescent="0.25">
      <c r="G460" s="65"/>
    </row>
    <row r="461" spans="7:7" x14ac:dyDescent="0.25">
      <c r="G461" s="65"/>
    </row>
    <row r="462" spans="7:7" x14ac:dyDescent="0.25">
      <c r="G462" s="65"/>
    </row>
    <row r="463" spans="7:7" x14ac:dyDescent="0.25">
      <c r="G463" s="65"/>
    </row>
    <row r="464" spans="7:7" x14ac:dyDescent="0.25">
      <c r="G464" s="65"/>
    </row>
    <row r="465" spans="7:7" x14ac:dyDescent="0.25">
      <c r="G465" s="65"/>
    </row>
    <row r="466" spans="7:7" x14ac:dyDescent="0.25">
      <c r="G466" s="65"/>
    </row>
    <row r="467" spans="7:7" x14ac:dyDescent="0.25">
      <c r="G467" s="65"/>
    </row>
    <row r="468" spans="7:7" x14ac:dyDescent="0.25">
      <c r="G468" s="65"/>
    </row>
    <row r="469" spans="7:7" x14ac:dyDescent="0.25">
      <c r="G469" s="65"/>
    </row>
    <row r="470" spans="7:7" x14ac:dyDescent="0.25">
      <c r="G470" s="65"/>
    </row>
    <row r="471" spans="7:7" x14ac:dyDescent="0.25">
      <c r="G471" s="65"/>
    </row>
    <row r="472" spans="7:7" x14ac:dyDescent="0.25">
      <c r="G472" s="65"/>
    </row>
    <row r="473" spans="7:7" x14ac:dyDescent="0.25">
      <c r="G473" s="65"/>
    </row>
    <row r="474" spans="7:7" x14ac:dyDescent="0.25">
      <c r="G474" s="65"/>
    </row>
    <row r="475" spans="7:7" x14ac:dyDescent="0.25">
      <c r="G475" s="65"/>
    </row>
    <row r="476" spans="7:7" x14ac:dyDescent="0.25">
      <c r="G476" s="65"/>
    </row>
    <row r="477" spans="7:7" x14ac:dyDescent="0.25">
      <c r="G477" s="65"/>
    </row>
    <row r="478" spans="7:7" x14ac:dyDescent="0.25">
      <c r="G478" s="65"/>
    </row>
    <row r="479" spans="7:7" x14ac:dyDescent="0.25">
      <c r="G479" s="65"/>
    </row>
    <row r="480" spans="7:7" x14ac:dyDescent="0.25">
      <c r="G480" s="65"/>
    </row>
    <row r="481" spans="7:7" x14ac:dyDescent="0.25">
      <c r="G481" s="65"/>
    </row>
    <row r="482" spans="7:7" x14ac:dyDescent="0.25">
      <c r="G482" s="65"/>
    </row>
    <row r="483" spans="7:7" x14ac:dyDescent="0.25">
      <c r="G483" s="65"/>
    </row>
    <row r="484" spans="7:7" x14ac:dyDescent="0.25">
      <c r="G484" s="65"/>
    </row>
    <row r="485" spans="7:7" x14ac:dyDescent="0.25">
      <c r="G485" s="65"/>
    </row>
    <row r="486" spans="7:7" x14ac:dyDescent="0.25">
      <c r="G486" s="65"/>
    </row>
    <row r="487" spans="7:7" x14ac:dyDescent="0.25">
      <c r="G487" s="65"/>
    </row>
    <row r="488" spans="7:7" x14ac:dyDescent="0.25">
      <c r="G488" s="65"/>
    </row>
    <row r="489" spans="7:7" x14ac:dyDescent="0.25">
      <c r="G489" s="65"/>
    </row>
    <row r="490" spans="7:7" x14ac:dyDescent="0.25">
      <c r="G490" s="65"/>
    </row>
    <row r="491" spans="7:7" x14ac:dyDescent="0.25">
      <c r="G491" s="65"/>
    </row>
    <row r="492" spans="7:7" x14ac:dyDescent="0.25">
      <c r="G492" s="65"/>
    </row>
    <row r="493" spans="7:7" x14ac:dyDescent="0.25">
      <c r="G493" s="65"/>
    </row>
    <row r="494" spans="7:7" x14ac:dyDescent="0.25">
      <c r="G494" s="65"/>
    </row>
    <row r="495" spans="7:7" x14ac:dyDescent="0.25">
      <c r="G495" s="65"/>
    </row>
    <row r="496" spans="7:7" x14ac:dyDescent="0.25">
      <c r="G496" s="65"/>
    </row>
    <row r="497" spans="7:7" x14ac:dyDescent="0.25">
      <c r="G497" s="65"/>
    </row>
    <row r="498" spans="7:7" x14ac:dyDescent="0.25">
      <c r="G498" s="65"/>
    </row>
    <row r="499" spans="7:7" x14ac:dyDescent="0.25">
      <c r="G499" s="65"/>
    </row>
    <row r="500" spans="7:7" x14ac:dyDescent="0.25">
      <c r="G500" s="65"/>
    </row>
    <row r="501" spans="7:7" x14ac:dyDescent="0.25">
      <c r="G501" s="65"/>
    </row>
    <row r="502" spans="7:7" x14ac:dyDescent="0.25">
      <c r="G502" s="65"/>
    </row>
    <row r="503" spans="7:7" x14ac:dyDescent="0.25">
      <c r="G503" s="65"/>
    </row>
    <row r="504" spans="7:7" x14ac:dyDescent="0.25">
      <c r="G504" s="65"/>
    </row>
    <row r="505" spans="7:7" x14ac:dyDescent="0.25">
      <c r="G505" s="65"/>
    </row>
    <row r="506" spans="7:7" x14ac:dyDescent="0.25">
      <c r="G506" s="65"/>
    </row>
    <row r="507" spans="7:7" x14ac:dyDescent="0.25">
      <c r="G507" s="65"/>
    </row>
    <row r="508" spans="7:7" x14ac:dyDescent="0.25">
      <c r="G508" s="65"/>
    </row>
    <row r="509" spans="7:7" x14ac:dyDescent="0.25">
      <c r="G509" s="65"/>
    </row>
    <row r="510" spans="7:7" x14ac:dyDescent="0.25">
      <c r="G510" s="65"/>
    </row>
    <row r="511" spans="7:7" x14ac:dyDescent="0.25">
      <c r="G511" s="65"/>
    </row>
    <row r="512" spans="7:7" x14ac:dyDescent="0.25">
      <c r="G512" s="65"/>
    </row>
    <row r="513" spans="7:7" x14ac:dyDescent="0.25">
      <c r="G513" s="65"/>
    </row>
    <row r="514" spans="7:7" x14ac:dyDescent="0.25">
      <c r="G514" s="65"/>
    </row>
    <row r="515" spans="7:7" x14ac:dyDescent="0.25">
      <c r="G515" s="65"/>
    </row>
    <row r="516" spans="7:7" x14ac:dyDescent="0.25">
      <c r="G516" s="65"/>
    </row>
    <row r="517" spans="7:7" x14ac:dyDescent="0.25">
      <c r="G517" s="65"/>
    </row>
    <row r="518" spans="7:7" x14ac:dyDescent="0.25">
      <c r="G518" s="65"/>
    </row>
    <row r="519" spans="7:7" x14ac:dyDescent="0.25">
      <c r="G519" s="65"/>
    </row>
    <row r="520" spans="7:7" x14ac:dyDescent="0.25">
      <c r="G520" s="65"/>
    </row>
    <row r="521" spans="7:7" x14ac:dyDescent="0.25">
      <c r="G521" s="65"/>
    </row>
    <row r="522" spans="7:7" x14ac:dyDescent="0.25">
      <c r="G522" s="65"/>
    </row>
    <row r="523" spans="7:7" x14ac:dyDescent="0.25">
      <c r="G523" s="65"/>
    </row>
    <row r="524" spans="7:7" x14ac:dyDescent="0.25">
      <c r="G524" s="65"/>
    </row>
    <row r="525" spans="7:7" x14ac:dyDescent="0.25">
      <c r="G525" s="65"/>
    </row>
    <row r="526" spans="7:7" x14ac:dyDescent="0.25">
      <c r="G526" s="65"/>
    </row>
    <row r="527" spans="7:7" x14ac:dyDescent="0.25">
      <c r="G527" s="65"/>
    </row>
    <row r="528" spans="7:7" x14ac:dyDescent="0.25">
      <c r="G528" s="65"/>
    </row>
    <row r="529" spans="7:7" x14ac:dyDescent="0.25">
      <c r="G529" s="65"/>
    </row>
    <row r="530" spans="7:7" x14ac:dyDescent="0.25">
      <c r="G530" s="65"/>
    </row>
    <row r="531" spans="7:7" x14ac:dyDescent="0.25">
      <c r="G531" s="65"/>
    </row>
    <row r="532" spans="7:7" x14ac:dyDescent="0.25">
      <c r="G532" s="65"/>
    </row>
    <row r="533" spans="7:7" x14ac:dyDescent="0.25">
      <c r="G533" s="65"/>
    </row>
    <row r="534" spans="7:7" x14ac:dyDescent="0.25">
      <c r="G534" s="65"/>
    </row>
    <row r="535" spans="7:7" x14ac:dyDescent="0.25">
      <c r="G535" s="65"/>
    </row>
    <row r="536" spans="7:7" x14ac:dyDescent="0.25">
      <c r="G536" s="65"/>
    </row>
    <row r="537" spans="7:7" x14ac:dyDescent="0.25">
      <c r="G537" s="65"/>
    </row>
    <row r="538" spans="7:7" x14ac:dyDescent="0.25">
      <c r="G538" s="65"/>
    </row>
    <row r="539" spans="7:7" x14ac:dyDescent="0.25">
      <c r="G539" s="65"/>
    </row>
    <row r="540" spans="7:7" x14ac:dyDescent="0.25">
      <c r="G540" s="65"/>
    </row>
    <row r="541" spans="7:7" x14ac:dyDescent="0.25">
      <c r="G541" s="65"/>
    </row>
    <row r="542" spans="7:7" x14ac:dyDescent="0.25">
      <c r="G542" s="65"/>
    </row>
    <row r="543" spans="7:7" x14ac:dyDescent="0.25">
      <c r="G543" s="65"/>
    </row>
    <row r="544" spans="7:7" x14ac:dyDescent="0.25">
      <c r="G544" s="65"/>
    </row>
    <row r="545" spans="7:7" x14ac:dyDescent="0.25">
      <c r="G545" s="65"/>
    </row>
    <row r="546" spans="7:7" x14ac:dyDescent="0.25">
      <c r="G546" s="65"/>
    </row>
    <row r="547" spans="7:7" x14ac:dyDescent="0.25">
      <c r="G547" s="65"/>
    </row>
    <row r="548" spans="7:7" x14ac:dyDescent="0.25">
      <c r="G548" s="65"/>
    </row>
    <row r="549" spans="7:7" x14ac:dyDescent="0.25">
      <c r="G549" s="65"/>
    </row>
    <row r="550" spans="7:7" x14ac:dyDescent="0.25">
      <c r="G550" s="65"/>
    </row>
    <row r="551" spans="7:7" x14ac:dyDescent="0.25">
      <c r="G551" s="65"/>
    </row>
    <row r="552" spans="7:7" x14ac:dyDescent="0.25">
      <c r="G552" s="65"/>
    </row>
    <row r="553" spans="7:7" x14ac:dyDescent="0.25">
      <c r="G553" s="65"/>
    </row>
    <row r="554" spans="7:7" x14ac:dyDescent="0.25">
      <c r="G554" s="65"/>
    </row>
    <row r="555" spans="7:7" x14ac:dyDescent="0.25">
      <c r="G555" s="65"/>
    </row>
    <row r="556" spans="7:7" x14ac:dyDescent="0.25">
      <c r="G556" s="65"/>
    </row>
    <row r="557" spans="7:7" x14ac:dyDescent="0.25">
      <c r="G557" s="65"/>
    </row>
    <row r="558" spans="7:7" x14ac:dyDescent="0.25">
      <c r="G558" s="65"/>
    </row>
    <row r="559" spans="7:7" x14ac:dyDescent="0.25">
      <c r="G559" s="65"/>
    </row>
    <row r="560" spans="7:7" x14ac:dyDescent="0.25">
      <c r="G560" s="65"/>
    </row>
    <row r="561" spans="7:7" x14ac:dyDescent="0.25">
      <c r="G561" s="65"/>
    </row>
    <row r="562" spans="7:7" x14ac:dyDescent="0.25">
      <c r="G562" s="65"/>
    </row>
    <row r="563" spans="7:7" x14ac:dyDescent="0.25">
      <c r="G563" s="65"/>
    </row>
    <row r="564" spans="7:7" x14ac:dyDescent="0.25">
      <c r="G564" s="65"/>
    </row>
    <row r="565" spans="7:7" x14ac:dyDescent="0.25">
      <c r="G565" s="65"/>
    </row>
    <row r="566" spans="7:7" x14ac:dyDescent="0.25">
      <c r="G566" s="65"/>
    </row>
    <row r="567" spans="7:7" x14ac:dyDescent="0.25">
      <c r="G567" s="65"/>
    </row>
    <row r="568" spans="7:7" x14ac:dyDescent="0.25">
      <c r="G568" s="65"/>
    </row>
    <row r="569" spans="7:7" x14ac:dyDescent="0.25">
      <c r="G569" s="65"/>
    </row>
    <row r="570" spans="7:7" x14ac:dyDescent="0.25">
      <c r="G570" s="65"/>
    </row>
    <row r="571" spans="7:7" x14ac:dyDescent="0.25">
      <c r="G571" s="65"/>
    </row>
    <row r="572" spans="7:7" x14ac:dyDescent="0.25">
      <c r="G572" s="65"/>
    </row>
    <row r="573" spans="7:7" x14ac:dyDescent="0.25">
      <c r="G573" s="65"/>
    </row>
    <row r="574" spans="7:7" x14ac:dyDescent="0.25">
      <c r="G574" s="65"/>
    </row>
    <row r="575" spans="7:7" x14ac:dyDescent="0.25">
      <c r="G575" s="65"/>
    </row>
    <row r="576" spans="7:7" x14ac:dyDescent="0.25">
      <c r="G576" s="65"/>
    </row>
    <row r="577" spans="7:7" x14ac:dyDescent="0.25">
      <c r="G577" s="65"/>
    </row>
    <row r="578" spans="7:7" x14ac:dyDescent="0.25">
      <c r="G578" s="65"/>
    </row>
    <row r="579" spans="7:7" x14ac:dyDescent="0.25">
      <c r="G579" s="65"/>
    </row>
    <row r="580" spans="7:7" x14ac:dyDescent="0.25">
      <c r="G580" s="65"/>
    </row>
    <row r="581" spans="7:7" x14ac:dyDescent="0.25">
      <c r="G581" s="65"/>
    </row>
    <row r="582" spans="7:7" x14ac:dyDescent="0.25">
      <c r="G582" s="65"/>
    </row>
    <row r="583" spans="7:7" x14ac:dyDescent="0.25">
      <c r="G583" s="65"/>
    </row>
    <row r="584" spans="7:7" x14ac:dyDescent="0.25">
      <c r="G584" s="65"/>
    </row>
    <row r="585" spans="7:7" x14ac:dyDescent="0.25">
      <c r="G585" s="65"/>
    </row>
    <row r="586" spans="7:7" x14ac:dyDescent="0.25">
      <c r="G586" s="65"/>
    </row>
    <row r="587" spans="7:7" x14ac:dyDescent="0.25">
      <c r="G587" s="65"/>
    </row>
    <row r="588" spans="7:7" x14ac:dyDescent="0.25">
      <c r="G588" s="65"/>
    </row>
    <row r="589" spans="7:7" x14ac:dyDescent="0.25">
      <c r="G589" s="65"/>
    </row>
    <row r="590" spans="7:7" x14ac:dyDescent="0.25">
      <c r="G590" s="65"/>
    </row>
    <row r="591" spans="7:7" x14ac:dyDescent="0.25">
      <c r="G591" s="65"/>
    </row>
    <row r="592" spans="7:7" x14ac:dyDescent="0.25">
      <c r="G592" s="65"/>
    </row>
    <row r="593" spans="7:7" x14ac:dyDescent="0.25">
      <c r="G593" s="65"/>
    </row>
    <row r="594" spans="7:7" x14ac:dyDescent="0.25">
      <c r="G594" s="65"/>
    </row>
    <row r="595" spans="7:7" x14ac:dyDescent="0.25">
      <c r="G595" s="65"/>
    </row>
    <row r="596" spans="7:7" x14ac:dyDescent="0.25">
      <c r="G596" s="65"/>
    </row>
    <row r="597" spans="7:7" x14ac:dyDescent="0.25">
      <c r="G597" s="65"/>
    </row>
    <row r="598" spans="7:7" x14ac:dyDescent="0.25">
      <c r="G598" s="65"/>
    </row>
    <row r="599" spans="7:7" x14ac:dyDescent="0.25">
      <c r="G599" s="65"/>
    </row>
    <row r="600" spans="7:7" x14ac:dyDescent="0.25">
      <c r="G600" s="65"/>
    </row>
    <row r="601" spans="7:7" x14ac:dyDescent="0.25">
      <c r="G601" s="65"/>
    </row>
  </sheetData>
  <mergeCells count="2">
    <mergeCell ref="A4:A6"/>
    <mergeCell ref="AV5:AX5"/>
  </mergeCells>
  <conditionalFormatting sqref="D6:AU6">
    <cfRule type="cellIs" dxfId="31" priority="1" operator="equal">
      <formula>#REF!</formula>
    </cfRule>
    <cfRule type="cellIs" dxfId="30" priority="2" operator="equal">
      <formula>#REF!</formula>
    </cfRule>
    <cfRule type="cellIs" dxfId="29" priority="3" operator="equal">
      <formula>#REF!</formula>
    </cfRule>
    <cfRule type="cellIs" dxfId="28" priority="4" operator="equal">
      <formula>#REF!</formula>
    </cfRule>
  </conditionalFormatting>
  <conditionalFormatting sqref="G6:AX6">
    <cfRule type="cellIs" dxfId="27" priority="13" operator="equal">
      <formula>#REF!</formula>
    </cfRule>
    <cfRule type="cellIs" dxfId="26" priority="14" operator="equal">
      <formula>#REF!</formula>
    </cfRule>
    <cfRule type="cellIs" dxfId="25" priority="15" operator="equal">
      <formula>#REF!</formula>
    </cfRule>
    <cfRule type="cellIs" dxfId="24" priority="16" operator="equal">
      <formula>#REF!</formula>
    </cfRule>
  </conditionalFormatting>
  <conditionalFormatting sqref="AC7">
    <cfRule type="cellIs" dxfId="23" priority="5" operator="equal">
      <formula>#REF!</formula>
    </cfRule>
    <cfRule type="cellIs" dxfId="22" priority="6" operator="equal">
      <formula>#REF!</formula>
    </cfRule>
    <cfRule type="cellIs" dxfId="21" priority="7" operator="equal">
      <formula>#REF!</formula>
    </cfRule>
    <cfRule type="cellIs" dxfId="20" priority="8" operator="equal">
      <formula>#REF!</formula>
    </cfRule>
  </conditionalFormatting>
  <conditionalFormatting sqref="AC7:AR7">
    <cfRule type="cellIs" dxfId="19" priority="9" operator="equal">
      <formula>#REF!</formula>
    </cfRule>
    <cfRule type="cellIs" dxfId="18" priority="10" operator="equal">
      <formula>#REF!</formula>
    </cfRule>
    <cfRule type="cellIs" dxfId="17" priority="11" operator="equal">
      <formula>#REF!</formula>
    </cfRule>
    <cfRule type="cellIs" dxfId="16" priority="12" operator="equal">
      <formula>#REF!</formula>
    </cfRule>
  </conditionalFormatting>
  <pageMargins left="0.7" right="0.7" top="0.75" bottom="0.75" header="0.3" footer="0.3"/>
  <pageSetup orientation="portrait" horizontalDpi="1200" verticalDpi="1200" r:id="rId1"/>
  <headerFooter>
    <oddHeader>&amp;C&amp;"Calibri,Regular"&amp;K000000OVERALL DRAW</oddHeader>
    <oddFooter>&amp;C&amp;"Calibri,Regular"&amp;K000000PAGE &amp;P OF &amp;N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E8F905-AEA5-4903-AE3D-57355AD838E3}">
  <sheetPr>
    <tabColor rgb="FFC8A2CA"/>
    <pageSetUpPr fitToPage="1"/>
  </sheetPr>
  <dimension ref="A1:H110"/>
  <sheetViews>
    <sheetView showGridLines="0" topLeftCell="A50" zoomScale="67" zoomScaleNormal="100" zoomScaleSheetLayoutView="90" workbookViewId="0">
      <selection activeCell="G68" sqref="G68"/>
    </sheetView>
  </sheetViews>
  <sheetFormatPr defaultColWidth="8.6640625" defaultRowHeight="23.25" customHeight="1" x14ac:dyDescent="0.25"/>
  <cols>
    <col min="1" max="1" width="40.33203125" style="65" bestFit="1" customWidth="1"/>
    <col min="2" max="2" width="35.33203125" style="65" bestFit="1" customWidth="1"/>
    <col min="3" max="3" width="22.5546875" style="65" bestFit="1" customWidth="1"/>
    <col min="4" max="4" width="17.109375" style="65" bestFit="1" customWidth="1"/>
    <col min="5" max="5" width="22.6640625" style="65" bestFit="1" customWidth="1"/>
    <col min="6" max="6" width="31.5546875" style="65" customWidth="1"/>
    <col min="7" max="7" width="13.88671875" style="65" bestFit="1" customWidth="1"/>
    <col min="8" max="8" width="2.109375" style="65" customWidth="1"/>
    <col min="9" max="9" width="32.44140625" style="65" customWidth="1"/>
    <col min="10" max="10" width="20.33203125" style="65" customWidth="1"/>
    <col min="11" max="16384" width="8.6640625" style="65"/>
  </cols>
  <sheetData>
    <row r="1" spans="1:8" ht="23.25" customHeight="1" x14ac:dyDescent="0.3">
      <c r="A1" s="28" t="s">
        <v>0</v>
      </c>
      <c r="H1" s="488"/>
    </row>
    <row r="2" spans="1:8" ht="23.25" customHeight="1" x14ac:dyDescent="0.3">
      <c r="A2" s="28" t="s">
        <v>1</v>
      </c>
      <c r="H2" s="488"/>
    </row>
    <row r="3" spans="1:8" ht="23.25" customHeight="1" x14ac:dyDescent="0.3">
      <c r="A3" s="28" t="s">
        <v>544</v>
      </c>
      <c r="H3" s="488"/>
    </row>
    <row r="4" spans="1:8" ht="23.25" customHeight="1" thickBot="1" x14ac:dyDescent="0.3">
      <c r="A4" s="103"/>
      <c r="B4" s="104"/>
      <c r="C4" s="105"/>
      <c r="D4" s="106"/>
      <c r="H4" s="488"/>
    </row>
    <row r="5" spans="1:8" ht="23.25" customHeight="1" thickBot="1" x14ac:dyDescent="0.35">
      <c r="A5" s="856" t="s">
        <v>545</v>
      </c>
      <c r="B5" s="857"/>
      <c r="C5" s="857"/>
      <c r="D5" s="858" t="s">
        <v>305</v>
      </c>
      <c r="E5" s="858"/>
      <c r="H5" s="488"/>
    </row>
    <row r="6" spans="1:8" ht="23.25" customHeight="1" x14ac:dyDescent="0.25">
      <c r="A6" s="107"/>
      <c r="B6" s="108"/>
      <c r="C6" s="108"/>
      <c r="D6" s="109">
        <v>0</v>
      </c>
      <c r="E6" s="110" t="s">
        <v>149</v>
      </c>
      <c r="H6" s="488"/>
    </row>
    <row r="7" spans="1:8" ht="24" customHeight="1" x14ac:dyDescent="0.25">
      <c r="A7" s="111" t="s">
        <v>150</v>
      </c>
      <c r="B7" s="112" t="s">
        <v>151</v>
      </c>
      <c r="C7" s="112" t="s">
        <v>481</v>
      </c>
      <c r="D7" s="112" t="s">
        <v>153</v>
      </c>
      <c r="E7" s="114" t="s">
        <v>154</v>
      </c>
      <c r="H7" s="488"/>
    </row>
    <row r="8" spans="1:8" ht="23.25" customHeight="1" x14ac:dyDescent="0.25">
      <c r="A8" s="115" t="s">
        <v>482</v>
      </c>
      <c r="B8" s="657">
        <f>SUM('4| Development Program'!F104,'4| Development Program'!F111,'4| Development Program'!F118,'4| Development Program'!E125,'4| Development Program'!E132,'4| Development Program'!E139)</f>
        <v>58</v>
      </c>
      <c r="C8" s="658">
        <f>'2| Assumptions'!D10</f>
        <v>525</v>
      </c>
      <c r="D8" s="659">
        <f>('4| Development Program'!F7)*(1+D$6)</f>
        <v>3.1517509727626458</v>
      </c>
      <c r="E8" s="660">
        <f t="shared" ref="E8:E19" si="0">12*B8*C8*D8</f>
        <v>1151649.8054474709</v>
      </c>
      <c r="H8" s="488"/>
    </row>
    <row r="9" spans="1:8" ht="23.25" customHeight="1" x14ac:dyDescent="0.25">
      <c r="A9" s="115" t="s">
        <v>483</v>
      </c>
      <c r="B9" s="657">
        <f>SUM('4| Development Program'!F105,'4| Development Program'!F112,'4| Development Program'!F119,'4| Development Program'!E126,'4| Development Program'!E133,'4| Development Program'!E140)</f>
        <v>236</v>
      </c>
      <c r="C9" s="658">
        <f>'2| Assumptions'!D13</f>
        <v>700</v>
      </c>
      <c r="D9" s="659">
        <f>('4| Development Program'!F8)*(1+D$6)</f>
        <v>3.5169111044597425</v>
      </c>
      <c r="E9" s="660">
        <f t="shared" si="0"/>
        <v>6971924.5734809935</v>
      </c>
      <c r="H9" s="488"/>
    </row>
    <row r="10" spans="1:8" ht="23.25" customHeight="1" x14ac:dyDescent="0.25">
      <c r="A10" s="121" t="s">
        <v>484</v>
      </c>
      <c r="B10" s="657">
        <f>SUM('4| Development Program'!F106,'4| Development Program'!F113,'4| Development Program'!F120,'4| Development Program'!E127,'4| Development Program'!E134,'4| Development Program'!E141)</f>
        <v>243</v>
      </c>
      <c r="C10" s="658">
        <f>'2| Assumptions'!D16</f>
        <v>900</v>
      </c>
      <c r="D10" s="659">
        <f>('4| Development Program'!F9)*(1+D$6)</f>
        <v>3.7413947919784492</v>
      </c>
      <c r="E10" s="660">
        <f t="shared" si="0"/>
        <v>9818916.4920682423</v>
      </c>
      <c r="H10" s="488"/>
    </row>
    <row r="11" spans="1:8" ht="23.25" customHeight="1" x14ac:dyDescent="0.25">
      <c r="A11" s="121" t="s">
        <v>485</v>
      </c>
      <c r="B11" s="657">
        <f>SUM('4| Development Program'!F107,'4| Development Program'!F114,'4| Development Program'!F121,'4| Development Program'!E128,'4| Development Program'!E135,'4| Development Program'!E142)</f>
        <v>127</v>
      </c>
      <c r="C11" s="658">
        <f>'2| Assumptions'!D19</f>
        <v>1100</v>
      </c>
      <c r="D11" s="659">
        <f>('4| Development Program'!F10)*(1+D$6)</f>
        <v>5.899891787350632</v>
      </c>
      <c r="E11" s="660">
        <f t="shared" si="0"/>
        <v>9890578.5923145991</v>
      </c>
      <c r="H11" s="488"/>
    </row>
    <row r="12" spans="1:8" ht="23.25" customHeight="1" x14ac:dyDescent="0.25">
      <c r="A12" s="115" t="s">
        <v>486</v>
      </c>
      <c r="B12" s="657">
        <f>SUM('4| Development Program'!G104,'4| Development Program'!G111,'4| Development Program'!G118,'4| Development Program'!F125,'4| Development Program'!F132,'4| Development Program'!F139)</f>
        <v>34</v>
      </c>
      <c r="C12" s="658">
        <f>C8</f>
        <v>525</v>
      </c>
      <c r="D12" s="659">
        <f>('4| Development Program'!I7)*(1+D$6)</f>
        <v>2.2062256809338519</v>
      </c>
      <c r="E12" s="660">
        <f t="shared" si="0"/>
        <v>472573.54085603106</v>
      </c>
      <c r="H12" s="488"/>
    </row>
    <row r="13" spans="1:8" ht="23.25" customHeight="1" x14ac:dyDescent="0.25">
      <c r="A13" s="115" t="s">
        <v>487</v>
      </c>
      <c r="B13" s="657">
        <f>SUM('4| Development Program'!G105,'4| Development Program'!G112,'4| Development Program'!G119,'4| Development Program'!F126,'4| Development Program'!F133,'4| Development Program'!F140)</f>
        <v>137</v>
      </c>
      <c r="C13" s="658">
        <f>C9</f>
        <v>700</v>
      </c>
      <c r="D13" s="659">
        <f>('4| Development Program'!I8)*(1+D$6)</f>
        <v>2.4618377731218195</v>
      </c>
      <c r="E13" s="660">
        <f t="shared" si="0"/>
        <v>2833082.90930859</v>
      </c>
      <c r="H13" s="488"/>
    </row>
    <row r="14" spans="1:8" ht="23.25" customHeight="1" x14ac:dyDescent="0.25">
      <c r="A14" s="121" t="s">
        <v>488</v>
      </c>
      <c r="B14" s="657">
        <f>SUM('4| Development Program'!G106,'4| Development Program'!G113,'4| Development Program'!G120,'4| Development Program'!F127,'4| Development Program'!F134,'4| Development Program'!F141)</f>
        <v>142</v>
      </c>
      <c r="C14" s="658">
        <f>C10</f>
        <v>900</v>
      </c>
      <c r="D14" s="659">
        <f>('4| Development Program'!I9)*(1+D$6)</f>
        <v>2.6189763543849143</v>
      </c>
      <c r="E14" s="660">
        <f t="shared" si="0"/>
        <v>4016462.1370847044</v>
      </c>
      <c r="H14" s="488"/>
    </row>
    <row r="15" spans="1:8" ht="23.25" customHeight="1" x14ac:dyDescent="0.25">
      <c r="A15" s="121" t="s">
        <v>489</v>
      </c>
      <c r="B15" s="657">
        <f>SUM('4| Development Program'!G107,'4| Development Program'!G114,'4| Development Program'!G121,'4| Development Program'!F128,'4| Development Program'!F135,'4| Development Program'!F142)</f>
        <v>73</v>
      </c>
      <c r="C15" s="658">
        <f>C11</f>
        <v>1100</v>
      </c>
      <c r="D15" s="659">
        <f>('4| Development Program'!I10)*(1+D$6)</f>
        <v>4.1299242511454421</v>
      </c>
      <c r="E15" s="660">
        <f t="shared" si="0"/>
        <v>3979595.0084037483</v>
      </c>
      <c r="H15" s="488"/>
    </row>
    <row r="16" spans="1:8" ht="23.25" customHeight="1" x14ac:dyDescent="0.25">
      <c r="A16" s="115" t="s">
        <v>490</v>
      </c>
      <c r="B16" s="657">
        <f>SUM('4| Development Program'!H104,'4| Development Program'!H111,'4| Development Program'!H118,'4| Development Program'!G125,'4| Development Program'!G132,'4| Development Program'!G139)</f>
        <v>10</v>
      </c>
      <c r="C16" s="658">
        <f>C8</f>
        <v>525</v>
      </c>
      <c r="D16" s="659">
        <f>('4| Development Program'!M7)*(1+D$6)</f>
        <v>4.0972762645914393</v>
      </c>
      <c r="E16" s="660">
        <f t="shared" si="0"/>
        <v>258128.40466926066</v>
      </c>
      <c r="H16" s="488"/>
    </row>
    <row r="17" spans="1:8" ht="23.25" customHeight="1" x14ac:dyDescent="0.25">
      <c r="A17" s="115" t="s">
        <v>491</v>
      </c>
      <c r="B17" s="657">
        <f>SUM('4| Development Program'!H105,'4| Development Program'!H112,'4| Development Program'!H119,'4| Development Program'!G126,'4| Development Program'!G133,'4| Development Program'!G140)</f>
        <v>43</v>
      </c>
      <c r="C17" s="658">
        <f>C9</f>
        <v>700</v>
      </c>
      <c r="D17" s="659">
        <f>('4| Development Program'!M8)*(1+D$6)</f>
        <v>4.5719844357976651</v>
      </c>
      <c r="E17" s="660">
        <f t="shared" si="0"/>
        <v>1651400.7782101166</v>
      </c>
      <c r="H17" s="488"/>
    </row>
    <row r="18" spans="1:8" ht="13.2" x14ac:dyDescent="0.25">
      <c r="A18" s="121" t="s">
        <v>492</v>
      </c>
      <c r="B18" s="657">
        <f>SUM('4| Development Program'!H106,'4| Development Program'!H113,'4| Development Program'!H120,'4| Development Program'!G127,'4| Development Program'!G134,'4| Development Program'!G141)</f>
        <v>44</v>
      </c>
      <c r="C18" s="661">
        <f>C10</f>
        <v>900</v>
      </c>
      <c r="D18" s="659">
        <f>('4| Development Program'!M9)*(1+D$6)</f>
        <v>4.863813229571984</v>
      </c>
      <c r="E18" s="660">
        <f t="shared" si="0"/>
        <v>2311284.046692607</v>
      </c>
      <c r="H18" s="488"/>
    </row>
    <row r="19" spans="1:8" ht="13.2" x14ac:dyDescent="0.25">
      <c r="A19" s="121" t="s">
        <v>493</v>
      </c>
      <c r="B19" s="657">
        <f>SUM('4| Development Program'!H107,'4| Development Program'!H114,'4| Development Program'!H121,'4| Development Program'!G128,'4| Development Program'!G135,'4| Development Program'!G142)</f>
        <v>23</v>
      </c>
      <c r="C19" s="658">
        <f>C11</f>
        <v>1100</v>
      </c>
      <c r="D19" s="659">
        <f>('4| Development Program'!M10)*(1+D$6)</f>
        <v>7.6698593235558219</v>
      </c>
      <c r="E19" s="660">
        <f t="shared" si="0"/>
        <v>2328569.2906315476</v>
      </c>
      <c r="H19" s="488"/>
    </row>
    <row r="20" spans="1:8" ht="13.2" x14ac:dyDescent="0.25">
      <c r="A20" s="121"/>
      <c r="B20" s="7"/>
      <c r="C20" s="7"/>
      <c r="D20" s="127"/>
      <c r="E20" s="660"/>
      <c r="H20" s="488"/>
    </row>
    <row r="21" spans="1:8" ht="13.8" thickBot="1" x14ac:dyDescent="0.3">
      <c r="A21" s="121"/>
      <c r="B21" s="7"/>
      <c r="C21" s="7"/>
      <c r="D21" s="127"/>
      <c r="E21" s="662"/>
      <c r="H21" s="488"/>
    </row>
    <row r="22" spans="1:8" ht="14.4" thickTop="1" thickBot="1" x14ac:dyDescent="0.3">
      <c r="A22" s="130" t="s">
        <v>167</v>
      </c>
      <c r="B22" s="663">
        <f>SUM(B8:B21)</f>
        <v>1170</v>
      </c>
      <c r="C22" s="664">
        <f>B8*C8+B17*C17+B18*C18+B19*C19+B20*C20+B21*C21+B9*C9+B10*C10+B11*C11+B12*C12+B13*C13+B14*C14+B15*C15+B16*C16</f>
        <v>976150</v>
      </c>
      <c r="D22" s="133"/>
      <c r="E22" s="667">
        <f>SUM(E8:E21)</f>
        <v>45684165.579167917</v>
      </c>
      <c r="H22" s="488"/>
    </row>
    <row r="23" spans="1:8" ht="14.4" thickTop="1" thickBot="1" x14ac:dyDescent="0.3">
      <c r="A23" s="135" t="s">
        <v>168</v>
      </c>
      <c r="B23" s="136"/>
      <c r="C23" s="665">
        <f>C22/B22</f>
        <v>834.31623931623926</v>
      </c>
      <c r="D23" s="666">
        <f>(E22/12)/C22</f>
        <v>3.9000295018839246</v>
      </c>
      <c r="E23" s="139"/>
      <c r="H23" s="488"/>
    </row>
    <row r="24" spans="1:8" ht="13.2" x14ac:dyDescent="0.25">
      <c r="A24" s="141"/>
      <c r="B24" s="142"/>
      <c r="C24" s="143"/>
      <c r="D24" s="144"/>
      <c r="H24" s="488"/>
    </row>
    <row r="25" spans="1:8" ht="13.2" x14ac:dyDescent="0.25">
      <c r="A25" s="111" t="s">
        <v>169</v>
      </c>
      <c r="B25" s="112" t="s">
        <v>170</v>
      </c>
      <c r="C25" s="112" t="s">
        <v>171</v>
      </c>
      <c r="D25" s="112" t="s">
        <v>154</v>
      </c>
      <c r="H25" s="488"/>
    </row>
    <row r="26" spans="1:8" ht="13.2" x14ac:dyDescent="0.25">
      <c r="A26" s="145" t="s">
        <v>10</v>
      </c>
      <c r="B26" s="668">
        <f>SUM('4| Development Program'!K107,'4| Development Program'!K114,'4| Development Program'!K121,'4| Development Program'!K128,'4| Development Program'!K135,'4| Development Program'!K142)</f>
        <v>127398</v>
      </c>
      <c r="C26" s="669">
        <f>'4| Development Program'!S10</f>
        <v>45.5</v>
      </c>
      <c r="D26" s="670">
        <f>B26*C26</f>
        <v>5796609</v>
      </c>
      <c r="H26" s="488"/>
    </row>
    <row r="27" spans="1:8" ht="13.8" thickBot="1" x14ac:dyDescent="0.3">
      <c r="A27" s="154" t="s">
        <v>172</v>
      </c>
      <c r="B27" s="671">
        <f>SUM(B26:B26)</f>
        <v>127398</v>
      </c>
      <c r="C27" s="672">
        <f>IF(B27=0,0,D27/B27)</f>
        <v>45.5</v>
      </c>
      <c r="D27" s="673">
        <f>SUM(D26:D26)</f>
        <v>5796609</v>
      </c>
      <c r="E27" s="140"/>
      <c r="H27" s="488"/>
    </row>
    <row r="28" spans="1:8" ht="13.2" x14ac:dyDescent="0.25">
      <c r="A28" s="165" t="s">
        <v>173</v>
      </c>
      <c r="B28" s="159"/>
      <c r="H28" s="488"/>
    </row>
    <row r="29" spans="1:8" ht="13.2" x14ac:dyDescent="0.25">
      <c r="A29" s="91" t="s">
        <v>174</v>
      </c>
      <c r="B29" s="674">
        <f>SUM('4| Development Program'!R106,'4| Development Program'!R113,'4| Development Program'!R120,'4| Development Program'!R127,'4| Development Program'!R134,'4| Development Program'!R141)</f>
        <v>310</v>
      </c>
      <c r="C29" s="161"/>
      <c r="D29" s="162"/>
      <c r="H29" s="488"/>
    </row>
    <row r="30" spans="1:8" ht="13.8" thickBot="1" x14ac:dyDescent="0.3">
      <c r="A30" s="97" t="s">
        <v>175</v>
      </c>
      <c r="B30" s="674">
        <f>SUM('4| Development Program'!R105,'4| Development Program'!R112,'4| Development Program'!R119,'4| Development Program'!R126,'4| Development Program'!R133,'4| Development Program'!R140)</f>
        <v>60</v>
      </c>
      <c r="C30" s="161"/>
      <c r="D30" s="162"/>
      <c r="H30" s="488"/>
    </row>
    <row r="31" spans="1:8" ht="14.4" thickTop="1" thickBot="1" x14ac:dyDescent="0.3">
      <c r="A31" s="163" t="s">
        <v>176</v>
      </c>
      <c r="B31" s="675">
        <f>SUM(B29:B30)</f>
        <v>370</v>
      </c>
      <c r="C31" s="161"/>
      <c r="D31" s="162"/>
      <c r="H31" s="488"/>
    </row>
    <row r="32" spans="1:8" ht="13.2" x14ac:dyDescent="0.25">
      <c r="A32" s="165" t="s">
        <v>177</v>
      </c>
      <c r="B32" s="166" t="s">
        <v>280</v>
      </c>
      <c r="C32" s="167"/>
      <c r="D32" s="167"/>
      <c r="E32" s="167"/>
      <c r="H32" s="488"/>
    </row>
    <row r="33" spans="1:8" ht="13.2" x14ac:dyDescent="0.25">
      <c r="A33" s="168" t="s">
        <v>178</v>
      </c>
      <c r="B33" s="174">
        <f>SUM('5| Demolitions &amp; Land'!O13,'5| Demolitions &amp; Land'!J16,'5| Demolitions &amp; Land'!J23)</f>
        <v>218622960</v>
      </c>
      <c r="C33" s="170"/>
      <c r="D33" s="171"/>
      <c r="E33" s="167"/>
      <c r="H33" s="488"/>
    </row>
    <row r="34" spans="1:8" ht="13.2" x14ac:dyDescent="0.25">
      <c r="A34" s="168" t="s">
        <v>179</v>
      </c>
      <c r="B34" s="174">
        <f>C22+B27</f>
        <v>1103548</v>
      </c>
      <c r="C34" s="170"/>
      <c r="D34" s="171"/>
      <c r="E34" s="167"/>
      <c r="H34" s="488"/>
    </row>
    <row r="35" spans="1:8" ht="13.2" x14ac:dyDescent="0.25">
      <c r="A35" s="172">
        <f>'2| Assumptions'!C32</f>
        <v>150</v>
      </c>
      <c r="B35" s="174">
        <f>B31*'2| Assumptions'!C32</f>
        <v>55500</v>
      </c>
      <c r="C35" s="170"/>
      <c r="D35" s="171"/>
      <c r="E35" s="167"/>
      <c r="H35" s="488"/>
    </row>
    <row r="36" spans="1:8" ht="13.8" thickBot="1" x14ac:dyDescent="0.3">
      <c r="A36" s="331">
        <v>0.15</v>
      </c>
      <c r="B36" s="174">
        <f>(1+A36)*(B34+B35)</f>
        <v>1332905.2</v>
      </c>
      <c r="C36" s="170"/>
      <c r="D36" s="171"/>
      <c r="E36" s="167"/>
      <c r="H36" s="488"/>
    </row>
    <row r="37" spans="1:8" ht="15" customHeight="1" thickBot="1" x14ac:dyDescent="0.3">
      <c r="A37" s="790" t="s">
        <v>180</v>
      </c>
      <c r="B37" s="791"/>
      <c r="C37" s="840" t="str">
        <f>D5</f>
        <v>Phase 3</v>
      </c>
      <c r="D37" s="841"/>
      <c r="E37" s="167"/>
      <c r="H37" s="488"/>
    </row>
    <row r="38" spans="1:8" ht="13.8" thickBot="1" x14ac:dyDescent="0.3">
      <c r="A38" s="179" t="s">
        <v>181</v>
      </c>
      <c r="B38" s="180" t="s">
        <v>155</v>
      </c>
      <c r="C38" s="180" t="s">
        <v>182</v>
      </c>
      <c r="D38" s="181" t="s">
        <v>183</v>
      </c>
      <c r="E38" s="167"/>
      <c r="H38" s="488"/>
    </row>
    <row r="39" spans="1:8" ht="13.2" x14ac:dyDescent="0.25">
      <c r="A39" s="676" t="s">
        <v>184</v>
      </c>
      <c r="B39" s="677">
        <f>D39/B22</f>
        <v>39046.295366810184</v>
      </c>
      <c r="C39" s="678">
        <f>D39/C22</f>
        <v>46.800354022607095</v>
      </c>
      <c r="D39" s="679">
        <f>E22</f>
        <v>45684165.579167917</v>
      </c>
      <c r="E39" s="167"/>
      <c r="H39" s="488"/>
    </row>
    <row r="40" spans="1:8" ht="13.2" x14ac:dyDescent="0.25">
      <c r="A40" s="680">
        <f>B27</f>
        <v>127398</v>
      </c>
      <c r="B40" s="842" t="s">
        <v>185</v>
      </c>
      <c r="C40" s="843"/>
      <c r="D40" s="681">
        <f>D27</f>
        <v>5796609</v>
      </c>
      <c r="E40" s="167"/>
      <c r="H40" s="488"/>
    </row>
    <row r="41" spans="1:8" ht="13.2" x14ac:dyDescent="0.25">
      <c r="A41" s="192"/>
      <c r="B41" s="844" t="s">
        <v>186</v>
      </c>
      <c r="C41" s="844"/>
      <c r="D41" s="474">
        <f>SUM(D39:D40)</f>
        <v>51480774.579167917</v>
      </c>
      <c r="E41" s="167"/>
      <c r="H41" s="488"/>
    </row>
    <row r="42" spans="1:8" ht="13.2" x14ac:dyDescent="0.25">
      <c r="A42" s="190" t="s">
        <v>187</v>
      </c>
      <c r="B42" s="474" t="s">
        <v>188</v>
      </c>
      <c r="C42" s="474" t="s">
        <v>189</v>
      </c>
      <c r="D42" s="474"/>
      <c r="E42" s="167"/>
      <c r="H42" s="488"/>
    </row>
    <row r="43" spans="1:8" ht="13.2" x14ac:dyDescent="0.25">
      <c r="A43" s="192" t="s">
        <v>190</v>
      </c>
      <c r="B43" s="238">
        <f>'2| Assumptions'!C35</f>
        <v>250</v>
      </c>
      <c r="C43" s="475">
        <f>D43/C22</f>
        <v>0.9527224299544127</v>
      </c>
      <c r="D43" s="238">
        <f>B43*B29*12</f>
        <v>930000</v>
      </c>
      <c r="E43" s="167"/>
      <c r="H43" s="488"/>
    </row>
    <row r="44" spans="1:8" ht="13.2" x14ac:dyDescent="0.25">
      <c r="A44" s="192" t="s">
        <v>191</v>
      </c>
      <c r="B44" s="238">
        <f>D44/B22</f>
        <v>2200.0331016738428</v>
      </c>
      <c r="C44" s="475">
        <f>D44/C22</f>
        <v>2.6369294974731305</v>
      </c>
      <c r="D44" s="238">
        <f>'2| Assumptions'!F17*D41</f>
        <v>2574038.7289583962</v>
      </c>
      <c r="E44" s="167"/>
      <c r="H44" s="488"/>
    </row>
    <row r="45" spans="1:8" ht="13.8" thickBot="1" x14ac:dyDescent="0.3">
      <c r="A45" s="197" t="s">
        <v>192</v>
      </c>
      <c r="B45" s="830"/>
      <c r="C45" s="831"/>
      <c r="D45" s="682">
        <f>SUM(D43:D44)</f>
        <v>3504038.7289583962</v>
      </c>
      <c r="E45" s="167"/>
      <c r="H45" s="488"/>
    </row>
    <row r="46" spans="1:8" ht="14.4" thickTop="1" thickBot="1" x14ac:dyDescent="0.3">
      <c r="A46" s="683">
        <v>0.05</v>
      </c>
      <c r="B46" s="832"/>
      <c r="C46" s="833"/>
      <c r="D46" s="684">
        <f>-A46*D41</f>
        <v>-2574038.7289583962</v>
      </c>
      <c r="E46" s="167"/>
      <c r="H46" s="488"/>
    </row>
    <row r="47" spans="1:8" ht="14.4" thickTop="1" thickBot="1" x14ac:dyDescent="0.3">
      <c r="A47" s="201" t="s">
        <v>193</v>
      </c>
      <c r="B47" s="202">
        <f>D47/B22</f>
        <v>44795.533828348649</v>
      </c>
      <c r="C47" s="203">
        <f>D47/C22</f>
        <v>53.691312379417013</v>
      </c>
      <c r="D47" s="204">
        <f>D41+D45+D46</f>
        <v>52410774.579167917</v>
      </c>
      <c r="E47" s="167"/>
      <c r="H47" s="488"/>
    </row>
    <row r="48" spans="1:8" ht="13.2" x14ac:dyDescent="0.25">
      <c r="A48" s="111" t="s">
        <v>194</v>
      </c>
      <c r="B48" s="112" t="s">
        <v>155</v>
      </c>
      <c r="C48" s="112" t="s">
        <v>195</v>
      </c>
      <c r="D48" s="205" t="s">
        <v>183</v>
      </c>
      <c r="E48" s="167"/>
      <c r="H48" s="488"/>
    </row>
    <row r="49" spans="1:8" ht="13.2" x14ac:dyDescent="0.25">
      <c r="A49" s="206" t="s">
        <v>196</v>
      </c>
      <c r="B49" s="208">
        <f>D49/B22</f>
        <v>-13200.198610043055</v>
      </c>
      <c r="C49" s="208">
        <f>D49/C22</f>
        <v>-15.821576984838778</v>
      </c>
      <c r="D49" s="208">
        <f>-0.3*D41</f>
        <v>-15444232.373750374</v>
      </c>
      <c r="E49" s="167"/>
      <c r="H49" s="488"/>
    </row>
    <row r="50" spans="1:8" ht="13.8" thickBot="1" x14ac:dyDescent="0.3">
      <c r="A50" s="731" t="s">
        <v>494</v>
      </c>
      <c r="B50" s="732">
        <f>D50/B22</f>
        <v>-12018.138583286438</v>
      </c>
      <c r="C50" s="732">
        <f>D50/C22</f>
        <v>-14.40477605126787</v>
      </c>
      <c r="D50" s="732">
        <f>-('5b| Land Lease Calculations'!C33)</f>
        <v>-14061222.142445132</v>
      </c>
      <c r="E50" s="167"/>
      <c r="H50" s="488"/>
    </row>
    <row r="51" spans="1:8" ht="13.8" thickBot="1" x14ac:dyDescent="0.3">
      <c r="A51" s="209" t="s">
        <v>197</v>
      </c>
      <c r="B51" s="210">
        <f>D51/B22</f>
        <v>19577.196635019154</v>
      </c>
      <c r="C51" s="211"/>
      <c r="D51" s="210">
        <f>D47+D49+D50</f>
        <v>22905320.062972412</v>
      </c>
      <c r="E51" s="167"/>
      <c r="H51" s="488"/>
    </row>
    <row r="52" spans="1:8" ht="13.8" thickBot="1" x14ac:dyDescent="0.3">
      <c r="A52" s="212" t="s">
        <v>198</v>
      </c>
      <c r="B52" s="213" t="s">
        <v>495</v>
      </c>
      <c r="C52" s="214">
        <f>'2| Assumptions'!H11</f>
        <v>4.7500000000000001E-2</v>
      </c>
      <c r="D52" s="215">
        <f>SUM(D39,D46,(SUM(D49,D50)/2))/C52+SUM(D40,D45,(SUM(D49,D50)/2))/C53</f>
        <v>509764613.68349171</v>
      </c>
      <c r="E52" s="167"/>
      <c r="H52" s="488"/>
    </row>
    <row r="53" spans="1:8" ht="13.8" thickBot="1" x14ac:dyDescent="0.3">
      <c r="A53" s="479"/>
      <c r="B53" s="213" t="s">
        <v>496</v>
      </c>
      <c r="C53" s="480">
        <f>'2| Assumptions'!H13</f>
        <v>6.25E-2</v>
      </c>
      <c r="D53" s="481"/>
      <c r="E53" s="167"/>
      <c r="H53" s="488"/>
    </row>
    <row r="54" spans="1:8" ht="13.8" thickBot="1" x14ac:dyDescent="0.3">
      <c r="A54" s="781" t="s">
        <v>497</v>
      </c>
      <c r="B54" s="782"/>
      <c r="C54" s="783" t="str">
        <f>D5</f>
        <v>Phase 3</v>
      </c>
      <c r="D54" s="834"/>
      <c r="H54" s="488"/>
    </row>
    <row r="55" spans="1:8" ht="13.8" thickBot="1" x14ac:dyDescent="0.3">
      <c r="A55" s="165"/>
      <c r="B55" s="113" t="s">
        <v>202</v>
      </c>
      <c r="C55" s="113" t="s">
        <v>203</v>
      </c>
      <c r="D55" s="113" t="s">
        <v>155</v>
      </c>
      <c r="H55" s="488"/>
    </row>
    <row r="56" spans="1:8" ht="13.2" x14ac:dyDescent="0.25">
      <c r="A56" s="687" t="s">
        <v>498</v>
      </c>
      <c r="B56" s="688" t="s">
        <v>499</v>
      </c>
      <c r="C56" s="689">
        <f>SUM('4| Development Program'!P107,'4| Development Program'!P114,'4| Development Program'!P121,'4| Development Program'!P128,'4| Development Program'!P135,'4| Development Program'!P142)</f>
        <v>241277725</v>
      </c>
      <c r="D56" s="238">
        <f>C56/$B$22</f>
        <v>206220.27777777778</v>
      </c>
      <c r="E56" s="534"/>
      <c r="H56" s="488"/>
    </row>
    <row r="57" spans="1:8" ht="13.2" x14ac:dyDescent="0.25">
      <c r="A57" s="690" t="s">
        <v>205</v>
      </c>
      <c r="B57" s="691">
        <f>'2| Assumptions'!C29</f>
        <v>65625</v>
      </c>
      <c r="C57" s="677">
        <f>B31*B57</f>
        <v>24281250</v>
      </c>
      <c r="D57" s="238">
        <f>C57/$B$22</f>
        <v>20753.205128205129</v>
      </c>
      <c r="E57" s="534"/>
      <c r="H57" s="488"/>
    </row>
    <row r="58" spans="1:8" ht="13.2" x14ac:dyDescent="0.25">
      <c r="A58" s="690" t="s">
        <v>103</v>
      </c>
      <c r="B58" s="692">
        <f>'2| Assumptions'!F30</f>
        <v>0.05</v>
      </c>
      <c r="C58" s="677">
        <f>B58*C56</f>
        <v>12063886.25</v>
      </c>
      <c r="D58" s="238">
        <f>C58/$B$22</f>
        <v>10311.013888888889</v>
      </c>
      <c r="E58" s="534"/>
      <c r="H58" s="488"/>
    </row>
    <row r="59" spans="1:8" ht="13.2" x14ac:dyDescent="0.25">
      <c r="A59" s="690" t="s">
        <v>31</v>
      </c>
      <c r="B59" s="630" t="s">
        <v>110</v>
      </c>
      <c r="C59" s="677">
        <f>SUM('5| Demolitions &amp; Land'!D13,'5| Demolitions &amp; Land'!D16,'5| Demolitions &amp; Land'!D23)</f>
        <v>2500000</v>
      </c>
      <c r="D59" s="238"/>
      <c r="E59" s="534"/>
      <c r="H59" s="488"/>
    </row>
    <row r="60" spans="1:8" ht="13.2" x14ac:dyDescent="0.25">
      <c r="A60" s="690" t="s">
        <v>206</v>
      </c>
      <c r="B60" s="693" t="s">
        <v>500</v>
      </c>
      <c r="C60" s="733">
        <v>0</v>
      </c>
      <c r="D60" s="238">
        <f>C60/$B$22</f>
        <v>0</v>
      </c>
      <c r="E60" s="534"/>
      <c r="F60" s="506"/>
      <c r="H60" s="488"/>
    </row>
    <row r="61" spans="1:8" ht="13.2" x14ac:dyDescent="0.25">
      <c r="A61" s="690" t="s">
        <v>208</v>
      </c>
      <c r="B61" s="695">
        <f>'2| Assumptions'!F31</f>
        <v>4000</v>
      </c>
      <c r="C61" s="677">
        <f>B61*B22</f>
        <v>4680000</v>
      </c>
      <c r="D61" s="677">
        <f>C61/B22</f>
        <v>4000</v>
      </c>
      <c r="E61" s="534"/>
      <c r="H61" s="488"/>
    </row>
    <row r="62" spans="1:8" ht="13.2" x14ac:dyDescent="0.25">
      <c r="A62" s="690" t="s">
        <v>209</v>
      </c>
      <c r="B62" s="696" t="s">
        <v>210</v>
      </c>
      <c r="C62" s="677">
        <f>SUM('4| Development Program'!W107,'4| Development Program'!W114,'4| Development Program'!W121,'4| Development Program'!W128,'4| Development Program'!W135,'4| Development Program'!W142)</f>
        <v>12312542.857142858</v>
      </c>
      <c r="D62" s="238">
        <f>C62/$B$22</f>
        <v>10523.540903540905</v>
      </c>
      <c r="E62" s="534"/>
      <c r="H62" s="488"/>
    </row>
    <row r="63" spans="1:8" ht="13.2" x14ac:dyDescent="0.25">
      <c r="A63" s="91" t="s">
        <v>109</v>
      </c>
      <c r="B63" s="231" t="s">
        <v>110</v>
      </c>
      <c r="C63" s="697">
        <v>300000</v>
      </c>
      <c r="D63" s="238">
        <f t="shared" ref="D63:D64" si="1">C63/$B$22</f>
        <v>256.41025641025641</v>
      </c>
      <c r="E63" s="534"/>
      <c r="H63" s="488"/>
    </row>
    <row r="64" spans="1:8" ht="13.2" x14ac:dyDescent="0.25">
      <c r="A64" s="91" t="s">
        <v>112</v>
      </c>
      <c r="B64" s="698">
        <f>'2| Assumptions'!F34</f>
        <v>0.01</v>
      </c>
      <c r="C64" s="238">
        <f>B64*(C56+C58)</f>
        <v>2533416.1125000003</v>
      </c>
      <c r="D64" s="238">
        <f t="shared" si="1"/>
        <v>2165.3129166666668</v>
      </c>
      <c r="E64" s="534"/>
      <c r="H64" s="488"/>
    </row>
    <row r="65" spans="1:8" ht="13.2" x14ac:dyDescent="0.25">
      <c r="A65" s="91" t="s">
        <v>114</v>
      </c>
      <c r="B65" s="698">
        <f>'2| Assumptions'!F35</f>
        <v>0.06</v>
      </c>
      <c r="C65" s="238">
        <f>B65*(C56+C58)</f>
        <v>15200496.674999999</v>
      </c>
      <c r="D65" s="238">
        <f>C65/$B$22</f>
        <v>12991.877499999999</v>
      </c>
      <c r="E65" s="534"/>
      <c r="H65" s="488"/>
    </row>
    <row r="66" spans="1:8" ht="13.2" x14ac:dyDescent="0.25">
      <c r="A66" s="91" t="s">
        <v>117</v>
      </c>
      <c r="B66" s="699">
        <f>'2| Assumptions'!F36</f>
        <v>0.03</v>
      </c>
      <c r="C66" s="236">
        <f>B66*SUM(C56:C65)</f>
        <v>9454479.5068392865</v>
      </c>
      <c r="D66" s="238">
        <f>C66/$B$22</f>
        <v>8080.7517152472537</v>
      </c>
      <c r="E66" s="534"/>
      <c r="H66" s="488"/>
    </row>
    <row r="67" spans="1:8" ht="13.2" x14ac:dyDescent="0.25">
      <c r="A67" s="91" t="s">
        <v>119</v>
      </c>
      <c r="B67" s="698">
        <f>'2| Assumptions'!F37</f>
        <v>0.02</v>
      </c>
      <c r="C67" s="238">
        <f>B67*(C56+C58)</f>
        <v>5066832.2250000006</v>
      </c>
      <c r="D67" s="238">
        <f t="shared" ref="D67:D76" si="2">C67/$B$22</f>
        <v>4330.6258333333335</v>
      </c>
      <c r="E67" s="534"/>
      <c r="H67" s="488"/>
    </row>
    <row r="68" spans="1:8" ht="13.2" x14ac:dyDescent="0.25">
      <c r="A68" s="91" t="s">
        <v>211</v>
      </c>
      <c r="B68" s="700" t="s">
        <v>110</v>
      </c>
      <c r="C68" s="697">
        <v>0</v>
      </c>
      <c r="D68" s="238">
        <f t="shared" si="2"/>
        <v>0</v>
      </c>
      <c r="E68" s="534"/>
      <c r="H68" s="488"/>
    </row>
    <row r="69" spans="1:8" ht="13.2" x14ac:dyDescent="0.25">
      <c r="A69" s="91" t="s">
        <v>123</v>
      </c>
      <c r="B69" s="696">
        <f>'2| Assumptions'!F39</f>
        <v>5000</v>
      </c>
      <c r="C69" s="238">
        <f>B69*B22</f>
        <v>5850000</v>
      </c>
      <c r="D69" s="238">
        <f t="shared" si="2"/>
        <v>5000</v>
      </c>
      <c r="E69" s="534"/>
      <c r="H69" s="488"/>
    </row>
    <row r="70" spans="1:8" ht="13.2" x14ac:dyDescent="0.25">
      <c r="A70" s="91" t="s">
        <v>124</v>
      </c>
      <c r="B70" s="231" t="s">
        <v>110</v>
      </c>
      <c r="C70" s="697">
        <v>1500000</v>
      </c>
      <c r="D70" s="238">
        <f t="shared" si="2"/>
        <v>1282.051282051282</v>
      </c>
      <c r="E70" s="534"/>
      <c r="H70" s="488"/>
    </row>
    <row r="71" spans="1:8" ht="13.2" x14ac:dyDescent="0.25">
      <c r="A71" s="91" t="s">
        <v>125</v>
      </c>
      <c r="B71" s="701">
        <f>'2| Assumptions'!F41</f>
        <v>6</v>
      </c>
      <c r="C71" s="238">
        <f>-B71*(D49/12)</f>
        <v>7722116.1868751869</v>
      </c>
      <c r="D71" s="238">
        <f t="shared" si="2"/>
        <v>6600.0993050215275</v>
      </c>
      <c r="E71" s="534"/>
      <c r="H71" s="488"/>
    </row>
    <row r="72" spans="1:8" ht="13.2" x14ac:dyDescent="0.25">
      <c r="A72" s="91" t="s">
        <v>212</v>
      </c>
      <c r="B72" s="702">
        <v>25</v>
      </c>
      <c r="C72" s="238">
        <f>B27*B72</f>
        <v>3184950</v>
      </c>
      <c r="D72" s="238">
        <f t="shared" si="2"/>
        <v>2722.1794871794873</v>
      </c>
      <c r="E72" s="534"/>
      <c r="H72" s="488"/>
    </row>
    <row r="73" spans="1:8" ht="13.2" x14ac:dyDescent="0.25">
      <c r="A73" s="91" t="s">
        <v>213</v>
      </c>
      <c r="B73" s="703">
        <f>'2| Assumptions'!F43</f>
        <v>0.06</v>
      </c>
      <c r="C73" s="236">
        <f>B73*D27*5</f>
        <v>1738982.7</v>
      </c>
      <c r="D73" s="238">
        <f t="shared" si="2"/>
        <v>1486.31</v>
      </c>
      <c r="E73" s="534"/>
      <c r="H73" s="488"/>
    </row>
    <row r="74" spans="1:8" ht="13.2" x14ac:dyDescent="0.25">
      <c r="A74" s="91" t="s">
        <v>128</v>
      </c>
      <c r="B74" s="704">
        <f>'2| Assumptions'!F44</f>
        <v>1.4999999999999999E-2</v>
      </c>
      <c r="C74" s="236">
        <v>3320325</v>
      </c>
      <c r="D74" s="238">
        <f t="shared" si="2"/>
        <v>2837.8846153846152</v>
      </c>
      <c r="E74" s="835" t="s">
        <v>501</v>
      </c>
      <c r="F74" s="836"/>
      <c r="G74" s="245">
        <f>B74*B87</f>
        <v>3319935</v>
      </c>
      <c r="H74" s="488"/>
    </row>
    <row r="75" spans="1:8" ht="13.2" x14ac:dyDescent="0.25">
      <c r="A75" s="246" t="s">
        <v>130</v>
      </c>
      <c r="B75" s="705">
        <f>'2| Assumptions'!F46</f>
        <v>7.0000000000000007E-2</v>
      </c>
      <c r="C75" s="236">
        <v>15494850.000000002</v>
      </c>
      <c r="D75" s="238">
        <f t="shared" si="2"/>
        <v>13243.461538461541</v>
      </c>
      <c r="E75" s="835" t="s">
        <v>501</v>
      </c>
      <c r="F75" s="836"/>
      <c r="G75" s="248">
        <f>B75*B87</f>
        <v>15493030.000000002</v>
      </c>
      <c r="H75" s="488"/>
    </row>
    <row r="76" spans="1:8" ht="13.8" thickBot="1" x14ac:dyDescent="0.3">
      <c r="A76" s="97" t="s">
        <v>215</v>
      </c>
      <c r="B76" s="706" t="s">
        <v>110</v>
      </c>
      <c r="C76" s="707">
        <v>400000</v>
      </c>
      <c r="D76" s="708">
        <f t="shared" si="2"/>
        <v>341.88034188034186</v>
      </c>
      <c r="E76" s="534"/>
      <c r="H76" s="488"/>
    </row>
    <row r="77" spans="1:8" ht="14.4" thickTop="1" thickBot="1" x14ac:dyDescent="0.3">
      <c r="A77" s="252" t="s">
        <v>216</v>
      </c>
      <c r="B77" s="253"/>
      <c r="C77" s="254">
        <f>SUM(C56:C76)</f>
        <v>368881852.51335734</v>
      </c>
      <c r="D77" s="254">
        <f>ROUND(C77/$B$22,-3)</f>
        <v>315000</v>
      </c>
      <c r="H77" s="488"/>
    </row>
    <row r="78" spans="1:8" ht="13.2" x14ac:dyDescent="0.25">
      <c r="A78" s="255" t="s">
        <v>217</v>
      </c>
      <c r="B78" s="256">
        <f>D51/C77</f>
        <v>6.2093919521679378E-2</v>
      </c>
      <c r="H78" s="488"/>
    </row>
    <row r="79" spans="1:8" ht="13.2" x14ac:dyDescent="0.25">
      <c r="A79" s="257" t="s">
        <v>218</v>
      </c>
      <c r="B79" s="258">
        <f>(D52/C77)-1</f>
        <v>0.3819183844643943</v>
      </c>
      <c r="C79" s="259"/>
      <c r="D79" s="260"/>
      <c r="H79" s="488"/>
    </row>
    <row r="80" spans="1:8" ht="13.8" thickBot="1" x14ac:dyDescent="0.3">
      <c r="A80" s="261">
        <v>0.3</v>
      </c>
      <c r="B80" s="262">
        <f>(D52/(1+A80))</f>
        <v>392126625.91037822</v>
      </c>
      <c r="H80" s="488"/>
    </row>
    <row r="81" spans="1:8" ht="13.8" thickBot="1" x14ac:dyDescent="0.3">
      <c r="A81" s="332">
        <v>0.3</v>
      </c>
      <c r="B81" s="262">
        <f>ROUND((D52/(1+A81))-C77,-3)</f>
        <v>23245000</v>
      </c>
      <c r="C81" s="264" t="s">
        <v>219</v>
      </c>
      <c r="H81" s="488"/>
    </row>
    <row r="82" spans="1:8" ht="13.8" thickBot="1" x14ac:dyDescent="0.3">
      <c r="A82" s="265"/>
      <c r="B82" s="266"/>
      <c r="H82" s="488"/>
    </row>
    <row r="83" spans="1:8" ht="14.7" customHeight="1" x14ac:dyDescent="0.25">
      <c r="A83" s="854" t="s">
        <v>220</v>
      </c>
      <c r="B83" s="855"/>
      <c r="C83" s="593" t="str">
        <f>D5</f>
        <v>Phase 3</v>
      </c>
      <c r="H83" s="488"/>
    </row>
    <row r="84" spans="1:8" ht="13.8" thickBot="1" x14ac:dyDescent="0.3">
      <c r="A84" s="476"/>
      <c r="B84" s="477" t="s">
        <v>221</v>
      </c>
      <c r="C84" s="478" t="s">
        <v>155</v>
      </c>
      <c r="H84" s="488"/>
    </row>
    <row r="85" spans="1:8" ht="13.2" x14ac:dyDescent="0.25">
      <c r="A85" s="271" t="s">
        <v>222</v>
      </c>
      <c r="B85" s="709">
        <f>IF(B81&lt;0,B81,0)</f>
        <v>0</v>
      </c>
      <c r="C85" s="710"/>
      <c r="H85" s="488"/>
    </row>
    <row r="86" spans="1:8" ht="13.2" x14ac:dyDescent="0.25">
      <c r="A86" s="274" t="s">
        <v>223</v>
      </c>
      <c r="B86" s="667">
        <f>C77+B85</f>
        <v>368881852.51335734</v>
      </c>
      <c r="C86" s="711"/>
      <c r="H86" s="488"/>
    </row>
    <row r="87" spans="1:8" ht="13.2" x14ac:dyDescent="0.25">
      <c r="A87" s="712">
        <f>'2| Assumptions'!H19</f>
        <v>0.6</v>
      </c>
      <c r="B87" s="713">
        <f>ROUND(A87*B$86,-3)</f>
        <v>221329000</v>
      </c>
      <c r="C87" s="713">
        <f>B87/B22</f>
        <v>189170.08547008547</v>
      </c>
      <c r="H87" s="488"/>
    </row>
    <row r="88" spans="1:8" ht="13.8" thickBot="1" x14ac:dyDescent="0.3">
      <c r="A88" s="278">
        <f>1-A87</f>
        <v>0.4</v>
      </c>
      <c r="B88" s="714">
        <f>ROUND(A88*B$86,-3)</f>
        <v>147553000</v>
      </c>
      <c r="C88" s="715">
        <f>B88/B22</f>
        <v>126113.67521367522</v>
      </c>
      <c r="D88" s="260"/>
      <c r="H88" s="488"/>
    </row>
    <row r="89" spans="1:8" ht="13.8" thickTop="1" x14ac:dyDescent="0.25">
      <c r="A89" s="96" t="s">
        <v>224</v>
      </c>
      <c r="B89" s="716">
        <f>B87+B88</f>
        <v>368882000</v>
      </c>
      <c r="C89" s="717">
        <f>ROUND((C88+C87),-3)</f>
        <v>315000</v>
      </c>
      <c r="H89" s="488"/>
    </row>
    <row r="90" spans="1:8" ht="13.2" x14ac:dyDescent="0.25">
      <c r="A90" s="307"/>
      <c r="B90" s="461"/>
      <c r="C90" s="461"/>
      <c r="H90" s="488"/>
    </row>
    <row r="91" spans="1:8" ht="15" customHeight="1" x14ac:dyDescent="0.25">
      <c r="A91" s="829" t="s">
        <v>546</v>
      </c>
      <c r="B91" s="829"/>
      <c r="C91" s="463" t="str">
        <f>D5</f>
        <v>Phase 3</v>
      </c>
      <c r="H91" s="488"/>
    </row>
    <row r="92" spans="1:8" ht="13.2" x14ac:dyDescent="0.25">
      <c r="A92" s="718"/>
      <c r="B92" s="711" t="s">
        <v>226</v>
      </c>
      <c r="C92" s="464"/>
      <c r="H92" s="488"/>
    </row>
    <row r="93" spans="1:8" ht="13.2" x14ac:dyDescent="0.25">
      <c r="A93" s="549" t="s">
        <v>227</v>
      </c>
      <c r="B93" s="719">
        <f>ROUND(D52,-2)</f>
        <v>509764600</v>
      </c>
      <c r="C93" s="465"/>
      <c r="H93" s="488"/>
    </row>
    <row r="94" spans="1:8" ht="13.2" x14ac:dyDescent="0.25">
      <c r="A94" s="720">
        <f>'2| Assumptions'!F45</f>
        <v>0.02</v>
      </c>
      <c r="B94" s="713">
        <f>(-ROUND(A94*B93,-2))</f>
        <v>-10195300</v>
      </c>
      <c r="C94" s="465"/>
      <c r="H94" s="488"/>
    </row>
    <row r="95" spans="1:8" ht="13.2" x14ac:dyDescent="0.25">
      <c r="A95" s="549" t="s">
        <v>228</v>
      </c>
      <c r="B95" s="719">
        <f>SUM(B93:B94)</f>
        <v>499569300</v>
      </c>
      <c r="C95" s="465"/>
      <c r="E95" s="296"/>
      <c r="H95" s="488"/>
    </row>
    <row r="96" spans="1:8" ht="13.2" x14ac:dyDescent="0.25">
      <c r="A96" s="549" t="s">
        <v>229</v>
      </c>
      <c r="B96" s="719">
        <f>-B87</f>
        <v>-221329000</v>
      </c>
      <c r="C96" s="465"/>
      <c r="H96" s="488"/>
    </row>
    <row r="97" spans="1:8" ht="13.2" x14ac:dyDescent="0.25">
      <c r="A97" s="549" t="s">
        <v>230</v>
      </c>
      <c r="B97" s="719">
        <f>-B88</f>
        <v>-147553000</v>
      </c>
      <c r="C97" s="465"/>
      <c r="H97" s="488"/>
    </row>
    <row r="98" spans="1:8" ht="13.2" x14ac:dyDescent="0.25">
      <c r="A98" s="721" t="s">
        <v>231</v>
      </c>
      <c r="B98" s="722">
        <f>ROUND(B95+B96+B97,-2)</f>
        <v>130687300</v>
      </c>
      <c r="C98" s="466"/>
      <c r="D98" s="301"/>
      <c r="H98" s="488"/>
    </row>
    <row r="99" spans="1:8" ht="15" customHeight="1" x14ac:dyDescent="0.25">
      <c r="A99" s="829" t="s">
        <v>232</v>
      </c>
      <c r="B99" s="829"/>
      <c r="C99" s="467"/>
      <c r="H99" s="488"/>
    </row>
    <row r="100" spans="1:8" ht="13.2" x14ac:dyDescent="0.25">
      <c r="A100" s="723" t="s">
        <v>233</v>
      </c>
      <c r="B100" s="724">
        <f>ROUND((B93)/B$22,-2)</f>
        <v>435700</v>
      </c>
      <c r="C100" s="468"/>
      <c r="H100" s="488"/>
    </row>
    <row r="101" spans="1:8" ht="13.2" x14ac:dyDescent="0.25">
      <c r="A101" s="725" t="s">
        <v>234</v>
      </c>
      <c r="B101" s="726">
        <f>ROUND((B95)/B$22,-2)</f>
        <v>427000</v>
      </c>
      <c r="C101" s="469"/>
      <c r="H101" s="488"/>
    </row>
    <row r="102" spans="1:8" ht="14.7" customHeight="1" x14ac:dyDescent="0.25">
      <c r="A102" s="829" t="s">
        <v>235</v>
      </c>
      <c r="B102" s="829"/>
      <c r="C102" s="467"/>
      <c r="H102" s="488"/>
    </row>
    <row r="103" spans="1:8" ht="13.2" x14ac:dyDescent="0.25">
      <c r="A103" s="473"/>
      <c r="B103" s="473"/>
      <c r="C103" s="461"/>
      <c r="H103" s="488"/>
    </row>
    <row r="104" spans="1:8" ht="13.2" x14ac:dyDescent="0.25">
      <c r="A104" s="473"/>
      <c r="B104" s="711" t="s">
        <v>226</v>
      </c>
      <c r="C104" s="464"/>
      <c r="H104" s="488"/>
    </row>
    <row r="105" spans="1:8" ht="13.2" x14ac:dyDescent="0.25">
      <c r="A105" s="549" t="s">
        <v>236</v>
      </c>
      <c r="B105" s="727">
        <f>(B98+B88)/B88</f>
        <v>1.8856973426497599</v>
      </c>
      <c r="C105" s="462"/>
      <c r="H105" s="488"/>
    </row>
    <row r="106" spans="1:8" ht="13.2" x14ac:dyDescent="0.25">
      <c r="A106" s="721" t="s">
        <v>237</v>
      </c>
      <c r="B106" s="728">
        <f>'8b| Phase 3 Draw'!B41</f>
        <v>0.40406892307726761</v>
      </c>
      <c r="C106" s="470"/>
      <c r="D106" s="312"/>
      <c r="H106" s="488"/>
    </row>
    <row r="107" spans="1:8" ht="13.2" x14ac:dyDescent="0.25">
      <c r="A107" s="549" t="s">
        <v>239</v>
      </c>
      <c r="B107" s="729">
        <f>D51/B87</f>
        <v>0.10348991800881227</v>
      </c>
      <c r="C107" s="471"/>
      <c r="H107" s="488"/>
    </row>
    <row r="108" spans="1:8" ht="13.2" x14ac:dyDescent="0.25">
      <c r="A108" s="549" t="s">
        <v>240</v>
      </c>
      <c r="B108" s="730">
        <f>C52</f>
        <v>4.7500000000000001E-2</v>
      </c>
      <c r="C108" s="472"/>
      <c r="H108" s="488"/>
    </row>
    <row r="109" spans="1:8" ht="23.25" customHeight="1" x14ac:dyDescent="0.25">
      <c r="H109" s="488"/>
    </row>
    <row r="110" spans="1:8" ht="12" customHeight="1" x14ac:dyDescent="0.25">
      <c r="A110" s="488"/>
      <c r="B110" s="488"/>
      <c r="C110" s="488"/>
      <c r="D110" s="488"/>
      <c r="E110" s="488"/>
      <c r="F110" s="488"/>
      <c r="G110" s="488"/>
      <c r="H110" s="488"/>
    </row>
  </sheetData>
  <mergeCells count="16">
    <mergeCell ref="E74:F74"/>
    <mergeCell ref="E75:F75"/>
    <mergeCell ref="A5:C5"/>
    <mergeCell ref="D5:E5"/>
    <mergeCell ref="A37:B37"/>
    <mergeCell ref="C37:D37"/>
    <mergeCell ref="B40:C40"/>
    <mergeCell ref="B41:C41"/>
    <mergeCell ref="A83:B83"/>
    <mergeCell ref="A91:B91"/>
    <mergeCell ref="A99:B99"/>
    <mergeCell ref="A102:B102"/>
    <mergeCell ref="B45:C45"/>
    <mergeCell ref="B46:C46"/>
    <mergeCell ref="A54:B54"/>
    <mergeCell ref="C54:D54"/>
  </mergeCells>
  <printOptions horizontalCentered="1" verticalCentered="1"/>
  <pageMargins left="0.7" right="0.7" top="0.75" bottom="0.75" header="0.3" footer="0.3"/>
  <pageSetup scale="51" fitToHeight="0" orientation="landscape" horizontalDpi="4294967292" verticalDpi="4294967292" r:id="rId1"/>
  <headerFooter>
    <oddHeader>&amp;C&amp;"Times New Roman Bold,Bold"&amp;14&amp;K000000INVESTOR SHEET</oddHeader>
    <oddFooter>&amp;CPage &amp;P of &amp;N</oddFooter>
  </headerFooter>
  <ignoredErrors>
    <ignoredError sqref="A94" unlockedFormula="1"/>
  </ignoredError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5414B0-0EB9-404F-B712-7ED53F41D358}">
  <sheetPr>
    <tabColor rgb="FFC8A2CA"/>
  </sheetPr>
  <dimension ref="A1:BG601"/>
  <sheetViews>
    <sheetView showGridLines="0" zoomScale="68" zoomScaleNormal="100" zoomScalePageLayoutView="125" workbookViewId="0">
      <pane xSplit="1" ySplit="6" topLeftCell="AB7" activePane="bottomRight" state="frozen"/>
      <selection pane="topRight" activeCell="C9" sqref="C9"/>
      <selection pane="bottomLeft" activeCell="C9" sqref="C9"/>
      <selection pane="bottomRight" activeCell="AH7" sqref="AH7"/>
    </sheetView>
  </sheetViews>
  <sheetFormatPr defaultColWidth="8.6640625" defaultRowHeight="13.2" x14ac:dyDescent="0.25"/>
  <cols>
    <col min="1" max="1" width="45.5546875" style="65" customWidth="1"/>
    <col min="2" max="2" width="21.44140625" style="65" customWidth="1"/>
    <col min="3" max="3" width="18.33203125" style="65" customWidth="1"/>
    <col min="4" max="4" width="15.5546875" style="65" customWidth="1"/>
    <col min="5" max="5" width="16.6640625" style="65" customWidth="1"/>
    <col min="6" max="6" width="18.5546875" style="65" customWidth="1"/>
    <col min="7" max="7" width="14.44140625" style="456" customWidth="1"/>
    <col min="8" max="8" width="19" style="65" customWidth="1"/>
    <col min="9" max="9" width="13.44140625" style="65" customWidth="1"/>
    <col min="10" max="10" width="16.44140625" style="65" customWidth="1"/>
    <col min="11" max="11" width="12.44140625" style="65" customWidth="1"/>
    <col min="12" max="12" width="14.33203125" style="65" customWidth="1"/>
    <col min="13" max="13" width="14.44140625" style="65" customWidth="1"/>
    <col min="14" max="14" width="15.44140625" style="65" customWidth="1"/>
    <col min="15" max="15" width="16.33203125" style="65" customWidth="1"/>
    <col min="16" max="16" width="22.33203125" style="65" customWidth="1"/>
    <col min="17" max="17" width="19.44140625" style="65" customWidth="1"/>
    <col min="18" max="19" width="14" style="65" customWidth="1"/>
    <col min="20" max="20" width="12.6640625" style="65" customWidth="1"/>
    <col min="21" max="21" width="14.44140625" style="65" customWidth="1"/>
    <col min="22" max="22" width="12.5546875" style="65" customWidth="1"/>
    <col min="23" max="23" width="17" style="65" customWidth="1"/>
    <col min="24" max="24" width="16.44140625" style="65" customWidth="1"/>
    <col min="25" max="25" width="13.44140625" style="65" customWidth="1"/>
    <col min="26" max="26" width="15" style="65" customWidth="1"/>
    <col min="27" max="27" width="13.44140625" style="65" customWidth="1"/>
    <col min="28" max="28" width="16.6640625" style="65" customWidth="1"/>
    <col min="29" max="29" width="15" style="65" customWidth="1"/>
    <col min="30" max="30" width="16.33203125" style="65" customWidth="1"/>
    <col min="31" max="31" width="13.44140625" style="65" customWidth="1"/>
    <col min="32" max="32" width="17.33203125" style="65" customWidth="1"/>
    <col min="33" max="33" width="14.44140625" style="65" customWidth="1"/>
    <col min="34" max="34" width="17.5546875" style="65" customWidth="1"/>
    <col min="35" max="39" width="14.44140625" style="65" customWidth="1"/>
    <col min="40" max="40" width="19.109375" style="65" bestFit="1" customWidth="1"/>
    <col min="41" max="41" width="16.6640625" style="65" bestFit="1" customWidth="1"/>
    <col min="42" max="42" width="14.6640625" style="65" customWidth="1"/>
    <col min="43" max="43" width="15" style="65" hidden="1" customWidth="1"/>
    <col min="44" max="44" width="15.33203125" style="65" hidden="1" customWidth="1"/>
    <col min="45" max="45" width="13.5546875" style="65" hidden="1" customWidth="1"/>
    <col min="46" max="46" width="13.6640625" style="65" hidden="1" customWidth="1"/>
    <col min="47" max="47" width="15.5546875" style="65" hidden="1" customWidth="1"/>
    <col min="48" max="49" width="15" style="65" hidden="1" customWidth="1"/>
    <col min="50" max="50" width="15.33203125" style="65" hidden="1" customWidth="1"/>
    <col min="51" max="53" width="13.44140625" style="65" hidden="1" customWidth="1"/>
    <col min="54" max="56" width="17" style="65" customWidth="1"/>
    <col min="57" max="57" width="16.5546875" style="65" customWidth="1"/>
    <col min="58" max="58" width="15" style="65" customWidth="1"/>
    <col min="59" max="59" width="2.6640625" style="65" customWidth="1"/>
    <col min="60" max="60" width="9.5546875" style="65" bestFit="1" customWidth="1"/>
    <col min="61" max="61" width="11.6640625" style="65" bestFit="1" customWidth="1"/>
    <col min="62" max="63" width="9.5546875" style="65" bestFit="1" customWidth="1"/>
    <col min="64" max="16350" width="8.6640625" style="65"/>
    <col min="16351" max="16360" width="8.6640625" style="65" bestFit="1"/>
    <col min="16361" max="16384" width="8.6640625" style="65"/>
  </cols>
  <sheetData>
    <row r="1" spans="1:59" ht="15.6" x14ac:dyDescent="0.3">
      <c r="A1" s="28" t="s">
        <v>0</v>
      </c>
      <c r="G1" s="65"/>
      <c r="BG1" s="488"/>
    </row>
    <row r="2" spans="1:59" ht="15.6" x14ac:dyDescent="0.3">
      <c r="A2" s="28" t="s">
        <v>1</v>
      </c>
      <c r="G2" s="65"/>
      <c r="BG2" s="488"/>
    </row>
    <row r="3" spans="1:59" ht="16.2" thickBot="1" x14ac:dyDescent="0.35">
      <c r="A3" s="28" t="s">
        <v>547</v>
      </c>
      <c r="G3" s="65"/>
      <c r="BG3" s="488"/>
    </row>
    <row r="4" spans="1:59" ht="14.4" x14ac:dyDescent="0.3">
      <c r="A4" s="845" t="s">
        <v>305</v>
      </c>
      <c r="B4" s="333" t="s">
        <v>504</v>
      </c>
      <c r="C4" s="334" t="s">
        <v>310</v>
      </c>
      <c r="D4" s="334" t="s">
        <v>31</v>
      </c>
      <c r="E4" s="334" t="s">
        <v>276</v>
      </c>
      <c r="F4" s="335" t="s">
        <v>505</v>
      </c>
      <c r="G4" s="65"/>
      <c r="BE4"/>
      <c r="BF4"/>
      <c r="BG4" s="491"/>
    </row>
    <row r="5" spans="1:59" ht="15" thickBot="1" x14ac:dyDescent="0.35">
      <c r="A5" s="846"/>
      <c r="B5" s="336" t="s">
        <v>506</v>
      </c>
      <c r="C5" s="337" t="str">
        <f>'4a| Phasing Timeline'!C12</f>
        <v>7/1/31 to 6/30/32</v>
      </c>
      <c r="D5" s="337" t="str">
        <f>'4a| Phasing Timeline'!D12</f>
        <v>7/1/32 to 9/30/32</v>
      </c>
      <c r="E5" s="337" t="str">
        <f>'4a| Phasing Timeline'!E12</f>
        <v>10/1/32 to 6/30/34</v>
      </c>
      <c r="F5" s="337" t="str">
        <f>'4a| Phasing Timeline'!F12</f>
        <v>7/1/34 to 12/31/34</v>
      </c>
      <c r="G5" s="65"/>
      <c r="AC5" s="338" t="s">
        <v>540</v>
      </c>
      <c r="AF5" s="338" t="s">
        <v>541</v>
      </c>
      <c r="AG5" s="338" t="s">
        <v>508</v>
      </c>
      <c r="AH5" s="338" t="s">
        <v>509</v>
      </c>
      <c r="AN5" s="338" t="s">
        <v>510</v>
      </c>
      <c r="AO5" s="338" t="s">
        <v>542</v>
      </c>
      <c r="AP5" s="338" t="s">
        <v>543</v>
      </c>
      <c r="BB5" s="848" t="s">
        <v>513</v>
      </c>
      <c r="BC5" s="848"/>
      <c r="BD5" s="848"/>
      <c r="BE5"/>
      <c r="BF5"/>
      <c r="BG5" s="491"/>
    </row>
    <row r="6" spans="1:59" ht="15" thickBot="1" x14ac:dyDescent="0.35">
      <c r="A6" s="847"/>
      <c r="B6" s="339" t="s">
        <v>514</v>
      </c>
      <c r="C6" s="340">
        <v>45658</v>
      </c>
      <c r="D6" s="341">
        <f>EOMONTH(C6,3)</f>
        <v>45777</v>
      </c>
      <c r="E6" s="341">
        <f t="shared" ref="E6:AH6" si="0">EOMONTH(D6,3)</f>
        <v>45869</v>
      </c>
      <c r="F6" s="341">
        <f t="shared" si="0"/>
        <v>45961</v>
      </c>
      <c r="G6" s="342">
        <f t="shared" si="0"/>
        <v>46053</v>
      </c>
      <c r="H6" s="342">
        <f t="shared" si="0"/>
        <v>46142</v>
      </c>
      <c r="I6" s="342">
        <f t="shared" si="0"/>
        <v>46234</v>
      </c>
      <c r="J6" s="342">
        <f t="shared" si="0"/>
        <v>46326</v>
      </c>
      <c r="K6" s="342">
        <f t="shared" si="0"/>
        <v>46418</v>
      </c>
      <c r="L6" s="342">
        <f t="shared" si="0"/>
        <v>46507</v>
      </c>
      <c r="M6" s="342">
        <f t="shared" si="0"/>
        <v>46599</v>
      </c>
      <c r="N6" s="342">
        <f t="shared" si="0"/>
        <v>46691</v>
      </c>
      <c r="O6" s="342">
        <f t="shared" si="0"/>
        <v>46783</v>
      </c>
      <c r="P6" s="342">
        <f t="shared" si="0"/>
        <v>46873</v>
      </c>
      <c r="Q6" s="342">
        <f t="shared" si="0"/>
        <v>46965</v>
      </c>
      <c r="R6" s="342">
        <f>EOMONTH(Q6,3)</f>
        <v>47057</v>
      </c>
      <c r="S6" s="342">
        <f t="shared" si="0"/>
        <v>47149</v>
      </c>
      <c r="T6" s="342">
        <f t="shared" si="0"/>
        <v>47238</v>
      </c>
      <c r="U6" s="342">
        <f t="shared" si="0"/>
        <v>47330</v>
      </c>
      <c r="V6" s="342">
        <f t="shared" si="0"/>
        <v>47422</v>
      </c>
      <c r="W6" s="342">
        <f t="shared" si="0"/>
        <v>47514</v>
      </c>
      <c r="X6" s="342">
        <f t="shared" si="0"/>
        <v>47603</v>
      </c>
      <c r="Y6" s="342">
        <f t="shared" si="0"/>
        <v>47695</v>
      </c>
      <c r="Z6" s="342">
        <f t="shared" si="0"/>
        <v>47787</v>
      </c>
      <c r="AA6" s="342">
        <f t="shared" si="0"/>
        <v>47879</v>
      </c>
      <c r="AB6" s="342">
        <f t="shared" si="0"/>
        <v>47968</v>
      </c>
      <c r="AC6" s="342">
        <f t="shared" si="0"/>
        <v>48060</v>
      </c>
      <c r="AD6" s="342">
        <f t="shared" si="0"/>
        <v>48152</v>
      </c>
      <c r="AE6" s="342">
        <f t="shared" si="0"/>
        <v>48244</v>
      </c>
      <c r="AF6" s="342">
        <f t="shared" si="0"/>
        <v>48334</v>
      </c>
      <c r="AG6" s="342">
        <f t="shared" si="0"/>
        <v>48426</v>
      </c>
      <c r="AH6" s="342">
        <f t="shared" si="0"/>
        <v>48518</v>
      </c>
      <c r="AI6" s="342">
        <f>EOMONTH(AH6,3)</f>
        <v>48610</v>
      </c>
      <c r="AJ6" s="342">
        <f t="shared" ref="AJ6:BA6" si="1">EOMONTH(AI6,3)</f>
        <v>48699</v>
      </c>
      <c r="AK6" s="342">
        <f t="shared" si="1"/>
        <v>48791</v>
      </c>
      <c r="AL6" s="342">
        <f t="shared" si="1"/>
        <v>48883</v>
      </c>
      <c r="AM6" s="342">
        <f t="shared" si="1"/>
        <v>48975</v>
      </c>
      <c r="AN6" s="342">
        <f t="shared" si="1"/>
        <v>49064</v>
      </c>
      <c r="AO6" s="342">
        <f t="shared" si="1"/>
        <v>49156</v>
      </c>
      <c r="AP6" s="342">
        <f t="shared" si="1"/>
        <v>49248</v>
      </c>
      <c r="AQ6" s="342">
        <f t="shared" si="1"/>
        <v>49340</v>
      </c>
      <c r="AR6" s="342">
        <f t="shared" si="1"/>
        <v>49429</v>
      </c>
      <c r="AS6" s="342">
        <f t="shared" si="1"/>
        <v>49521</v>
      </c>
      <c r="AT6" s="342">
        <f t="shared" si="1"/>
        <v>49613</v>
      </c>
      <c r="AU6" s="342">
        <f t="shared" si="1"/>
        <v>49705</v>
      </c>
      <c r="AV6" s="342">
        <f t="shared" si="1"/>
        <v>49795</v>
      </c>
      <c r="AW6" s="342">
        <f t="shared" si="1"/>
        <v>49887</v>
      </c>
      <c r="AX6" s="342">
        <f t="shared" si="1"/>
        <v>49979</v>
      </c>
      <c r="AY6" s="342">
        <f t="shared" si="1"/>
        <v>50071</v>
      </c>
      <c r="AZ6" s="342">
        <f t="shared" si="1"/>
        <v>50160</v>
      </c>
      <c r="BA6" s="342">
        <f t="shared" si="1"/>
        <v>50252</v>
      </c>
      <c r="BB6" s="343" t="s">
        <v>515</v>
      </c>
      <c r="BC6" s="344" t="s">
        <v>516</v>
      </c>
      <c r="BD6" s="345"/>
      <c r="BE6"/>
      <c r="BF6"/>
      <c r="BG6" s="491"/>
    </row>
    <row r="7" spans="1:59" ht="15" thickBot="1" x14ac:dyDescent="0.35">
      <c r="A7" s="346" t="s">
        <v>517</v>
      </c>
      <c r="B7" s="347">
        <v>1</v>
      </c>
      <c r="C7" s="348">
        <v>0</v>
      </c>
      <c r="D7" s="348">
        <v>0</v>
      </c>
      <c r="E7" s="348">
        <v>0</v>
      </c>
      <c r="F7" s="348">
        <f t="shared" ref="F7:P7" si="2">E7</f>
        <v>0</v>
      </c>
      <c r="G7" s="349">
        <f t="shared" si="2"/>
        <v>0</v>
      </c>
      <c r="H7" s="349">
        <f t="shared" si="2"/>
        <v>0</v>
      </c>
      <c r="I7" s="349">
        <f t="shared" si="2"/>
        <v>0</v>
      </c>
      <c r="J7" s="349">
        <f t="shared" si="2"/>
        <v>0</v>
      </c>
      <c r="K7" s="349">
        <f t="shared" si="2"/>
        <v>0</v>
      </c>
      <c r="L7" s="349">
        <f t="shared" si="2"/>
        <v>0</v>
      </c>
      <c r="M7" s="349">
        <f t="shared" si="2"/>
        <v>0</v>
      </c>
      <c r="N7" s="349">
        <f t="shared" si="2"/>
        <v>0</v>
      </c>
      <c r="O7" s="349">
        <f t="shared" si="2"/>
        <v>0</v>
      </c>
      <c r="P7" s="349">
        <f t="shared" si="2"/>
        <v>0</v>
      </c>
      <c r="Q7" s="349">
        <v>0</v>
      </c>
      <c r="R7" s="349">
        <v>0</v>
      </c>
      <c r="S7" s="349">
        <v>0</v>
      </c>
      <c r="T7" s="349">
        <v>0</v>
      </c>
      <c r="U7" s="349">
        <v>0</v>
      </c>
      <c r="V7" s="349">
        <v>0</v>
      </c>
      <c r="W7" s="349">
        <v>0</v>
      </c>
      <c r="X7" s="349">
        <v>0</v>
      </c>
      <c r="Y7" s="349">
        <v>0</v>
      </c>
      <c r="Z7" s="349">
        <v>0</v>
      </c>
      <c r="AA7" s="349">
        <v>0</v>
      </c>
      <c r="AB7" s="349">
        <v>0</v>
      </c>
      <c r="AC7" s="349">
        <v>0.08</v>
      </c>
      <c r="AD7" s="349">
        <v>0.08</v>
      </c>
      <c r="AE7" s="349">
        <v>0.08</v>
      </c>
      <c r="AF7" s="349">
        <v>0.08</v>
      </c>
      <c r="AG7" s="349">
        <v>0.08</v>
      </c>
      <c r="AH7" s="349">
        <v>0.08</v>
      </c>
      <c r="AI7" s="349">
        <v>0.08</v>
      </c>
      <c r="AJ7" s="349">
        <v>0.08</v>
      </c>
      <c r="AK7" s="349">
        <v>7.0000000000000007E-2</v>
      </c>
      <c r="AL7" s="349">
        <v>0.06</v>
      </c>
      <c r="AM7" s="349">
        <v>0.06</v>
      </c>
      <c r="AN7" s="349">
        <v>0.06</v>
      </c>
      <c r="AO7" s="349">
        <v>0.06</v>
      </c>
      <c r="AP7" s="349">
        <v>0.05</v>
      </c>
      <c r="AQ7" s="349"/>
      <c r="AR7" s="349"/>
      <c r="AS7" s="349"/>
      <c r="AT7" s="349"/>
      <c r="AU7" s="349"/>
      <c r="AV7" s="349"/>
      <c r="AW7" s="349"/>
      <c r="AX7" s="349"/>
      <c r="AY7" s="349"/>
      <c r="AZ7" s="349"/>
      <c r="BA7" s="349"/>
      <c r="BB7" s="350">
        <f t="shared" ref="BB7:BB28" si="3">SUM(C7:BA7)</f>
        <v>1.0000000000000002</v>
      </c>
      <c r="BC7" s="351"/>
      <c r="BD7" s="352" t="s">
        <v>518</v>
      </c>
      <c r="BE7"/>
      <c r="BF7"/>
      <c r="BG7" s="491"/>
    </row>
    <row r="8" spans="1:59" ht="14.4" x14ac:dyDescent="0.3">
      <c r="A8" s="353" t="str">
        <f>'8a| Phase 3 Financial'!A56</f>
        <v>Hard Costs for Construction</v>
      </c>
      <c r="B8" s="354">
        <f>'8a| Phase 3 Financial'!C56</f>
        <v>241277725</v>
      </c>
      <c r="C8" s="355">
        <f t="shared" ref="C8:AF8" si="4">$B$8*C7</f>
        <v>0</v>
      </c>
      <c r="D8" s="355">
        <f t="shared" si="4"/>
        <v>0</v>
      </c>
      <c r="E8" s="355">
        <f t="shared" si="4"/>
        <v>0</v>
      </c>
      <c r="F8" s="355">
        <f t="shared" si="4"/>
        <v>0</v>
      </c>
      <c r="G8" s="355">
        <f t="shared" si="4"/>
        <v>0</v>
      </c>
      <c r="H8" s="355">
        <f>$B$8*H7</f>
        <v>0</v>
      </c>
      <c r="I8" s="355">
        <f t="shared" si="4"/>
        <v>0</v>
      </c>
      <c r="J8" s="355">
        <f t="shared" si="4"/>
        <v>0</v>
      </c>
      <c r="K8" s="355">
        <f t="shared" si="4"/>
        <v>0</v>
      </c>
      <c r="L8" s="355">
        <f t="shared" si="4"/>
        <v>0</v>
      </c>
      <c r="M8" s="355">
        <f t="shared" si="4"/>
        <v>0</v>
      </c>
      <c r="N8" s="355">
        <f t="shared" si="4"/>
        <v>0</v>
      </c>
      <c r="O8" s="355">
        <f t="shared" si="4"/>
        <v>0</v>
      </c>
      <c r="P8" s="355">
        <f t="shared" si="4"/>
        <v>0</v>
      </c>
      <c r="Q8" s="355">
        <f t="shared" si="4"/>
        <v>0</v>
      </c>
      <c r="R8" s="355">
        <f t="shared" si="4"/>
        <v>0</v>
      </c>
      <c r="S8" s="355">
        <f t="shared" si="4"/>
        <v>0</v>
      </c>
      <c r="T8" s="355">
        <f t="shared" si="4"/>
        <v>0</v>
      </c>
      <c r="U8" s="355">
        <f t="shared" si="4"/>
        <v>0</v>
      </c>
      <c r="V8" s="355">
        <f t="shared" si="4"/>
        <v>0</v>
      </c>
      <c r="W8" s="355">
        <f t="shared" si="4"/>
        <v>0</v>
      </c>
      <c r="X8" s="355">
        <f t="shared" si="4"/>
        <v>0</v>
      </c>
      <c r="Y8" s="355">
        <f t="shared" si="4"/>
        <v>0</v>
      </c>
      <c r="Z8" s="355">
        <f t="shared" si="4"/>
        <v>0</v>
      </c>
      <c r="AA8" s="355">
        <f t="shared" si="4"/>
        <v>0</v>
      </c>
      <c r="AB8" s="355">
        <f t="shared" si="4"/>
        <v>0</v>
      </c>
      <c r="AC8" s="355">
        <f t="shared" si="4"/>
        <v>19302218</v>
      </c>
      <c r="AD8" s="355">
        <f t="shared" si="4"/>
        <v>19302218</v>
      </c>
      <c r="AE8" s="355">
        <f t="shared" si="4"/>
        <v>19302218</v>
      </c>
      <c r="AF8" s="355">
        <f t="shared" si="4"/>
        <v>19302218</v>
      </c>
      <c r="AG8" s="355">
        <f t="shared" ref="AG8:AP8" si="5">$B$8*AG7</f>
        <v>19302218</v>
      </c>
      <c r="AH8" s="355">
        <f t="shared" si="5"/>
        <v>19302218</v>
      </c>
      <c r="AI8" s="355">
        <f t="shared" si="5"/>
        <v>19302218</v>
      </c>
      <c r="AJ8" s="355">
        <f t="shared" si="5"/>
        <v>19302218</v>
      </c>
      <c r="AK8" s="355">
        <f t="shared" si="5"/>
        <v>16889440.75</v>
      </c>
      <c r="AL8" s="355">
        <f t="shared" si="5"/>
        <v>14476663.5</v>
      </c>
      <c r="AM8" s="355">
        <f t="shared" si="5"/>
        <v>14476663.5</v>
      </c>
      <c r="AN8" s="355">
        <f t="shared" si="5"/>
        <v>14476663.5</v>
      </c>
      <c r="AO8" s="355">
        <f t="shared" si="5"/>
        <v>14476663.5</v>
      </c>
      <c r="AP8" s="355">
        <f t="shared" si="5"/>
        <v>12063886.25</v>
      </c>
      <c r="AQ8" s="355"/>
      <c r="AR8" s="355"/>
      <c r="AS8" s="355"/>
      <c r="AT8" s="355"/>
      <c r="AU8" s="355"/>
      <c r="AV8" s="355"/>
      <c r="AW8" s="355"/>
      <c r="AX8" s="355"/>
      <c r="AY8" s="355"/>
      <c r="AZ8" s="355"/>
      <c r="BA8" s="355"/>
      <c r="BB8" s="356">
        <f t="shared" si="3"/>
        <v>241277725</v>
      </c>
      <c r="BC8" s="357">
        <f t="shared" ref="BC8:BC28" si="6">B8</f>
        <v>241277725</v>
      </c>
      <c r="BD8" s="357">
        <f>BC8-BB8</f>
        <v>0</v>
      </c>
      <c r="BE8"/>
      <c r="BF8"/>
      <c r="BG8" s="491"/>
    </row>
    <row r="9" spans="1:59" ht="14.4" x14ac:dyDescent="0.3">
      <c r="A9" s="353" t="str">
        <f>'8a| Phase 3 Financial'!A57</f>
        <v>Parking stalls</v>
      </c>
      <c r="B9" s="354">
        <f>'8a| Phase 3 Financial'!C57</f>
        <v>24281250</v>
      </c>
      <c r="C9" s="355">
        <f>$B$9*C7</f>
        <v>0</v>
      </c>
      <c r="D9" s="355">
        <f t="shared" ref="D9:AF9" si="7">$B$9*D7</f>
        <v>0</v>
      </c>
      <c r="E9" s="355">
        <f t="shared" si="7"/>
        <v>0</v>
      </c>
      <c r="F9" s="355">
        <f t="shared" si="7"/>
        <v>0</v>
      </c>
      <c r="G9" s="355">
        <f t="shared" si="7"/>
        <v>0</v>
      </c>
      <c r="H9" s="355">
        <f t="shared" si="7"/>
        <v>0</v>
      </c>
      <c r="I9" s="355">
        <f t="shared" si="7"/>
        <v>0</v>
      </c>
      <c r="J9" s="355">
        <f t="shared" si="7"/>
        <v>0</v>
      </c>
      <c r="K9" s="355">
        <f t="shared" si="7"/>
        <v>0</v>
      </c>
      <c r="L9" s="355">
        <f t="shared" si="7"/>
        <v>0</v>
      </c>
      <c r="M9" s="355">
        <f t="shared" si="7"/>
        <v>0</v>
      </c>
      <c r="N9" s="355">
        <f t="shared" si="7"/>
        <v>0</v>
      </c>
      <c r="O9" s="355">
        <f t="shared" si="7"/>
        <v>0</v>
      </c>
      <c r="P9" s="355">
        <f t="shared" si="7"/>
        <v>0</v>
      </c>
      <c r="Q9" s="355">
        <f t="shared" si="7"/>
        <v>0</v>
      </c>
      <c r="R9" s="355">
        <f t="shared" si="7"/>
        <v>0</v>
      </c>
      <c r="S9" s="355">
        <f t="shared" si="7"/>
        <v>0</v>
      </c>
      <c r="T9" s="355">
        <f t="shared" si="7"/>
        <v>0</v>
      </c>
      <c r="U9" s="355">
        <f t="shared" si="7"/>
        <v>0</v>
      </c>
      <c r="V9" s="355">
        <f t="shared" si="7"/>
        <v>0</v>
      </c>
      <c r="W9" s="355">
        <f t="shared" si="7"/>
        <v>0</v>
      </c>
      <c r="X9" s="355">
        <f t="shared" si="7"/>
        <v>0</v>
      </c>
      <c r="Y9" s="355">
        <f t="shared" si="7"/>
        <v>0</v>
      </c>
      <c r="Z9" s="355">
        <f t="shared" si="7"/>
        <v>0</v>
      </c>
      <c r="AA9" s="355">
        <f t="shared" si="7"/>
        <v>0</v>
      </c>
      <c r="AB9" s="355">
        <f t="shared" si="7"/>
        <v>0</v>
      </c>
      <c r="AC9" s="355">
        <f t="shared" si="7"/>
        <v>1942500</v>
      </c>
      <c r="AD9" s="355">
        <f t="shared" si="7"/>
        <v>1942500</v>
      </c>
      <c r="AE9" s="355">
        <f t="shared" si="7"/>
        <v>1942500</v>
      </c>
      <c r="AF9" s="355">
        <f t="shared" si="7"/>
        <v>1942500</v>
      </c>
      <c r="AG9" s="355">
        <f t="shared" ref="AG9:AP9" si="8">$B$9*AG7</f>
        <v>1942500</v>
      </c>
      <c r="AH9" s="355">
        <f t="shared" si="8"/>
        <v>1942500</v>
      </c>
      <c r="AI9" s="355">
        <f t="shared" si="8"/>
        <v>1942500</v>
      </c>
      <c r="AJ9" s="355">
        <f t="shared" si="8"/>
        <v>1942500</v>
      </c>
      <c r="AK9" s="355">
        <f t="shared" si="8"/>
        <v>1699687.5000000002</v>
      </c>
      <c r="AL9" s="355">
        <f t="shared" si="8"/>
        <v>1456875</v>
      </c>
      <c r="AM9" s="355">
        <f t="shared" si="8"/>
        <v>1456875</v>
      </c>
      <c r="AN9" s="355">
        <f t="shared" si="8"/>
        <v>1456875</v>
      </c>
      <c r="AO9" s="355">
        <f t="shared" si="8"/>
        <v>1456875</v>
      </c>
      <c r="AP9" s="355">
        <f t="shared" si="8"/>
        <v>1214062.5</v>
      </c>
      <c r="AQ9" s="355"/>
      <c r="AR9" s="355"/>
      <c r="AS9" s="355"/>
      <c r="AT9" s="355"/>
      <c r="AU9" s="355"/>
      <c r="AV9" s="355"/>
      <c r="AW9" s="355"/>
      <c r="AX9" s="355"/>
      <c r="AY9" s="355"/>
      <c r="AZ9" s="355"/>
      <c r="BA9" s="355"/>
      <c r="BB9" s="357">
        <f t="shared" si="3"/>
        <v>24281250</v>
      </c>
      <c r="BC9" s="357">
        <f t="shared" si="6"/>
        <v>24281250</v>
      </c>
      <c r="BD9" s="357">
        <f>BC9-BB9</f>
        <v>0</v>
      </c>
      <c r="BE9"/>
      <c r="BF9"/>
      <c r="BG9" s="491"/>
    </row>
    <row r="10" spans="1:59" ht="14.4" x14ac:dyDescent="0.3">
      <c r="A10" s="353" t="str">
        <f>'8a| Phase 3 Financial'!A58</f>
        <v>Hard Cost Contingency</v>
      </c>
      <c r="B10" s="354">
        <f>'8a| Phase 3 Financial'!C58</f>
        <v>12063886.25</v>
      </c>
      <c r="C10" s="355">
        <f t="shared" ref="C10:Q10" si="9">$B10*C$7</f>
        <v>0</v>
      </c>
      <c r="D10" s="355">
        <f t="shared" si="9"/>
        <v>0</v>
      </c>
      <c r="E10" s="355">
        <f t="shared" si="9"/>
        <v>0</v>
      </c>
      <c r="F10" s="355">
        <f t="shared" si="9"/>
        <v>0</v>
      </c>
      <c r="G10" s="355">
        <f t="shared" si="9"/>
        <v>0</v>
      </c>
      <c r="H10" s="355">
        <f t="shared" si="9"/>
        <v>0</v>
      </c>
      <c r="I10" s="355">
        <f t="shared" si="9"/>
        <v>0</v>
      </c>
      <c r="J10" s="355">
        <f t="shared" si="9"/>
        <v>0</v>
      </c>
      <c r="K10" s="355">
        <f t="shared" si="9"/>
        <v>0</v>
      </c>
      <c r="L10" s="355">
        <f t="shared" si="9"/>
        <v>0</v>
      </c>
      <c r="M10" s="355">
        <f t="shared" si="9"/>
        <v>0</v>
      </c>
      <c r="N10" s="355">
        <f t="shared" si="9"/>
        <v>0</v>
      </c>
      <c r="O10" s="355">
        <f t="shared" si="9"/>
        <v>0</v>
      </c>
      <c r="P10" s="355">
        <f t="shared" si="9"/>
        <v>0</v>
      </c>
      <c r="Q10" s="355">
        <f t="shared" si="9"/>
        <v>0</v>
      </c>
      <c r="R10" s="355">
        <f>$B10*R$7</f>
        <v>0</v>
      </c>
      <c r="S10" s="355">
        <f t="shared" ref="S10:AP10" si="10">$B10*S$7</f>
        <v>0</v>
      </c>
      <c r="T10" s="355">
        <f t="shared" si="10"/>
        <v>0</v>
      </c>
      <c r="U10" s="355">
        <f t="shared" si="10"/>
        <v>0</v>
      </c>
      <c r="V10" s="355">
        <f t="shared" si="10"/>
        <v>0</v>
      </c>
      <c r="W10" s="355">
        <f t="shared" si="10"/>
        <v>0</v>
      </c>
      <c r="X10" s="355">
        <f t="shared" si="10"/>
        <v>0</v>
      </c>
      <c r="Y10" s="355">
        <f t="shared" si="10"/>
        <v>0</v>
      </c>
      <c r="Z10" s="355">
        <f t="shared" si="10"/>
        <v>0</v>
      </c>
      <c r="AA10" s="355">
        <f t="shared" si="10"/>
        <v>0</v>
      </c>
      <c r="AB10" s="355">
        <f t="shared" si="10"/>
        <v>0</v>
      </c>
      <c r="AC10" s="355">
        <f t="shared" si="10"/>
        <v>965110.9</v>
      </c>
      <c r="AD10" s="355">
        <f t="shared" si="10"/>
        <v>965110.9</v>
      </c>
      <c r="AE10" s="355">
        <f t="shared" si="10"/>
        <v>965110.9</v>
      </c>
      <c r="AF10" s="355">
        <f t="shared" si="10"/>
        <v>965110.9</v>
      </c>
      <c r="AG10" s="355">
        <f t="shared" si="10"/>
        <v>965110.9</v>
      </c>
      <c r="AH10" s="355">
        <f t="shared" si="10"/>
        <v>965110.9</v>
      </c>
      <c r="AI10" s="355">
        <f t="shared" si="10"/>
        <v>965110.9</v>
      </c>
      <c r="AJ10" s="355">
        <f t="shared" si="10"/>
        <v>965110.9</v>
      </c>
      <c r="AK10" s="355">
        <f t="shared" si="10"/>
        <v>844472.03750000009</v>
      </c>
      <c r="AL10" s="355">
        <f t="shared" si="10"/>
        <v>723833.17499999993</v>
      </c>
      <c r="AM10" s="355">
        <f t="shared" si="10"/>
        <v>723833.17499999993</v>
      </c>
      <c r="AN10" s="355">
        <f t="shared" si="10"/>
        <v>723833.17499999993</v>
      </c>
      <c r="AO10" s="355">
        <f t="shared" si="10"/>
        <v>723833.17499999993</v>
      </c>
      <c r="AP10" s="355">
        <f t="shared" si="10"/>
        <v>603194.3125</v>
      </c>
      <c r="AQ10" s="355"/>
      <c r="AR10" s="355"/>
      <c r="AS10" s="355"/>
      <c r="AT10" s="355"/>
      <c r="AU10" s="355"/>
      <c r="AV10" s="355"/>
      <c r="AW10" s="355"/>
      <c r="AX10" s="355"/>
      <c r="AY10" s="355"/>
      <c r="AZ10" s="355"/>
      <c r="BA10" s="355"/>
      <c r="BB10" s="357">
        <f t="shared" si="3"/>
        <v>12063886.250000004</v>
      </c>
      <c r="BC10" s="357">
        <f t="shared" si="6"/>
        <v>12063886.25</v>
      </c>
      <c r="BD10" s="357">
        <f t="shared" ref="BD10:BD28" si="11">BC10-BB10</f>
        <v>0</v>
      </c>
      <c r="BE10"/>
      <c r="BF10"/>
      <c r="BG10" s="491"/>
    </row>
    <row r="11" spans="1:59" ht="14.4" x14ac:dyDescent="0.3">
      <c r="A11" s="353" t="str">
        <f>'8a| Phase 3 Financial'!A59</f>
        <v>Demolition</v>
      </c>
      <c r="B11" s="354">
        <f>'8a| Phase 3 Financial'!C59</f>
        <v>2500000</v>
      </c>
      <c r="C11" s="355"/>
      <c r="D11" s="355"/>
      <c r="E11" s="355"/>
      <c r="F11" s="355"/>
      <c r="G11" s="355"/>
      <c r="H11" s="355"/>
      <c r="I11" s="355"/>
      <c r="J11" s="355"/>
      <c r="K11" s="355"/>
      <c r="L11" s="355"/>
      <c r="M11" s="355"/>
      <c r="N11" s="355"/>
      <c r="O11" s="355"/>
      <c r="P11" s="355"/>
      <c r="Q11" s="355"/>
      <c r="R11" s="355"/>
      <c r="S11" s="355"/>
      <c r="T11" s="355"/>
      <c r="U11" s="355"/>
      <c r="V11" s="355"/>
      <c r="W11" s="355"/>
      <c r="X11" s="355"/>
      <c r="Y11" s="355"/>
      <c r="Z11" s="355"/>
      <c r="AA11" s="355"/>
      <c r="AB11" s="355"/>
      <c r="AC11" s="355"/>
      <c r="AD11" s="355"/>
      <c r="AE11" s="355"/>
      <c r="AF11" s="355"/>
      <c r="AG11" s="355">
        <f>B11</f>
        <v>2500000</v>
      </c>
      <c r="AH11" s="355"/>
      <c r="AI11" s="355"/>
      <c r="AJ11" s="355"/>
      <c r="AK11" s="355"/>
      <c r="AL11" s="355"/>
      <c r="AM11" s="355"/>
      <c r="AN11" s="355"/>
      <c r="AO11" s="355"/>
      <c r="AP11" s="355"/>
      <c r="AQ11" s="355"/>
      <c r="AR11" s="355"/>
      <c r="AS11" s="355"/>
      <c r="AT11" s="355"/>
      <c r="AU11" s="355"/>
      <c r="AV11" s="355"/>
      <c r="AW11" s="355"/>
      <c r="AX11" s="355"/>
      <c r="AY11" s="355"/>
      <c r="AZ11" s="355"/>
      <c r="BA11" s="355"/>
      <c r="BB11" s="357">
        <f t="shared" si="3"/>
        <v>2500000</v>
      </c>
      <c r="BC11" s="357">
        <f t="shared" si="6"/>
        <v>2500000</v>
      </c>
      <c r="BD11" s="357">
        <f t="shared" si="11"/>
        <v>0</v>
      </c>
      <c r="BE11"/>
      <c r="BF11"/>
      <c r="BG11" s="491"/>
    </row>
    <row r="12" spans="1:59" ht="14.4" x14ac:dyDescent="0.3">
      <c r="A12" s="353" t="str">
        <f>'8a| Phase 3 Financial'!A60</f>
        <v>LAND</v>
      </c>
      <c r="B12" s="354">
        <f>'8a| Phase 3 Financial'!C60</f>
        <v>0</v>
      </c>
      <c r="C12" s="358"/>
      <c r="D12" s="359"/>
      <c r="E12" s="359"/>
      <c r="F12" s="359"/>
      <c r="G12" s="360"/>
      <c r="H12" s="358"/>
      <c r="I12" s="360"/>
      <c r="J12" s="358"/>
      <c r="K12" s="359"/>
      <c r="L12" s="359"/>
      <c r="M12" s="358"/>
      <c r="N12" s="359"/>
      <c r="O12" s="359"/>
      <c r="P12" s="359"/>
      <c r="Q12" s="359"/>
      <c r="R12" s="359"/>
      <c r="S12" s="359"/>
      <c r="T12" s="359"/>
      <c r="U12" s="359"/>
      <c r="V12" s="359"/>
      <c r="W12" s="359"/>
      <c r="X12" s="359"/>
      <c r="Y12" s="359"/>
      <c r="Z12" s="359"/>
      <c r="AA12" s="359"/>
      <c r="AB12" s="359"/>
      <c r="AC12" s="359"/>
      <c r="AD12" s="359"/>
      <c r="AE12" s="360"/>
      <c r="AF12" s="360"/>
      <c r="AG12" s="360"/>
      <c r="AH12" s="360"/>
      <c r="AI12" s="360"/>
      <c r="AJ12" s="360"/>
      <c r="AK12" s="360"/>
      <c r="AL12" s="360"/>
      <c r="AM12" s="360"/>
      <c r="AN12" s="360"/>
      <c r="AO12" s="360"/>
      <c r="AP12" s="360"/>
      <c r="AQ12" s="360"/>
      <c r="AR12" s="360"/>
      <c r="AS12" s="360"/>
      <c r="AT12" s="360"/>
      <c r="AU12" s="360"/>
      <c r="AV12" s="360"/>
      <c r="AW12" s="360"/>
      <c r="AX12" s="360"/>
      <c r="AY12" s="360"/>
      <c r="AZ12" s="360"/>
      <c r="BA12" s="360"/>
      <c r="BB12" s="357">
        <f t="shared" si="3"/>
        <v>0</v>
      </c>
      <c r="BC12" s="357">
        <f t="shared" si="6"/>
        <v>0</v>
      </c>
      <c r="BD12" s="357">
        <f t="shared" si="11"/>
        <v>0</v>
      </c>
      <c r="BE12"/>
      <c r="BF12"/>
      <c r="BG12" s="491"/>
    </row>
    <row r="13" spans="1:59" ht="14.4" x14ac:dyDescent="0.3">
      <c r="A13" s="353" t="str">
        <f>'8a| Phase 3 Financial'!A61</f>
        <v>Municipal Fees and Allowances</v>
      </c>
      <c r="B13" s="354">
        <f>'8a| Phase 3 Financial'!C61</f>
        <v>4680000</v>
      </c>
      <c r="C13" s="358"/>
      <c r="D13" s="359"/>
      <c r="E13" s="359"/>
      <c r="F13" s="359"/>
      <c r="G13" s="359"/>
      <c r="H13" s="359"/>
      <c r="I13" s="359"/>
      <c r="J13" s="359"/>
      <c r="K13" s="359"/>
      <c r="L13" s="359"/>
      <c r="M13" s="359"/>
      <c r="N13" s="359"/>
      <c r="O13" s="359"/>
      <c r="P13" s="359"/>
      <c r="Q13" s="359"/>
      <c r="R13" s="359"/>
      <c r="S13" s="361"/>
      <c r="T13" s="359"/>
      <c r="U13" s="359"/>
      <c r="V13" s="359"/>
      <c r="W13" s="359"/>
      <c r="X13" s="359"/>
      <c r="Y13" s="359"/>
      <c r="Z13" s="359"/>
      <c r="AA13" s="359"/>
      <c r="AB13" s="359"/>
      <c r="AC13" s="359"/>
      <c r="AD13" s="359"/>
      <c r="AE13" s="360"/>
      <c r="AF13" s="360"/>
      <c r="AG13" s="360"/>
      <c r="AH13" s="360"/>
      <c r="AI13" s="360"/>
      <c r="AJ13" s="360"/>
      <c r="AK13" s="360"/>
      <c r="AL13" s="360"/>
      <c r="AM13" s="360"/>
      <c r="AN13" s="360"/>
      <c r="AO13" s="360"/>
      <c r="AP13" s="360"/>
      <c r="AQ13" s="362"/>
      <c r="AR13" s="363"/>
      <c r="AS13" s="360"/>
      <c r="AT13" s="360"/>
      <c r="AU13" s="360"/>
      <c r="AV13" s="362"/>
      <c r="AW13" s="360"/>
      <c r="AX13" s="360"/>
      <c r="AY13" s="360"/>
      <c r="AZ13" s="362"/>
      <c r="BA13" s="362"/>
      <c r="BB13" s="357">
        <f t="shared" si="3"/>
        <v>0</v>
      </c>
      <c r="BC13" s="357">
        <f t="shared" si="6"/>
        <v>4680000</v>
      </c>
      <c r="BD13" s="357">
        <f t="shared" si="11"/>
        <v>4680000</v>
      </c>
      <c r="BE13"/>
      <c r="BF13"/>
      <c r="BG13" s="491"/>
    </row>
    <row r="14" spans="1:59" ht="14.4" x14ac:dyDescent="0.3">
      <c r="A14" s="353" t="str">
        <f>'8a| Phase 3 Financial'!A62</f>
        <v>Infrastructure allocation</v>
      </c>
      <c r="B14" s="354">
        <f>'8a| Phase 3 Financial'!C62</f>
        <v>12312542.857142858</v>
      </c>
      <c r="C14" s="358"/>
      <c r="D14" s="359"/>
      <c r="E14" s="359"/>
      <c r="F14" s="359"/>
      <c r="G14" s="359"/>
      <c r="H14" s="359"/>
      <c r="I14" s="355"/>
      <c r="J14" s="355"/>
      <c r="K14" s="355"/>
      <c r="L14" s="355"/>
      <c r="M14" s="355"/>
      <c r="N14" s="355"/>
      <c r="O14" s="355"/>
      <c r="P14" s="355"/>
      <c r="Q14" s="355"/>
      <c r="R14" s="359"/>
      <c r="S14" s="361"/>
      <c r="T14" s="359"/>
      <c r="U14" s="359"/>
      <c r="V14" s="359"/>
      <c r="W14" s="359"/>
      <c r="X14" s="359"/>
      <c r="Y14" s="359"/>
      <c r="Z14" s="359"/>
      <c r="AA14" s="359"/>
      <c r="AB14" s="359"/>
      <c r="AC14" s="359"/>
      <c r="AD14" s="359"/>
      <c r="AE14" s="360"/>
      <c r="AF14" s="360"/>
      <c r="AG14" s="360"/>
      <c r="AH14" s="360"/>
      <c r="AI14" s="360"/>
      <c r="AJ14" s="360"/>
      <c r="AK14" s="360"/>
      <c r="AL14" s="360"/>
      <c r="AM14" s="360"/>
      <c r="AN14" s="368">
        <f>B14/3</f>
        <v>4104180.9523809529</v>
      </c>
      <c r="AO14" s="368">
        <f>B14/3</f>
        <v>4104180.9523809529</v>
      </c>
      <c r="AP14" s="368">
        <f>B14/3</f>
        <v>4104180.9523809529</v>
      </c>
      <c r="AQ14" s="362"/>
      <c r="AR14" s="363"/>
      <c r="AS14" s="360"/>
      <c r="AT14" s="360"/>
      <c r="AU14" s="360"/>
      <c r="AV14" s="362"/>
      <c r="AW14" s="360"/>
      <c r="AX14" s="364"/>
      <c r="AY14" s="360"/>
      <c r="AZ14" s="362"/>
      <c r="BA14" s="362"/>
      <c r="BB14" s="357">
        <f t="shared" si="3"/>
        <v>12312542.857142858</v>
      </c>
      <c r="BC14" s="357">
        <f t="shared" si="6"/>
        <v>12312542.857142858</v>
      </c>
      <c r="BD14" s="357">
        <f t="shared" si="11"/>
        <v>0</v>
      </c>
      <c r="BE14"/>
      <c r="BF14"/>
      <c r="BG14" s="491"/>
    </row>
    <row r="15" spans="1:59" ht="14.4" x14ac:dyDescent="0.3">
      <c r="A15" s="353" t="str">
        <f>'8a| Phase 3 Financial'!A63</f>
        <v>Legal</v>
      </c>
      <c r="B15" s="354">
        <f>'8a| Phase 3 Financial'!C63</f>
        <v>300000</v>
      </c>
      <c r="C15" s="358"/>
      <c r="D15" s="358"/>
      <c r="E15" s="365"/>
      <c r="F15" s="365"/>
      <c r="G15" s="365"/>
      <c r="H15" s="365"/>
      <c r="I15" s="365"/>
      <c r="J15" s="365"/>
      <c r="K15" s="355"/>
      <c r="L15" s="355"/>
      <c r="M15" s="355"/>
      <c r="N15" s="355"/>
      <c r="O15" s="355"/>
      <c r="P15" s="355"/>
      <c r="Q15" s="355"/>
      <c r="R15" s="359"/>
      <c r="S15" s="359"/>
      <c r="T15" s="359"/>
      <c r="U15" s="359"/>
      <c r="V15" s="359"/>
      <c r="W15" s="359"/>
      <c r="X15" s="359"/>
      <c r="Y15" s="359"/>
      <c r="Z15" s="359"/>
      <c r="AA15" s="359"/>
      <c r="AB15" s="359"/>
      <c r="AC15" s="359"/>
      <c r="AD15" s="359"/>
      <c r="AE15" s="359">
        <f t="shared" ref="AE15:AN15" si="12">0.1*$B15</f>
        <v>30000</v>
      </c>
      <c r="AF15" s="359">
        <f t="shared" si="12"/>
        <v>30000</v>
      </c>
      <c r="AG15" s="359">
        <f t="shared" si="12"/>
        <v>30000</v>
      </c>
      <c r="AH15" s="359">
        <f t="shared" si="12"/>
        <v>30000</v>
      </c>
      <c r="AI15" s="359">
        <f t="shared" si="12"/>
        <v>30000</v>
      </c>
      <c r="AJ15" s="359">
        <f t="shared" si="12"/>
        <v>30000</v>
      </c>
      <c r="AK15" s="359">
        <f t="shared" si="12"/>
        <v>30000</v>
      </c>
      <c r="AL15" s="359">
        <f t="shared" si="12"/>
        <v>30000</v>
      </c>
      <c r="AM15" s="359">
        <f t="shared" si="12"/>
        <v>30000</v>
      </c>
      <c r="AN15" s="359">
        <f t="shared" si="12"/>
        <v>30000</v>
      </c>
      <c r="AO15" s="359"/>
      <c r="AP15" s="359"/>
      <c r="AQ15" s="366"/>
      <c r="AR15" s="367"/>
      <c r="AS15" s="359"/>
      <c r="AT15" s="359"/>
      <c r="AU15" s="359"/>
      <c r="AV15" s="366"/>
      <c r="AW15" s="359"/>
      <c r="AX15" s="359"/>
      <c r="AY15" s="368"/>
      <c r="AZ15" s="366"/>
      <c r="BA15" s="366"/>
      <c r="BB15" s="357">
        <f t="shared" si="3"/>
        <v>300000</v>
      </c>
      <c r="BC15" s="357">
        <f t="shared" si="6"/>
        <v>300000</v>
      </c>
      <c r="BD15" s="357">
        <f t="shared" si="11"/>
        <v>0</v>
      </c>
      <c r="BE15"/>
      <c r="BF15"/>
      <c r="BG15" s="491"/>
    </row>
    <row r="16" spans="1:59" ht="14.4" x14ac:dyDescent="0.3">
      <c r="A16" s="353" t="str">
        <f>'8a| Phase 3 Financial'!A64</f>
        <v>Land Closing Costs/commissions</v>
      </c>
      <c r="B16" s="354">
        <f>'8a| Phase 3 Financial'!C64</f>
        <v>2533416.1125000003</v>
      </c>
      <c r="C16" s="365"/>
      <c r="D16" s="355"/>
      <c r="E16" s="355"/>
      <c r="F16" s="355"/>
      <c r="G16" s="369"/>
      <c r="H16" s="355"/>
      <c r="I16" s="355"/>
      <c r="J16" s="355"/>
      <c r="K16" s="355"/>
      <c r="L16" s="355"/>
      <c r="M16" s="355"/>
      <c r="N16" s="355"/>
      <c r="O16" s="355"/>
      <c r="P16" s="355"/>
      <c r="Q16" s="355"/>
      <c r="R16" s="355"/>
      <c r="S16" s="355"/>
      <c r="T16" s="355"/>
      <c r="U16" s="355"/>
      <c r="V16" s="355"/>
      <c r="W16" s="355"/>
      <c r="X16" s="355"/>
      <c r="Y16" s="355"/>
      <c r="Z16" s="355"/>
      <c r="AA16" s="355"/>
      <c r="AB16" s="355"/>
      <c r="AC16" s="355"/>
      <c r="AD16" s="355"/>
      <c r="AE16" s="355">
        <f>B16</f>
        <v>2533416.1125000003</v>
      </c>
      <c r="AF16" s="370"/>
      <c r="AG16" s="370"/>
      <c r="AH16" s="370"/>
      <c r="AI16" s="370"/>
      <c r="AJ16" s="370"/>
      <c r="AK16" s="370"/>
      <c r="AL16" s="370"/>
      <c r="AM16" s="370"/>
      <c r="AN16" s="370"/>
      <c r="AO16" s="370"/>
      <c r="AP16" s="370"/>
      <c r="AQ16" s="371"/>
      <c r="AR16" s="372"/>
      <c r="AS16" s="370"/>
      <c r="AT16" s="370"/>
      <c r="AU16" s="370"/>
      <c r="AV16" s="371"/>
      <c r="AW16" s="370"/>
      <c r="AX16" s="370"/>
      <c r="AY16" s="370"/>
      <c r="AZ16" s="371"/>
      <c r="BA16" s="371"/>
      <c r="BB16" s="357">
        <f t="shared" si="3"/>
        <v>2533416.1125000003</v>
      </c>
      <c r="BC16" s="357">
        <f t="shared" si="6"/>
        <v>2533416.1125000003</v>
      </c>
      <c r="BD16" s="357">
        <f t="shared" si="11"/>
        <v>0</v>
      </c>
      <c r="BE16"/>
      <c r="BF16"/>
      <c r="BG16" s="491"/>
    </row>
    <row r="17" spans="1:59" ht="14.4" x14ac:dyDescent="0.3">
      <c r="A17" s="353" t="str">
        <f>'8a| Phase 3 Financial'!A65</f>
        <v xml:space="preserve">Design </v>
      </c>
      <c r="B17" s="354">
        <f>'8a| Phase 3 Financial'!C65</f>
        <v>15200496.674999999</v>
      </c>
      <c r="C17" s="355"/>
      <c r="D17" s="355"/>
      <c r="E17" s="355"/>
      <c r="F17" s="355"/>
      <c r="G17" s="355"/>
      <c r="H17" s="355"/>
      <c r="I17" s="355"/>
      <c r="J17" s="355"/>
      <c r="K17" s="355"/>
      <c r="L17" s="355"/>
      <c r="M17" s="355"/>
      <c r="N17" s="355"/>
      <c r="O17" s="355"/>
      <c r="P17" s="355"/>
      <c r="Q17" s="355"/>
      <c r="R17" s="355"/>
      <c r="S17" s="355"/>
      <c r="T17" s="355"/>
      <c r="U17" s="355"/>
      <c r="V17" s="355"/>
      <c r="W17" s="355"/>
      <c r="X17" s="355"/>
      <c r="Y17" s="355"/>
      <c r="Z17" s="355"/>
      <c r="AA17" s="355"/>
      <c r="AB17" s="355"/>
      <c r="AC17" s="355">
        <f>$B17/20</f>
        <v>760024.83374999999</v>
      </c>
      <c r="AD17" s="355">
        <f t="shared" ref="AD17:AK17" si="13">$B17/10</f>
        <v>1520049.6675</v>
      </c>
      <c r="AE17" s="355">
        <f t="shared" si="13"/>
        <v>1520049.6675</v>
      </c>
      <c r="AF17" s="355">
        <f t="shared" si="13"/>
        <v>1520049.6675</v>
      </c>
      <c r="AG17" s="355">
        <f t="shared" si="13"/>
        <v>1520049.6675</v>
      </c>
      <c r="AH17" s="355">
        <f t="shared" si="13"/>
        <v>1520049.6675</v>
      </c>
      <c r="AI17" s="355">
        <f t="shared" si="13"/>
        <v>1520049.6675</v>
      </c>
      <c r="AJ17" s="355">
        <f t="shared" si="13"/>
        <v>1520049.6675</v>
      </c>
      <c r="AK17" s="355">
        <f t="shared" si="13"/>
        <v>1520049.6675</v>
      </c>
      <c r="AL17" s="355">
        <f>$B17/20</f>
        <v>760024.83374999999</v>
      </c>
      <c r="AM17" s="355">
        <f>$B17/20</f>
        <v>760024.83374999999</v>
      </c>
      <c r="AN17" s="355">
        <f>$B17/20</f>
        <v>760024.83374999999</v>
      </c>
      <c r="AO17" s="355"/>
      <c r="AP17" s="355"/>
      <c r="AQ17" s="355"/>
      <c r="AR17" s="355"/>
      <c r="AS17" s="355"/>
      <c r="AT17" s="355"/>
      <c r="AU17" s="355"/>
      <c r="AV17" s="355"/>
      <c r="AW17" s="370"/>
      <c r="AX17" s="370"/>
      <c r="AY17" s="370"/>
      <c r="AZ17" s="371"/>
      <c r="BA17" s="371"/>
      <c r="BB17" s="357">
        <f t="shared" si="3"/>
        <v>15200496.675000003</v>
      </c>
      <c r="BC17" s="357">
        <f t="shared" si="6"/>
        <v>15200496.674999999</v>
      </c>
      <c r="BD17" s="357">
        <f t="shared" si="11"/>
        <v>0</v>
      </c>
      <c r="BE17"/>
      <c r="BF17"/>
      <c r="BG17" s="491"/>
    </row>
    <row r="18" spans="1:59" ht="14.4" x14ac:dyDescent="0.3">
      <c r="A18" s="353" t="str">
        <f>'8a| Phase 3 Financial'!A66</f>
        <v>Developer Fee</v>
      </c>
      <c r="B18" s="354">
        <f>'8a| Phase 3 Financial'!C66</f>
        <v>9454479.5068392865</v>
      </c>
      <c r="C18" s="355">
        <f>$B18*C$7</f>
        <v>0</v>
      </c>
      <c r="D18" s="355">
        <f t="shared" ref="D18:AE18" si="14">$B18*D7</f>
        <v>0</v>
      </c>
      <c r="E18" s="355">
        <f t="shared" si="14"/>
        <v>0</v>
      </c>
      <c r="F18" s="355">
        <f t="shared" si="14"/>
        <v>0</v>
      </c>
      <c r="G18" s="355">
        <f t="shared" si="14"/>
        <v>0</v>
      </c>
      <c r="H18" s="355">
        <f t="shared" si="14"/>
        <v>0</v>
      </c>
      <c r="I18" s="355">
        <f t="shared" si="14"/>
        <v>0</v>
      </c>
      <c r="J18" s="355">
        <f t="shared" si="14"/>
        <v>0</v>
      </c>
      <c r="K18" s="355">
        <f t="shared" si="14"/>
        <v>0</v>
      </c>
      <c r="L18" s="355">
        <f t="shared" si="14"/>
        <v>0</v>
      </c>
      <c r="M18" s="355">
        <f t="shared" si="14"/>
        <v>0</v>
      </c>
      <c r="N18" s="355">
        <f t="shared" si="14"/>
        <v>0</v>
      </c>
      <c r="O18" s="355">
        <f t="shared" si="14"/>
        <v>0</v>
      </c>
      <c r="P18" s="355">
        <f t="shared" si="14"/>
        <v>0</v>
      </c>
      <c r="Q18" s="355">
        <f t="shared" si="14"/>
        <v>0</v>
      </c>
      <c r="R18" s="355">
        <f t="shared" si="14"/>
        <v>0</v>
      </c>
      <c r="S18" s="355">
        <f t="shared" si="14"/>
        <v>0</v>
      </c>
      <c r="T18" s="355">
        <f t="shared" si="14"/>
        <v>0</v>
      </c>
      <c r="U18" s="355">
        <f t="shared" si="14"/>
        <v>0</v>
      </c>
      <c r="V18" s="355">
        <f t="shared" si="14"/>
        <v>0</v>
      </c>
      <c r="W18" s="355">
        <f t="shared" si="14"/>
        <v>0</v>
      </c>
      <c r="X18" s="355">
        <f t="shared" si="14"/>
        <v>0</v>
      </c>
      <c r="Y18" s="355">
        <f t="shared" si="14"/>
        <v>0</v>
      </c>
      <c r="Z18" s="355">
        <f t="shared" si="14"/>
        <v>0</v>
      </c>
      <c r="AA18" s="355">
        <f t="shared" si="14"/>
        <v>0</v>
      </c>
      <c r="AB18" s="355">
        <f t="shared" si="14"/>
        <v>0</v>
      </c>
      <c r="AC18" s="355">
        <f t="shared" si="14"/>
        <v>756358.36054714292</v>
      </c>
      <c r="AD18" s="355">
        <f t="shared" si="14"/>
        <v>756358.36054714292</v>
      </c>
      <c r="AE18" s="355">
        <f t="shared" si="14"/>
        <v>756358.36054714292</v>
      </c>
      <c r="AF18" s="355">
        <f>$B18*AF$7</f>
        <v>756358.36054714292</v>
      </c>
      <c r="AG18" s="355">
        <f t="shared" ref="AG18:AP19" si="15">$B18*AG$7</f>
        <v>756358.36054714292</v>
      </c>
      <c r="AH18" s="355">
        <f t="shared" si="15"/>
        <v>756358.36054714292</v>
      </c>
      <c r="AI18" s="355">
        <f t="shared" si="15"/>
        <v>756358.36054714292</v>
      </c>
      <c r="AJ18" s="355">
        <f t="shared" si="15"/>
        <v>756358.36054714292</v>
      </c>
      <c r="AK18" s="355">
        <f t="shared" si="15"/>
        <v>661813.56547875016</v>
      </c>
      <c r="AL18" s="355">
        <f t="shared" si="15"/>
        <v>567268.77041035716</v>
      </c>
      <c r="AM18" s="355">
        <f t="shared" si="15"/>
        <v>567268.77041035716</v>
      </c>
      <c r="AN18" s="355">
        <f t="shared" si="15"/>
        <v>567268.77041035716</v>
      </c>
      <c r="AO18" s="355">
        <f t="shared" si="15"/>
        <v>567268.77041035716</v>
      </c>
      <c r="AP18" s="355">
        <f t="shared" si="15"/>
        <v>472723.97534196434</v>
      </c>
      <c r="AQ18" s="355"/>
      <c r="AR18" s="355"/>
      <c r="AS18" s="355"/>
      <c r="AT18" s="355"/>
      <c r="AU18" s="355"/>
      <c r="AV18" s="355"/>
      <c r="AW18" s="355"/>
      <c r="AX18" s="355"/>
      <c r="AY18" s="355"/>
      <c r="AZ18" s="374"/>
      <c r="BA18" s="374"/>
      <c r="BB18" s="357">
        <f t="shared" si="3"/>
        <v>9454479.5068392865</v>
      </c>
      <c r="BC18" s="357">
        <f t="shared" si="6"/>
        <v>9454479.5068392865</v>
      </c>
      <c r="BD18" s="357">
        <f>BC18-BB18</f>
        <v>0</v>
      </c>
      <c r="BE18"/>
      <c r="BF18"/>
      <c r="BG18" s="491"/>
    </row>
    <row r="19" spans="1:59" ht="14.4" x14ac:dyDescent="0.3">
      <c r="A19" s="353" t="str">
        <f>'8a| Phase 3 Financial'!A67</f>
        <v>Construction Management Fee</v>
      </c>
      <c r="B19" s="354">
        <f>'8a| Phase 3 Financial'!C67</f>
        <v>5066832.2250000006</v>
      </c>
      <c r="C19" s="355">
        <f>$B19*C$7</f>
        <v>0</v>
      </c>
      <c r="D19" s="355">
        <f t="shared" ref="D19:AE19" si="16">$B19*D$7</f>
        <v>0</v>
      </c>
      <c r="E19" s="355">
        <f t="shared" si="16"/>
        <v>0</v>
      </c>
      <c r="F19" s="355">
        <f t="shared" si="16"/>
        <v>0</v>
      </c>
      <c r="G19" s="355">
        <f t="shared" si="16"/>
        <v>0</v>
      </c>
      <c r="H19" s="355">
        <f t="shared" si="16"/>
        <v>0</v>
      </c>
      <c r="I19" s="355">
        <f t="shared" si="16"/>
        <v>0</v>
      </c>
      <c r="J19" s="355">
        <f t="shared" si="16"/>
        <v>0</v>
      </c>
      <c r="K19" s="355">
        <f t="shared" si="16"/>
        <v>0</v>
      </c>
      <c r="L19" s="355">
        <f t="shared" si="16"/>
        <v>0</v>
      </c>
      <c r="M19" s="355">
        <f t="shared" si="16"/>
        <v>0</v>
      </c>
      <c r="N19" s="355">
        <f t="shared" si="16"/>
        <v>0</v>
      </c>
      <c r="O19" s="355">
        <f t="shared" si="16"/>
        <v>0</v>
      </c>
      <c r="P19" s="355">
        <f t="shared" si="16"/>
        <v>0</v>
      </c>
      <c r="Q19" s="355">
        <f t="shared" si="16"/>
        <v>0</v>
      </c>
      <c r="R19" s="355">
        <f t="shared" si="16"/>
        <v>0</v>
      </c>
      <c r="S19" s="355">
        <f t="shared" si="16"/>
        <v>0</v>
      </c>
      <c r="T19" s="355">
        <f t="shared" si="16"/>
        <v>0</v>
      </c>
      <c r="U19" s="355">
        <f t="shared" si="16"/>
        <v>0</v>
      </c>
      <c r="V19" s="355">
        <f t="shared" si="16"/>
        <v>0</v>
      </c>
      <c r="W19" s="355">
        <f t="shared" si="16"/>
        <v>0</v>
      </c>
      <c r="X19" s="355">
        <f t="shared" si="16"/>
        <v>0</v>
      </c>
      <c r="Y19" s="355">
        <f t="shared" si="16"/>
        <v>0</v>
      </c>
      <c r="Z19" s="355">
        <f t="shared" si="16"/>
        <v>0</v>
      </c>
      <c r="AA19" s="355">
        <f t="shared" si="16"/>
        <v>0</v>
      </c>
      <c r="AB19" s="355">
        <f t="shared" si="16"/>
        <v>0</v>
      </c>
      <c r="AC19" s="355">
        <f t="shared" si="16"/>
        <v>405346.57800000004</v>
      </c>
      <c r="AD19" s="355">
        <f t="shared" si="16"/>
        <v>405346.57800000004</v>
      </c>
      <c r="AE19" s="355">
        <f t="shared" si="16"/>
        <v>405346.57800000004</v>
      </c>
      <c r="AF19" s="355">
        <f>$B19*AF$7</f>
        <v>405346.57800000004</v>
      </c>
      <c r="AG19" s="355">
        <f t="shared" si="15"/>
        <v>405346.57800000004</v>
      </c>
      <c r="AH19" s="355">
        <f t="shared" si="15"/>
        <v>405346.57800000004</v>
      </c>
      <c r="AI19" s="355">
        <f t="shared" si="15"/>
        <v>405346.57800000004</v>
      </c>
      <c r="AJ19" s="355">
        <f t="shared" si="15"/>
        <v>405346.57800000004</v>
      </c>
      <c r="AK19" s="355">
        <f t="shared" si="15"/>
        <v>354678.25575000007</v>
      </c>
      <c r="AL19" s="355">
        <f t="shared" si="15"/>
        <v>304009.93350000004</v>
      </c>
      <c r="AM19" s="355">
        <f t="shared" si="15"/>
        <v>304009.93350000004</v>
      </c>
      <c r="AN19" s="355">
        <f t="shared" si="15"/>
        <v>304009.93350000004</v>
      </c>
      <c r="AO19" s="355">
        <f t="shared" si="15"/>
        <v>304009.93350000004</v>
      </c>
      <c r="AP19" s="355">
        <f t="shared" si="15"/>
        <v>253341.61125000005</v>
      </c>
      <c r="AQ19" s="355"/>
      <c r="AR19" s="355"/>
      <c r="AS19" s="355"/>
      <c r="AT19" s="355"/>
      <c r="AU19" s="355"/>
      <c r="AV19" s="355"/>
      <c r="AW19" s="355"/>
      <c r="AX19" s="355"/>
      <c r="AY19" s="355"/>
      <c r="AZ19" s="374"/>
      <c r="BA19" s="374"/>
      <c r="BB19" s="357">
        <f t="shared" si="3"/>
        <v>5066832.2250000015</v>
      </c>
      <c r="BC19" s="357">
        <f t="shared" si="6"/>
        <v>5066832.2250000006</v>
      </c>
      <c r="BD19" s="357">
        <f>BC19-BB19</f>
        <v>0</v>
      </c>
      <c r="BE19"/>
      <c r="BF19"/>
      <c r="BG19" s="491"/>
    </row>
    <row r="20" spans="1:59" ht="14.4" x14ac:dyDescent="0.3">
      <c r="A20" s="353" t="str">
        <f>'8a| Phase 3 Financial'!A68</f>
        <v>Taxes</v>
      </c>
      <c r="B20" s="354">
        <f>'8a| Phase 3 Financial'!C68</f>
        <v>0</v>
      </c>
      <c r="C20" s="365"/>
      <c r="D20" s="355"/>
      <c r="E20" s="355"/>
      <c r="F20" s="355"/>
      <c r="G20" s="370"/>
      <c r="H20" s="355"/>
      <c r="I20" s="355"/>
      <c r="J20" s="376"/>
      <c r="K20" s="355"/>
      <c r="L20" s="370"/>
      <c r="M20" s="355"/>
      <c r="N20" s="355"/>
      <c r="O20" s="355"/>
      <c r="P20" s="355"/>
      <c r="Q20" s="369"/>
      <c r="R20" s="355"/>
      <c r="S20" s="369"/>
      <c r="T20" s="355"/>
      <c r="U20" s="355"/>
      <c r="V20" s="355"/>
      <c r="W20" s="355"/>
      <c r="X20" s="369"/>
      <c r="Y20" s="355"/>
      <c r="Z20" s="355"/>
      <c r="AA20" s="355"/>
      <c r="AB20" s="355"/>
      <c r="AC20" s="355"/>
      <c r="AD20" s="355"/>
      <c r="AE20" s="369"/>
      <c r="AF20" s="355"/>
      <c r="AG20" s="369"/>
      <c r="AH20" s="355"/>
      <c r="AI20" s="370"/>
      <c r="AJ20" s="370"/>
      <c r="AK20" s="370"/>
      <c r="AL20" s="370"/>
      <c r="AM20" s="370"/>
      <c r="AN20" s="370"/>
      <c r="AO20" s="370"/>
      <c r="AP20" s="355"/>
      <c r="AQ20" s="355"/>
      <c r="AR20" s="355"/>
      <c r="AS20" s="355"/>
      <c r="AT20" s="355"/>
      <c r="AU20" s="355"/>
      <c r="AV20" s="374"/>
      <c r="AW20" s="355"/>
      <c r="AX20" s="355"/>
      <c r="AY20" s="355"/>
      <c r="AZ20" s="374"/>
      <c r="BA20" s="374"/>
      <c r="BB20" s="357">
        <f t="shared" si="3"/>
        <v>0</v>
      </c>
      <c r="BC20" s="357">
        <f t="shared" si="6"/>
        <v>0</v>
      </c>
      <c r="BD20" s="357">
        <f t="shared" si="11"/>
        <v>0</v>
      </c>
      <c r="BE20"/>
      <c r="BF20"/>
      <c r="BG20" s="491"/>
    </row>
    <row r="21" spans="1:59" ht="14.4" x14ac:dyDescent="0.3">
      <c r="A21" s="353" t="str">
        <f>'8a| Phase 3 Financial'!A69</f>
        <v>Insurance</v>
      </c>
      <c r="B21" s="354">
        <f>'8a| Phase 3 Financial'!C69</f>
        <v>5850000</v>
      </c>
      <c r="C21" s="365"/>
      <c r="D21" s="369"/>
      <c r="E21" s="369"/>
      <c r="F21" s="355"/>
      <c r="G21" s="355"/>
      <c r="H21" s="355"/>
      <c r="I21" s="355"/>
      <c r="J21" s="369"/>
      <c r="K21" s="370"/>
      <c r="L21" s="370"/>
      <c r="M21" s="355"/>
      <c r="N21" s="355"/>
      <c r="O21" s="355"/>
      <c r="P21" s="365"/>
      <c r="Q21" s="355"/>
      <c r="R21" s="355"/>
      <c r="S21" s="355"/>
      <c r="T21" s="369"/>
      <c r="U21" s="355"/>
      <c r="V21" s="355"/>
      <c r="W21" s="355"/>
      <c r="X21" s="355"/>
      <c r="Y21" s="355"/>
      <c r="Z21" s="355"/>
      <c r="AA21" s="355"/>
      <c r="AB21" s="355"/>
      <c r="AC21" s="355"/>
      <c r="AD21" s="355"/>
      <c r="AE21" s="355"/>
      <c r="AF21" s="355"/>
      <c r="AG21" s="355"/>
      <c r="AH21" s="355">
        <v>10000</v>
      </c>
      <c r="AI21" s="355">
        <v>10000</v>
      </c>
      <c r="AJ21" s="355">
        <f>$B21-SUM(AH21:AI21)</f>
        <v>5830000</v>
      </c>
      <c r="AK21" s="355"/>
      <c r="AL21" s="355"/>
      <c r="AM21" s="355"/>
      <c r="AN21" s="355"/>
      <c r="AO21" s="355"/>
      <c r="AP21" s="355"/>
      <c r="AQ21" s="374"/>
      <c r="AR21" s="377"/>
      <c r="AS21" s="355"/>
      <c r="AT21" s="355"/>
      <c r="AU21" s="355"/>
      <c r="AV21" s="374"/>
      <c r="AW21" s="355"/>
      <c r="AX21" s="355"/>
      <c r="AY21" s="355"/>
      <c r="AZ21" s="374"/>
      <c r="BA21" s="374"/>
      <c r="BB21" s="357">
        <f t="shared" si="3"/>
        <v>5850000</v>
      </c>
      <c r="BC21" s="357">
        <f t="shared" si="6"/>
        <v>5850000</v>
      </c>
      <c r="BD21" s="357">
        <f t="shared" si="11"/>
        <v>0</v>
      </c>
      <c r="BE21"/>
      <c r="BF21"/>
      <c r="BG21" s="491"/>
    </row>
    <row r="22" spans="1:59" ht="14.4" x14ac:dyDescent="0.3">
      <c r="A22" s="353" t="str">
        <f>'8a| Phase 3 Financial'!A70</f>
        <v>Marketing, FFE and Preleasing</v>
      </c>
      <c r="B22" s="354">
        <f>'8a| Phase 3 Financial'!C70</f>
        <v>1500000</v>
      </c>
      <c r="C22" s="365"/>
      <c r="D22" s="355"/>
      <c r="E22" s="355"/>
      <c r="F22" s="355"/>
      <c r="G22" s="355"/>
      <c r="H22" s="355"/>
      <c r="I22" s="355"/>
      <c r="J22" s="355"/>
      <c r="K22" s="355"/>
      <c r="L22" s="355"/>
      <c r="M22" s="355"/>
      <c r="N22" s="355"/>
      <c r="O22" s="355"/>
      <c r="P22" s="355"/>
      <c r="Q22" s="355"/>
      <c r="R22" s="355"/>
      <c r="S22" s="355"/>
      <c r="T22" s="355"/>
      <c r="U22" s="355"/>
      <c r="V22" s="355"/>
      <c r="W22" s="355"/>
      <c r="X22" s="378"/>
      <c r="Y22" s="378"/>
      <c r="Z22" s="378"/>
      <c r="AA22" s="378"/>
      <c r="AB22" s="370"/>
      <c r="AC22" s="370"/>
      <c r="AD22" s="370"/>
      <c r="AE22" s="355"/>
      <c r="AF22" s="355"/>
      <c r="AG22" s="370"/>
      <c r="AH22" s="370"/>
      <c r="AI22" s="378"/>
      <c r="AJ22" s="378"/>
      <c r="AK22" s="378"/>
      <c r="AL22" s="378"/>
      <c r="AM22" s="378">
        <f>$B22/2</f>
        <v>750000</v>
      </c>
      <c r="AN22" s="378">
        <f>$B22/2</f>
        <v>750000</v>
      </c>
      <c r="AO22" s="378"/>
      <c r="AP22" s="378"/>
      <c r="AQ22" s="378"/>
      <c r="AR22" s="378"/>
      <c r="AS22" s="370"/>
      <c r="AT22" s="370"/>
      <c r="AU22" s="370"/>
      <c r="AV22" s="371"/>
      <c r="AW22" s="370"/>
      <c r="AX22" s="370"/>
      <c r="AY22" s="370"/>
      <c r="AZ22" s="371"/>
      <c r="BA22" s="371"/>
      <c r="BB22" s="357">
        <f t="shared" si="3"/>
        <v>1500000</v>
      </c>
      <c r="BC22" s="357">
        <f t="shared" si="6"/>
        <v>1500000</v>
      </c>
      <c r="BD22" s="357">
        <f t="shared" si="11"/>
        <v>0</v>
      </c>
      <c r="BE22"/>
      <c r="BF22"/>
      <c r="BG22" s="491"/>
    </row>
    <row r="23" spans="1:59" ht="14.4" x14ac:dyDescent="0.3">
      <c r="A23" s="353" t="str">
        <f>'8a| Phase 3 Financial'!A71</f>
        <v>Operating Deficit</v>
      </c>
      <c r="B23" s="354">
        <f>'8a| Phase 3 Financial'!C71</f>
        <v>7722116.1868751869</v>
      </c>
      <c r="C23" s="365"/>
      <c r="D23" s="355"/>
      <c r="E23" s="355"/>
      <c r="F23" s="355"/>
      <c r="G23" s="355"/>
      <c r="H23" s="355"/>
      <c r="I23" s="355"/>
      <c r="J23" s="355"/>
      <c r="K23" s="355"/>
      <c r="L23" s="355"/>
      <c r="M23" s="355"/>
      <c r="N23" s="355"/>
      <c r="O23" s="355"/>
      <c r="P23" s="355"/>
      <c r="Q23" s="355"/>
      <c r="R23" s="355"/>
      <c r="S23" s="355"/>
      <c r="T23" s="355"/>
      <c r="U23" s="355"/>
      <c r="V23" s="355"/>
      <c r="W23" s="355"/>
      <c r="X23" s="355"/>
      <c r="Y23" s="355"/>
      <c r="Z23" s="379"/>
      <c r="AA23" s="379"/>
      <c r="AB23" s="379"/>
      <c r="AC23" s="370"/>
      <c r="AD23" s="370"/>
      <c r="AE23" s="355"/>
      <c r="AF23" s="378"/>
      <c r="AG23" s="378"/>
      <c r="AH23" s="378"/>
      <c r="AI23" s="378"/>
      <c r="AJ23" s="378"/>
      <c r="AK23" s="378"/>
      <c r="AL23" s="378"/>
      <c r="AM23" s="378">
        <f>$B23/4</f>
        <v>1930529.0467187967</v>
      </c>
      <c r="AN23" s="378">
        <f>$B23/4</f>
        <v>1930529.0467187967</v>
      </c>
      <c r="AO23" s="378">
        <f>$B23/4</f>
        <v>1930529.0467187967</v>
      </c>
      <c r="AP23" s="378">
        <f>$B23/4</f>
        <v>1930529.0467187967</v>
      </c>
      <c r="AQ23" s="380"/>
      <c r="AR23" s="380"/>
      <c r="AS23" s="380"/>
      <c r="AT23" s="380"/>
      <c r="AU23" s="380"/>
      <c r="AV23" s="380"/>
      <c r="AW23" s="370"/>
      <c r="AX23" s="365"/>
      <c r="AY23" s="378"/>
      <c r="AZ23" s="378"/>
      <c r="BA23" s="378"/>
      <c r="BB23" s="357">
        <f t="shared" si="3"/>
        <v>7722116.1868751869</v>
      </c>
      <c r="BC23" s="357">
        <f t="shared" si="6"/>
        <v>7722116.1868751869</v>
      </c>
      <c r="BD23" s="357">
        <f t="shared" si="11"/>
        <v>0</v>
      </c>
      <c r="BE23"/>
      <c r="BF23"/>
      <c r="BG23" s="491"/>
    </row>
    <row r="24" spans="1:59" ht="14.4" x14ac:dyDescent="0.3">
      <c r="A24" s="353" t="str">
        <f>'8a| Phase 3 Financial'!A72</f>
        <v>Retail Tenant Improvements</v>
      </c>
      <c r="B24" s="354">
        <f>'8a| Phase 3 Financial'!C72</f>
        <v>3184950</v>
      </c>
      <c r="C24" s="365"/>
      <c r="D24" s="355"/>
      <c r="E24" s="355"/>
      <c r="F24" s="355"/>
      <c r="G24" s="355"/>
      <c r="H24" s="355"/>
      <c r="I24" s="355"/>
      <c r="J24" s="355"/>
      <c r="K24" s="355"/>
      <c r="L24" s="355"/>
      <c r="M24" s="355"/>
      <c r="N24" s="355"/>
      <c r="O24" s="355"/>
      <c r="P24" s="355"/>
      <c r="Q24" s="355"/>
      <c r="R24" s="355"/>
      <c r="S24" s="355"/>
      <c r="T24" s="355"/>
      <c r="U24" s="355"/>
      <c r="V24" s="355"/>
      <c r="W24" s="355"/>
      <c r="X24" s="355"/>
      <c r="Y24" s="355"/>
      <c r="Z24" s="355"/>
      <c r="AA24" s="370"/>
      <c r="AB24" s="370"/>
      <c r="AC24" s="378"/>
      <c r="AD24" s="378"/>
      <c r="AE24" s="378"/>
      <c r="AF24" s="378"/>
      <c r="AG24" s="378"/>
      <c r="AH24" s="378"/>
      <c r="AI24" s="378"/>
      <c r="AJ24" s="378"/>
      <c r="AK24" s="378">
        <f>$B24/4</f>
        <v>796237.5</v>
      </c>
      <c r="AL24" s="378">
        <f>$B24/4</f>
        <v>796237.5</v>
      </c>
      <c r="AM24" s="378">
        <f>$B24/4</f>
        <v>796237.5</v>
      </c>
      <c r="AN24" s="378">
        <f>$B24/4</f>
        <v>796237.5</v>
      </c>
      <c r="AO24" s="378"/>
      <c r="AP24" s="379"/>
      <c r="AQ24" s="381"/>
      <c r="AR24" s="372"/>
      <c r="AS24" s="370"/>
      <c r="AT24" s="370"/>
      <c r="AU24" s="370"/>
      <c r="AV24" s="371"/>
      <c r="AW24" s="370"/>
      <c r="AX24" s="370"/>
      <c r="AY24" s="370"/>
      <c r="AZ24" s="371"/>
      <c r="BA24" s="371"/>
      <c r="BB24" s="357">
        <f t="shared" si="3"/>
        <v>3184950</v>
      </c>
      <c r="BC24" s="357">
        <f t="shared" si="6"/>
        <v>3184950</v>
      </c>
      <c r="BD24" s="357">
        <f t="shared" si="11"/>
        <v>0</v>
      </c>
      <c r="BE24"/>
      <c r="BF24"/>
      <c r="BG24" s="491"/>
    </row>
    <row r="25" spans="1:59" ht="14.4" x14ac:dyDescent="0.3">
      <c r="A25" s="353" t="str">
        <f>'8a| Phase 3 Financial'!A73</f>
        <v>Retail brokerage</v>
      </c>
      <c r="B25" s="354">
        <f>'8a| Phase 3 Financial'!C73</f>
        <v>1738982.7</v>
      </c>
      <c r="C25" s="365"/>
      <c r="D25" s="355"/>
      <c r="E25" s="355"/>
      <c r="F25" s="355"/>
      <c r="G25" s="355"/>
      <c r="H25" s="355"/>
      <c r="I25" s="355"/>
      <c r="J25" s="355"/>
      <c r="K25" s="355"/>
      <c r="L25" s="355"/>
      <c r="M25" s="355"/>
      <c r="N25" s="355"/>
      <c r="O25" s="355"/>
      <c r="P25" s="355"/>
      <c r="Q25" s="355"/>
      <c r="R25" s="355"/>
      <c r="S25" s="355"/>
      <c r="T25" s="355"/>
      <c r="U25" s="355"/>
      <c r="V25" s="355"/>
      <c r="W25" s="355"/>
      <c r="X25" s="355"/>
      <c r="Y25" s="355"/>
      <c r="Z25" s="355"/>
      <c r="AA25" s="355"/>
      <c r="AB25" s="355"/>
      <c r="AC25" s="355"/>
      <c r="AD25" s="355"/>
      <c r="AE25" s="355"/>
      <c r="AF25" s="355"/>
      <c r="AG25" s="355"/>
      <c r="AH25" s="355"/>
      <c r="AI25" s="355"/>
      <c r="AJ25" s="355"/>
      <c r="AK25" s="355"/>
      <c r="AL25" s="355"/>
      <c r="AM25" s="355">
        <f>$B25/4</f>
        <v>434745.67499999999</v>
      </c>
      <c r="AN25" s="355">
        <f>$B25/4</f>
        <v>434745.67499999999</v>
      </c>
      <c r="AO25" s="355">
        <f>$B25/4</f>
        <v>434745.67499999999</v>
      </c>
      <c r="AP25" s="355">
        <f t="shared" ref="AP25" si="17">$B25/4</f>
        <v>434745.67499999999</v>
      </c>
      <c r="AQ25" s="374"/>
      <c r="AR25" s="372"/>
      <c r="AS25" s="370"/>
      <c r="AT25" s="355"/>
      <c r="AU25" s="355"/>
      <c r="AV25" s="374"/>
      <c r="AW25" s="355"/>
      <c r="AX25" s="355"/>
      <c r="AY25" s="355"/>
      <c r="AZ25" s="374"/>
      <c r="BA25" s="374"/>
      <c r="BB25" s="357">
        <f t="shared" si="3"/>
        <v>1738982.7</v>
      </c>
      <c r="BC25" s="357">
        <f t="shared" si="6"/>
        <v>1738982.7</v>
      </c>
      <c r="BD25" s="357">
        <f t="shared" si="11"/>
        <v>0</v>
      </c>
      <c r="BE25"/>
      <c r="BF25"/>
      <c r="BG25" s="491"/>
    </row>
    <row r="26" spans="1:59" ht="14.4" x14ac:dyDescent="0.3">
      <c r="A26" s="353" t="str">
        <f>'8a| Phase 3 Financial'!A74</f>
        <v>Construction Loan Origination</v>
      </c>
      <c r="B26" s="354">
        <f>'8a| Phase 3 Financial'!C74</f>
        <v>3320325</v>
      </c>
      <c r="C26" s="355">
        <f>$B$26*C7</f>
        <v>0</v>
      </c>
      <c r="D26" s="355">
        <f>$B$26*D7</f>
        <v>0</v>
      </c>
      <c r="E26" s="355">
        <v>0</v>
      </c>
      <c r="F26" s="355">
        <v>0</v>
      </c>
      <c r="G26" s="355">
        <v>0</v>
      </c>
      <c r="H26" s="355">
        <v>0</v>
      </c>
      <c r="I26" s="355">
        <v>0</v>
      </c>
      <c r="J26" s="355">
        <v>0</v>
      </c>
      <c r="K26" s="355"/>
      <c r="L26" s="355">
        <v>0</v>
      </c>
      <c r="M26" s="369"/>
      <c r="N26" s="355">
        <v>0</v>
      </c>
      <c r="O26" s="355">
        <v>0</v>
      </c>
      <c r="P26" s="355"/>
      <c r="Q26" s="355"/>
      <c r="R26" s="355"/>
      <c r="S26" s="355"/>
      <c r="T26" s="355"/>
      <c r="U26" s="355"/>
      <c r="V26" s="355"/>
      <c r="W26" s="369"/>
      <c r="X26" s="355"/>
      <c r="Y26" s="355"/>
      <c r="Z26" s="355"/>
      <c r="AA26" s="355"/>
      <c r="AB26" s="355"/>
      <c r="AC26" s="355"/>
      <c r="AD26" s="355"/>
      <c r="AE26" s="355"/>
      <c r="AF26" s="355"/>
      <c r="AG26" s="355"/>
      <c r="AH26" s="355">
        <f>$B26</f>
        <v>3320325</v>
      </c>
      <c r="AI26" s="355"/>
      <c r="AJ26" s="355"/>
      <c r="AK26" s="355"/>
      <c r="AL26" s="355"/>
      <c r="AM26" s="355"/>
      <c r="AN26" s="355"/>
      <c r="AO26" s="355"/>
      <c r="AP26" s="355"/>
      <c r="AQ26" s="374"/>
      <c r="AR26" s="377"/>
      <c r="AS26" s="355"/>
      <c r="AT26" s="355"/>
      <c r="AU26" s="355"/>
      <c r="AV26" s="374"/>
      <c r="AW26" s="355"/>
      <c r="AX26" s="355"/>
      <c r="AY26" s="355"/>
      <c r="AZ26" s="374"/>
      <c r="BA26" s="374"/>
      <c r="BB26" s="357">
        <f t="shared" si="3"/>
        <v>3320325</v>
      </c>
      <c r="BC26" s="357">
        <f t="shared" si="6"/>
        <v>3320325</v>
      </c>
      <c r="BD26" s="357">
        <f t="shared" si="11"/>
        <v>0</v>
      </c>
      <c r="BE26"/>
      <c r="BF26"/>
      <c r="BG26" s="491"/>
    </row>
    <row r="27" spans="1:59" ht="14.4" x14ac:dyDescent="0.3">
      <c r="A27" s="353" t="str">
        <f>'8a| Phase 3 Financial'!A75</f>
        <v>Construction Interest</v>
      </c>
      <c r="B27" s="354">
        <f>'8a| Phase 3 Financial'!C75</f>
        <v>15494850.000000002</v>
      </c>
      <c r="C27" s="382"/>
      <c r="D27" s="355"/>
      <c r="E27" s="355"/>
      <c r="F27" s="355"/>
      <c r="G27" s="355"/>
      <c r="H27" s="355"/>
      <c r="I27" s="355"/>
      <c r="J27" s="355"/>
      <c r="K27" s="355"/>
      <c r="L27" s="355"/>
      <c r="M27" s="355"/>
      <c r="N27" s="355"/>
      <c r="O27" s="355"/>
      <c r="P27" s="355"/>
      <c r="Q27" s="355"/>
      <c r="R27" s="355"/>
      <c r="S27" s="355"/>
      <c r="T27" s="355"/>
      <c r="U27" s="355"/>
      <c r="V27" s="355"/>
      <c r="W27" s="355"/>
      <c r="X27" s="355"/>
      <c r="Y27" s="355"/>
      <c r="Z27" s="355"/>
      <c r="AA27" s="355"/>
      <c r="AB27" s="355"/>
      <c r="AC27" s="355">
        <f t="shared" ref="AC27" si="18">0.05*$B27</f>
        <v>774742.50000000012</v>
      </c>
      <c r="AD27" s="355">
        <f t="shared" ref="AD27:AJ27" si="19">0.05*$B27</f>
        <v>774742.50000000012</v>
      </c>
      <c r="AE27" s="355">
        <f t="shared" si="19"/>
        <v>774742.50000000012</v>
      </c>
      <c r="AF27" s="355">
        <f t="shared" si="19"/>
        <v>774742.50000000012</v>
      </c>
      <c r="AG27" s="355">
        <f t="shared" si="19"/>
        <v>774742.50000000012</v>
      </c>
      <c r="AH27" s="355">
        <f t="shared" si="19"/>
        <v>774742.50000000012</v>
      </c>
      <c r="AI27" s="355">
        <f t="shared" si="19"/>
        <v>774742.50000000012</v>
      </c>
      <c r="AJ27" s="355">
        <f t="shared" si="19"/>
        <v>774742.50000000012</v>
      </c>
      <c r="AK27" s="355">
        <f t="shared" ref="AK27:AP27" si="20">0.1*$B27</f>
        <v>1549485.0000000002</v>
      </c>
      <c r="AL27" s="355">
        <f t="shared" si="20"/>
        <v>1549485.0000000002</v>
      </c>
      <c r="AM27" s="355">
        <f t="shared" si="20"/>
        <v>1549485.0000000002</v>
      </c>
      <c r="AN27" s="355">
        <f t="shared" si="20"/>
        <v>1549485.0000000002</v>
      </c>
      <c r="AO27" s="355">
        <f t="shared" si="20"/>
        <v>1549485.0000000002</v>
      </c>
      <c r="AP27" s="355">
        <f t="shared" si="20"/>
        <v>1549485.0000000002</v>
      </c>
      <c r="AQ27" s="355"/>
      <c r="AR27" s="355"/>
      <c r="AS27" s="355"/>
      <c r="AT27" s="355"/>
      <c r="AU27" s="355"/>
      <c r="AV27" s="355"/>
      <c r="AW27" s="355"/>
      <c r="AX27" s="355"/>
      <c r="AY27" s="369"/>
      <c r="AZ27" s="355"/>
      <c r="BA27" s="355"/>
      <c r="BB27" s="357">
        <f t="shared" si="3"/>
        <v>15494850.000000002</v>
      </c>
      <c r="BC27" s="357">
        <f t="shared" si="6"/>
        <v>15494850.000000002</v>
      </c>
      <c r="BD27" s="357">
        <f t="shared" si="11"/>
        <v>0</v>
      </c>
      <c r="BE27"/>
      <c r="BF27"/>
      <c r="BG27" s="491"/>
    </row>
    <row r="28" spans="1:59" ht="26.25" customHeight="1" thickBot="1" x14ac:dyDescent="0.35">
      <c r="A28" s="383" t="str">
        <f>'8a| Phase 3 Financial'!A76</f>
        <v>Additional Contingency</v>
      </c>
      <c r="B28" s="384">
        <f>'8a| Phase 3 Financial'!C76</f>
        <v>400000</v>
      </c>
      <c r="C28" s="385">
        <v>0</v>
      </c>
      <c r="D28" s="385">
        <v>0</v>
      </c>
      <c r="E28" s="385">
        <v>0</v>
      </c>
      <c r="F28" s="385"/>
      <c r="G28" s="385">
        <v>0</v>
      </c>
      <c r="H28" s="385">
        <v>0</v>
      </c>
      <c r="I28" s="385">
        <v>0</v>
      </c>
      <c r="J28" s="385">
        <v>0</v>
      </c>
      <c r="K28" s="385">
        <v>0</v>
      </c>
      <c r="L28" s="385"/>
      <c r="M28" s="385"/>
      <c r="N28" s="385"/>
      <c r="O28" s="385"/>
      <c r="P28" s="385"/>
      <c r="Q28" s="385">
        <f>$B28*Q7</f>
        <v>0</v>
      </c>
      <c r="R28" s="385">
        <f t="shared" ref="R28:AE28" si="21">$B28*R7</f>
        <v>0</v>
      </c>
      <c r="S28" s="385">
        <f t="shared" si="21"/>
        <v>0</v>
      </c>
      <c r="T28" s="385">
        <f t="shared" si="21"/>
        <v>0</v>
      </c>
      <c r="U28" s="385">
        <f t="shared" si="21"/>
        <v>0</v>
      </c>
      <c r="V28" s="385">
        <f t="shared" si="21"/>
        <v>0</v>
      </c>
      <c r="W28" s="385">
        <f t="shared" si="21"/>
        <v>0</v>
      </c>
      <c r="X28" s="385">
        <f t="shared" si="21"/>
        <v>0</v>
      </c>
      <c r="Y28" s="385">
        <f t="shared" si="21"/>
        <v>0</v>
      </c>
      <c r="Z28" s="385">
        <f t="shared" si="21"/>
        <v>0</v>
      </c>
      <c r="AA28" s="385">
        <f t="shared" si="21"/>
        <v>0</v>
      </c>
      <c r="AB28" s="385">
        <f t="shared" si="21"/>
        <v>0</v>
      </c>
      <c r="AC28" s="385">
        <f t="shared" si="21"/>
        <v>32000</v>
      </c>
      <c r="AD28" s="385">
        <f t="shared" si="21"/>
        <v>32000</v>
      </c>
      <c r="AE28" s="385">
        <f t="shared" si="21"/>
        <v>32000</v>
      </c>
      <c r="AF28" s="385">
        <f>$B28*AF7</f>
        <v>32000</v>
      </c>
      <c r="AG28" s="385">
        <f t="shared" ref="AG28:AP28" si="22">$B28*AG7</f>
        <v>32000</v>
      </c>
      <c r="AH28" s="385">
        <f t="shared" si="22"/>
        <v>32000</v>
      </c>
      <c r="AI28" s="385">
        <f t="shared" si="22"/>
        <v>32000</v>
      </c>
      <c r="AJ28" s="385">
        <f t="shared" si="22"/>
        <v>32000</v>
      </c>
      <c r="AK28" s="385">
        <f t="shared" si="22"/>
        <v>28000.000000000004</v>
      </c>
      <c r="AL28" s="385">
        <f t="shared" si="22"/>
        <v>24000</v>
      </c>
      <c r="AM28" s="385">
        <f t="shared" si="22"/>
        <v>24000</v>
      </c>
      <c r="AN28" s="385">
        <f t="shared" si="22"/>
        <v>24000</v>
      </c>
      <c r="AO28" s="385">
        <f t="shared" si="22"/>
        <v>24000</v>
      </c>
      <c r="AP28" s="385">
        <f t="shared" si="22"/>
        <v>20000</v>
      </c>
      <c r="AQ28" s="385"/>
      <c r="AR28" s="385"/>
      <c r="AS28" s="386"/>
      <c r="AT28" s="386"/>
      <c r="AU28" s="386"/>
      <c r="AV28" s="386"/>
      <c r="AW28" s="387"/>
      <c r="AX28" s="387"/>
      <c r="AY28" s="388"/>
      <c r="AZ28" s="389"/>
      <c r="BA28" s="389"/>
      <c r="BB28" s="384">
        <f t="shared" si="3"/>
        <v>400000</v>
      </c>
      <c r="BC28" s="357">
        <f t="shared" si="6"/>
        <v>400000</v>
      </c>
      <c r="BD28" s="357">
        <f t="shared" si="11"/>
        <v>0</v>
      </c>
      <c r="BE28"/>
      <c r="BF28"/>
      <c r="BG28" s="491"/>
    </row>
    <row r="29" spans="1:59" ht="15.6" thickTop="1" thickBot="1" x14ac:dyDescent="0.35">
      <c r="A29" s="390" t="s">
        <v>216</v>
      </c>
      <c r="B29" s="391">
        <f t="shared" ref="B29:AH29" si="23">SUM(B8:B28)</f>
        <v>368881852.51335734</v>
      </c>
      <c r="C29" s="392">
        <f t="shared" si="23"/>
        <v>0</v>
      </c>
      <c r="D29" s="392">
        <f t="shared" si="23"/>
        <v>0</v>
      </c>
      <c r="E29" s="392">
        <f t="shared" si="23"/>
        <v>0</v>
      </c>
      <c r="F29" s="392">
        <f t="shared" si="23"/>
        <v>0</v>
      </c>
      <c r="G29" s="392">
        <f t="shared" si="23"/>
        <v>0</v>
      </c>
      <c r="H29" s="392">
        <f t="shared" si="23"/>
        <v>0</v>
      </c>
      <c r="I29" s="392">
        <f t="shared" si="23"/>
        <v>0</v>
      </c>
      <c r="J29" s="392">
        <f t="shared" si="23"/>
        <v>0</v>
      </c>
      <c r="K29" s="392">
        <f t="shared" si="23"/>
        <v>0</v>
      </c>
      <c r="L29" s="392">
        <f t="shared" si="23"/>
        <v>0</v>
      </c>
      <c r="M29" s="392">
        <f t="shared" si="23"/>
        <v>0</v>
      </c>
      <c r="N29" s="392">
        <f t="shared" si="23"/>
        <v>0</v>
      </c>
      <c r="O29" s="392">
        <f t="shared" si="23"/>
        <v>0</v>
      </c>
      <c r="P29" s="392">
        <f t="shared" si="23"/>
        <v>0</v>
      </c>
      <c r="Q29" s="392">
        <f t="shared" si="23"/>
        <v>0</v>
      </c>
      <c r="R29" s="392">
        <f t="shared" si="23"/>
        <v>0</v>
      </c>
      <c r="S29" s="392">
        <f t="shared" si="23"/>
        <v>0</v>
      </c>
      <c r="T29" s="392">
        <f t="shared" si="23"/>
        <v>0</v>
      </c>
      <c r="U29" s="392">
        <f t="shared" si="23"/>
        <v>0</v>
      </c>
      <c r="V29" s="392">
        <f t="shared" si="23"/>
        <v>0</v>
      </c>
      <c r="W29" s="392">
        <f t="shared" si="23"/>
        <v>0</v>
      </c>
      <c r="X29" s="392">
        <f t="shared" si="23"/>
        <v>0</v>
      </c>
      <c r="Y29" s="392">
        <f t="shared" si="23"/>
        <v>0</v>
      </c>
      <c r="Z29" s="392">
        <f t="shared" si="23"/>
        <v>0</v>
      </c>
      <c r="AA29" s="392">
        <f t="shared" si="23"/>
        <v>0</v>
      </c>
      <c r="AB29" s="392">
        <f t="shared" si="23"/>
        <v>0</v>
      </c>
      <c r="AC29" s="392">
        <f t="shared" si="23"/>
        <v>24938301.172297142</v>
      </c>
      <c r="AD29" s="392">
        <f t="shared" si="23"/>
        <v>25698326.006047145</v>
      </c>
      <c r="AE29" s="392">
        <f t="shared" si="23"/>
        <v>28261742.118547145</v>
      </c>
      <c r="AF29" s="392">
        <f t="shared" si="23"/>
        <v>25728326.006047145</v>
      </c>
      <c r="AG29" s="392">
        <f t="shared" si="23"/>
        <v>28228326.006047145</v>
      </c>
      <c r="AH29" s="392">
        <f t="shared" si="23"/>
        <v>29058651.006047145</v>
      </c>
      <c r="AI29" s="392">
        <f>SUM(AI8:AI28)</f>
        <v>25738326.006047145</v>
      </c>
      <c r="AJ29" s="392">
        <f t="shared" ref="AJ29:AO29" si="24">SUM(AJ8:AJ28)</f>
        <v>31558326.006047145</v>
      </c>
      <c r="AK29" s="392">
        <f t="shared" si="24"/>
        <v>24373864.276228752</v>
      </c>
      <c r="AL29" s="392">
        <f t="shared" si="24"/>
        <v>20688397.712660357</v>
      </c>
      <c r="AM29" s="392">
        <f t="shared" si="24"/>
        <v>23803672.434379157</v>
      </c>
      <c r="AN29" s="392">
        <f t="shared" si="24"/>
        <v>27907853.386760104</v>
      </c>
      <c r="AO29" s="392">
        <f t="shared" si="24"/>
        <v>25571591.05301011</v>
      </c>
      <c r="AP29" s="392">
        <f>SUM(AP8:AP28)</f>
        <v>22646149.323191714</v>
      </c>
      <c r="AQ29" s="392"/>
      <c r="AR29" s="392"/>
      <c r="AS29" s="392"/>
      <c r="AT29" s="392"/>
      <c r="AU29" s="392"/>
      <c r="AV29" s="392"/>
      <c r="AW29" s="392"/>
      <c r="AX29" s="393"/>
      <c r="AY29" s="394"/>
      <c r="AZ29" s="395"/>
      <c r="BA29" s="395"/>
      <c r="BB29" s="396">
        <f>SUM(BB8:BB28)</f>
        <v>364201852.51335734</v>
      </c>
      <c r="BC29" s="397">
        <f>SUM(BC8:BC28)</f>
        <v>368881852.51335734</v>
      </c>
      <c r="BD29" s="397"/>
      <c r="BE29"/>
      <c r="BF29"/>
      <c r="BG29" s="491"/>
    </row>
    <row r="30" spans="1:59" ht="14.4" x14ac:dyDescent="0.3">
      <c r="A30" s="398" t="s">
        <v>519</v>
      </c>
      <c r="B30" s="399">
        <f>IF('8a| Phase 3 Financial'!B85&lt;0,'8a| Phase 3 Financial'!B85,0)</f>
        <v>0</v>
      </c>
      <c r="C30" s="400"/>
      <c r="D30" s="401"/>
      <c r="E30" s="401"/>
      <c r="F30" s="401"/>
      <c r="G30" s="401"/>
      <c r="H30" s="401"/>
      <c r="I30" s="401"/>
      <c r="J30" s="401"/>
      <c r="K30" s="401"/>
      <c r="L30" s="401"/>
      <c r="M30" s="401"/>
      <c r="N30" s="401"/>
      <c r="O30" s="401"/>
      <c r="P30" s="401"/>
      <c r="Q30" s="401"/>
      <c r="R30" s="401"/>
      <c r="S30" s="401"/>
      <c r="T30" s="401"/>
      <c r="U30" s="401"/>
      <c r="V30" s="401"/>
      <c r="W30" s="401"/>
      <c r="X30" s="401"/>
      <c r="Y30" s="401"/>
      <c r="Z30" s="402"/>
      <c r="AA30" s="402"/>
      <c r="AB30" s="402"/>
      <c r="AC30" s="402"/>
      <c r="AD30" s="402"/>
      <c r="AE30" s="402"/>
      <c r="AF30" s="402"/>
      <c r="AG30" s="402"/>
      <c r="AH30" s="401"/>
      <c r="AI30" s="401"/>
      <c r="AJ30" s="401"/>
      <c r="AK30" s="401"/>
      <c r="AL30" s="401"/>
      <c r="AM30" s="401"/>
      <c r="AN30" s="401"/>
      <c r="AO30" s="401"/>
      <c r="AP30" s="401"/>
      <c r="AQ30" s="400"/>
      <c r="AR30" s="403"/>
      <c r="AS30" s="401"/>
      <c r="AT30" s="401"/>
      <c r="AU30" s="401"/>
      <c r="AV30" s="400"/>
      <c r="AW30" s="401"/>
      <c r="AX30" s="401"/>
      <c r="AY30" s="404"/>
      <c r="AZ30" s="405"/>
      <c r="BA30" s="405"/>
      <c r="BB30" s="400"/>
      <c r="BC30" s="400"/>
      <c r="BD30" s="373"/>
      <c r="BE30"/>
      <c r="BF30"/>
      <c r="BG30" s="491"/>
    </row>
    <row r="31" spans="1:59" ht="15" thickBot="1" x14ac:dyDescent="0.35">
      <c r="A31" s="406" t="s">
        <v>520</v>
      </c>
      <c r="B31" s="407">
        <f>B29+B30</f>
        <v>368881852.51335734</v>
      </c>
      <c r="C31" s="408"/>
      <c r="D31" s="409"/>
      <c r="E31" s="409"/>
      <c r="F31" s="409"/>
      <c r="G31" s="409"/>
      <c r="H31" s="409"/>
      <c r="I31" s="409"/>
      <c r="J31" s="409"/>
      <c r="K31" s="409"/>
      <c r="L31" s="409"/>
      <c r="M31" s="409"/>
      <c r="N31" s="409"/>
      <c r="O31" s="409"/>
      <c r="P31" s="409"/>
      <c r="Q31" s="409"/>
      <c r="R31" s="409"/>
      <c r="S31" s="409"/>
      <c r="T31" s="409"/>
      <c r="U31" s="409"/>
      <c r="V31" s="409"/>
      <c r="W31" s="409"/>
      <c r="X31" s="409"/>
      <c r="Y31" s="409"/>
      <c r="Z31" s="410"/>
      <c r="AA31" s="410"/>
      <c r="AB31" s="410"/>
      <c r="AC31" s="410"/>
      <c r="AD31" s="410"/>
      <c r="AE31" s="410"/>
      <c r="AF31" s="410"/>
      <c r="AG31" s="410"/>
      <c r="AH31" s="409"/>
      <c r="AI31" s="409"/>
      <c r="AJ31" s="409"/>
      <c r="AK31" s="409"/>
      <c r="AL31" s="409"/>
      <c r="AM31" s="409"/>
      <c r="AN31" s="409"/>
      <c r="AO31" s="409"/>
      <c r="AP31" s="409"/>
      <c r="AQ31" s="408"/>
      <c r="AR31" s="411"/>
      <c r="AS31" s="409"/>
      <c r="AT31" s="409"/>
      <c r="AU31" s="409"/>
      <c r="AV31" s="408"/>
      <c r="AW31" s="409"/>
      <c r="AX31" s="409"/>
      <c r="AY31" s="412"/>
      <c r="AZ31" s="413"/>
      <c r="BA31" s="413"/>
      <c r="BB31" s="400"/>
      <c r="BC31" s="400"/>
      <c r="BD31" s="373"/>
      <c r="BE31"/>
      <c r="BF31"/>
      <c r="BG31" s="491"/>
    </row>
    <row r="32" spans="1:59" ht="14.4" x14ac:dyDescent="0.3">
      <c r="A32" s="414" t="s">
        <v>521</v>
      </c>
      <c r="B32" s="415">
        <f>SUM(C32:AY32)</f>
        <v>104626695.30293858</v>
      </c>
      <c r="C32" s="416">
        <f>C29</f>
        <v>0</v>
      </c>
      <c r="D32" s="416">
        <f t="shared" ref="D32:AE32" si="25">IF(C33+D29&lt;=$B$33,D29,($B$33-C33))</f>
        <v>0</v>
      </c>
      <c r="E32" s="416">
        <f t="shared" si="25"/>
        <v>0</v>
      </c>
      <c r="F32" s="416">
        <f t="shared" si="25"/>
        <v>0</v>
      </c>
      <c r="G32" s="416">
        <f t="shared" si="25"/>
        <v>0</v>
      </c>
      <c r="H32" s="416">
        <f t="shared" si="25"/>
        <v>0</v>
      </c>
      <c r="I32" s="416">
        <f t="shared" si="25"/>
        <v>0</v>
      </c>
      <c r="J32" s="416">
        <f t="shared" si="25"/>
        <v>0</v>
      </c>
      <c r="K32" s="416">
        <f t="shared" si="25"/>
        <v>0</v>
      </c>
      <c r="L32" s="416">
        <f t="shared" si="25"/>
        <v>0</v>
      </c>
      <c r="M32" s="416">
        <f t="shared" si="25"/>
        <v>0</v>
      </c>
      <c r="N32" s="416">
        <f t="shared" si="25"/>
        <v>0</v>
      </c>
      <c r="O32" s="416">
        <f t="shared" si="25"/>
        <v>0</v>
      </c>
      <c r="P32" s="416">
        <f t="shared" si="25"/>
        <v>0</v>
      </c>
      <c r="Q32" s="416">
        <f t="shared" si="25"/>
        <v>0</v>
      </c>
      <c r="R32" s="416">
        <f t="shared" si="25"/>
        <v>0</v>
      </c>
      <c r="S32" s="416">
        <f t="shared" si="25"/>
        <v>0</v>
      </c>
      <c r="T32" s="416">
        <f t="shared" si="25"/>
        <v>0</v>
      </c>
      <c r="U32" s="416">
        <f t="shared" si="25"/>
        <v>0</v>
      </c>
      <c r="V32" s="416">
        <f t="shared" si="25"/>
        <v>0</v>
      </c>
      <c r="W32" s="416">
        <f t="shared" si="25"/>
        <v>0</v>
      </c>
      <c r="X32" s="416">
        <f t="shared" si="25"/>
        <v>0</v>
      </c>
      <c r="Y32" s="416">
        <f t="shared" si="25"/>
        <v>0</v>
      </c>
      <c r="Z32" s="416">
        <f t="shared" si="25"/>
        <v>0</v>
      </c>
      <c r="AA32" s="416">
        <f t="shared" si="25"/>
        <v>0</v>
      </c>
      <c r="AB32" s="416">
        <f t="shared" si="25"/>
        <v>0</v>
      </c>
      <c r="AC32" s="416">
        <f t="shared" si="25"/>
        <v>24938301.172297142</v>
      </c>
      <c r="AD32" s="416">
        <f t="shared" si="25"/>
        <v>25698326.006047145</v>
      </c>
      <c r="AE32" s="416">
        <f t="shared" si="25"/>
        <v>28261742.118547145</v>
      </c>
      <c r="AF32" s="416">
        <f>IF(AE33+AF29&lt;=$B$33,AF29,($B$33-AE33))</f>
        <v>25728326.006047145</v>
      </c>
      <c r="AG32" s="416"/>
      <c r="AH32" s="416"/>
      <c r="AI32" s="416"/>
      <c r="AJ32" s="416"/>
      <c r="AK32" s="416"/>
      <c r="AL32" s="416"/>
      <c r="AM32" s="416"/>
      <c r="AN32" s="416"/>
      <c r="AO32" s="416"/>
      <c r="AP32" s="416"/>
      <c r="AQ32" s="416"/>
      <c r="AR32" s="416"/>
      <c r="AS32" s="416"/>
      <c r="AT32" s="416"/>
      <c r="AU32" s="416"/>
      <c r="AV32" s="416"/>
      <c r="AW32" s="416"/>
      <c r="AX32" s="416"/>
      <c r="AY32" s="416"/>
      <c r="AZ32" s="416"/>
      <c r="BA32" s="416"/>
      <c r="BB32" s="375"/>
      <c r="BC32" s="375"/>
      <c r="BD32" s="375"/>
      <c r="BE32"/>
      <c r="BF32"/>
      <c r="BG32" s="491"/>
    </row>
    <row r="33" spans="1:59" ht="15" thickBot="1" x14ac:dyDescent="0.35">
      <c r="A33" s="417" t="s">
        <v>522</v>
      </c>
      <c r="B33" s="418">
        <f>'8a| Phase 3 Financial'!B88</f>
        <v>147553000</v>
      </c>
      <c r="C33" s="419">
        <f>C32</f>
        <v>0</v>
      </c>
      <c r="D33" s="419">
        <f>IF(SUM($C$32:D32)&lt;=$B33,SUM($C$32:D32),0)</f>
        <v>0</v>
      </c>
      <c r="E33" s="419">
        <f>IF(SUM($C$32:E32)&lt;=$B33,SUM($C$32:E32),0)</f>
        <v>0</v>
      </c>
      <c r="F33" s="419">
        <f>IF(SUM($C$32:F32)&lt;=$B33,SUM($C$32:F32),0)</f>
        <v>0</v>
      </c>
      <c r="G33" s="419">
        <f>IF(SUM($C$32:G32)&lt;=$B33,SUM($C$32:G32),0)</f>
        <v>0</v>
      </c>
      <c r="H33" s="419">
        <f>IF(SUM($C$32:H32)&lt;=$B33,SUM($C$32:H32),0)</f>
        <v>0</v>
      </c>
      <c r="I33" s="419">
        <f>IF(SUM($C$32:I32)&lt;=$B33,SUM($C$32:I32),0)</f>
        <v>0</v>
      </c>
      <c r="J33" s="419">
        <f>IF(SUM($C$32:J32)&lt;=$B33,SUM($C$32:J32),0)</f>
        <v>0</v>
      </c>
      <c r="K33" s="419">
        <f>IF(SUM($C$32:K32)&lt;=$B33,SUM($C$32:K32),0)</f>
        <v>0</v>
      </c>
      <c r="L33" s="419">
        <f>IF(SUM($C$32:L32)&lt;=$B33,SUM($C$32:L32),0)</f>
        <v>0</v>
      </c>
      <c r="M33" s="419">
        <f>IF(SUM($C$32:M32)&lt;=$B33,SUM($C$32:M32),0)</f>
        <v>0</v>
      </c>
      <c r="N33" s="419">
        <f>IF(SUM($C$32:N32)&lt;=$B33,SUM($C$32:N32),0)</f>
        <v>0</v>
      </c>
      <c r="O33" s="419">
        <f>IF(SUM($C$32:O32)&lt;=$B33,SUM($C$32:O32),0)</f>
        <v>0</v>
      </c>
      <c r="P33" s="419">
        <f>IF(SUM($C$32:P32)&lt;=$B33,SUM($C$32:P32),0)</f>
        <v>0</v>
      </c>
      <c r="Q33" s="419">
        <f>IF(SUM($C$32:Q32)&lt;=$B33,SUM($C$32:Q32),0)</f>
        <v>0</v>
      </c>
      <c r="R33" s="419">
        <f>IF(SUM($C$32:R32)&lt;=$B33,SUM($C$32:R32),0)</f>
        <v>0</v>
      </c>
      <c r="S33" s="419">
        <f>IF(SUM($C$32:S32)&lt;=$B33,SUM($C$32:S32),0)</f>
        <v>0</v>
      </c>
      <c r="T33" s="419">
        <f>IF(SUM($C$32:T32)&lt;=$B33,SUM($C$32:T32),0)</f>
        <v>0</v>
      </c>
      <c r="U33" s="419">
        <f>IF(SUM($C$32:U32)&lt;=$B33,SUM($C$32:U32),0)</f>
        <v>0</v>
      </c>
      <c r="V33" s="419">
        <f>IF(SUM($C$32:V32)&lt;=$B33,SUM($C$32:V32),0)</f>
        <v>0</v>
      </c>
      <c r="W33" s="419">
        <f>IF(SUM($C$32:W32)&lt;=$B33,SUM($C$32:W32),0)</f>
        <v>0</v>
      </c>
      <c r="X33" s="419">
        <f>IF(SUM($C$32:X32)&lt;=$B33,SUM($C$32:X32),0)</f>
        <v>0</v>
      </c>
      <c r="Y33" s="419">
        <f>IF(SUM($C$32:Y32)&lt;=$B33,SUM($C$32:Y32),0)</f>
        <v>0</v>
      </c>
      <c r="Z33" s="419">
        <f>IF(SUM($C$32:Z32)&lt;=$B33,SUM($C$32:Z32),0)</f>
        <v>0</v>
      </c>
      <c r="AA33" s="419">
        <f>IF(SUM($C$32:AA32)&lt;=$B33,SUM($C$32:AA32),0)</f>
        <v>0</v>
      </c>
      <c r="AB33" s="419">
        <f>IF(SUM($C$32:AB32)&lt;=$B33,SUM($C$32:AB32),0)</f>
        <v>0</v>
      </c>
      <c r="AC33" s="419">
        <f>IF(SUM($C$32:AC32)&lt;=$B33,SUM($C$32:AC32),0)</f>
        <v>24938301.172297142</v>
      </c>
      <c r="AD33" s="419">
        <f>IF(SUM($C$32:AD32)&lt;=$B33,SUM($C$32:AD32),0)</f>
        <v>50636627.178344287</v>
      </c>
      <c r="AE33" s="419">
        <f>IF(SUM($C$32:AE32)&lt;=$B33,SUM($C$32:AE32),0)</f>
        <v>78898369.296891436</v>
      </c>
      <c r="AF33" s="419">
        <f>IF(SUM($C$32:AF32)&lt;=$B33,SUM($C$32:AF32),0)</f>
        <v>104626695.30293858</v>
      </c>
      <c r="AG33" s="419">
        <f>IF(SUM($C$32:AG32)&lt;=$B33,SUM($C$32:AG32),0)</f>
        <v>104626695.30293858</v>
      </c>
      <c r="AH33" s="419">
        <f>IF(SUM($C$32:AH32)&lt;=$B33,SUM($C$32:AH32),0)</f>
        <v>104626695.30293858</v>
      </c>
      <c r="AI33" s="419">
        <f>IF(SUM($C$32:AI32)&lt;=$B33,SUM($C$32:AI32),0)</f>
        <v>104626695.30293858</v>
      </c>
      <c r="AJ33" s="419">
        <f>IF(SUM($C$32:AJ32)&lt;=$B33,SUM($C$32:AJ32),0)</f>
        <v>104626695.30293858</v>
      </c>
      <c r="AK33" s="419">
        <f>IF(SUM($C$32:AK32)&lt;=$B33,SUM($C$32:AK32),0)</f>
        <v>104626695.30293858</v>
      </c>
      <c r="AL33" s="419">
        <f>IF(SUM($C$32:AL32)&lt;=$B33,SUM($C$32:AL32),0)</f>
        <v>104626695.30293858</v>
      </c>
      <c r="AM33" s="419">
        <f>IF(SUM($C$32:AM32)&lt;=$B33,SUM($C$32:AM32),0)</f>
        <v>104626695.30293858</v>
      </c>
      <c r="AN33" s="419">
        <f>IF(SUM($C$32:AN32)&lt;=$B33,SUM($C$32:AN32),0)</f>
        <v>104626695.30293858</v>
      </c>
      <c r="AO33" s="419">
        <f>IF(SUM($C$32:AO32)&lt;=$B33,SUM($C$32:AO32),0)</f>
        <v>104626695.30293858</v>
      </c>
      <c r="AP33" s="419">
        <f>IF(SUM($C$32:AP32)&lt;=$B33,SUM($C$32:AP32),0)</f>
        <v>104626695.30293858</v>
      </c>
      <c r="AQ33" s="419"/>
      <c r="AR33" s="419"/>
      <c r="AS33" s="419"/>
      <c r="AT33" s="419"/>
      <c r="AU33" s="419"/>
      <c r="AV33" s="419"/>
      <c r="AW33" s="419"/>
      <c r="AX33" s="419"/>
      <c r="AY33" s="419"/>
      <c r="AZ33" s="419"/>
      <c r="BA33" s="419"/>
      <c r="BB33" s="375"/>
      <c r="BC33" s="375"/>
      <c r="BD33" s="375"/>
      <c r="BE33"/>
      <c r="BF33"/>
      <c r="BG33" s="491"/>
    </row>
    <row r="34" spans="1:59" ht="14.4" x14ac:dyDescent="0.3">
      <c r="A34" s="420" t="s">
        <v>523</v>
      </c>
      <c r="B34" s="421">
        <f>'8a| Phase 3 Financial'!B87</f>
        <v>221329000</v>
      </c>
      <c r="C34" s="422"/>
      <c r="D34" s="423"/>
      <c r="E34" s="423"/>
      <c r="F34" s="423"/>
      <c r="G34" s="423"/>
      <c r="H34" s="423"/>
      <c r="I34" s="423"/>
      <c r="J34" s="423"/>
      <c r="K34" s="423"/>
      <c r="L34" s="423"/>
      <c r="M34" s="423"/>
      <c r="N34" s="423"/>
      <c r="O34" s="423"/>
      <c r="P34" s="423"/>
      <c r="Q34" s="423"/>
      <c r="R34" s="423"/>
      <c r="S34" s="423"/>
      <c r="T34" s="423"/>
      <c r="U34" s="423"/>
      <c r="V34" s="423"/>
      <c r="W34" s="423"/>
      <c r="X34" s="423"/>
      <c r="Y34" s="423"/>
      <c r="Z34" s="423"/>
      <c r="AA34" s="423"/>
      <c r="AB34" s="423"/>
      <c r="AC34" s="423"/>
      <c r="AD34" s="423"/>
      <c r="AE34" s="423"/>
      <c r="AF34" s="423"/>
      <c r="AG34" s="423"/>
      <c r="AH34" s="423"/>
      <c r="AI34" s="423"/>
      <c r="AJ34" s="423"/>
      <c r="AK34" s="423"/>
      <c r="AL34" s="423"/>
      <c r="AM34" s="423"/>
      <c r="AN34" s="423"/>
      <c r="AO34" s="423"/>
      <c r="AP34" s="423"/>
      <c r="AQ34" s="423"/>
      <c r="AR34" s="423"/>
      <c r="AS34" s="423"/>
      <c r="AT34" s="423"/>
      <c r="AU34" s="423"/>
      <c r="AV34" s="423"/>
      <c r="AW34" s="423"/>
      <c r="AX34" s="423"/>
      <c r="AY34" s="423"/>
      <c r="AZ34" s="423"/>
      <c r="BA34" s="423"/>
      <c r="BB34" s="424"/>
      <c r="BC34" s="424"/>
      <c r="BD34" s="375"/>
      <c r="BE34"/>
      <c r="BF34"/>
      <c r="BG34" s="491"/>
    </row>
    <row r="35" spans="1:59" ht="15" thickBot="1" x14ac:dyDescent="0.35">
      <c r="A35" s="417" t="s">
        <v>524</v>
      </c>
      <c r="B35" s="425">
        <f>PMT(0.045,30,(B34))</f>
        <v>-13587728.800416013</v>
      </c>
      <c r="C35" s="424"/>
      <c r="D35" s="426"/>
      <c r="E35" s="426"/>
      <c r="F35" s="426"/>
      <c r="G35" s="426"/>
      <c r="H35" s="426"/>
      <c r="I35" s="426"/>
      <c r="J35" s="426"/>
      <c r="K35" s="426"/>
      <c r="L35" s="426"/>
      <c r="M35" s="426"/>
      <c r="N35" s="426"/>
      <c r="O35" s="426"/>
      <c r="P35" s="426"/>
      <c r="Q35" s="426"/>
      <c r="R35" s="426"/>
      <c r="S35" s="426"/>
      <c r="T35" s="426"/>
      <c r="U35" s="426"/>
      <c r="V35" s="426"/>
      <c r="W35" s="426"/>
      <c r="X35" s="426"/>
      <c r="Y35" s="426"/>
      <c r="Z35" s="426"/>
      <c r="AA35" s="426"/>
      <c r="AB35" s="426"/>
      <c r="AC35" s="426"/>
      <c r="AD35" s="426"/>
      <c r="AE35" s="426"/>
      <c r="AF35" s="426"/>
      <c r="AG35" s="426"/>
      <c r="AH35" s="426"/>
      <c r="AI35" s="426"/>
      <c r="AJ35" s="426"/>
      <c r="AK35" s="426"/>
      <c r="AL35" s="426"/>
      <c r="AM35" s="426"/>
      <c r="AN35" s="426"/>
      <c r="AO35" s="426"/>
      <c r="AP35" s="426"/>
      <c r="AQ35" s="426"/>
      <c r="AR35" s="426"/>
      <c r="AS35" s="426"/>
      <c r="AT35" s="426"/>
      <c r="AU35" s="426"/>
      <c r="AV35" s="426"/>
      <c r="AW35" s="426"/>
      <c r="AX35" s="426"/>
      <c r="AY35" s="426"/>
      <c r="AZ35" s="426"/>
      <c r="BA35" s="426"/>
      <c r="BB35" s="424"/>
      <c r="BC35" s="424"/>
      <c r="BD35" s="375"/>
      <c r="BE35"/>
      <c r="BF35"/>
      <c r="BG35" s="491"/>
    </row>
    <row r="36" spans="1:59" ht="14.4" x14ac:dyDescent="0.3">
      <c r="A36" s="427" t="s">
        <v>525</v>
      </c>
      <c r="B36" s="428">
        <f>SUM(C36:BB36)</f>
        <v>0</v>
      </c>
      <c r="C36" s="357"/>
      <c r="D36" s="357"/>
      <c r="E36" s="357"/>
      <c r="F36" s="357"/>
      <c r="G36" s="357"/>
      <c r="H36" s="357"/>
      <c r="I36" s="357"/>
      <c r="J36" s="357"/>
      <c r="K36" s="357"/>
      <c r="L36" s="357"/>
      <c r="M36" s="357"/>
      <c r="N36" s="357"/>
      <c r="O36" s="357"/>
      <c r="P36" s="357"/>
      <c r="Q36" s="357"/>
      <c r="R36" s="357"/>
      <c r="S36" s="357"/>
      <c r="T36" s="357"/>
      <c r="U36" s="357"/>
      <c r="V36" s="357"/>
      <c r="W36" s="357"/>
      <c r="X36" s="357"/>
      <c r="Y36" s="357"/>
      <c r="Z36" s="357"/>
      <c r="AA36" s="357"/>
      <c r="AB36" s="357"/>
      <c r="AC36" s="357"/>
      <c r="AD36" s="357"/>
      <c r="AE36" s="357"/>
      <c r="AF36" s="357"/>
      <c r="AG36" s="357"/>
      <c r="AH36" s="357"/>
      <c r="AI36" s="357"/>
      <c r="AJ36" s="357"/>
      <c r="AK36" s="357"/>
      <c r="AL36" s="357"/>
      <c r="AM36" s="357"/>
      <c r="AN36" s="357"/>
      <c r="AO36" s="357"/>
      <c r="AP36" s="357"/>
      <c r="AQ36" s="357"/>
      <c r="AR36" s="357"/>
      <c r="AS36" s="357"/>
      <c r="AT36" s="357"/>
      <c r="AU36" s="357"/>
      <c r="AV36" s="357"/>
      <c r="AW36" s="357"/>
      <c r="AX36" s="357"/>
      <c r="AZ36" s="98">
        <v>0</v>
      </c>
      <c r="BA36" s="98">
        <v>0</v>
      </c>
      <c r="BB36" s="402"/>
      <c r="BC36" s="424"/>
      <c r="BD36" s="375"/>
      <c r="BE36"/>
      <c r="BF36"/>
      <c r="BG36" s="491"/>
    </row>
    <row r="37" spans="1:59" ht="14.4" x14ac:dyDescent="0.3">
      <c r="A37" s="429" t="s">
        <v>526</v>
      </c>
      <c r="B37" s="428"/>
      <c r="C37" s="357"/>
      <c r="D37" s="357"/>
      <c r="E37" s="357"/>
      <c r="F37" s="357"/>
      <c r="G37" s="357"/>
      <c r="H37" s="357"/>
      <c r="I37" s="357"/>
      <c r="J37" s="357"/>
      <c r="K37" s="357"/>
      <c r="L37" s="357"/>
      <c r="M37" s="357"/>
      <c r="N37" s="357"/>
      <c r="O37" s="357"/>
      <c r="P37" s="357"/>
      <c r="Q37" s="357"/>
      <c r="R37" s="357"/>
      <c r="S37" s="357"/>
      <c r="T37" s="357"/>
      <c r="U37" s="357"/>
      <c r="V37" s="357"/>
      <c r="W37" s="357"/>
      <c r="X37" s="357"/>
      <c r="Y37" s="357"/>
      <c r="Z37" s="357"/>
      <c r="AA37" s="357"/>
      <c r="AB37" s="357"/>
      <c r="AC37" s="357"/>
      <c r="AD37" s="357"/>
      <c r="AE37" s="357"/>
      <c r="AF37" s="357"/>
      <c r="AG37" s="357"/>
      <c r="AH37" s="357"/>
      <c r="AI37" s="357"/>
      <c r="AJ37" s="357"/>
      <c r="AK37" s="357"/>
      <c r="AL37" s="357"/>
      <c r="AM37" s="357"/>
      <c r="AN37" s="357"/>
      <c r="AO37" s="357"/>
      <c r="AP37" s="357"/>
      <c r="AQ37" s="357"/>
      <c r="AR37" s="357"/>
      <c r="AS37" s="357"/>
      <c r="AT37" s="357"/>
      <c r="AU37" s="357"/>
      <c r="AV37" s="357"/>
      <c r="AW37" s="357"/>
      <c r="AX37" s="357"/>
      <c r="AY37" s="98"/>
      <c r="AZ37" s="98"/>
      <c r="BA37" s="98"/>
      <c r="BB37" s="402"/>
      <c r="BC37" s="426"/>
      <c r="BD37" s="375"/>
      <c r="BE37"/>
      <c r="BF37"/>
      <c r="BG37" s="491"/>
    </row>
    <row r="38" spans="1:59" ht="14.4" x14ac:dyDescent="0.3">
      <c r="A38" s="430" t="s">
        <v>527</v>
      </c>
      <c r="B38" s="431">
        <f>'8a| Phase 3 Financial'!B95-'8b| Phase 3 Draw'!B34</f>
        <v>278240300</v>
      </c>
      <c r="C38" s="402"/>
      <c r="D38" s="432"/>
      <c r="E38" s="432"/>
      <c r="F38" s="432"/>
      <c r="G38" s="432"/>
      <c r="H38" s="432"/>
      <c r="I38" s="432"/>
      <c r="J38" s="432"/>
      <c r="K38" s="432"/>
      <c r="L38" s="432"/>
      <c r="M38" s="432"/>
      <c r="N38" s="432"/>
      <c r="O38" s="432"/>
      <c r="P38" s="432"/>
      <c r="Q38" s="432"/>
      <c r="R38" s="432"/>
      <c r="S38" s="432"/>
      <c r="T38" s="432"/>
      <c r="U38" s="432"/>
      <c r="V38" s="432"/>
      <c r="W38" s="432"/>
      <c r="X38" s="432"/>
      <c r="Y38" s="432"/>
      <c r="Z38" s="432"/>
      <c r="AA38" s="432"/>
      <c r="AB38" s="432"/>
      <c r="AC38" s="432"/>
      <c r="AD38" s="432"/>
      <c r="AE38" s="432"/>
      <c r="AF38" s="432"/>
      <c r="AG38" s="433"/>
      <c r="AH38" s="432"/>
      <c r="AI38" s="432"/>
      <c r="AJ38" s="432"/>
      <c r="AK38" s="432"/>
      <c r="AL38" s="432"/>
      <c r="AM38" s="432"/>
      <c r="AN38" s="432"/>
      <c r="AO38" s="432"/>
      <c r="AP38" s="432"/>
      <c r="AQ38" s="432"/>
      <c r="AR38" s="432"/>
      <c r="AS38" s="432"/>
      <c r="AT38" s="432"/>
      <c r="AU38" s="432"/>
      <c r="AV38" s="432"/>
      <c r="AW38" s="432"/>
      <c r="AX38" s="432"/>
      <c r="AY38" s="432"/>
      <c r="AZ38" s="432"/>
      <c r="BA38" s="432"/>
      <c r="BB38" s="401"/>
      <c r="BC38" s="434"/>
      <c r="BD38" s="435"/>
      <c r="BE38"/>
      <c r="BF38"/>
      <c r="BG38" s="491"/>
    </row>
    <row r="39" spans="1:59" ht="14.4" x14ac:dyDescent="0.3">
      <c r="A39" s="430" t="s">
        <v>528</v>
      </c>
      <c r="B39" s="436">
        <f>SUM(C39:BA39)</f>
        <v>173613604.69706142</v>
      </c>
      <c r="C39" s="437">
        <f t="shared" ref="C39:AX39" si="26">-C32</f>
        <v>0</v>
      </c>
      <c r="D39" s="437">
        <f t="shared" si="26"/>
        <v>0</v>
      </c>
      <c r="E39" s="437">
        <f t="shared" si="26"/>
        <v>0</v>
      </c>
      <c r="F39" s="437">
        <f t="shared" si="26"/>
        <v>0</v>
      </c>
      <c r="G39" s="437">
        <f t="shared" si="26"/>
        <v>0</v>
      </c>
      <c r="H39" s="437">
        <f t="shared" si="26"/>
        <v>0</v>
      </c>
      <c r="I39" s="437">
        <f t="shared" si="26"/>
        <v>0</v>
      </c>
      <c r="J39" s="437">
        <f t="shared" si="26"/>
        <v>0</v>
      </c>
      <c r="K39" s="437">
        <f t="shared" si="26"/>
        <v>0</v>
      </c>
      <c r="L39" s="437">
        <f t="shared" si="26"/>
        <v>0</v>
      </c>
      <c r="M39" s="437">
        <f t="shared" si="26"/>
        <v>0</v>
      </c>
      <c r="N39" s="437">
        <f t="shared" si="26"/>
        <v>0</v>
      </c>
      <c r="O39" s="437">
        <f t="shared" si="26"/>
        <v>0</v>
      </c>
      <c r="P39" s="437">
        <f t="shared" si="26"/>
        <v>0</v>
      </c>
      <c r="Q39" s="437">
        <f t="shared" si="26"/>
        <v>0</v>
      </c>
      <c r="R39" s="437">
        <f t="shared" si="26"/>
        <v>0</v>
      </c>
      <c r="S39" s="437">
        <f t="shared" si="26"/>
        <v>0</v>
      </c>
      <c r="T39" s="437">
        <f t="shared" si="26"/>
        <v>0</v>
      </c>
      <c r="U39" s="437">
        <f t="shared" si="26"/>
        <v>0</v>
      </c>
      <c r="V39" s="437">
        <f t="shared" si="26"/>
        <v>0</v>
      </c>
      <c r="W39" s="437">
        <f t="shared" si="26"/>
        <v>0</v>
      </c>
      <c r="X39" s="437">
        <f t="shared" si="26"/>
        <v>0</v>
      </c>
      <c r="Y39" s="437">
        <f t="shared" si="26"/>
        <v>0</v>
      </c>
      <c r="Z39" s="437">
        <f t="shared" si="26"/>
        <v>0</v>
      </c>
      <c r="AA39" s="437">
        <f t="shared" si="26"/>
        <v>0</v>
      </c>
      <c r="AB39" s="437">
        <f t="shared" si="26"/>
        <v>0</v>
      </c>
      <c r="AC39" s="437">
        <f t="shared" si="26"/>
        <v>-24938301.172297142</v>
      </c>
      <c r="AD39" s="437">
        <f t="shared" si="26"/>
        <v>-25698326.006047145</v>
      </c>
      <c r="AE39" s="437">
        <f t="shared" si="26"/>
        <v>-28261742.118547145</v>
      </c>
      <c r="AF39" s="437">
        <f t="shared" si="26"/>
        <v>-25728326.006047145</v>
      </c>
      <c r="AG39" s="437">
        <f t="shared" si="26"/>
        <v>0</v>
      </c>
      <c r="AH39" s="437">
        <f t="shared" si="26"/>
        <v>0</v>
      </c>
      <c r="AI39" s="437">
        <f t="shared" si="26"/>
        <v>0</v>
      </c>
      <c r="AJ39" s="437">
        <f t="shared" ref="AJ39:AO39" si="27">-AJ32</f>
        <v>0</v>
      </c>
      <c r="AK39" s="437">
        <f t="shared" si="27"/>
        <v>0</v>
      </c>
      <c r="AL39" s="437">
        <f t="shared" si="27"/>
        <v>0</v>
      </c>
      <c r="AM39" s="437">
        <f t="shared" si="27"/>
        <v>0</v>
      </c>
      <c r="AN39" s="437">
        <f t="shared" si="27"/>
        <v>0</v>
      </c>
      <c r="AO39" s="437">
        <f t="shared" si="27"/>
        <v>0</v>
      </c>
      <c r="AP39" s="438">
        <f>B38</f>
        <v>278240300</v>
      </c>
      <c r="AQ39" s="439">
        <f t="shared" si="26"/>
        <v>0</v>
      </c>
      <c r="AR39" s="440">
        <f t="shared" si="26"/>
        <v>0</v>
      </c>
      <c r="AS39" s="440">
        <f t="shared" si="26"/>
        <v>0</v>
      </c>
      <c r="AT39" s="440">
        <f t="shared" si="26"/>
        <v>0</v>
      </c>
      <c r="AU39" s="440">
        <f t="shared" si="26"/>
        <v>0</v>
      </c>
      <c r="AV39" s="440">
        <f t="shared" si="26"/>
        <v>0</v>
      </c>
      <c r="AW39" s="440">
        <f t="shared" si="26"/>
        <v>0</v>
      </c>
      <c r="AX39" s="440">
        <f t="shared" si="26"/>
        <v>0</v>
      </c>
      <c r="AY39" s="441">
        <v>0</v>
      </c>
      <c r="AZ39" s="441">
        <v>0</v>
      </c>
      <c r="BA39" s="441">
        <v>0</v>
      </c>
      <c r="BB39" s="442"/>
      <c r="BC39" s="357"/>
      <c r="BD39" s="443"/>
      <c r="BE39"/>
      <c r="BF39"/>
      <c r="BG39" s="491"/>
    </row>
    <row r="40" spans="1:59" ht="14.4" x14ac:dyDescent="0.3">
      <c r="A40" s="430" t="s">
        <v>529</v>
      </c>
      <c r="B40" s="444">
        <f>IF(B39&lt;0,0,IRR(C39:AJD39))</f>
        <v>8.8546803278718889E-2</v>
      </c>
      <c r="C40" s="445"/>
      <c r="D40" s="445"/>
      <c r="E40" s="445"/>
      <c r="F40" s="445"/>
      <c r="G40" s="445"/>
      <c r="H40" s="445"/>
      <c r="I40" s="445"/>
      <c r="J40" s="445"/>
      <c r="K40" s="445"/>
      <c r="L40" s="445"/>
      <c r="M40" s="445"/>
      <c r="N40" s="445"/>
      <c r="O40" s="445"/>
      <c r="P40" s="445"/>
      <c r="Q40" s="445"/>
      <c r="R40" s="445"/>
      <c r="S40" s="445"/>
      <c r="T40" s="445"/>
      <c r="U40" s="445"/>
      <c r="V40" s="445"/>
      <c r="W40" s="445"/>
      <c r="X40" s="445"/>
      <c r="Y40" s="445"/>
      <c r="Z40" s="445"/>
      <c r="AA40" s="445"/>
      <c r="AB40" s="445"/>
      <c r="AC40" s="445"/>
      <c r="AD40" s="445"/>
      <c r="AE40" s="445"/>
      <c r="AF40" s="445"/>
      <c r="AG40" s="445"/>
      <c r="AH40" s="445"/>
      <c r="AI40" s="445"/>
      <c r="AJ40" s="445"/>
      <c r="AK40" s="445"/>
      <c r="AL40" s="445"/>
      <c r="AM40" s="445"/>
      <c r="AN40" s="445"/>
      <c r="AO40" s="445"/>
      <c r="AP40" s="445"/>
      <c r="AQ40" s="445"/>
      <c r="AR40" s="445"/>
      <c r="AS40" s="445"/>
      <c r="AT40" s="445"/>
      <c r="AU40" s="445"/>
      <c r="AV40" s="445"/>
      <c r="AW40" s="445"/>
      <c r="AX40" s="445"/>
      <c r="AY40" s="445"/>
      <c r="AZ40" s="445"/>
      <c r="BA40" s="445"/>
      <c r="BB40" s="401"/>
      <c r="BC40" s="445"/>
      <c r="BD40" s="446"/>
      <c r="BE40"/>
      <c r="BF40"/>
      <c r="BG40" s="491"/>
    </row>
    <row r="41" spans="1:59" x14ac:dyDescent="0.25">
      <c r="A41" s="442" t="s">
        <v>530</v>
      </c>
      <c r="B41" s="447">
        <f>POWER((1+B40),4)-1</f>
        <v>0.40406892307726761</v>
      </c>
      <c r="C41" s="401"/>
      <c r="D41" s="401"/>
      <c r="E41" s="448"/>
      <c r="F41" s="448"/>
      <c r="G41" s="448"/>
      <c r="H41" s="448"/>
      <c r="I41" s="448"/>
      <c r="J41" s="448"/>
      <c r="K41" s="448"/>
      <c r="L41" s="448"/>
      <c r="M41" s="448"/>
      <c r="N41" s="448"/>
      <c r="O41" s="448"/>
      <c r="P41" s="449"/>
      <c r="Q41" s="448"/>
      <c r="R41" s="448"/>
      <c r="S41" s="448"/>
      <c r="T41" s="448"/>
      <c r="U41" s="448"/>
      <c r="V41" s="449"/>
      <c r="W41" s="448"/>
      <c r="X41" s="448"/>
      <c r="Y41" s="448"/>
      <c r="Z41" s="448"/>
      <c r="AA41" s="448"/>
      <c r="AB41" s="448"/>
      <c r="AC41" s="448"/>
      <c r="AD41" s="448"/>
      <c r="AE41" s="448"/>
      <c r="AF41" s="448"/>
      <c r="AG41" s="448"/>
      <c r="AH41" s="448"/>
      <c r="AI41" s="445"/>
      <c r="AJ41" s="445"/>
      <c r="AK41" s="445"/>
      <c r="AL41" s="445"/>
      <c r="AM41" s="445"/>
      <c r="AN41" s="445"/>
      <c r="AO41" s="445"/>
      <c r="AP41" s="448"/>
      <c r="AQ41" s="448"/>
      <c r="AR41" s="448"/>
      <c r="AS41" s="448"/>
      <c r="AT41" s="448"/>
      <c r="AU41" s="448"/>
      <c r="AV41" s="448"/>
      <c r="AW41" s="448"/>
      <c r="AX41" s="450"/>
      <c r="AY41" s="450"/>
      <c r="AZ41" s="448"/>
      <c r="BA41" s="448"/>
      <c r="BB41" s="448"/>
      <c r="BC41" s="448"/>
      <c r="BD41" s="451"/>
      <c r="BG41" s="488"/>
    </row>
    <row r="42" spans="1:59" x14ac:dyDescent="0.25">
      <c r="A42" s="452" t="s">
        <v>531</v>
      </c>
      <c r="B42" s="453"/>
      <c r="C42" s="401"/>
      <c r="D42" s="401"/>
      <c r="E42" s="401"/>
      <c r="F42" s="401"/>
      <c r="G42" s="401"/>
      <c r="H42" s="401"/>
      <c r="I42" s="401"/>
      <c r="J42" s="401"/>
      <c r="K42" s="401"/>
      <c r="L42" s="401"/>
      <c r="M42" s="401"/>
      <c r="N42" s="401"/>
      <c r="O42" s="401"/>
      <c r="P42" s="401"/>
      <c r="Q42" s="401"/>
      <c r="R42" s="401"/>
      <c r="S42" s="401"/>
      <c r="T42" s="401"/>
      <c r="U42" s="401"/>
      <c r="V42" s="401"/>
      <c r="W42" s="401"/>
      <c r="X42" s="401"/>
      <c r="Y42" s="401"/>
      <c r="Z42" s="401"/>
      <c r="AA42" s="401"/>
      <c r="AB42" s="401"/>
      <c r="AC42" s="401"/>
      <c r="AD42" s="401"/>
      <c r="AE42" s="401"/>
      <c r="AF42" s="401"/>
      <c r="AG42" s="401"/>
      <c r="AH42" s="401"/>
      <c r="AI42" s="445"/>
      <c r="AJ42" s="445"/>
      <c r="AK42" s="445"/>
      <c r="AL42" s="445"/>
      <c r="AM42" s="445"/>
      <c r="AN42" s="445"/>
      <c r="AO42" s="445"/>
      <c r="AP42" s="401"/>
      <c r="AQ42" s="401"/>
      <c r="AR42" s="401"/>
      <c r="AS42" s="401"/>
      <c r="AT42" s="401"/>
      <c r="AU42" s="401"/>
      <c r="AV42" s="401"/>
      <c r="AW42" s="401"/>
      <c r="AX42" s="401"/>
      <c r="AY42" s="401"/>
      <c r="AZ42" s="401"/>
      <c r="BA42" s="401"/>
      <c r="BB42" s="401"/>
      <c r="BC42" s="401"/>
      <c r="BG42" s="488"/>
    </row>
    <row r="43" spans="1:59" x14ac:dyDescent="0.25">
      <c r="A43" s="430" t="s">
        <v>532</v>
      </c>
      <c r="B43" s="98">
        <f>'8a| Phase 3 Financial'!B95-B30</f>
        <v>499569300</v>
      </c>
      <c r="C43" s="401"/>
      <c r="D43" s="401"/>
      <c r="E43" s="401"/>
      <c r="F43" s="401"/>
      <c r="G43" s="401"/>
      <c r="H43" s="401"/>
      <c r="I43" s="401"/>
      <c r="J43" s="401"/>
      <c r="K43" s="401"/>
      <c r="L43" s="401"/>
      <c r="M43" s="426"/>
      <c r="N43" s="401"/>
      <c r="O43" s="401"/>
      <c r="P43" s="401"/>
      <c r="Q43" s="401"/>
      <c r="R43" s="401"/>
      <c r="S43" s="426"/>
      <c r="T43" s="401"/>
      <c r="U43" s="401"/>
      <c r="V43" s="401"/>
      <c r="W43" s="401"/>
      <c r="X43" s="401"/>
      <c r="Y43" s="401"/>
      <c r="Z43" s="401"/>
      <c r="AA43" s="401"/>
      <c r="AB43" s="401"/>
      <c r="AC43" s="401"/>
      <c r="AD43" s="401"/>
      <c r="AE43" s="401"/>
      <c r="AF43" s="401"/>
      <c r="AG43" s="401"/>
      <c r="AH43" s="401"/>
      <c r="AI43" s="445"/>
      <c r="AJ43" s="445"/>
      <c r="AK43" s="445"/>
      <c r="AL43" s="445"/>
      <c r="AM43" s="445"/>
      <c r="AN43" s="445"/>
      <c r="AO43" s="445"/>
      <c r="AP43" s="401"/>
      <c r="AQ43" s="401"/>
      <c r="AR43" s="401"/>
      <c r="AS43" s="401"/>
      <c r="AT43" s="401"/>
      <c r="AU43" s="401"/>
      <c r="AV43" s="401"/>
      <c r="AW43" s="401"/>
      <c r="AX43" s="401"/>
      <c r="AY43" s="401"/>
      <c r="AZ43" s="401"/>
      <c r="BA43" s="401"/>
      <c r="BB43" s="401"/>
      <c r="BC43" s="401"/>
      <c r="BG43" s="488"/>
    </row>
    <row r="44" spans="1:59" x14ac:dyDescent="0.25">
      <c r="A44" s="442" t="s">
        <v>533</v>
      </c>
      <c r="B44" s="454">
        <f>SUM(C44:BA44)</f>
        <v>135367447.48664266</v>
      </c>
      <c r="C44" s="357">
        <f>-C29</f>
        <v>0</v>
      </c>
      <c r="D44" s="357">
        <f t="shared" ref="D44:AI44" si="28">-D29</f>
        <v>0</v>
      </c>
      <c r="E44" s="357">
        <f t="shared" si="28"/>
        <v>0</v>
      </c>
      <c r="F44" s="357">
        <f t="shared" si="28"/>
        <v>0</v>
      </c>
      <c r="G44" s="357">
        <f t="shared" si="28"/>
        <v>0</v>
      </c>
      <c r="H44" s="357">
        <f t="shared" si="28"/>
        <v>0</v>
      </c>
      <c r="I44" s="357">
        <f t="shared" si="28"/>
        <v>0</v>
      </c>
      <c r="J44" s="357">
        <f t="shared" si="28"/>
        <v>0</v>
      </c>
      <c r="K44" s="357">
        <f t="shared" si="28"/>
        <v>0</v>
      </c>
      <c r="L44" s="357">
        <f t="shared" si="28"/>
        <v>0</v>
      </c>
      <c r="M44" s="357">
        <f t="shared" si="28"/>
        <v>0</v>
      </c>
      <c r="N44" s="357">
        <f t="shared" si="28"/>
        <v>0</v>
      </c>
      <c r="O44" s="357">
        <f t="shared" si="28"/>
        <v>0</v>
      </c>
      <c r="P44" s="357">
        <f t="shared" si="28"/>
        <v>0</v>
      </c>
      <c r="Q44" s="357">
        <f t="shared" si="28"/>
        <v>0</v>
      </c>
      <c r="R44" s="357">
        <f t="shared" si="28"/>
        <v>0</v>
      </c>
      <c r="S44" s="357">
        <f t="shared" si="28"/>
        <v>0</v>
      </c>
      <c r="T44" s="357">
        <f t="shared" si="28"/>
        <v>0</v>
      </c>
      <c r="U44" s="357">
        <f t="shared" si="28"/>
        <v>0</v>
      </c>
      <c r="V44" s="357">
        <f t="shared" si="28"/>
        <v>0</v>
      </c>
      <c r="W44" s="357">
        <f t="shared" si="28"/>
        <v>0</v>
      </c>
      <c r="X44" s="357">
        <f t="shared" si="28"/>
        <v>0</v>
      </c>
      <c r="Y44" s="357">
        <f t="shared" si="28"/>
        <v>0</v>
      </c>
      <c r="Z44" s="357">
        <f t="shared" si="28"/>
        <v>0</v>
      </c>
      <c r="AA44" s="357">
        <f t="shared" si="28"/>
        <v>0</v>
      </c>
      <c r="AB44" s="357">
        <f t="shared" si="28"/>
        <v>0</v>
      </c>
      <c r="AC44" s="357">
        <f t="shared" si="28"/>
        <v>-24938301.172297142</v>
      </c>
      <c r="AD44" s="357">
        <f t="shared" si="28"/>
        <v>-25698326.006047145</v>
      </c>
      <c r="AE44" s="357">
        <f t="shared" si="28"/>
        <v>-28261742.118547145</v>
      </c>
      <c r="AF44" s="357">
        <f t="shared" si="28"/>
        <v>-25728326.006047145</v>
      </c>
      <c r="AG44" s="357">
        <f t="shared" si="28"/>
        <v>-28228326.006047145</v>
      </c>
      <c r="AH44" s="357">
        <f t="shared" si="28"/>
        <v>-29058651.006047145</v>
      </c>
      <c r="AI44" s="357">
        <f t="shared" si="28"/>
        <v>-25738326.006047145</v>
      </c>
      <c r="AJ44" s="357">
        <f t="shared" ref="AJ44:AO44" si="29">-AJ29</f>
        <v>-31558326.006047145</v>
      </c>
      <c r="AK44" s="357">
        <f t="shared" si="29"/>
        <v>-24373864.276228752</v>
      </c>
      <c r="AL44" s="357">
        <f t="shared" si="29"/>
        <v>-20688397.712660357</v>
      </c>
      <c r="AM44" s="357">
        <f t="shared" si="29"/>
        <v>-23803672.434379157</v>
      </c>
      <c r="AN44" s="357">
        <f t="shared" si="29"/>
        <v>-27907853.386760104</v>
      </c>
      <c r="AO44" s="357">
        <f t="shared" si="29"/>
        <v>-25571591.05301011</v>
      </c>
      <c r="AP44" s="455">
        <f>B43-AP29</f>
        <v>476923150.6768083</v>
      </c>
      <c r="AQ44" s="357">
        <f t="shared" ref="AQ44:BA44" si="30">IF(AQ33&gt;=$B$33,-(AQ29+AQ39),AQ39)</f>
        <v>0</v>
      </c>
      <c r="AR44" s="357">
        <f t="shared" si="30"/>
        <v>0</v>
      </c>
      <c r="AS44" s="357">
        <f t="shared" si="30"/>
        <v>0</v>
      </c>
      <c r="AT44" s="357">
        <f t="shared" si="30"/>
        <v>0</v>
      </c>
      <c r="AU44" s="357">
        <f t="shared" si="30"/>
        <v>0</v>
      </c>
      <c r="AV44" s="357">
        <f t="shared" si="30"/>
        <v>0</v>
      </c>
      <c r="AW44" s="357">
        <f t="shared" si="30"/>
        <v>0</v>
      </c>
      <c r="AX44" s="357">
        <f t="shared" si="30"/>
        <v>0</v>
      </c>
      <c r="AY44" s="357">
        <f t="shared" si="30"/>
        <v>0</v>
      </c>
      <c r="AZ44" s="357">
        <f t="shared" si="30"/>
        <v>0</v>
      </c>
      <c r="BA44" s="357">
        <f t="shared" si="30"/>
        <v>0</v>
      </c>
      <c r="BB44" s="442"/>
      <c r="BC44" s="442"/>
      <c r="BG44" s="488"/>
    </row>
    <row r="45" spans="1:59" x14ac:dyDescent="0.25">
      <c r="A45" s="430" t="s">
        <v>534</v>
      </c>
      <c r="B45" s="444">
        <f>IF(B44&lt;0,0,IRR(C44:BA44))</f>
        <v>4.6297758269199463E-2</v>
      </c>
      <c r="C45" s="401"/>
      <c r="D45" s="401"/>
      <c r="E45" s="401"/>
      <c r="F45" s="401"/>
      <c r="G45" s="401"/>
      <c r="H45" s="401"/>
      <c r="I45" s="401"/>
      <c r="J45" s="401"/>
      <c r="K45" s="401"/>
      <c r="L45" s="401"/>
      <c r="M45" s="401"/>
      <c r="N45" s="401"/>
      <c r="O45" s="401"/>
      <c r="P45" s="401"/>
      <c r="Q45" s="401"/>
      <c r="R45" s="401"/>
      <c r="S45" s="401"/>
      <c r="T45" s="401"/>
      <c r="U45" s="401"/>
      <c r="V45" s="401"/>
      <c r="W45" s="401"/>
      <c r="X45" s="401"/>
      <c r="Y45" s="401"/>
      <c r="Z45" s="401"/>
      <c r="AA45" s="401"/>
      <c r="AB45" s="401"/>
      <c r="AC45" s="401"/>
      <c r="AD45" s="401"/>
      <c r="AE45" s="401"/>
      <c r="AF45" s="401"/>
      <c r="AG45" s="401"/>
      <c r="AH45" s="401"/>
      <c r="AI45" s="445"/>
      <c r="AJ45" s="445"/>
      <c r="AK45" s="445"/>
      <c r="AL45" s="445"/>
      <c r="AM45" s="445"/>
      <c r="AN45" s="445"/>
      <c r="AO45" s="445"/>
      <c r="AP45" s="401"/>
      <c r="AQ45" s="401"/>
      <c r="AR45" s="401"/>
      <c r="AS45" s="401"/>
      <c r="AT45" s="401"/>
      <c r="AU45" s="401"/>
      <c r="AV45" s="401"/>
      <c r="AW45" s="401"/>
      <c r="AX45" s="401"/>
      <c r="AY45" s="401"/>
      <c r="AZ45" s="401"/>
      <c r="BA45" s="401"/>
      <c r="BB45" s="401"/>
      <c r="BC45" s="401"/>
      <c r="BG45" s="488"/>
    </row>
    <row r="46" spans="1:59" x14ac:dyDescent="0.25">
      <c r="A46" s="442" t="s">
        <v>535</v>
      </c>
      <c r="B46" s="447">
        <f>POWER((1+B45),4)-1</f>
        <v>0.19845347584208639</v>
      </c>
      <c r="C46" s="401"/>
      <c r="D46" s="401"/>
      <c r="E46" s="401"/>
      <c r="F46" s="401"/>
      <c r="G46" s="401"/>
      <c r="H46" s="401"/>
      <c r="I46" s="401"/>
      <c r="J46" s="401"/>
      <c r="K46" s="401"/>
      <c r="L46" s="401"/>
      <c r="M46" s="401"/>
      <c r="N46" s="401"/>
      <c r="O46" s="401"/>
      <c r="P46" s="401"/>
      <c r="Q46" s="401"/>
      <c r="R46" s="401"/>
      <c r="S46" s="401"/>
      <c r="T46" s="401"/>
      <c r="U46" s="401"/>
      <c r="V46" s="401"/>
      <c r="W46" s="401"/>
      <c r="X46" s="401"/>
      <c r="Y46" s="401"/>
      <c r="Z46" s="401"/>
      <c r="AA46" s="401"/>
      <c r="AB46" s="401"/>
      <c r="AC46" s="401"/>
      <c r="AD46" s="401"/>
      <c r="AE46" s="401"/>
      <c r="AF46" s="401"/>
      <c r="AG46" s="401"/>
      <c r="AH46" s="401"/>
      <c r="AI46" s="445"/>
      <c r="AJ46" s="445"/>
      <c r="AK46" s="445"/>
      <c r="AL46" s="445"/>
      <c r="AM46" s="445"/>
      <c r="AN46" s="445"/>
      <c r="AO46" s="445"/>
      <c r="AP46" s="401"/>
      <c r="AQ46" s="401"/>
      <c r="AR46" s="401"/>
      <c r="AS46" s="401"/>
      <c r="AT46" s="401"/>
      <c r="AU46" s="401"/>
      <c r="AV46" s="401"/>
      <c r="AW46" s="401"/>
      <c r="AX46" s="401"/>
      <c r="AY46" s="401"/>
      <c r="AZ46" s="401"/>
      <c r="BA46" s="401"/>
      <c r="BB46" s="401"/>
      <c r="BC46" s="401"/>
      <c r="BG46" s="488"/>
    </row>
    <row r="47" spans="1:59" x14ac:dyDescent="0.25">
      <c r="G47" s="65"/>
      <c r="AI47" s="301"/>
      <c r="AJ47" s="301"/>
      <c r="AK47" s="301"/>
      <c r="AL47" s="301"/>
      <c r="AM47" s="301"/>
      <c r="AN47" s="301"/>
      <c r="AO47" s="301"/>
      <c r="BG47" s="488"/>
    </row>
    <row r="48" spans="1:59" x14ac:dyDescent="0.25">
      <c r="G48" s="65"/>
      <c r="BG48" s="488"/>
    </row>
    <row r="49" spans="1:59" x14ac:dyDescent="0.25">
      <c r="G49" s="65"/>
      <c r="BG49" s="488"/>
    </row>
    <row r="50" spans="1:59" x14ac:dyDescent="0.25">
      <c r="G50" s="65"/>
      <c r="BG50" s="488"/>
    </row>
    <row r="51" spans="1:59" x14ac:dyDescent="0.25">
      <c r="G51" s="65"/>
      <c r="BG51" s="488"/>
    </row>
    <row r="52" spans="1:59" x14ac:dyDescent="0.25">
      <c r="A52" s="488"/>
      <c r="B52" s="488"/>
      <c r="C52" s="488"/>
      <c r="D52" s="488"/>
      <c r="E52" s="488"/>
      <c r="F52" s="488"/>
      <c r="G52" s="488"/>
      <c r="H52" s="488"/>
      <c r="I52" s="488"/>
      <c r="J52" s="488"/>
      <c r="K52" s="488"/>
      <c r="L52" s="488"/>
      <c r="M52" s="488"/>
      <c r="N52" s="488"/>
      <c r="O52" s="488"/>
      <c r="P52" s="488"/>
      <c r="Q52" s="488"/>
      <c r="R52" s="488"/>
      <c r="S52" s="488"/>
      <c r="T52" s="488"/>
      <c r="U52" s="488"/>
      <c r="V52" s="488"/>
      <c r="W52" s="488"/>
      <c r="X52" s="488"/>
      <c r="Y52" s="488"/>
      <c r="Z52" s="488"/>
      <c r="AA52" s="488"/>
      <c r="AB52" s="488"/>
      <c r="AC52" s="488"/>
      <c r="AD52" s="488"/>
      <c r="AE52" s="488"/>
      <c r="AF52" s="488"/>
      <c r="AG52" s="488"/>
      <c r="AH52" s="488"/>
      <c r="AI52" s="488"/>
      <c r="AJ52" s="488"/>
      <c r="AK52" s="488"/>
      <c r="AL52" s="488"/>
      <c r="AM52" s="488"/>
      <c r="AN52" s="488"/>
      <c r="AO52" s="488"/>
      <c r="AP52" s="488"/>
      <c r="AQ52" s="488"/>
      <c r="AR52" s="488"/>
      <c r="AS52" s="488"/>
      <c r="AT52" s="488"/>
      <c r="AU52" s="488"/>
      <c r="AV52" s="488"/>
      <c r="AW52" s="488"/>
      <c r="AX52" s="488"/>
      <c r="AY52" s="488"/>
      <c r="AZ52" s="488"/>
      <c r="BA52" s="488"/>
      <c r="BB52" s="488"/>
      <c r="BC52" s="488"/>
      <c r="BD52" s="488"/>
      <c r="BE52" s="488"/>
      <c r="BF52" s="488"/>
      <c r="BG52" s="488"/>
    </row>
    <row r="53" spans="1:59" x14ac:dyDescent="0.25">
      <c r="G53" s="65"/>
    </row>
    <row r="54" spans="1:59" x14ac:dyDescent="0.25">
      <c r="G54" s="65"/>
    </row>
    <row r="55" spans="1:59" x14ac:dyDescent="0.25">
      <c r="G55" s="65"/>
    </row>
    <row r="56" spans="1:59" x14ac:dyDescent="0.25">
      <c r="G56" s="65"/>
    </row>
    <row r="57" spans="1:59" x14ac:dyDescent="0.25">
      <c r="G57" s="65"/>
    </row>
    <row r="58" spans="1:59" x14ac:dyDescent="0.25">
      <c r="G58" s="65"/>
    </row>
    <row r="59" spans="1:59" x14ac:dyDescent="0.25">
      <c r="G59" s="65"/>
    </row>
    <row r="60" spans="1:59" x14ac:dyDescent="0.25">
      <c r="G60" s="65"/>
    </row>
    <row r="61" spans="1:59" x14ac:dyDescent="0.25">
      <c r="G61" s="65"/>
    </row>
    <row r="62" spans="1:59" x14ac:dyDescent="0.25">
      <c r="G62" s="65"/>
    </row>
    <row r="63" spans="1:59" x14ac:dyDescent="0.25">
      <c r="G63" s="65"/>
    </row>
    <row r="64" spans="1:59" x14ac:dyDescent="0.25">
      <c r="G64" s="65"/>
    </row>
    <row r="65" spans="7:7" x14ac:dyDescent="0.25">
      <c r="G65" s="65"/>
    </row>
    <row r="66" spans="7:7" x14ac:dyDescent="0.25">
      <c r="G66" s="65"/>
    </row>
    <row r="67" spans="7:7" x14ac:dyDescent="0.25">
      <c r="G67" s="65"/>
    </row>
    <row r="68" spans="7:7" x14ac:dyDescent="0.25">
      <c r="G68" s="65"/>
    </row>
    <row r="69" spans="7:7" x14ac:dyDescent="0.25">
      <c r="G69" s="65"/>
    </row>
    <row r="70" spans="7:7" x14ac:dyDescent="0.25">
      <c r="G70" s="65"/>
    </row>
    <row r="71" spans="7:7" x14ac:dyDescent="0.25">
      <c r="G71" s="65"/>
    </row>
    <row r="72" spans="7:7" x14ac:dyDescent="0.25">
      <c r="G72" s="65"/>
    </row>
    <row r="73" spans="7:7" x14ac:dyDescent="0.25">
      <c r="G73" s="65"/>
    </row>
    <row r="74" spans="7:7" x14ac:dyDescent="0.25">
      <c r="G74" s="65"/>
    </row>
    <row r="75" spans="7:7" x14ac:dyDescent="0.25">
      <c r="G75" s="65"/>
    </row>
    <row r="76" spans="7:7" x14ac:dyDescent="0.25">
      <c r="G76" s="65"/>
    </row>
    <row r="77" spans="7:7" x14ac:dyDescent="0.25">
      <c r="G77" s="65"/>
    </row>
    <row r="78" spans="7:7" x14ac:dyDescent="0.25">
      <c r="G78" s="65"/>
    </row>
    <row r="79" spans="7:7" x14ac:dyDescent="0.25">
      <c r="G79" s="65"/>
    </row>
    <row r="80" spans="7:7" x14ac:dyDescent="0.25">
      <c r="G80" s="65"/>
    </row>
    <row r="81" spans="7:7" x14ac:dyDescent="0.25">
      <c r="G81" s="65"/>
    </row>
    <row r="82" spans="7:7" x14ac:dyDescent="0.25">
      <c r="G82" s="65"/>
    </row>
    <row r="83" spans="7:7" x14ac:dyDescent="0.25">
      <c r="G83" s="65"/>
    </row>
    <row r="84" spans="7:7" x14ac:dyDescent="0.25">
      <c r="G84" s="65"/>
    </row>
    <row r="85" spans="7:7" x14ac:dyDescent="0.25">
      <c r="G85" s="65"/>
    </row>
    <row r="86" spans="7:7" x14ac:dyDescent="0.25">
      <c r="G86" s="65"/>
    </row>
    <row r="87" spans="7:7" x14ac:dyDescent="0.25">
      <c r="G87" s="65"/>
    </row>
    <row r="88" spans="7:7" x14ac:dyDescent="0.25">
      <c r="G88" s="65"/>
    </row>
    <row r="89" spans="7:7" x14ac:dyDescent="0.25">
      <c r="G89" s="65"/>
    </row>
    <row r="90" spans="7:7" x14ac:dyDescent="0.25">
      <c r="G90" s="65"/>
    </row>
    <row r="91" spans="7:7" x14ac:dyDescent="0.25">
      <c r="G91" s="65"/>
    </row>
    <row r="92" spans="7:7" x14ac:dyDescent="0.25">
      <c r="G92" s="65"/>
    </row>
    <row r="93" spans="7:7" x14ac:dyDescent="0.25">
      <c r="G93" s="65"/>
    </row>
    <row r="94" spans="7:7" x14ac:dyDescent="0.25">
      <c r="G94" s="65"/>
    </row>
    <row r="95" spans="7:7" x14ac:dyDescent="0.25">
      <c r="G95" s="65"/>
    </row>
    <row r="96" spans="7:7" x14ac:dyDescent="0.25">
      <c r="G96" s="65"/>
    </row>
    <row r="97" spans="7:7" x14ac:dyDescent="0.25">
      <c r="G97" s="65"/>
    </row>
    <row r="98" spans="7:7" x14ac:dyDescent="0.25">
      <c r="G98" s="65"/>
    </row>
    <row r="99" spans="7:7" x14ac:dyDescent="0.25">
      <c r="G99" s="65"/>
    </row>
    <row r="100" spans="7:7" x14ac:dyDescent="0.25">
      <c r="G100" s="65"/>
    </row>
    <row r="101" spans="7:7" x14ac:dyDescent="0.25">
      <c r="G101" s="65"/>
    </row>
    <row r="102" spans="7:7" x14ac:dyDescent="0.25">
      <c r="G102" s="65"/>
    </row>
    <row r="103" spans="7:7" x14ac:dyDescent="0.25">
      <c r="G103" s="65"/>
    </row>
    <row r="104" spans="7:7" x14ac:dyDescent="0.25">
      <c r="G104" s="65"/>
    </row>
    <row r="105" spans="7:7" x14ac:dyDescent="0.25">
      <c r="G105" s="65"/>
    </row>
    <row r="106" spans="7:7" x14ac:dyDescent="0.25">
      <c r="G106" s="65"/>
    </row>
    <row r="107" spans="7:7" x14ac:dyDescent="0.25">
      <c r="G107" s="65"/>
    </row>
    <row r="108" spans="7:7" x14ac:dyDescent="0.25">
      <c r="G108" s="65"/>
    </row>
    <row r="109" spans="7:7" x14ac:dyDescent="0.25">
      <c r="G109" s="65"/>
    </row>
    <row r="110" spans="7:7" x14ac:dyDescent="0.25">
      <c r="G110" s="65"/>
    </row>
    <row r="111" spans="7:7" x14ac:dyDescent="0.25">
      <c r="G111" s="65"/>
    </row>
    <row r="112" spans="7:7" x14ac:dyDescent="0.25">
      <c r="G112" s="65"/>
    </row>
    <row r="113" spans="7:7" x14ac:dyDescent="0.25">
      <c r="G113" s="65"/>
    </row>
    <row r="114" spans="7:7" x14ac:dyDescent="0.25">
      <c r="G114" s="65"/>
    </row>
    <row r="115" spans="7:7" x14ac:dyDescent="0.25">
      <c r="G115" s="65"/>
    </row>
    <row r="116" spans="7:7" x14ac:dyDescent="0.25">
      <c r="G116" s="65"/>
    </row>
    <row r="117" spans="7:7" x14ac:dyDescent="0.25">
      <c r="G117" s="65"/>
    </row>
    <row r="118" spans="7:7" x14ac:dyDescent="0.25">
      <c r="G118" s="65"/>
    </row>
    <row r="119" spans="7:7" x14ac:dyDescent="0.25">
      <c r="G119" s="65"/>
    </row>
    <row r="120" spans="7:7" x14ac:dyDescent="0.25">
      <c r="G120" s="65"/>
    </row>
    <row r="121" spans="7:7" x14ac:dyDescent="0.25">
      <c r="G121" s="65"/>
    </row>
    <row r="122" spans="7:7" x14ac:dyDescent="0.25">
      <c r="G122" s="65"/>
    </row>
    <row r="123" spans="7:7" x14ac:dyDescent="0.25">
      <c r="G123" s="65"/>
    </row>
    <row r="124" spans="7:7" x14ac:dyDescent="0.25">
      <c r="G124" s="65"/>
    </row>
    <row r="125" spans="7:7" x14ac:dyDescent="0.25">
      <c r="G125" s="65"/>
    </row>
    <row r="126" spans="7:7" x14ac:dyDescent="0.25">
      <c r="G126" s="65"/>
    </row>
    <row r="127" spans="7:7" x14ac:dyDescent="0.25">
      <c r="G127" s="65"/>
    </row>
    <row r="128" spans="7:7" x14ac:dyDescent="0.25">
      <c r="G128" s="65"/>
    </row>
    <row r="129" spans="7:7" x14ac:dyDescent="0.25">
      <c r="G129" s="65"/>
    </row>
    <row r="130" spans="7:7" x14ac:dyDescent="0.25">
      <c r="G130" s="65"/>
    </row>
    <row r="131" spans="7:7" x14ac:dyDescent="0.25">
      <c r="G131" s="65"/>
    </row>
    <row r="132" spans="7:7" x14ac:dyDescent="0.25">
      <c r="G132" s="65"/>
    </row>
    <row r="133" spans="7:7" x14ac:dyDescent="0.25">
      <c r="G133" s="65"/>
    </row>
    <row r="134" spans="7:7" x14ac:dyDescent="0.25">
      <c r="G134" s="65"/>
    </row>
    <row r="135" spans="7:7" x14ac:dyDescent="0.25">
      <c r="G135" s="65"/>
    </row>
    <row r="136" spans="7:7" x14ac:dyDescent="0.25">
      <c r="G136" s="65"/>
    </row>
    <row r="137" spans="7:7" x14ac:dyDescent="0.25">
      <c r="G137" s="65"/>
    </row>
    <row r="138" spans="7:7" x14ac:dyDescent="0.25">
      <c r="G138" s="65"/>
    </row>
    <row r="139" spans="7:7" x14ac:dyDescent="0.25">
      <c r="G139" s="65"/>
    </row>
    <row r="140" spans="7:7" x14ac:dyDescent="0.25">
      <c r="G140" s="65"/>
    </row>
    <row r="141" spans="7:7" x14ac:dyDescent="0.25">
      <c r="G141" s="65"/>
    </row>
    <row r="142" spans="7:7" x14ac:dyDescent="0.25">
      <c r="G142" s="65"/>
    </row>
    <row r="143" spans="7:7" x14ac:dyDescent="0.25">
      <c r="G143" s="65"/>
    </row>
    <row r="144" spans="7:7" x14ac:dyDescent="0.25">
      <c r="G144" s="65"/>
    </row>
    <row r="145" spans="7:7" x14ac:dyDescent="0.25">
      <c r="G145" s="65"/>
    </row>
    <row r="146" spans="7:7" x14ac:dyDescent="0.25">
      <c r="G146" s="65"/>
    </row>
    <row r="147" spans="7:7" x14ac:dyDescent="0.25">
      <c r="G147" s="65"/>
    </row>
    <row r="148" spans="7:7" x14ac:dyDescent="0.25">
      <c r="G148" s="65"/>
    </row>
    <row r="149" spans="7:7" x14ac:dyDescent="0.25">
      <c r="G149" s="65"/>
    </row>
    <row r="150" spans="7:7" x14ac:dyDescent="0.25">
      <c r="G150" s="65"/>
    </row>
    <row r="151" spans="7:7" x14ac:dyDescent="0.25">
      <c r="G151" s="65"/>
    </row>
    <row r="152" spans="7:7" x14ac:dyDescent="0.25">
      <c r="G152" s="65"/>
    </row>
    <row r="153" spans="7:7" x14ac:dyDescent="0.25">
      <c r="G153" s="65"/>
    </row>
    <row r="154" spans="7:7" x14ac:dyDescent="0.25">
      <c r="G154" s="65"/>
    </row>
    <row r="155" spans="7:7" x14ac:dyDescent="0.25">
      <c r="G155" s="65"/>
    </row>
    <row r="156" spans="7:7" x14ac:dyDescent="0.25">
      <c r="G156" s="65"/>
    </row>
    <row r="157" spans="7:7" x14ac:dyDescent="0.25">
      <c r="G157" s="65"/>
    </row>
    <row r="158" spans="7:7" x14ac:dyDescent="0.25">
      <c r="G158" s="65"/>
    </row>
    <row r="159" spans="7:7" x14ac:dyDescent="0.25">
      <c r="G159" s="65"/>
    </row>
    <row r="160" spans="7:7" x14ac:dyDescent="0.25">
      <c r="G160" s="65"/>
    </row>
    <row r="161" spans="7:7" x14ac:dyDescent="0.25">
      <c r="G161" s="65"/>
    </row>
    <row r="162" spans="7:7" x14ac:dyDescent="0.25">
      <c r="G162" s="65"/>
    </row>
    <row r="163" spans="7:7" x14ac:dyDescent="0.25">
      <c r="G163" s="65"/>
    </row>
    <row r="164" spans="7:7" x14ac:dyDescent="0.25">
      <c r="G164" s="65"/>
    </row>
    <row r="165" spans="7:7" x14ac:dyDescent="0.25">
      <c r="G165" s="65"/>
    </row>
    <row r="166" spans="7:7" x14ac:dyDescent="0.25">
      <c r="G166" s="65"/>
    </row>
    <row r="167" spans="7:7" x14ac:dyDescent="0.25">
      <c r="G167" s="65"/>
    </row>
    <row r="168" spans="7:7" x14ac:dyDescent="0.25">
      <c r="G168" s="65"/>
    </row>
    <row r="169" spans="7:7" x14ac:dyDescent="0.25">
      <c r="G169" s="65"/>
    </row>
    <row r="170" spans="7:7" x14ac:dyDescent="0.25">
      <c r="G170" s="65"/>
    </row>
    <row r="171" spans="7:7" x14ac:dyDescent="0.25">
      <c r="G171" s="65"/>
    </row>
    <row r="172" spans="7:7" x14ac:dyDescent="0.25">
      <c r="G172" s="65"/>
    </row>
    <row r="173" spans="7:7" x14ac:dyDescent="0.25">
      <c r="G173" s="65"/>
    </row>
    <row r="174" spans="7:7" x14ac:dyDescent="0.25">
      <c r="G174" s="65"/>
    </row>
    <row r="175" spans="7:7" x14ac:dyDescent="0.25">
      <c r="G175" s="65"/>
    </row>
    <row r="176" spans="7:7" x14ac:dyDescent="0.25">
      <c r="G176" s="65"/>
    </row>
    <row r="177" spans="7:7" x14ac:dyDescent="0.25">
      <c r="G177" s="65"/>
    </row>
    <row r="178" spans="7:7" x14ac:dyDescent="0.25">
      <c r="G178" s="65"/>
    </row>
    <row r="179" spans="7:7" x14ac:dyDescent="0.25">
      <c r="G179" s="65"/>
    </row>
    <row r="180" spans="7:7" x14ac:dyDescent="0.25">
      <c r="G180" s="65"/>
    </row>
    <row r="181" spans="7:7" x14ac:dyDescent="0.25">
      <c r="G181" s="65"/>
    </row>
    <row r="182" spans="7:7" x14ac:dyDescent="0.25">
      <c r="G182" s="65"/>
    </row>
    <row r="183" spans="7:7" x14ac:dyDescent="0.25">
      <c r="G183" s="65"/>
    </row>
    <row r="184" spans="7:7" x14ac:dyDescent="0.25">
      <c r="G184" s="65"/>
    </row>
    <row r="185" spans="7:7" x14ac:dyDescent="0.25">
      <c r="G185" s="65"/>
    </row>
    <row r="186" spans="7:7" x14ac:dyDescent="0.25">
      <c r="G186" s="65"/>
    </row>
    <row r="187" spans="7:7" x14ac:dyDescent="0.25">
      <c r="G187" s="65"/>
    </row>
    <row r="188" spans="7:7" x14ac:dyDescent="0.25">
      <c r="G188" s="65"/>
    </row>
    <row r="189" spans="7:7" x14ac:dyDescent="0.25">
      <c r="G189" s="65"/>
    </row>
    <row r="190" spans="7:7" x14ac:dyDescent="0.25">
      <c r="G190" s="65"/>
    </row>
    <row r="191" spans="7:7" x14ac:dyDescent="0.25">
      <c r="G191" s="65"/>
    </row>
    <row r="192" spans="7:7" x14ac:dyDescent="0.25">
      <c r="G192" s="65"/>
    </row>
    <row r="193" spans="7:7" x14ac:dyDescent="0.25">
      <c r="G193" s="65"/>
    </row>
    <row r="194" spans="7:7" x14ac:dyDescent="0.25">
      <c r="G194" s="65"/>
    </row>
    <row r="195" spans="7:7" x14ac:dyDescent="0.25">
      <c r="G195" s="65"/>
    </row>
    <row r="196" spans="7:7" x14ac:dyDescent="0.25">
      <c r="G196" s="65"/>
    </row>
    <row r="197" spans="7:7" x14ac:dyDescent="0.25">
      <c r="G197" s="65"/>
    </row>
    <row r="198" spans="7:7" x14ac:dyDescent="0.25">
      <c r="G198" s="65"/>
    </row>
    <row r="199" spans="7:7" x14ac:dyDescent="0.25">
      <c r="G199" s="65"/>
    </row>
    <row r="200" spans="7:7" x14ac:dyDescent="0.25">
      <c r="G200" s="65"/>
    </row>
    <row r="201" spans="7:7" x14ac:dyDescent="0.25">
      <c r="G201" s="65"/>
    </row>
    <row r="202" spans="7:7" x14ac:dyDescent="0.25">
      <c r="G202" s="65"/>
    </row>
    <row r="203" spans="7:7" x14ac:dyDescent="0.25">
      <c r="G203" s="65"/>
    </row>
    <row r="204" spans="7:7" x14ac:dyDescent="0.25">
      <c r="G204" s="65"/>
    </row>
    <row r="205" spans="7:7" x14ac:dyDescent="0.25">
      <c r="G205" s="65"/>
    </row>
    <row r="206" spans="7:7" x14ac:dyDescent="0.25">
      <c r="G206" s="65"/>
    </row>
    <row r="207" spans="7:7" x14ac:dyDescent="0.25">
      <c r="G207" s="65"/>
    </row>
    <row r="208" spans="7:7" x14ac:dyDescent="0.25">
      <c r="G208" s="65"/>
    </row>
    <row r="209" spans="7:7" x14ac:dyDescent="0.25">
      <c r="G209" s="65"/>
    </row>
    <row r="210" spans="7:7" x14ac:dyDescent="0.25">
      <c r="G210" s="65"/>
    </row>
    <row r="211" spans="7:7" x14ac:dyDescent="0.25">
      <c r="G211" s="65"/>
    </row>
    <row r="212" spans="7:7" x14ac:dyDescent="0.25">
      <c r="G212" s="65"/>
    </row>
    <row r="213" spans="7:7" x14ac:dyDescent="0.25">
      <c r="G213" s="65"/>
    </row>
    <row r="214" spans="7:7" x14ac:dyDescent="0.25">
      <c r="G214" s="65"/>
    </row>
    <row r="215" spans="7:7" x14ac:dyDescent="0.25">
      <c r="G215" s="65"/>
    </row>
    <row r="216" spans="7:7" x14ac:dyDescent="0.25">
      <c r="G216" s="65"/>
    </row>
    <row r="217" spans="7:7" x14ac:dyDescent="0.25">
      <c r="G217" s="65"/>
    </row>
    <row r="218" spans="7:7" x14ac:dyDescent="0.25">
      <c r="G218" s="65"/>
    </row>
    <row r="219" spans="7:7" x14ac:dyDescent="0.25">
      <c r="G219" s="65"/>
    </row>
    <row r="220" spans="7:7" x14ac:dyDescent="0.25">
      <c r="G220" s="65"/>
    </row>
    <row r="221" spans="7:7" x14ac:dyDescent="0.25">
      <c r="G221" s="65"/>
    </row>
    <row r="222" spans="7:7" x14ac:dyDescent="0.25">
      <c r="G222" s="65"/>
    </row>
    <row r="223" spans="7:7" x14ac:dyDescent="0.25">
      <c r="G223" s="65"/>
    </row>
    <row r="224" spans="7:7" x14ac:dyDescent="0.25">
      <c r="G224" s="65"/>
    </row>
    <row r="225" spans="7:7" x14ac:dyDescent="0.25">
      <c r="G225" s="65"/>
    </row>
    <row r="226" spans="7:7" x14ac:dyDescent="0.25">
      <c r="G226" s="65"/>
    </row>
    <row r="227" spans="7:7" x14ac:dyDescent="0.25">
      <c r="G227" s="65"/>
    </row>
    <row r="228" spans="7:7" x14ac:dyDescent="0.25">
      <c r="G228" s="65"/>
    </row>
    <row r="229" spans="7:7" x14ac:dyDescent="0.25">
      <c r="G229" s="65"/>
    </row>
    <row r="230" spans="7:7" x14ac:dyDescent="0.25">
      <c r="G230" s="65"/>
    </row>
    <row r="231" spans="7:7" x14ac:dyDescent="0.25">
      <c r="G231" s="65"/>
    </row>
    <row r="232" spans="7:7" x14ac:dyDescent="0.25">
      <c r="G232" s="65"/>
    </row>
    <row r="233" spans="7:7" x14ac:dyDescent="0.25">
      <c r="G233" s="65"/>
    </row>
    <row r="234" spans="7:7" x14ac:dyDescent="0.25">
      <c r="G234" s="65"/>
    </row>
    <row r="235" spans="7:7" x14ac:dyDescent="0.25">
      <c r="G235" s="65"/>
    </row>
    <row r="236" spans="7:7" x14ac:dyDescent="0.25">
      <c r="G236" s="65"/>
    </row>
    <row r="237" spans="7:7" x14ac:dyDescent="0.25">
      <c r="G237" s="65"/>
    </row>
    <row r="238" spans="7:7" x14ac:dyDescent="0.25">
      <c r="G238" s="65"/>
    </row>
    <row r="239" spans="7:7" x14ac:dyDescent="0.25">
      <c r="G239" s="65"/>
    </row>
    <row r="240" spans="7:7" x14ac:dyDescent="0.25">
      <c r="G240" s="65"/>
    </row>
    <row r="241" spans="7:7" x14ac:dyDescent="0.25">
      <c r="G241" s="65"/>
    </row>
    <row r="242" spans="7:7" x14ac:dyDescent="0.25">
      <c r="G242" s="65"/>
    </row>
    <row r="243" spans="7:7" x14ac:dyDescent="0.25">
      <c r="G243" s="65"/>
    </row>
    <row r="244" spans="7:7" x14ac:dyDescent="0.25">
      <c r="G244" s="65"/>
    </row>
    <row r="245" spans="7:7" x14ac:dyDescent="0.25">
      <c r="G245" s="65"/>
    </row>
    <row r="246" spans="7:7" x14ac:dyDescent="0.25">
      <c r="G246" s="65"/>
    </row>
    <row r="247" spans="7:7" x14ac:dyDescent="0.25">
      <c r="G247" s="65"/>
    </row>
    <row r="248" spans="7:7" x14ac:dyDescent="0.25">
      <c r="G248" s="65"/>
    </row>
    <row r="249" spans="7:7" x14ac:dyDescent="0.25">
      <c r="G249" s="65"/>
    </row>
    <row r="250" spans="7:7" x14ac:dyDescent="0.25">
      <c r="G250" s="65"/>
    </row>
    <row r="251" spans="7:7" x14ac:dyDescent="0.25">
      <c r="G251" s="65"/>
    </row>
    <row r="252" spans="7:7" x14ac:dyDescent="0.25">
      <c r="G252" s="65"/>
    </row>
    <row r="253" spans="7:7" x14ac:dyDescent="0.25">
      <c r="G253" s="65"/>
    </row>
    <row r="254" spans="7:7" x14ac:dyDescent="0.25">
      <c r="G254" s="65"/>
    </row>
    <row r="255" spans="7:7" x14ac:dyDescent="0.25">
      <c r="G255" s="65"/>
    </row>
    <row r="256" spans="7:7" x14ac:dyDescent="0.25">
      <c r="G256" s="65"/>
    </row>
    <row r="257" spans="7:7" x14ac:dyDescent="0.25">
      <c r="G257" s="65"/>
    </row>
    <row r="258" spans="7:7" x14ac:dyDescent="0.25">
      <c r="G258" s="65"/>
    </row>
    <row r="259" spans="7:7" x14ac:dyDescent="0.25">
      <c r="G259" s="65"/>
    </row>
    <row r="260" spans="7:7" x14ac:dyDescent="0.25">
      <c r="G260" s="65"/>
    </row>
    <row r="261" spans="7:7" x14ac:dyDescent="0.25">
      <c r="G261" s="65"/>
    </row>
    <row r="262" spans="7:7" x14ac:dyDescent="0.25">
      <c r="G262" s="65"/>
    </row>
    <row r="263" spans="7:7" x14ac:dyDescent="0.25">
      <c r="G263" s="65"/>
    </row>
    <row r="264" spans="7:7" x14ac:dyDescent="0.25">
      <c r="G264" s="65"/>
    </row>
    <row r="265" spans="7:7" x14ac:dyDescent="0.25">
      <c r="G265" s="65"/>
    </row>
    <row r="266" spans="7:7" x14ac:dyDescent="0.25">
      <c r="G266" s="65"/>
    </row>
    <row r="267" spans="7:7" x14ac:dyDescent="0.25">
      <c r="G267" s="65"/>
    </row>
    <row r="268" spans="7:7" x14ac:dyDescent="0.25">
      <c r="G268" s="65"/>
    </row>
    <row r="269" spans="7:7" x14ac:dyDescent="0.25">
      <c r="G269" s="65"/>
    </row>
    <row r="270" spans="7:7" x14ac:dyDescent="0.25">
      <c r="G270" s="65"/>
    </row>
    <row r="271" spans="7:7" x14ac:dyDescent="0.25">
      <c r="G271" s="65"/>
    </row>
    <row r="272" spans="7:7" x14ac:dyDescent="0.25">
      <c r="G272" s="65"/>
    </row>
    <row r="273" spans="7:7" x14ac:dyDescent="0.25">
      <c r="G273" s="65"/>
    </row>
    <row r="274" spans="7:7" x14ac:dyDescent="0.25">
      <c r="G274" s="65"/>
    </row>
    <row r="275" spans="7:7" x14ac:dyDescent="0.25">
      <c r="G275" s="65"/>
    </row>
    <row r="276" spans="7:7" x14ac:dyDescent="0.25">
      <c r="G276" s="65"/>
    </row>
    <row r="277" spans="7:7" x14ac:dyDescent="0.25">
      <c r="G277" s="65"/>
    </row>
    <row r="278" spans="7:7" x14ac:dyDescent="0.25">
      <c r="G278" s="65"/>
    </row>
    <row r="279" spans="7:7" x14ac:dyDescent="0.25">
      <c r="G279" s="65"/>
    </row>
    <row r="280" spans="7:7" x14ac:dyDescent="0.25">
      <c r="G280" s="65"/>
    </row>
    <row r="281" spans="7:7" x14ac:dyDescent="0.25">
      <c r="G281" s="65"/>
    </row>
    <row r="282" spans="7:7" x14ac:dyDescent="0.25">
      <c r="G282" s="65"/>
    </row>
    <row r="283" spans="7:7" x14ac:dyDescent="0.25">
      <c r="G283" s="65"/>
    </row>
    <row r="284" spans="7:7" x14ac:dyDescent="0.25">
      <c r="G284" s="65"/>
    </row>
    <row r="285" spans="7:7" x14ac:dyDescent="0.25">
      <c r="G285" s="65"/>
    </row>
    <row r="286" spans="7:7" x14ac:dyDescent="0.25">
      <c r="G286" s="65"/>
    </row>
    <row r="287" spans="7:7" x14ac:dyDescent="0.25">
      <c r="G287" s="65"/>
    </row>
    <row r="288" spans="7:7" x14ac:dyDescent="0.25">
      <c r="G288" s="65"/>
    </row>
    <row r="289" spans="7:7" x14ac:dyDescent="0.25">
      <c r="G289" s="65"/>
    </row>
    <row r="290" spans="7:7" x14ac:dyDescent="0.25">
      <c r="G290" s="65"/>
    </row>
    <row r="291" spans="7:7" x14ac:dyDescent="0.25">
      <c r="G291" s="65"/>
    </row>
    <row r="292" spans="7:7" x14ac:dyDescent="0.25">
      <c r="G292" s="65"/>
    </row>
    <row r="293" spans="7:7" x14ac:dyDescent="0.25">
      <c r="G293" s="65"/>
    </row>
    <row r="294" spans="7:7" x14ac:dyDescent="0.25">
      <c r="G294" s="65"/>
    </row>
    <row r="295" spans="7:7" x14ac:dyDescent="0.25">
      <c r="G295" s="65"/>
    </row>
    <row r="296" spans="7:7" x14ac:dyDescent="0.25">
      <c r="G296" s="65"/>
    </row>
    <row r="297" spans="7:7" x14ac:dyDescent="0.25">
      <c r="G297" s="65"/>
    </row>
    <row r="298" spans="7:7" x14ac:dyDescent="0.25">
      <c r="G298" s="65"/>
    </row>
    <row r="299" spans="7:7" x14ac:dyDescent="0.25">
      <c r="G299" s="65"/>
    </row>
    <row r="300" spans="7:7" x14ac:dyDescent="0.25">
      <c r="G300" s="65"/>
    </row>
    <row r="301" spans="7:7" x14ac:dyDescent="0.25">
      <c r="G301" s="65"/>
    </row>
    <row r="302" spans="7:7" x14ac:dyDescent="0.25">
      <c r="G302" s="65"/>
    </row>
    <row r="303" spans="7:7" x14ac:dyDescent="0.25">
      <c r="G303" s="65"/>
    </row>
    <row r="304" spans="7:7" x14ac:dyDescent="0.25">
      <c r="G304" s="65"/>
    </row>
    <row r="305" spans="7:7" x14ac:dyDescent="0.25">
      <c r="G305" s="65"/>
    </row>
    <row r="306" spans="7:7" x14ac:dyDescent="0.25">
      <c r="G306" s="65"/>
    </row>
    <row r="307" spans="7:7" x14ac:dyDescent="0.25">
      <c r="G307" s="65"/>
    </row>
    <row r="308" spans="7:7" x14ac:dyDescent="0.25">
      <c r="G308" s="65"/>
    </row>
    <row r="309" spans="7:7" x14ac:dyDescent="0.25">
      <c r="G309" s="65"/>
    </row>
    <row r="310" spans="7:7" x14ac:dyDescent="0.25">
      <c r="G310" s="65"/>
    </row>
    <row r="311" spans="7:7" x14ac:dyDescent="0.25">
      <c r="G311" s="65"/>
    </row>
    <row r="312" spans="7:7" x14ac:dyDescent="0.25">
      <c r="G312" s="65"/>
    </row>
    <row r="313" spans="7:7" x14ac:dyDescent="0.25">
      <c r="G313" s="65"/>
    </row>
    <row r="314" spans="7:7" x14ac:dyDescent="0.25">
      <c r="G314" s="65"/>
    </row>
    <row r="315" spans="7:7" x14ac:dyDescent="0.25">
      <c r="G315" s="65"/>
    </row>
    <row r="316" spans="7:7" x14ac:dyDescent="0.25">
      <c r="G316" s="65"/>
    </row>
    <row r="317" spans="7:7" x14ac:dyDescent="0.25">
      <c r="G317" s="65"/>
    </row>
    <row r="318" spans="7:7" x14ac:dyDescent="0.25">
      <c r="G318" s="65"/>
    </row>
    <row r="319" spans="7:7" x14ac:dyDescent="0.25">
      <c r="G319" s="65"/>
    </row>
    <row r="320" spans="7:7" x14ac:dyDescent="0.25">
      <c r="G320" s="65"/>
    </row>
    <row r="321" spans="7:7" x14ac:dyDescent="0.25">
      <c r="G321" s="65"/>
    </row>
    <row r="322" spans="7:7" x14ac:dyDescent="0.25">
      <c r="G322" s="65"/>
    </row>
    <row r="323" spans="7:7" x14ac:dyDescent="0.25">
      <c r="G323" s="65"/>
    </row>
    <row r="324" spans="7:7" x14ac:dyDescent="0.25">
      <c r="G324" s="65"/>
    </row>
    <row r="325" spans="7:7" x14ac:dyDescent="0.25">
      <c r="G325" s="65"/>
    </row>
    <row r="326" spans="7:7" x14ac:dyDescent="0.25">
      <c r="G326" s="65"/>
    </row>
    <row r="327" spans="7:7" x14ac:dyDescent="0.25">
      <c r="G327" s="65"/>
    </row>
    <row r="328" spans="7:7" x14ac:dyDescent="0.25">
      <c r="G328" s="65"/>
    </row>
    <row r="329" spans="7:7" x14ac:dyDescent="0.25">
      <c r="G329" s="65"/>
    </row>
    <row r="330" spans="7:7" x14ac:dyDescent="0.25">
      <c r="G330" s="65"/>
    </row>
    <row r="331" spans="7:7" x14ac:dyDescent="0.25">
      <c r="G331" s="65"/>
    </row>
    <row r="332" spans="7:7" x14ac:dyDescent="0.25">
      <c r="G332" s="65"/>
    </row>
    <row r="333" spans="7:7" x14ac:dyDescent="0.25">
      <c r="G333" s="65"/>
    </row>
    <row r="334" spans="7:7" x14ac:dyDescent="0.25">
      <c r="G334" s="65"/>
    </row>
    <row r="335" spans="7:7" x14ac:dyDescent="0.25">
      <c r="G335" s="65"/>
    </row>
    <row r="336" spans="7:7" x14ac:dyDescent="0.25">
      <c r="G336" s="65"/>
    </row>
    <row r="337" spans="7:7" x14ac:dyDescent="0.25">
      <c r="G337" s="65"/>
    </row>
    <row r="338" spans="7:7" x14ac:dyDescent="0.25">
      <c r="G338" s="65"/>
    </row>
    <row r="339" spans="7:7" x14ac:dyDescent="0.25">
      <c r="G339" s="65"/>
    </row>
    <row r="340" spans="7:7" x14ac:dyDescent="0.25">
      <c r="G340" s="65"/>
    </row>
    <row r="341" spans="7:7" x14ac:dyDescent="0.25">
      <c r="G341" s="65"/>
    </row>
    <row r="342" spans="7:7" x14ac:dyDescent="0.25">
      <c r="G342" s="65"/>
    </row>
    <row r="343" spans="7:7" x14ac:dyDescent="0.25">
      <c r="G343" s="65"/>
    </row>
    <row r="344" spans="7:7" x14ac:dyDescent="0.25">
      <c r="G344" s="65"/>
    </row>
    <row r="345" spans="7:7" x14ac:dyDescent="0.25">
      <c r="G345" s="65"/>
    </row>
    <row r="346" spans="7:7" x14ac:dyDescent="0.25">
      <c r="G346" s="65"/>
    </row>
    <row r="347" spans="7:7" x14ac:dyDescent="0.25">
      <c r="G347" s="65"/>
    </row>
    <row r="348" spans="7:7" x14ac:dyDescent="0.25">
      <c r="G348" s="65"/>
    </row>
    <row r="349" spans="7:7" x14ac:dyDescent="0.25">
      <c r="G349" s="65"/>
    </row>
    <row r="350" spans="7:7" x14ac:dyDescent="0.25">
      <c r="G350" s="65"/>
    </row>
    <row r="351" spans="7:7" x14ac:dyDescent="0.25">
      <c r="G351" s="65"/>
    </row>
    <row r="352" spans="7:7" x14ac:dyDescent="0.25">
      <c r="G352" s="65"/>
    </row>
    <row r="353" spans="7:7" x14ac:dyDescent="0.25">
      <c r="G353" s="65"/>
    </row>
    <row r="354" spans="7:7" x14ac:dyDescent="0.25">
      <c r="G354" s="65"/>
    </row>
    <row r="355" spans="7:7" x14ac:dyDescent="0.25">
      <c r="G355" s="65"/>
    </row>
    <row r="356" spans="7:7" x14ac:dyDescent="0.25">
      <c r="G356" s="65"/>
    </row>
    <row r="357" spans="7:7" x14ac:dyDescent="0.25">
      <c r="G357" s="65"/>
    </row>
    <row r="358" spans="7:7" x14ac:dyDescent="0.25">
      <c r="G358" s="65"/>
    </row>
    <row r="359" spans="7:7" x14ac:dyDescent="0.25">
      <c r="G359" s="65"/>
    </row>
    <row r="360" spans="7:7" x14ac:dyDescent="0.25">
      <c r="G360" s="65"/>
    </row>
    <row r="361" spans="7:7" x14ac:dyDescent="0.25">
      <c r="G361" s="65"/>
    </row>
    <row r="362" spans="7:7" x14ac:dyDescent="0.25">
      <c r="G362" s="65"/>
    </row>
    <row r="363" spans="7:7" x14ac:dyDescent="0.25">
      <c r="G363" s="65"/>
    </row>
    <row r="364" spans="7:7" x14ac:dyDescent="0.25">
      <c r="G364" s="65"/>
    </row>
    <row r="365" spans="7:7" x14ac:dyDescent="0.25">
      <c r="G365" s="65"/>
    </row>
    <row r="366" spans="7:7" x14ac:dyDescent="0.25">
      <c r="G366" s="65"/>
    </row>
    <row r="367" spans="7:7" x14ac:dyDescent="0.25">
      <c r="G367" s="65"/>
    </row>
    <row r="368" spans="7:7" x14ac:dyDescent="0.25">
      <c r="G368" s="65"/>
    </row>
    <row r="369" spans="7:7" x14ac:dyDescent="0.25">
      <c r="G369" s="65"/>
    </row>
    <row r="370" spans="7:7" x14ac:dyDescent="0.25">
      <c r="G370" s="65"/>
    </row>
    <row r="371" spans="7:7" x14ac:dyDescent="0.25">
      <c r="G371" s="65"/>
    </row>
    <row r="372" spans="7:7" x14ac:dyDescent="0.25">
      <c r="G372" s="65"/>
    </row>
    <row r="373" spans="7:7" x14ac:dyDescent="0.25">
      <c r="G373" s="65"/>
    </row>
    <row r="374" spans="7:7" x14ac:dyDescent="0.25">
      <c r="G374" s="65"/>
    </row>
    <row r="375" spans="7:7" x14ac:dyDescent="0.25">
      <c r="G375" s="65"/>
    </row>
    <row r="376" spans="7:7" x14ac:dyDescent="0.25">
      <c r="G376" s="65"/>
    </row>
    <row r="377" spans="7:7" x14ac:dyDescent="0.25">
      <c r="G377" s="65"/>
    </row>
    <row r="378" spans="7:7" x14ac:dyDescent="0.25">
      <c r="G378" s="65"/>
    </row>
    <row r="379" spans="7:7" x14ac:dyDescent="0.25">
      <c r="G379" s="65"/>
    </row>
    <row r="380" spans="7:7" x14ac:dyDescent="0.25">
      <c r="G380" s="65"/>
    </row>
    <row r="381" spans="7:7" x14ac:dyDescent="0.25">
      <c r="G381" s="65"/>
    </row>
    <row r="382" spans="7:7" x14ac:dyDescent="0.25">
      <c r="G382" s="65"/>
    </row>
    <row r="383" spans="7:7" x14ac:dyDescent="0.25">
      <c r="G383" s="65"/>
    </row>
    <row r="384" spans="7:7" x14ac:dyDescent="0.25">
      <c r="G384" s="65"/>
    </row>
    <row r="385" spans="7:7" x14ac:dyDescent="0.25">
      <c r="G385" s="65"/>
    </row>
    <row r="386" spans="7:7" x14ac:dyDescent="0.25">
      <c r="G386" s="65"/>
    </row>
    <row r="387" spans="7:7" x14ac:dyDescent="0.25">
      <c r="G387" s="65"/>
    </row>
    <row r="388" spans="7:7" x14ac:dyDescent="0.25">
      <c r="G388" s="65"/>
    </row>
    <row r="389" spans="7:7" x14ac:dyDescent="0.25">
      <c r="G389" s="65"/>
    </row>
    <row r="390" spans="7:7" x14ac:dyDescent="0.25">
      <c r="G390" s="65"/>
    </row>
    <row r="391" spans="7:7" x14ac:dyDescent="0.25">
      <c r="G391" s="65"/>
    </row>
    <row r="392" spans="7:7" x14ac:dyDescent="0.25">
      <c r="G392" s="65"/>
    </row>
    <row r="393" spans="7:7" x14ac:dyDescent="0.25">
      <c r="G393" s="65"/>
    </row>
    <row r="394" spans="7:7" x14ac:dyDescent="0.25">
      <c r="G394" s="65"/>
    </row>
    <row r="395" spans="7:7" x14ac:dyDescent="0.25">
      <c r="G395" s="65"/>
    </row>
    <row r="396" spans="7:7" x14ac:dyDescent="0.25">
      <c r="G396" s="65"/>
    </row>
    <row r="397" spans="7:7" x14ac:dyDescent="0.25">
      <c r="G397" s="65"/>
    </row>
    <row r="398" spans="7:7" x14ac:dyDescent="0.25">
      <c r="G398" s="65"/>
    </row>
    <row r="399" spans="7:7" x14ac:dyDescent="0.25">
      <c r="G399" s="65"/>
    </row>
    <row r="400" spans="7:7" x14ac:dyDescent="0.25">
      <c r="G400" s="65"/>
    </row>
    <row r="401" spans="7:7" x14ac:dyDescent="0.25">
      <c r="G401" s="65"/>
    </row>
    <row r="402" spans="7:7" x14ac:dyDescent="0.25">
      <c r="G402" s="65"/>
    </row>
    <row r="403" spans="7:7" x14ac:dyDescent="0.25">
      <c r="G403" s="65"/>
    </row>
    <row r="404" spans="7:7" x14ac:dyDescent="0.25">
      <c r="G404" s="65"/>
    </row>
    <row r="405" spans="7:7" x14ac:dyDescent="0.25">
      <c r="G405" s="65"/>
    </row>
    <row r="406" spans="7:7" x14ac:dyDescent="0.25">
      <c r="G406" s="65"/>
    </row>
    <row r="407" spans="7:7" x14ac:dyDescent="0.25">
      <c r="G407" s="65"/>
    </row>
    <row r="408" spans="7:7" x14ac:dyDescent="0.25">
      <c r="G408" s="65"/>
    </row>
    <row r="409" spans="7:7" x14ac:dyDescent="0.25">
      <c r="G409" s="65"/>
    </row>
    <row r="410" spans="7:7" x14ac:dyDescent="0.25">
      <c r="G410" s="65"/>
    </row>
    <row r="411" spans="7:7" x14ac:dyDescent="0.25">
      <c r="G411" s="65"/>
    </row>
    <row r="412" spans="7:7" x14ac:dyDescent="0.25">
      <c r="G412" s="65"/>
    </row>
    <row r="413" spans="7:7" x14ac:dyDescent="0.25">
      <c r="G413" s="65"/>
    </row>
    <row r="414" spans="7:7" x14ac:dyDescent="0.25">
      <c r="G414" s="65"/>
    </row>
    <row r="415" spans="7:7" x14ac:dyDescent="0.25">
      <c r="G415" s="65"/>
    </row>
    <row r="416" spans="7:7" x14ac:dyDescent="0.25">
      <c r="G416" s="65"/>
    </row>
    <row r="417" spans="7:7" x14ac:dyDescent="0.25">
      <c r="G417" s="65"/>
    </row>
    <row r="418" spans="7:7" x14ac:dyDescent="0.25">
      <c r="G418" s="65"/>
    </row>
    <row r="419" spans="7:7" x14ac:dyDescent="0.25">
      <c r="G419" s="65"/>
    </row>
    <row r="420" spans="7:7" x14ac:dyDescent="0.25">
      <c r="G420" s="65"/>
    </row>
    <row r="421" spans="7:7" x14ac:dyDescent="0.25">
      <c r="G421" s="65"/>
    </row>
    <row r="422" spans="7:7" x14ac:dyDescent="0.25">
      <c r="G422" s="65"/>
    </row>
    <row r="423" spans="7:7" x14ac:dyDescent="0.25">
      <c r="G423" s="65"/>
    </row>
    <row r="424" spans="7:7" x14ac:dyDescent="0.25">
      <c r="G424" s="65"/>
    </row>
    <row r="425" spans="7:7" x14ac:dyDescent="0.25">
      <c r="G425" s="65"/>
    </row>
    <row r="426" spans="7:7" x14ac:dyDescent="0.25">
      <c r="G426" s="65"/>
    </row>
    <row r="427" spans="7:7" x14ac:dyDescent="0.25">
      <c r="G427" s="65"/>
    </row>
    <row r="428" spans="7:7" x14ac:dyDescent="0.25">
      <c r="G428" s="65"/>
    </row>
    <row r="429" spans="7:7" x14ac:dyDescent="0.25">
      <c r="G429" s="65"/>
    </row>
    <row r="430" spans="7:7" x14ac:dyDescent="0.25">
      <c r="G430" s="65"/>
    </row>
    <row r="431" spans="7:7" x14ac:dyDescent="0.25">
      <c r="G431" s="65"/>
    </row>
    <row r="432" spans="7:7" x14ac:dyDescent="0.25">
      <c r="G432" s="65"/>
    </row>
    <row r="433" spans="7:7" x14ac:dyDescent="0.25">
      <c r="G433" s="65"/>
    </row>
    <row r="434" spans="7:7" x14ac:dyDescent="0.25">
      <c r="G434" s="65"/>
    </row>
    <row r="435" spans="7:7" x14ac:dyDescent="0.25">
      <c r="G435" s="65"/>
    </row>
    <row r="436" spans="7:7" x14ac:dyDescent="0.25">
      <c r="G436" s="65"/>
    </row>
    <row r="437" spans="7:7" x14ac:dyDescent="0.25">
      <c r="G437" s="65"/>
    </row>
    <row r="438" spans="7:7" x14ac:dyDescent="0.25">
      <c r="G438" s="65"/>
    </row>
    <row r="439" spans="7:7" x14ac:dyDescent="0.25">
      <c r="G439" s="65"/>
    </row>
    <row r="440" spans="7:7" x14ac:dyDescent="0.25">
      <c r="G440" s="65"/>
    </row>
    <row r="441" spans="7:7" x14ac:dyDescent="0.25">
      <c r="G441" s="65"/>
    </row>
    <row r="442" spans="7:7" x14ac:dyDescent="0.25">
      <c r="G442" s="65"/>
    </row>
    <row r="443" spans="7:7" x14ac:dyDescent="0.25">
      <c r="G443" s="65"/>
    </row>
    <row r="444" spans="7:7" x14ac:dyDescent="0.25">
      <c r="G444" s="65"/>
    </row>
    <row r="445" spans="7:7" x14ac:dyDescent="0.25">
      <c r="G445" s="65"/>
    </row>
    <row r="446" spans="7:7" x14ac:dyDescent="0.25">
      <c r="G446" s="65"/>
    </row>
    <row r="447" spans="7:7" x14ac:dyDescent="0.25">
      <c r="G447" s="65"/>
    </row>
    <row r="448" spans="7:7" x14ac:dyDescent="0.25">
      <c r="G448" s="65"/>
    </row>
    <row r="449" spans="7:7" x14ac:dyDescent="0.25">
      <c r="G449" s="65"/>
    </row>
    <row r="450" spans="7:7" x14ac:dyDescent="0.25">
      <c r="G450" s="65"/>
    </row>
    <row r="451" spans="7:7" x14ac:dyDescent="0.25">
      <c r="G451" s="65"/>
    </row>
    <row r="452" spans="7:7" x14ac:dyDescent="0.25">
      <c r="G452" s="65"/>
    </row>
    <row r="453" spans="7:7" x14ac:dyDescent="0.25">
      <c r="G453" s="65"/>
    </row>
    <row r="454" spans="7:7" x14ac:dyDescent="0.25">
      <c r="G454" s="65"/>
    </row>
    <row r="455" spans="7:7" x14ac:dyDescent="0.25">
      <c r="G455" s="65"/>
    </row>
    <row r="456" spans="7:7" x14ac:dyDescent="0.25">
      <c r="G456" s="65"/>
    </row>
    <row r="457" spans="7:7" x14ac:dyDescent="0.25">
      <c r="G457" s="65"/>
    </row>
    <row r="458" spans="7:7" x14ac:dyDescent="0.25">
      <c r="G458" s="65"/>
    </row>
    <row r="459" spans="7:7" x14ac:dyDescent="0.25">
      <c r="G459" s="65"/>
    </row>
    <row r="460" spans="7:7" x14ac:dyDescent="0.25">
      <c r="G460" s="65"/>
    </row>
    <row r="461" spans="7:7" x14ac:dyDescent="0.25">
      <c r="G461" s="65"/>
    </row>
    <row r="462" spans="7:7" x14ac:dyDescent="0.25">
      <c r="G462" s="65"/>
    </row>
    <row r="463" spans="7:7" x14ac:dyDescent="0.25">
      <c r="G463" s="65"/>
    </row>
    <row r="464" spans="7:7" x14ac:dyDescent="0.25">
      <c r="G464" s="65"/>
    </row>
    <row r="465" spans="7:7" x14ac:dyDescent="0.25">
      <c r="G465" s="65"/>
    </row>
    <row r="466" spans="7:7" x14ac:dyDescent="0.25">
      <c r="G466" s="65"/>
    </row>
    <row r="467" spans="7:7" x14ac:dyDescent="0.25">
      <c r="G467" s="65"/>
    </row>
    <row r="468" spans="7:7" x14ac:dyDescent="0.25">
      <c r="G468" s="65"/>
    </row>
    <row r="469" spans="7:7" x14ac:dyDescent="0.25">
      <c r="G469" s="65"/>
    </row>
    <row r="470" spans="7:7" x14ac:dyDescent="0.25">
      <c r="G470" s="65"/>
    </row>
    <row r="471" spans="7:7" x14ac:dyDescent="0.25">
      <c r="G471" s="65"/>
    </row>
    <row r="472" spans="7:7" x14ac:dyDescent="0.25">
      <c r="G472" s="65"/>
    </row>
    <row r="473" spans="7:7" x14ac:dyDescent="0.25">
      <c r="G473" s="65"/>
    </row>
    <row r="474" spans="7:7" x14ac:dyDescent="0.25">
      <c r="G474" s="65"/>
    </row>
    <row r="475" spans="7:7" x14ac:dyDescent="0.25">
      <c r="G475" s="65"/>
    </row>
    <row r="476" spans="7:7" x14ac:dyDescent="0.25">
      <c r="G476" s="65"/>
    </row>
    <row r="477" spans="7:7" x14ac:dyDescent="0.25">
      <c r="G477" s="65"/>
    </row>
    <row r="478" spans="7:7" x14ac:dyDescent="0.25">
      <c r="G478" s="65"/>
    </row>
    <row r="479" spans="7:7" x14ac:dyDescent="0.25">
      <c r="G479" s="65"/>
    </row>
    <row r="480" spans="7:7" x14ac:dyDescent="0.25">
      <c r="G480" s="65"/>
    </row>
    <row r="481" spans="7:7" x14ac:dyDescent="0.25">
      <c r="G481" s="65"/>
    </row>
    <row r="482" spans="7:7" x14ac:dyDescent="0.25">
      <c r="G482" s="65"/>
    </row>
    <row r="483" spans="7:7" x14ac:dyDescent="0.25">
      <c r="G483" s="65"/>
    </row>
    <row r="484" spans="7:7" x14ac:dyDescent="0.25">
      <c r="G484" s="65"/>
    </row>
    <row r="485" spans="7:7" x14ac:dyDescent="0.25">
      <c r="G485" s="65"/>
    </row>
    <row r="486" spans="7:7" x14ac:dyDescent="0.25">
      <c r="G486" s="65"/>
    </row>
    <row r="487" spans="7:7" x14ac:dyDescent="0.25">
      <c r="G487" s="65"/>
    </row>
    <row r="488" spans="7:7" x14ac:dyDescent="0.25">
      <c r="G488" s="65"/>
    </row>
    <row r="489" spans="7:7" x14ac:dyDescent="0.25">
      <c r="G489" s="65"/>
    </row>
    <row r="490" spans="7:7" x14ac:dyDescent="0.25">
      <c r="G490" s="65"/>
    </row>
    <row r="491" spans="7:7" x14ac:dyDescent="0.25">
      <c r="G491" s="65"/>
    </row>
    <row r="492" spans="7:7" x14ac:dyDescent="0.25">
      <c r="G492" s="65"/>
    </row>
    <row r="493" spans="7:7" x14ac:dyDescent="0.25">
      <c r="G493" s="65"/>
    </row>
    <row r="494" spans="7:7" x14ac:dyDescent="0.25">
      <c r="G494" s="65"/>
    </row>
    <row r="495" spans="7:7" x14ac:dyDescent="0.25">
      <c r="G495" s="65"/>
    </row>
    <row r="496" spans="7:7" x14ac:dyDescent="0.25">
      <c r="G496" s="65"/>
    </row>
    <row r="497" spans="7:7" x14ac:dyDescent="0.25">
      <c r="G497" s="65"/>
    </row>
    <row r="498" spans="7:7" x14ac:dyDescent="0.25">
      <c r="G498" s="65"/>
    </row>
    <row r="499" spans="7:7" x14ac:dyDescent="0.25">
      <c r="G499" s="65"/>
    </row>
    <row r="500" spans="7:7" x14ac:dyDescent="0.25">
      <c r="G500" s="65"/>
    </row>
    <row r="501" spans="7:7" x14ac:dyDescent="0.25">
      <c r="G501" s="65"/>
    </row>
    <row r="502" spans="7:7" x14ac:dyDescent="0.25">
      <c r="G502" s="65"/>
    </row>
    <row r="503" spans="7:7" x14ac:dyDescent="0.25">
      <c r="G503" s="65"/>
    </row>
    <row r="504" spans="7:7" x14ac:dyDescent="0.25">
      <c r="G504" s="65"/>
    </row>
    <row r="505" spans="7:7" x14ac:dyDescent="0.25">
      <c r="G505" s="65"/>
    </row>
    <row r="506" spans="7:7" x14ac:dyDescent="0.25">
      <c r="G506" s="65"/>
    </row>
    <row r="507" spans="7:7" x14ac:dyDescent="0.25">
      <c r="G507" s="65"/>
    </row>
    <row r="508" spans="7:7" x14ac:dyDescent="0.25">
      <c r="G508" s="65"/>
    </row>
    <row r="509" spans="7:7" x14ac:dyDescent="0.25">
      <c r="G509" s="65"/>
    </row>
    <row r="510" spans="7:7" x14ac:dyDescent="0.25">
      <c r="G510" s="65"/>
    </row>
    <row r="511" spans="7:7" x14ac:dyDescent="0.25">
      <c r="G511" s="65"/>
    </row>
    <row r="512" spans="7:7" x14ac:dyDescent="0.25">
      <c r="G512" s="65"/>
    </row>
    <row r="513" spans="7:7" x14ac:dyDescent="0.25">
      <c r="G513" s="65"/>
    </row>
    <row r="514" spans="7:7" x14ac:dyDescent="0.25">
      <c r="G514" s="65"/>
    </row>
    <row r="515" spans="7:7" x14ac:dyDescent="0.25">
      <c r="G515" s="65"/>
    </row>
    <row r="516" spans="7:7" x14ac:dyDescent="0.25">
      <c r="G516" s="65"/>
    </row>
    <row r="517" spans="7:7" x14ac:dyDescent="0.25">
      <c r="G517" s="65"/>
    </row>
    <row r="518" spans="7:7" x14ac:dyDescent="0.25">
      <c r="G518" s="65"/>
    </row>
    <row r="519" spans="7:7" x14ac:dyDescent="0.25">
      <c r="G519" s="65"/>
    </row>
    <row r="520" spans="7:7" x14ac:dyDescent="0.25">
      <c r="G520" s="65"/>
    </row>
    <row r="521" spans="7:7" x14ac:dyDescent="0.25">
      <c r="G521" s="65"/>
    </row>
    <row r="522" spans="7:7" x14ac:dyDescent="0.25">
      <c r="G522" s="65"/>
    </row>
    <row r="523" spans="7:7" x14ac:dyDescent="0.25">
      <c r="G523" s="65"/>
    </row>
    <row r="524" spans="7:7" x14ac:dyDescent="0.25">
      <c r="G524" s="65"/>
    </row>
    <row r="525" spans="7:7" x14ac:dyDescent="0.25">
      <c r="G525" s="65"/>
    </row>
    <row r="526" spans="7:7" x14ac:dyDescent="0.25">
      <c r="G526" s="65"/>
    </row>
    <row r="527" spans="7:7" x14ac:dyDescent="0.25">
      <c r="G527" s="65"/>
    </row>
    <row r="528" spans="7:7" x14ac:dyDescent="0.25">
      <c r="G528" s="65"/>
    </row>
    <row r="529" spans="7:7" x14ac:dyDescent="0.25">
      <c r="G529" s="65"/>
    </row>
    <row r="530" spans="7:7" x14ac:dyDescent="0.25">
      <c r="G530" s="65"/>
    </row>
    <row r="531" spans="7:7" x14ac:dyDescent="0.25">
      <c r="G531" s="65"/>
    </row>
    <row r="532" spans="7:7" x14ac:dyDescent="0.25">
      <c r="G532" s="65"/>
    </row>
    <row r="533" spans="7:7" x14ac:dyDescent="0.25">
      <c r="G533" s="65"/>
    </row>
    <row r="534" spans="7:7" x14ac:dyDescent="0.25">
      <c r="G534" s="65"/>
    </row>
    <row r="535" spans="7:7" x14ac:dyDescent="0.25">
      <c r="G535" s="65"/>
    </row>
    <row r="536" spans="7:7" x14ac:dyDescent="0.25">
      <c r="G536" s="65"/>
    </row>
    <row r="537" spans="7:7" x14ac:dyDescent="0.25">
      <c r="G537" s="65"/>
    </row>
    <row r="538" spans="7:7" x14ac:dyDescent="0.25">
      <c r="G538" s="65"/>
    </row>
    <row r="539" spans="7:7" x14ac:dyDescent="0.25">
      <c r="G539" s="65"/>
    </row>
    <row r="540" spans="7:7" x14ac:dyDescent="0.25">
      <c r="G540" s="65"/>
    </row>
    <row r="541" spans="7:7" x14ac:dyDescent="0.25">
      <c r="G541" s="65"/>
    </row>
    <row r="542" spans="7:7" x14ac:dyDescent="0.25">
      <c r="G542" s="65"/>
    </row>
    <row r="543" spans="7:7" x14ac:dyDescent="0.25">
      <c r="G543" s="65"/>
    </row>
    <row r="544" spans="7:7" x14ac:dyDescent="0.25">
      <c r="G544" s="65"/>
    </row>
    <row r="545" spans="7:7" x14ac:dyDescent="0.25">
      <c r="G545" s="65"/>
    </row>
    <row r="546" spans="7:7" x14ac:dyDescent="0.25">
      <c r="G546" s="65"/>
    </row>
    <row r="547" spans="7:7" x14ac:dyDescent="0.25">
      <c r="G547" s="65"/>
    </row>
    <row r="548" spans="7:7" x14ac:dyDescent="0.25">
      <c r="G548" s="65"/>
    </row>
    <row r="549" spans="7:7" x14ac:dyDescent="0.25">
      <c r="G549" s="65"/>
    </row>
    <row r="550" spans="7:7" x14ac:dyDescent="0.25">
      <c r="G550" s="65"/>
    </row>
    <row r="551" spans="7:7" x14ac:dyDescent="0.25">
      <c r="G551" s="65"/>
    </row>
    <row r="552" spans="7:7" x14ac:dyDescent="0.25">
      <c r="G552" s="65"/>
    </row>
    <row r="553" spans="7:7" x14ac:dyDescent="0.25">
      <c r="G553" s="65"/>
    </row>
    <row r="554" spans="7:7" x14ac:dyDescent="0.25">
      <c r="G554" s="65"/>
    </row>
    <row r="555" spans="7:7" x14ac:dyDescent="0.25">
      <c r="G555" s="65"/>
    </row>
    <row r="556" spans="7:7" x14ac:dyDescent="0.25">
      <c r="G556" s="65"/>
    </row>
    <row r="557" spans="7:7" x14ac:dyDescent="0.25">
      <c r="G557" s="65"/>
    </row>
    <row r="558" spans="7:7" x14ac:dyDescent="0.25">
      <c r="G558" s="65"/>
    </row>
    <row r="559" spans="7:7" x14ac:dyDescent="0.25">
      <c r="G559" s="65"/>
    </row>
    <row r="560" spans="7:7" x14ac:dyDescent="0.25">
      <c r="G560" s="65"/>
    </row>
    <row r="561" spans="7:7" x14ac:dyDescent="0.25">
      <c r="G561" s="65"/>
    </row>
    <row r="562" spans="7:7" x14ac:dyDescent="0.25">
      <c r="G562" s="65"/>
    </row>
    <row r="563" spans="7:7" x14ac:dyDescent="0.25">
      <c r="G563" s="65"/>
    </row>
    <row r="564" spans="7:7" x14ac:dyDescent="0.25">
      <c r="G564" s="65"/>
    </row>
    <row r="565" spans="7:7" x14ac:dyDescent="0.25">
      <c r="G565" s="65"/>
    </row>
    <row r="566" spans="7:7" x14ac:dyDescent="0.25">
      <c r="G566" s="65"/>
    </row>
    <row r="567" spans="7:7" x14ac:dyDescent="0.25">
      <c r="G567" s="65"/>
    </row>
    <row r="568" spans="7:7" x14ac:dyDescent="0.25">
      <c r="G568" s="65"/>
    </row>
    <row r="569" spans="7:7" x14ac:dyDescent="0.25">
      <c r="G569" s="65"/>
    </row>
    <row r="570" spans="7:7" x14ac:dyDescent="0.25">
      <c r="G570" s="65"/>
    </row>
    <row r="571" spans="7:7" x14ac:dyDescent="0.25">
      <c r="G571" s="65"/>
    </row>
    <row r="572" spans="7:7" x14ac:dyDescent="0.25">
      <c r="G572" s="65"/>
    </row>
    <row r="573" spans="7:7" x14ac:dyDescent="0.25">
      <c r="G573" s="65"/>
    </row>
    <row r="574" spans="7:7" x14ac:dyDescent="0.25">
      <c r="G574" s="65"/>
    </row>
    <row r="575" spans="7:7" x14ac:dyDescent="0.25">
      <c r="G575" s="65"/>
    </row>
    <row r="576" spans="7:7" x14ac:dyDescent="0.25">
      <c r="G576" s="65"/>
    </row>
    <row r="577" spans="7:7" x14ac:dyDescent="0.25">
      <c r="G577" s="65"/>
    </row>
    <row r="578" spans="7:7" x14ac:dyDescent="0.25">
      <c r="G578" s="65"/>
    </row>
    <row r="579" spans="7:7" x14ac:dyDescent="0.25">
      <c r="G579" s="65"/>
    </row>
    <row r="580" spans="7:7" x14ac:dyDescent="0.25">
      <c r="G580" s="65"/>
    </row>
    <row r="581" spans="7:7" x14ac:dyDescent="0.25">
      <c r="G581" s="65"/>
    </row>
    <row r="582" spans="7:7" x14ac:dyDescent="0.25">
      <c r="G582" s="65"/>
    </row>
    <row r="583" spans="7:7" x14ac:dyDescent="0.25">
      <c r="G583" s="65"/>
    </row>
    <row r="584" spans="7:7" x14ac:dyDescent="0.25">
      <c r="G584" s="65"/>
    </row>
    <row r="585" spans="7:7" x14ac:dyDescent="0.25">
      <c r="G585" s="65"/>
    </row>
    <row r="586" spans="7:7" x14ac:dyDescent="0.25">
      <c r="G586" s="65"/>
    </row>
    <row r="587" spans="7:7" x14ac:dyDescent="0.25">
      <c r="G587" s="65"/>
    </row>
    <row r="588" spans="7:7" x14ac:dyDescent="0.25">
      <c r="G588" s="65"/>
    </row>
    <row r="589" spans="7:7" x14ac:dyDescent="0.25">
      <c r="G589" s="65"/>
    </row>
    <row r="590" spans="7:7" x14ac:dyDescent="0.25">
      <c r="G590" s="65"/>
    </row>
    <row r="591" spans="7:7" x14ac:dyDescent="0.25">
      <c r="G591" s="65"/>
    </row>
    <row r="592" spans="7:7" x14ac:dyDescent="0.25">
      <c r="G592" s="65"/>
    </row>
    <row r="593" spans="7:7" x14ac:dyDescent="0.25">
      <c r="G593" s="65"/>
    </row>
    <row r="594" spans="7:7" x14ac:dyDescent="0.25">
      <c r="G594" s="65"/>
    </row>
    <row r="595" spans="7:7" x14ac:dyDescent="0.25">
      <c r="G595" s="65"/>
    </row>
    <row r="596" spans="7:7" x14ac:dyDescent="0.25">
      <c r="G596" s="65"/>
    </row>
    <row r="597" spans="7:7" x14ac:dyDescent="0.25">
      <c r="G597" s="65"/>
    </row>
    <row r="598" spans="7:7" x14ac:dyDescent="0.25">
      <c r="G598" s="65"/>
    </row>
    <row r="599" spans="7:7" x14ac:dyDescent="0.25">
      <c r="G599" s="65"/>
    </row>
    <row r="600" spans="7:7" x14ac:dyDescent="0.25">
      <c r="G600" s="65"/>
    </row>
    <row r="601" spans="7:7" x14ac:dyDescent="0.25">
      <c r="G601" s="65"/>
    </row>
  </sheetData>
  <mergeCells count="2">
    <mergeCell ref="A4:A6"/>
    <mergeCell ref="BB5:BD5"/>
  </mergeCells>
  <conditionalFormatting sqref="D6:BD6 AC7:AX7">
    <cfRule type="cellIs" dxfId="15" priority="1" operator="equal">
      <formula>#REF!</formula>
    </cfRule>
    <cfRule type="cellIs" dxfId="14" priority="2" operator="equal">
      <formula>#REF!</formula>
    </cfRule>
    <cfRule type="cellIs" dxfId="13" priority="3" operator="equal">
      <formula>#REF!</formula>
    </cfRule>
    <cfRule type="cellIs" dxfId="12" priority="4" operator="equal">
      <formula>#REF!</formula>
    </cfRule>
  </conditionalFormatting>
  <conditionalFormatting sqref="AC7">
    <cfRule type="cellIs" dxfId="11" priority="5" operator="equal">
      <formula>#REF!</formula>
    </cfRule>
    <cfRule type="cellIs" dxfId="10" priority="6" operator="equal">
      <formula>#REF!</formula>
    </cfRule>
    <cfRule type="cellIs" dxfId="9" priority="7" operator="equal">
      <formula>#REF!</formula>
    </cfRule>
    <cfRule type="cellIs" dxfId="8" priority="8" operator="equal">
      <formula>#REF!</formula>
    </cfRule>
  </conditionalFormatting>
  <pageMargins left="0.7" right="0.7" top="0.75" bottom="0.75" header="0.3" footer="0.3"/>
  <pageSetup orientation="portrait" horizontalDpi="1200" verticalDpi="1200" r:id="rId1"/>
  <headerFooter>
    <oddHeader>&amp;C&amp;"Calibri,Regular"&amp;K000000OVERALL DRAW</oddHeader>
    <oddFooter>&amp;C&amp;"Calibri,Regular"&amp;K000000PAGE &amp;P OF &amp;N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A567A7-6E96-49F1-A92A-ABE1581777A3}">
  <sheetPr>
    <tabColor rgb="FFB9720D"/>
  </sheetPr>
  <dimension ref="A1:BW17"/>
  <sheetViews>
    <sheetView showGridLines="0" zoomScale="62" workbookViewId="0">
      <selection activeCell="F28" sqref="F28"/>
    </sheetView>
  </sheetViews>
  <sheetFormatPr defaultRowHeight="14.4" x14ac:dyDescent="0.3"/>
  <cols>
    <col min="1" max="1" width="35.109375" bestFit="1" customWidth="1"/>
    <col min="2" max="2" width="14.6640625" bestFit="1" customWidth="1"/>
    <col min="3" max="4" width="12.44140625" bestFit="1" customWidth="1"/>
    <col min="5" max="7" width="12.6640625" bestFit="1" customWidth="1"/>
    <col min="8" max="10" width="13" bestFit="1" customWidth="1"/>
    <col min="11" max="13" width="12.44140625" bestFit="1" customWidth="1"/>
    <col min="14" max="14" width="12.6640625" bestFit="1" customWidth="1"/>
    <col min="15" max="15" width="13" bestFit="1" customWidth="1"/>
    <col min="16" max="16" width="12.44140625" bestFit="1" customWidth="1"/>
    <col min="17" max="18" width="12.6640625" bestFit="1" customWidth="1"/>
    <col min="19" max="19" width="13.5546875" bestFit="1" customWidth="1"/>
    <col min="20" max="23" width="12.6640625" bestFit="1" customWidth="1"/>
    <col min="24" max="26" width="12.44140625" bestFit="1" customWidth="1"/>
    <col min="27" max="27" width="12.6640625" bestFit="1" customWidth="1"/>
    <col min="28" max="28" width="12.44140625" bestFit="1" customWidth="1"/>
    <col min="29" max="30" width="12.5546875" bestFit="1" customWidth="1"/>
    <col min="31" max="32" width="12.6640625" bestFit="1" customWidth="1"/>
    <col min="33" max="33" width="12.88671875" bestFit="1" customWidth="1"/>
    <col min="34" max="35" width="13" bestFit="1" customWidth="1"/>
    <col min="36" max="36" width="12.6640625" bestFit="1" customWidth="1"/>
    <col min="37" max="38" width="12.44140625" bestFit="1" customWidth="1"/>
    <col min="39" max="40" width="12.6640625" bestFit="1" customWidth="1"/>
    <col min="41" max="41" width="13" bestFit="1" customWidth="1"/>
    <col min="42" max="42" width="13.5546875" bestFit="1" customWidth="1"/>
    <col min="51" max="51" width="2.33203125" customWidth="1"/>
  </cols>
  <sheetData>
    <row r="1" spans="1:75" ht="15.6" x14ac:dyDescent="0.3">
      <c r="A1" s="28" t="s">
        <v>0</v>
      </c>
      <c r="AY1" s="491"/>
    </row>
    <row r="2" spans="1:75" ht="15.6" x14ac:dyDescent="0.3">
      <c r="A2" s="28" t="s">
        <v>1</v>
      </c>
      <c r="AY2" s="491"/>
    </row>
    <row r="3" spans="1:75" ht="15.6" x14ac:dyDescent="0.3">
      <c r="A3" s="28" t="s">
        <v>548</v>
      </c>
      <c r="AY3" s="491"/>
    </row>
    <row r="4" spans="1:75" x14ac:dyDescent="0.3">
      <c r="AY4" s="491"/>
    </row>
    <row r="5" spans="1:75" s="65" customFormat="1" x14ac:dyDescent="0.3">
      <c r="A5" s="846" t="s">
        <v>549</v>
      </c>
      <c r="AB5"/>
      <c r="AC5"/>
      <c r="AD5"/>
      <c r="AE5"/>
      <c r="AW5"/>
      <c r="AX5"/>
      <c r="AY5" s="491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</row>
    <row r="6" spans="1:75" s="65" customFormat="1" x14ac:dyDescent="0.3">
      <c r="A6" s="846"/>
      <c r="AB6"/>
      <c r="AC6"/>
      <c r="AD6"/>
      <c r="AE6"/>
      <c r="AV6" s="735" t="s">
        <v>514</v>
      </c>
      <c r="AW6"/>
      <c r="AX6"/>
      <c r="AY6" s="491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</row>
    <row r="7" spans="1:75" s="65" customFormat="1" ht="15" thickBot="1" x14ac:dyDescent="0.35">
      <c r="A7" s="859"/>
      <c r="B7" s="736" t="s">
        <v>550</v>
      </c>
      <c r="C7" s="737">
        <v>45658</v>
      </c>
      <c r="D7" s="342">
        <f>EOMONTH(C7,3)</f>
        <v>45777</v>
      </c>
      <c r="E7" s="342">
        <f t="shared" ref="E7:AU7" si="0">EOMONTH(D7,3)</f>
        <v>45869</v>
      </c>
      <c r="F7" s="342">
        <f t="shared" si="0"/>
        <v>45961</v>
      </c>
      <c r="G7" s="342">
        <f t="shared" si="0"/>
        <v>46053</v>
      </c>
      <c r="H7" s="342">
        <f t="shared" si="0"/>
        <v>46142</v>
      </c>
      <c r="I7" s="342">
        <f t="shared" si="0"/>
        <v>46234</v>
      </c>
      <c r="J7" s="342">
        <f t="shared" si="0"/>
        <v>46326</v>
      </c>
      <c r="K7" s="342">
        <f t="shared" si="0"/>
        <v>46418</v>
      </c>
      <c r="L7" s="342">
        <f t="shared" si="0"/>
        <v>46507</v>
      </c>
      <c r="M7" s="342">
        <f t="shared" si="0"/>
        <v>46599</v>
      </c>
      <c r="N7" s="342">
        <f t="shared" si="0"/>
        <v>46691</v>
      </c>
      <c r="O7" s="342">
        <f t="shared" si="0"/>
        <v>46783</v>
      </c>
      <c r="P7" s="342">
        <f t="shared" si="0"/>
        <v>46873</v>
      </c>
      <c r="Q7" s="342">
        <f t="shared" si="0"/>
        <v>46965</v>
      </c>
      <c r="R7" s="342">
        <f t="shared" si="0"/>
        <v>47057</v>
      </c>
      <c r="S7" s="342">
        <f t="shared" si="0"/>
        <v>47149</v>
      </c>
      <c r="T7" s="342">
        <f t="shared" si="0"/>
        <v>47238</v>
      </c>
      <c r="U7" s="342">
        <f t="shared" si="0"/>
        <v>47330</v>
      </c>
      <c r="V7" s="342">
        <f t="shared" si="0"/>
        <v>47422</v>
      </c>
      <c r="W7" s="342">
        <f t="shared" si="0"/>
        <v>47514</v>
      </c>
      <c r="X7" s="342">
        <f t="shared" si="0"/>
        <v>47603</v>
      </c>
      <c r="Y7" s="342">
        <f t="shared" si="0"/>
        <v>47695</v>
      </c>
      <c r="Z7" s="342">
        <f t="shared" si="0"/>
        <v>47787</v>
      </c>
      <c r="AA7" s="342">
        <f t="shared" si="0"/>
        <v>47879</v>
      </c>
      <c r="AB7" s="342">
        <f t="shared" si="0"/>
        <v>47968</v>
      </c>
      <c r="AC7" s="342">
        <f t="shared" si="0"/>
        <v>48060</v>
      </c>
      <c r="AD7" s="342">
        <f t="shared" si="0"/>
        <v>48152</v>
      </c>
      <c r="AE7" s="342">
        <f t="shared" si="0"/>
        <v>48244</v>
      </c>
      <c r="AF7" s="342">
        <f t="shared" si="0"/>
        <v>48334</v>
      </c>
      <c r="AG7" s="342">
        <f t="shared" si="0"/>
        <v>48426</v>
      </c>
      <c r="AH7" s="342">
        <f t="shared" si="0"/>
        <v>48518</v>
      </c>
      <c r="AI7" s="342">
        <f t="shared" si="0"/>
        <v>48610</v>
      </c>
      <c r="AJ7" s="342">
        <f t="shared" si="0"/>
        <v>48699</v>
      </c>
      <c r="AK7" s="342">
        <f t="shared" si="0"/>
        <v>48791</v>
      </c>
      <c r="AL7" s="342">
        <f t="shared" si="0"/>
        <v>48883</v>
      </c>
      <c r="AM7" s="342">
        <f t="shared" si="0"/>
        <v>48975</v>
      </c>
      <c r="AN7" s="342">
        <f>EOMONTH(AM7,3)</f>
        <v>49064</v>
      </c>
      <c r="AO7" s="342">
        <f t="shared" si="0"/>
        <v>49156</v>
      </c>
      <c r="AP7" s="342">
        <f t="shared" si="0"/>
        <v>49248</v>
      </c>
      <c r="AQ7" s="342">
        <f t="shared" si="0"/>
        <v>49340</v>
      </c>
      <c r="AR7" s="342">
        <f t="shared" si="0"/>
        <v>49429</v>
      </c>
      <c r="AS7" s="342">
        <f t="shared" si="0"/>
        <v>49521</v>
      </c>
      <c r="AT7" s="342">
        <f t="shared" si="0"/>
        <v>49613</v>
      </c>
      <c r="AU7" s="342">
        <f t="shared" si="0"/>
        <v>49705</v>
      </c>
      <c r="AV7" s="345"/>
      <c r="AW7"/>
      <c r="AX7"/>
      <c r="AY7" s="491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</row>
    <row r="8" spans="1:75" s="65" customFormat="1" x14ac:dyDescent="0.3">
      <c r="A8" s="430" t="s">
        <v>528</v>
      </c>
      <c r="B8" s="357">
        <f>SUM(C8:AU8)</f>
        <v>313160204.69706142</v>
      </c>
      <c r="C8" s="357">
        <f>SUM('6b| Phase 1 Draw'!C39,'7b| Phase 2 Draw'!C39,'8b| Phase 3 Draw'!C39)</f>
        <v>-12565473.489786668</v>
      </c>
      <c r="D8" s="357">
        <f>SUM('6b| Phase 1 Draw'!D39,'7b| Phase 2 Draw'!D39,'8b| Phase 3 Draw'!D39)</f>
        <v>-13352065.029786667</v>
      </c>
      <c r="E8" s="357">
        <f>SUM('6b| Phase 1 Draw'!E39,'7b| Phase 2 Draw'!E39,'8b| Phase 3 Draw'!E39)</f>
        <v>-13214770.029786667</v>
      </c>
      <c r="F8" s="357">
        <f>SUM('6b| Phase 1 Draw'!F39,'7b| Phase 2 Draw'!F39,'8b| Phase 3 Draw'!F39)</f>
        <v>-13214770.029786667</v>
      </c>
      <c r="G8" s="357">
        <f>SUM('6b| Phase 1 Draw'!G39,'7b| Phase 2 Draw'!G39,'8b| Phase 3 Draw'!G39)</f>
        <v>-13214770.029786667</v>
      </c>
      <c r="H8" s="357">
        <f>SUM('6b| Phase 1 Draw'!H39,'7b| Phase 2 Draw'!H39,'8b| Phase 3 Draw'!H39)</f>
        <v>-25177875.697126668</v>
      </c>
      <c r="I8" s="357">
        <f>SUM('6b| Phase 1 Draw'!I39,'7b| Phase 2 Draw'!I39,'8b| Phase 3 Draw'!I39)</f>
        <v>-27162948.519573335</v>
      </c>
      <c r="J8" s="357">
        <f>SUM('6b| Phase 1 Draw'!J39,'7b| Phase 2 Draw'!J39,'8b| Phase 3 Draw'!J39)</f>
        <v>-29704655.741795558</v>
      </c>
      <c r="K8" s="357">
        <f>SUM('6b| Phase 1 Draw'!K39,'7b| Phase 2 Draw'!K39,'8b| Phase 3 Draw'!K39)</f>
        <v>-4942671.4325711131</v>
      </c>
      <c r="L8" s="357">
        <f>SUM('6b| Phase 1 Draw'!L39,'7b| Phase 2 Draw'!L39,'8b| Phase 3 Draw'!L39)</f>
        <v>0</v>
      </c>
      <c r="M8" s="357">
        <f>SUM('6b| Phase 1 Draw'!M39,'7b| Phase 2 Draw'!M39,'8b| Phase 3 Draw'!M39)</f>
        <v>0</v>
      </c>
      <c r="N8" s="357">
        <f>SUM('6b| Phase 1 Draw'!N39,'7b| Phase 2 Draw'!N39,'8b| Phase 3 Draw'!N39)</f>
        <v>0</v>
      </c>
      <c r="O8" s="357">
        <f>SUM('6b| Phase 1 Draw'!O39,'7b| Phase 2 Draw'!O39,'8b| Phase 3 Draw'!O39)</f>
        <v>-461276.27500000002</v>
      </c>
      <c r="P8" s="357">
        <f>SUM('6b| Phase 1 Draw'!P39,'7b| Phase 2 Draw'!P39,'8b| Phase 3 Draw'!P39)</f>
        <v>-461276.27500000002</v>
      </c>
      <c r="Q8" s="357">
        <f>SUM('6b| Phase 1 Draw'!Q39,'7b| Phase 2 Draw'!Q39,'8b| Phase 3 Draw'!Q39)</f>
        <v>-2371276.2749999999</v>
      </c>
      <c r="R8" s="357">
        <f>SUM('6b| Phase 1 Draw'!R39,'7b| Phase 2 Draw'!R39,'8b| Phase 3 Draw'!R39)</f>
        <v>-1855530.5249999999</v>
      </c>
      <c r="S8" s="357">
        <f>SUM('6b| Phase 1 Draw'!S39,'7b| Phase 2 Draw'!S39,'8b| Phase 3 Draw'!S39)</f>
        <v>245920329.22645</v>
      </c>
      <c r="T8" s="357">
        <f>SUM('6b| Phase 1 Draw'!T39,'7b| Phase 2 Draw'!T39,'8b| Phase 3 Draw'!T39)</f>
        <v>-10527920.77355</v>
      </c>
      <c r="U8" s="357">
        <f>SUM('6b| Phase 1 Draw'!U39,'7b| Phase 2 Draw'!U39,'8b| Phase 3 Draw'!U39)</f>
        <v>-12620427.273066666</v>
      </c>
      <c r="V8" s="357">
        <f>SUM('6b| Phase 1 Draw'!V39,'7b| Phase 2 Draw'!V39,'8b| Phase 3 Draw'!V39)</f>
        <v>-11742621.829833329</v>
      </c>
      <c r="W8" s="357">
        <f>SUM('6b| Phase 1 Draw'!W39,'7b| Phase 2 Draw'!W39,'8b| Phase 3 Draw'!W39)</f>
        <v>0</v>
      </c>
      <c r="X8" s="357">
        <f>SUM('6b| Phase 1 Draw'!X39,'7b| Phase 2 Draw'!X39,'8b| Phase 3 Draw'!X39)</f>
        <v>0</v>
      </c>
      <c r="Y8" s="357">
        <f>SUM('6b| Phase 1 Draw'!Y39,'7b| Phase 2 Draw'!Y39,'8b| Phase 3 Draw'!Y39)</f>
        <v>0</v>
      </c>
      <c r="Z8" s="357">
        <f>SUM('6b| Phase 1 Draw'!Z39,'7b| Phase 2 Draw'!Z39,'8b| Phase 3 Draw'!Z39)</f>
        <v>0</v>
      </c>
      <c r="AA8" s="357">
        <f>SUM('6b| Phase 1 Draw'!AA39,'7b| Phase 2 Draw'!AA39,'8b| Phase 3 Draw'!AA39)</f>
        <v>0</v>
      </c>
      <c r="AB8" s="357">
        <f>SUM('6b| Phase 1 Draw'!AB39,'7b| Phase 2 Draw'!AB39,'8b| Phase 3 Draw'!AB39)</f>
        <v>0</v>
      </c>
      <c r="AC8" s="357">
        <f>SUM('6b| Phase 1 Draw'!AC39,'7b| Phase 2 Draw'!AC39,'8b| Phase 3 Draw'!AC39)</f>
        <v>-24938301.172297142</v>
      </c>
      <c r="AD8" s="357">
        <f>SUM('6b| Phase 1 Draw'!AD39,'7b| Phase 2 Draw'!AD39,'8b| Phase 3 Draw'!AD39)</f>
        <v>-25698326.006047145</v>
      </c>
      <c r="AE8" s="357">
        <f>SUM('6b| Phase 1 Draw'!AE39,'7b| Phase 2 Draw'!AE39,'8b| Phase 3 Draw'!AE39)</f>
        <v>-28261742.118547145</v>
      </c>
      <c r="AF8" s="357">
        <f>SUM('6b| Phase 1 Draw'!AF39,'7b| Phase 2 Draw'!AF39,'8b| Phase 3 Draw'!AF39)</f>
        <v>-25728326.006047145</v>
      </c>
      <c r="AG8" s="357">
        <f>SUM('6b| Phase 1 Draw'!AG39,'7b| Phase 2 Draw'!AG39,'8b| Phase 3 Draw'!AG39)</f>
        <v>86216600</v>
      </c>
      <c r="AH8" s="357">
        <f>SUM('6b| Phase 1 Draw'!AH39,'7b| Phase 2 Draw'!AH39,'8b| Phase 3 Draw'!AH39)</f>
        <v>0</v>
      </c>
      <c r="AI8" s="357">
        <f>SUM('6b| Phase 1 Draw'!AI39,'7b| Phase 2 Draw'!AI39,'8b| Phase 3 Draw'!AI39)</f>
        <v>0</v>
      </c>
      <c r="AJ8" s="357">
        <f>SUM('6b| Phase 1 Draw'!AJ39,'7b| Phase 2 Draw'!AJ39,'8b| Phase 3 Draw'!AJ39)</f>
        <v>0</v>
      </c>
      <c r="AK8" s="357">
        <f>SUM('6b| Phase 1 Draw'!AK39,'7b| Phase 2 Draw'!AK39,'8b| Phase 3 Draw'!AK39)</f>
        <v>0</v>
      </c>
      <c r="AL8" s="357">
        <f>SUM('6b| Phase 1 Draw'!AL39,'7b| Phase 2 Draw'!AL39,'8b| Phase 3 Draw'!AL39)</f>
        <v>0</v>
      </c>
      <c r="AM8" s="357">
        <f>SUM('6b| Phase 1 Draw'!AM39,'7b| Phase 2 Draw'!AM39,'8b| Phase 3 Draw'!AM39)</f>
        <v>0</v>
      </c>
      <c r="AN8" s="357">
        <f>SUM('6b| Phase 1 Draw'!AN39,'7b| Phase 2 Draw'!AN39,'8b| Phase 3 Draw'!AN39)</f>
        <v>0</v>
      </c>
      <c r="AO8" s="357">
        <f>SUM('6b| Phase 1 Draw'!AO39,'7b| Phase 2 Draw'!AO39,'8b| Phase 3 Draw'!AO39)</f>
        <v>0</v>
      </c>
      <c r="AP8" s="357">
        <f>SUM('6b| Phase 1 Draw'!AP39,'7b| Phase 2 Draw'!AP39,'8b| Phase 3 Draw'!AP39)</f>
        <v>278240300</v>
      </c>
      <c r="AQ8" s="357">
        <f>SUM('6b| Phase 1 Draw'!AQ39,'7b| Phase 2 Draw'!AQ39,'8b| Phase 3 Draw'!AQ39)</f>
        <v>0</v>
      </c>
      <c r="AR8" s="357">
        <f>SUM('6b| Phase 1 Draw'!AR39,'7b| Phase 2 Draw'!AR39,'8b| Phase 3 Draw'!AR39)</f>
        <v>0</v>
      </c>
      <c r="AS8" s="357">
        <f>SUM('6b| Phase 1 Draw'!AS39,'7b| Phase 2 Draw'!AS39,'8b| Phase 3 Draw'!AS39)</f>
        <v>0</v>
      </c>
      <c r="AT8" s="357">
        <f>SUM('6b| Phase 1 Draw'!AT39,'7b| Phase 2 Draw'!AT39,'8b| Phase 3 Draw'!AT39)</f>
        <v>0</v>
      </c>
      <c r="AU8" s="357">
        <f>SUM('6b| Phase 1 Draw'!AU39,'7b| Phase 2 Draw'!AU39,'8b| Phase 3 Draw'!AU39)</f>
        <v>0</v>
      </c>
      <c r="AV8" s="357"/>
      <c r="AW8"/>
      <c r="AX8"/>
      <c r="AY8" s="491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</row>
    <row r="9" spans="1:75" s="65" customFormat="1" x14ac:dyDescent="0.3">
      <c r="A9" s="442" t="s">
        <v>529</v>
      </c>
      <c r="B9" s="738">
        <f>IF(B8&lt;0,0,IRR(C8:AU8))</f>
        <v>5.2516119934669758E-2</v>
      </c>
      <c r="C9" s="445"/>
      <c r="D9" s="445"/>
      <c r="E9" s="445"/>
      <c r="F9" s="445"/>
      <c r="G9" s="445"/>
      <c r="H9" s="445"/>
      <c r="I9" s="445"/>
      <c r="J9" s="445"/>
      <c r="K9" s="445"/>
      <c r="L9" s="445"/>
      <c r="M9" s="445"/>
      <c r="N9" s="445"/>
      <c r="O9" s="445"/>
      <c r="P9" s="445"/>
      <c r="Q9" s="445"/>
      <c r="R9" s="445"/>
      <c r="S9" s="445"/>
      <c r="T9" s="445"/>
      <c r="U9" s="445"/>
      <c r="V9" s="445"/>
      <c r="W9" s="445"/>
      <c r="X9" s="445"/>
      <c r="Y9" s="445"/>
      <c r="Z9" s="445"/>
      <c r="AA9" s="445"/>
      <c r="AB9" s="445"/>
      <c r="AC9" s="445"/>
      <c r="AD9" s="445"/>
      <c r="AE9" s="445"/>
      <c r="AF9" s="445"/>
      <c r="AG9" s="445"/>
      <c r="AH9" s="445"/>
      <c r="AI9" s="445"/>
      <c r="AJ9" s="445"/>
      <c r="AK9" s="445"/>
      <c r="AL9" s="445"/>
      <c r="AM9" s="445"/>
      <c r="AN9" s="445"/>
      <c r="AO9" s="445"/>
      <c r="AP9" s="445"/>
      <c r="AQ9" s="445"/>
      <c r="AR9" s="445"/>
      <c r="AS9" s="445"/>
      <c r="AT9" s="445"/>
      <c r="AU9" s="445"/>
      <c r="AV9" s="739"/>
      <c r="AW9"/>
      <c r="AX9"/>
      <c r="AY9" s="491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</row>
    <row r="10" spans="1:75" s="65" customFormat="1" x14ac:dyDescent="0.3">
      <c r="A10" s="442" t="s">
        <v>530</v>
      </c>
      <c r="B10" s="740">
        <f>POWER((1+B9),4)-1</f>
        <v>0.22719908893597807</v>
      </c>
      <c r="C10" s="401"/>
      <c r="D10" s="401"/>
      <c r="E10" s="401"/>
      <c r="F10" s="401"/>
      <c r="G10" s="401"/>
      <c r="H10" s="401"/>
      <c r="I10" s="401"/>
      <c r="J10" s="401"/>
      <c r="K10" s="401"/>
      <c r="L10" s="401"/>
      <c r="M10" s="401"/>
      <c r="N10" s="401"/>
      <c r="O10" s="401"/>
      <c r="P10" s="401"/>
      <c r="Q10" s="401"/>
      <c r="R10" s="401"/>
      <c r="S10" s="401"/>
      <c r="T10" s="401"/>
      <c r="U10" s="401"/>
      <c r="V10" s="401"/>
      <c r="W10" s="401"/>
      <c r="X10" s="401"/>
      <c r="Y10" s="401"/>
      <c r="Z10" s="401"/>
      <c r="AA10" s="401"/>
      <c r="AB10" s="401"/>
      <c r="AC10" s="401"/>
      <c r="AD10" s="401"/>
      <c r="AE10" s="401"/>
      <c r="AF10" s="401"/>
      <c r="AG10" s="401"/>
      <c r="AH10" s="401"/>
      <c r="AI10" s="401"/>
      <c r="AJ10" s="401"/>
      <c r="AK10" s="401"/>
      <c r="AL10" s="401"/>
      <c r="AM10" s="401"/>
      <c r="AN10" s="401"/>
      <c r="AO10" s="401"/>
      <c r="AP10" s="401"/>
      <c r="AQ10" s="401"/>
      <c r="AR10" s="401"/>
      <c r="AS10" s="401"/>
      <c r="AT10" s="401"/>
      <c r="AU10" s="401"/>
      <c r="AV10" s="741"/>
      <c r="AW10"/>
      <c r="AX10"/>
      <c r="AY10" s="491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</row>
    <row r="11" spans="1:75" s="65" customFormat="1" x14ac:dyDescent="0.3">
      <c r="A11" s="401"/>
      <c r="B11" s="742"/>
      <c r="C11" s="401"/>
      <c r="D11" s="401"/>
      <c r="E11" s="401"/>
      <c r="F11" s="401"/>
      <c r="G11" s="401"/>
      <c r="H11" s="401"/>
      <c r="I11" s="401"/>
      <c r="J11" s="401"/>
      <c r="K11" s="401"/>
      <c r="L11" s="401"/>
      <c r="M11" s="401"/>
      <c r="N11" s="401"/>
      <c r="O11" s="401"/>
      <c r="P11" s="401"/>
      <c r="Q11" s="401"/>
      <c r="R11" s="401"/>
      <c r="S11" s="401"/>
      <c r="T11" s="401"/>
      <c r="U11" s="401"/>
      <c r="V11" s="401"/>
      <c r="W11" s="401"/>
      <c r="X11" s="401"/>
      <c r="Y11" s="401"/>
      <c r="Z11" s="401"/>
      <c r="AA11" s="401"/>
      <c r="AB11" s="401"/>
      <c r="AC11" s="401"/>
      <c r="AD11" s="401"/>
      <c r="AE11" s="401"/>
      <c r="AF11" s="401"/>
      <c r="AG11" s="401"/>
      <c r="AH11" s="401"/>
      <c r="AI11" s="401"/>
      <c r="AJ11" s="401"/>
      <c r="AK11" s="401"/>
      <c r="AL11" s="401"/>
      <c r="AM11" s="401"/>
      <c r="AN11" s="401"/>
      <c r="AO11" s="401"/>
      <c r="AP11" s="401"/>
      <c r="AQ11" s="401"/>
      <c r="AR11" s="401"/>
      <c r="AS11" s="401"/>
      <c r="AT11" s="401"/>
      <c r="AU11" s="401"/>
      <c r="AV11" s="741"/>
      <c r="AW11"/>
      <c r="AX11"/>
      <c r="AY11" s="49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</row>
    <row r="12" spans="1:75" s="65" customFormat="1" x14ac:dyDescent="0.3">
      <c r="A12" s="442" t="s">
        <v>551</v>
      </c>
      <c r="B12" s="357">
        <f>SUM(C12:AU12)</f>
        <v>281139090.84227604</v>
      </c>
      <c r="C12" s="357">
        <f>SUM('8b| Phase 3 Draw'!C44,'7b| Phase 2 Draw'!C44,'6b| Phase 1 Draw'!C44)</f>
        <v>-12565473.489786668</v>
      </c>
      <c r="D12" s="357">
        <f>SUM('8b| Phase 3 Draw'!D44,'7b| Phase 2 Draw'!D44,'6b| Phase 1 Draw'!D44)</f>
        <v>-13352065.029786667</v>
      </c>
      <c r="E12" s="357">
        <f>SUM('8b| Phase 3 Draw'!E44,'7b| Phase 2 Draw'!E44,'6b| Phase 1 Draw'!E44)</f>
        <v>-13214770.029786667</v>
      </c>
      <c r="F12" s="357">
        <f>SUM('8b| Phase 3 Draw'!F44,'7b| Phase 2 Draw'!F44,'6b| Phase 1 Draw'!F44)</f>
        <v>-13214770.029786667</v>
      </c>
      <c r="G12" s="357">
        <f>SUM('8b| Phase 3 Draw'!G44,'7b| Phase 2 Draw'!G44,'6b| Phase 1 Draw'!G44)</f>
        <v>-13214770.029786667</v>
      </c>
      <c r="H12" s="357">
        <f>SUM('8b| Phase 3 Draw'!H44,'7b| Phase 2 Draw'!H44,'6b| Phase 1 Draw'!H44)</f>
        <v>-25177875.697126668</v>
      </c>
      <c r="I12" s="357">
        <f>SUM('8b| Phase 3 Draw'!I44,'7b| Phase 2 Draw'!I44,'6b| Phase 1 Draw'!I44)</f>
        <v>-27162948.519573335</v>
      </c>
      <c r="J12" s="357">
        <f>SUM('8b| Phase 3 Draw'!J44,'7b| Phase 2 Draw'!J44,'6b| Phase 1 Draw'!J44)</f>
        <v>-29704655.741795558</v>
      </c>
      <c r="K12" s="357">
        <f>SUM('8b| Phase 3 Draw'!K44,'7b| Phase 2 Draw'!K44,'6b| Phase 1 Draw'!K44)</f>
        <v>-28935237.281795558</v>
      </c>
      <c r="L12" s="357">
        <f>SUM('8b| Phase 3 Draw'!L44,'7b| Phase 2 Draw'!L44,'6b| Phase 1 Draw'!L44)</f>
        <v>-28935237.281795558</v>
      </c>
      <c r="M12" s="357">
        <f>SUM('8b| Phase 3 Draw'!M44,'7b| Phase 2 Draw'!M44,'6b| Phase 1 Draw'!M44)</f>
        <v>-28935237.281795558</v>
      </c>
      <c r="N12" s="357">
        <f>SUM('8b| Phase 3 Draw'!N44,'7b| Phase 2 Draw'!N44,'6b| Phase 1 Draw'!N44)</f>
        <v>-32096080.155283172</v>
      </c>
      <c r="O12" s="357">
        <f>SUM('8b| Phase 3 Draw'!O44,'7b| Phase 2 Draw'!O44,'6b| Phase 1 Draw'!O44)</f>
        <v>-23857399.937943168</v>
      </c>
      <c r="P12" s="357">
        <f>SUM('8b| Phase 3 Draw'!P44,'7b| Phase 2 Draw'!P44,'6b| Phase 1 Draw'!P44)</f>
        <v>-28845808.397943165</v>
      </c>
      <c r="Q12" s="357">
        <f>SUM('8b| Phase 3 Draw'!Q44,'7b| Phase 2 Draw'!Q44,'6b| Phase 1 Draw'!Q44)</f>
        <v>-25720808.397943165</v>
      </c>
      <c r="R12" s="357">
        <f>SUM('8b| Phase 3 Draw'!R44,'7b| Phase 2 Draw'!R44,'6b| Phase 1 Draw'!R44)</f>
        <v>-22054219.774455551</v>
      </c>
      <c r="S12" s="357">
        <f>SUM('8b| Phase 3 Draw'!S44,'7b| Phase 2 Draw'!S44,'6b| Phase 1 Draw'!S44)</f>
        <v>459851633.89199448</v>
      </c>
      <c r="T12" s="357">
        <f>SUM('8b| Phase 3 Draw'!T44,'7b| Phase 2 Draw'!T44,'6b| Phase 1 Draw'!T44)</f>
        <v>-10527920.77355</v>
      </c>
      <c r="U12" s="357">
        <f>SUM('8b| Phase 3 Draw'!U44,'7b| Phase 2 Draw'!U44,'6b| Phase 1 Draw'!U44)</f>
        <v>-12620427.273066666</v>
      </c>
      <c r="V12" s="357">
        <f>SUM('8b| Phase 3 Draw'!V44,'7b| Phase 2 Draw'!V44,'6b| Phase 1 Draw'!V44)</f>
        <v>-12620427.273066666</v>
      </c>
      <c r="W12" s="357">
        <f>SUM('8b| Phase 3 Draw'!W44,'7b| Phase 2 Draw'!W44,'6b| Phase 1 Draw'!W44)</f>
        <v>-12620427.273066666</v>
      </c>
      <c r="X12" s="357">
        <f>SUM('8b| Phase 3 Draw'!X44,'7b| Phase 2 Draw'!X44,'6b| Phase 1 Draw'!X44)</f>
        <v>-11001713.551327778</v>
      </c>
      <c r="Y12" s="357">
        <f>SUM('8b| Phase 3 Draw'!Y44,'7b| Phase 2 Draw'!Y44,'6b| Phase 1 Draw'!Y44)</f>
        <v>-10971713.551327778</v>
      </c>
      <c r="Z12" s="357">
        <f>SUM('8b| Phase 3 Draw'!Z44,'7b| Phase 2 Draw'!Z44,'6b| Phase 1 Draw'!Z44)</f>
        <v>-11392989.826327778</v>
      </c>
      <c r="AA12" s="357">
        <f>SUM('8b| Phase 3 Draw'!AA44,'7b| Phase 2 Draw'!AA44,'6b| Phase 1 Draw'!AA44)</f>
        <v>-13149180.576086113</v>
      </c>
      <c r="AB12" s="357">
        <f>SUM('8b| Phase 3 Draw'!AB44,'7b| Phase 2 Draw'!AB44,'6b| Phase 1 Draw'!AB44)</f>
        <v>-12727904.301086113</v>
      </c>
      <c r="AC12" s="357">
        <f>SUM('8b| Phase 3 Draw'!AC44,'7b| Phase 2 Draw'!AC44,'6b| Phase 1 Draw'!AC44)</f>
        <v>-36810389.723624922</v>
      </c>
      <c r="AD12" s="357">
        <f>SUM('8b| Phase 3 Draw'!AD44,'7b| Phase 2 Draw'!AD44,'6b| Phase 1 Draw'!AD44)</f>
        <v>-41629541.326870635</v>
      </c>
      <c r="AE12" s="357">
        <f>SUM('8b| Phase 3 Draw'!AE44,'7b| Phase 2 Draw'!AE44,'6b| Phase 1 Draw'!AE44)</f>
        <v>-42717825.939853974</v>
      </c>
      <c r="AF12" s="357">
        <f>SUM('8b| Phase 3 Draw'!AF44,'7b| Phase 2 Draw'!AF44,'6b| Phase 1 Draw'!AF44)</f>
        <v>-40184409.827353969</v>
      </c>
      <c r="AG12" s="357">
        <f>SUM('8b| Phase 3 Draw'!AG44,'7b| Phase 2 Draw'!AG44,'6b| Phase 1 Draw'!AG44)</f>
        <v>189027216.44764602</v>
      </c>
      <c r="AH12" s="357">
        <f>SUM('8b| Phase 3 Draw'!AH44,'7b| Phase 2 Draw'!AH44,'6b| Phase 1 Draw'!AH44)</f>
        <v>-29058651.006047145</v>
      </c>
      <c r="AI12" s="357">
        <f>SUM('8b| Phase 3 Draw'!AI44,'7b| Phase 2 Draw'!AI44,'6b| Phase 1 Draw'!AI44)</f>
        <v>-25738326.006047145</v>
      </c>
      <c r="AJ12" s="357">
        <f>SUM('8b| Phase 3 Draw'!AJ44,'7b| Phase 2 Draw'!AJ44,'6b| Phase 1 Draw'!AJ44)</f>
        <v>-31558326.006047145</v>
      </c>
      <c r="AK12" s="357">
        <f>SUM('8b| Phase 3 Draw'!AK44,'7b| Phase 2 Draw'!AK44,'6b| Phase 1 Draw'!AK44)</f>
        <v>-24373864.276228752</v>
      </c>
      <c r="AL12" s="357">
        <f>SUM('8b| Phase 3 Draw'!AL44,'7b| Phase 2 Draw'!AL44,'6b| Phase 1 Draw'!AL44)</f>
        <v>-20688397.712660357</v>
      </c>
      <c r="AM12" s="357">
        <f>SUM('8b| Phase 3 Draw'!AM44,'7b| Phase 2 Draw'!AM44,'6b| Phase 1 Draw'!AM44)</f>
        <v>-23803672.434379157</v>
      </c>
      <c r="AN12" s="357">
        <f>SUM('8b| Phase 3 Draw'!AN44,'7b| Phase 2 Draw'!AN44,'6b| Phase 1 Draw'!AN44)</f>
        <v>-27907853.386760104</v>
      </c>
      <c r="AO12" s="357">
        <f>SUM('8b| Phase 3 Draw'!AO44,'7b| Phase 2 Draw'!AO44,'6b| Phase 1 Draw'!AO44)</f>
        <v>-25571591.05301011</v>
      </c>
      <c r="AP12" s="357">
        <f>SUM('8b| Phase 3 Draw'!AP44,'7b| Phase 2 Draw'!AP44,'6b| Phase 1 Draw'!AP44)</f>
        <v>476923150.6768083</v>
      </c>
      <c r="AQ12" s="357">
        <f>SUM('8b| Phase 3 Draw'!AQ44,'7b| Phase 2 Draw'!AQ44,'6b| Phase 1 Draw'!AQ44)</f>
        <v>0</v>
      </c>
      <c r="AR12" s="357">
        <f>SUM('8b| Phase 3 Draw'!AR44,'7b| Phase 2 Draw'!AR44,'6b| Phase 1 Draw'!AR44)</f>
        <v>0</v>
      </c>
      <c r="AS12" s="357">
        <f>SUM('8b| Phase 3 Draw'!AS44,'7b| Phase 2 Draw'!AS44,'6b| Phase 1 Draw'!AS44)</f>
        <v>0</v>
      </c>
      <c r="AT12" s="357">
        <f>SUM('8b| Phase 3 Draw'!AT44,'7b| Phase 2 Draw'!AT44,'6b| Phase 1 Draw'!AT44)</f>
        <v>0</v>
      </c>
      <c r="AU12" s="357">
        <f>SUM('8b| Phase 3 Draw'!AU44,'7b| Phase 2 Draw'!AU44,'6b| Phase 1 Draw'!AU44)</f>
        <v>0</v>
      </c>
      <c r="AV12" s="442"/>
      <c r="AW12"/>
      <c r="AX12"/>
      <c r="AY12" s="491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</row>
    <row r="13" spans="1:75" s="65" customFormat="1" x14ac:dyDescent="0.3">
      <c r="A13" s="442" t="s">
        <v>552</v>
      </c>
      <c r="B13" s="738">
        <f>IF(B12&lt;0,0,IRR(C12:AU12))</f>
        <v>3.5333195849862609E-2</v>
      </c>
      <c r="C13" s="426"/>
      <c r="D13" s="401"/>
      <c r="E13" s="401"/>
      <c r="F13" s="401"/>
      <c r="G13" s="401"/>
      <c r="H13" s="401"/>
      <c r="I13" s="401"/>
      <c r="J13" s="401"/>
      <c r="K13" s="401"/>
      <c r="L13" s="401"/>
      <c r="M13" s="426"/>
      <c r="N13" s="401"/>
      <c r="O13" s="401"/>
      <c r="P13" s="401"/>
      <c r="Q13" s="401"/>
      <c r="R13" s="401"/>
      <c r="S13" s="426"/>
      <c r="T13" s="401"/>
      <c r="U13" s="401"/>
      <c r="V13" s="401"/>
      <c r="W13" s="401"/>
      <c r="X13" s="401"/>
      <c r="Y13" s="401"/>
      <c r="Z13" s="401"/>
      <c r="AA13" s="401"/>
      <c r="AB13" s="401"/>
      <c r="AC13" s="401"/>
      <c r="AD13" s="401"/>
      <c r="AE13" s="401"/>
      <c r="AF13" s="401"/>
      <c r="AG13" s="401"/>
      <c r="AH13" s="401"/>
      <c r="AI13" s="401"/>
      <c r="AJ13" s="401"/>
      <c r="AK13" s="401"/>
      <c r="AL13" s="401"/>
      <c r="AM13" s="401"/>
      <c r="AN13" s="401"/>
      <c r="AO13" s="401"/>
      <c r="AP13" s="401"/>
      <c r="AQ13" s="401"/>
      <c r="AR13" s="401"/>
      <c r="AS13" s="401"/>
      <c r="AT13" s="401"/>
      <c r="AU13" s="401"/>
      <c r="AV13" s="442"/>
      <c r="AW13"/>
      <c r="AX13"/>
      <c r="AY13" s="491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</row>
    <row r="14" spans="1:75" s="65" customFormat="1" x14ac:dyDescent="0.3">
      <c r="A14" s="442" t="s">
        <v>535</v>
      </c>
      <c r="B14" s="740">
        <f>POWER((1+B13),4)-1</f>
        <v>0.14900139511764854</v>
      </c>
      <c r="C14" s="401"/>
      <c r="D14" s="401"/>
      <c r="E14" s="401"/>
      <c r="F14" s="401"/>
      <c r="G14" s="401"/>
      <c r="H14" s="401"/>
      <c r="I14" s="401"/>
      <c r="J14" s="401"/>
      <c r="K14" s="401"/>
      <c r="L14" s="401"/>
      <c r="M14" s="426"/>
      <c r="N14" s="401"/>
      <c r="O14" s="401"/>
      <c r="P14" s="401"/>
      <c r="Q14" s="401"/>
      <c r="R14" s="401"/>
      <c r="S14" s="426"/>
      <c r="T14" s="401"/>
      <c r="U14" s="401"/>
      <c r="V14" s="401"/>
      <c r="W14" s="401"/>
      <c r="X14" s="401"/>
      <c r="Y14" s="401"/>
      <c r="Z14" s="401"/>
      <c r="AA14" s="401"/>
      <c r="AB14" s="401"/>
      <c r="AC14" s="401"/>
      <c r="AD14" s="401"/>
      <c r="AE14" s="401"/>
      <c r="AF14" s="401"/>
      <c r="AG14" s="401"/>
      <c r="AH14" s="401"/>
      <c r="AI14" s="401"/>
      <c r="AJ14" s="401"/>
      <c r="AK14" s="401"/>
      <c r="AL14" s="401"/>
      <c r="AM14" s="401"/>
      <c r="AN14" s="401"/>
      <c r="AO14" s="401"/>
      <c r="AP14" s="401"/>
      <c r="AQ14" s="401"/>
      <c r="AR14" s="401"/>
      <c r="AS14" s="401"/>
      <c r="AT14" s="401"/>
      <c r="AU14" s="401"/>
      <c r="AV14" s="442"/>
      <c r="AW14"/>
      <c r="AX14"/>
      <c r="AY14" s="491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</row>
    <row r="15" spans="1:75" x14ac:dyDescent="0.3">
      <c r="AY15" s="491"/>
    </row>
    <row r="16" spans="1:75" x14ac:dyDescent="0.3">
      <c r="AY16" s="491"/>
    </row>
    <row r="17" spans="1:51" ht="8.4" customHeight="1" x14ac:dyDescent="0.3">
      <c r="A17" s="491"/>
      <c r="B17" s="491"/>
      <c r="C17" s="491"/>
      <c r="D17" s="491"/>
      <c r="E17" s="491"/>
      <c r="F17" s="491"/>
      <c r="G17" s="491"/>
      <c r="H17" s="491"/>
      <c r="I17" s="491"/>
      <c r="J17" s="491"/>
      <c r="K17" s="491"/>
      <c r="L17" s="491"/>
      <c r="M17" s="491"/>
      <c r="N17" s="491"/>
      <c r="O17" s="491"/>
      <c r="P17" s="491"/>
      <c r="Q17" s="491"/>
      <c r="R17" s="491"/>
      <c r="S17" s="491"/>
      <c r="T17" s="491"/>
      <c r="U17" s="491"/>
      <c r="V17" s="491"/>
      <c r="W17" s="491"/>
      <c r="X17" s="491"/>
      <c r="Y17" s="491"/>
      <c r="Z17" s="491"/>
      <c r="AA17" s="491"/>
      <c r="AB17" s="491"/>
      <c r="AC17" s="491"/>
      <c r="AD17" s="491"/>
      <c r="AE17" s="491"/>
      <c r="AF17" s="491"/>
      <c r="AG17" s="491"/>
      <c r="AH17" s="491"/>
      <c r="AI17" s="491"/>
      <c r="AJ17" s="491"/>
      <c r="AK17" s="491"/>
      <c r="AL17" s="491"/>
      <c r="AM17" s="491"/>
      <c r="AN17" s="491"/>
      <c r="AO17" s="491"/>
      <c r="AP17" s="491"/>
      <c r="AQ17" s="491"/>
      <c r="AR17" s="491"/>
      <c r="AS17" s="491"/>
      <c r="AT17" s="491"/>
      <c r="AU17" s="491"/>
      <c r="AV17" s="491"/>
      <c r="AW17" s="491"/>
      <c r="AX17" s="491"/>
      <c r="AY17" s="491"/>
    </row>
  </sheetData>
  <mergeCells count="1">
    <mergeCell ref="A5:A7"/>
  </mergeCells>
  <conditionalFormatting sqref="D7:AU7">
    <cfRule type="cellIs" dxfId="7" priority="1" operator="equal">
      <formula>#REF!</formula>
    </cfRule>
    <cfRule type="cellIs" dxfId="6" priority="2" operator="equal">
      <formula>#REF!</formula>
    </cfRule>
    <cfRule type="cellIs" dxfId="5" priority="3" operator="equal">
      <formula>#REF!</formula>
    </cfRule>
    <cfRule type="cellIs" dxfId="4" priority="4" operator="equal">
      <formula>#REF!</formula>
    </cfRule>
  </conditionalFormatting>
  <conditionalFormatting sqref="G7:AV7">
    <cfRule type="cellIs" dxfId="3" priority="5" operator="equal">
      <formula>#REF!</formula>
    </cfRule>
    <cfRule type="cellIs" dxfId="2" priority="6" operator="equal">
      <formula>#REF!</formula>
    </cfRule>
    <cfRule type="cellIs" dxfId="1" priority="7" operator="equal">
      <formula>#REF!</formula>
    </cfRule>
    <cfRule type="cellIs" dxfId="0" priority="8" operator="equal">
      <formula>#REF!</formula>
    </cfRule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EBF7B6-1E86-4B86-81C0-BBD8C1A78620}">
  <sheetPr>
    <tabColor rgb="FFE2A99B"/>
  </sheetPr>
  <dimension ref="A1:J88"/>
  <sheetViews>
    <sheetView showGridLines="0" view="pageBreakPreview" zoomScale="135" zoomScaleNormal="100" zoomScaleSheetLayoutView="80" workbookViewId="0">
      <selection activeCell="F52" sqref="F52"/>
    </sheetView>
  </sheetViews>
  <sheetFormatPr defaultColWidth="12.33203125" defaultRowHeight="13.2" x14ac:dyDescent="0.25"/>
  <cols>
    <col min="1" max="1" width="27.6640625" style="45" customWidth="1"/>
    <col min="2" max="2" width="12.33203125" style="45"/>
    <col min="3" max="3" width="22.44140625" style="45" bestFit="1" customWidth="1"/>
    <col min="4" max="4" width="21.6640625" style="45" customWidth="1"/>
    <col min="5" max="5" width="30.33203125" style="45" bestFit="1" customWidth="1"/>
    <col min="6" max="6" width="33.33203125" style="45" customWidth="1"/>
    <col min="7" max="7" width="26.44140625" style="45" customWidth="1"/>
    <col min="8" max="9" width="12.33203125" style="45"/>
    <col min="10" max="10" width="20.44140625" style="45" bestFit="1" customWidth="1"/>
    <col min="11" max="11" width="21.6640625" style="45" bestFit="1" customWidth="1"/>
    <col min="12" max="16384" width="12.33203125" style="45"/>
  </cols>
  <sheetData>
    <row r="1" spans="1:10" ht="15.6" x14ac:dyDescent="0.3">
      <c r="A1" s="28" t="s">
        <v>0</v>
      </c>
    </row>
    <row r="2" spans="1:10" ht="15.6" x14ac:dyDescent="0.3">
      <c r="A2" s="28" t="s">
        <v>1</v>
      </c>
    </row>
    <row r="3" spans="1:10" ht="15.6" x14ac:dyDescent="0.3">
      <c r="A3" s="28" t="s">
        <v>55</v>
      </c>
    </row>
    <row r="5" spans="1:10" x14ac:dyDescent="0.25">
      <c r="C5" s="757"/>
      <c r="D5" s="757"/>
    </row>
    <row r="6" spans="1:10" ht="13.8" thickBot="1" x14ac:dyDescent="0.3">
      <c r="B6" s="46"/>
      <c r="C6" s="47"/>
      <c r="D6" s="47"/>
      <c r="E6" s="47"/>
      <c r="F6" s="47"/>
    </row>
    <row r="7" spans="1:10" ht="13.8" thickBot="1" x14ac:dyDescent="0.3">
      <c r="A7" s="758" t="s">
        <v>56</v>
      </c>
      <c r="B7" s="759"/>
      <c r="C7" s="759"/>
      <c r="D7" s="759"/>
      <c r="E7" s="759"/>
      <c r="F7" s="759"/>
      <c r="G7" s="760"/>
      <c r="H7" s="761"/>
      <c r="I7" s="47"/>
      <c r="J7" s="48"/>
    </row>
    <row r="8" spans="1:10" ht="13.8" thickBot="1" x14ac:dyDescent="0.3">
      <c r="A8" s="49" t="s">
        <v>57</v>
      </c>
      <c r="B8" s="50"/>
      <c r="C8" s="51"/>
      <c r="D8" s="52"/>
      <c r="E8" s="601"/>
      <c r="F8" s="605"/>
      <c r="G8" s="611" t="s">
        <v>58</v>
      </c>
      <c r="H8" s="612"/>
    </row>
    <row r="9" spans="1:10" ht="25.2" customHeight="1" x14ac:dyDescent="0.25">
      <c r="A9" s="53" t="s">
        <v>59</v>
      </c>
      <c r="B9" s="54"/>
      <c r="C9" s="55" t="s">
        <v>60</v>
      </c>
      <c r="D9" s="56" t="s">
        <v>61</v>
      </c>
      <c r="E9" s="602"/>
      <c r="F9" s="606"/>
      <c r="G9" s="613" t="s">
        <v>62</v>
      </c>
      <c r="H9" s="614"/>
    </row>
    <row r="10" spans="1:10" ht="25.2" customHeight="1" x14ac:dyDescent="0.25">
      <c r="A10" s="58" t="s">
        <v>63</v>
      </c>
      <c r="B10" s="59"/>
      <c r="C10" s="576">
        <v>525</v>
      </c>
      <c r="D10" s="573">
        <f>C10</f>
        <v>525</v>
      </c>
      <c r="E10" s="603"/>
      <c r="F10" s="606"/>
      <c r="G10" s="615" t="s">
        <v>64</v>
      </c>
      <c r="H10" s="749">
        <v>4.7500000000000001E-2</v>
      </c>
    </row>
    <row r="11" spans="1:10" x14ac:dyDescent="0.25">
      <c r="A11" s="58" t="s">
        <v>65</v>
      </c>
      <c r="B11" s="59"/>
      <c r="C11" s="574">
        <f>'1| Market Research'!V9/C10</f>
        <v>3.0857142857142859</v>
      </c>
      <c r="D11" s="575">
        <f>C10*C11</f>
        <v>1620</v>
      </c>
      <c r="E11" s="602"/>
      <c r="F11" s="606"/>
      <c r="G11" s="615" t="s">
        <v>66</v>
      </c>
      <c r="H11" s="749">
        <f>(0.045+0.05)/2</f>
        <v>4.7500000000000001E-2</v>
      </c>
    </row>
    <row r="12" spans="1:10" ht="13.8" thickBot="1" x14ac:dyDescent="0.3">
      <c r="A12" s="62" t="s">
        <v>67</v>
      </c>
      <c r="B12" s="63"/>
      <c r="C12" s="64"/>
      <c r="D12" s="746"/>
      <c r="E12" s="604"/>
      <c r="F12" s="607"/>
      <c r="G12" s="615" t="s">
        <v>9</v>
      </c>
      <c r="H12" s="749">
        <f>(0.0625+0.07)/2</f>
        <v>6.6250000000000003E-2</v>
      </c>
      <c r="I12" s="65"/>
    </row>
    <row r="13" spans="1:10" ht="13.8" thickBot="1" x14ac:dyDescent="0.3">
      <c r="A13" s="58" t="s">
        <v>63</v>
      </c>
      <c r="B13" s="59"/>
      <c r="C13" s="576">
        <f>700</f>
        <v>700</v>
      </c>
      <c r="D13" s="577">
        <f>C13</f>
        <v>700</v>
      </c>
      <c r="E13" s="66" t="s">
        <v>10</v>
      </c>
      <c r="F13" s="608" t="s">
        <v>68</v>
      </c>
      <c r="G13" s="615" t="s">
        <v>10</v>
      </c>
      <c r="H13" s="749">
        <f>(0.055+0.07)/2</f>
        <v>6.25E-2</v>
      </c>
      <c r="I13" s="65"/>
    </row>
    <row r="14" spans="1:10" x14ac:dyDescent="0.25">
      <c r="A14" s="58" t="s">
        <v>65</v>
      </c>
      <c r="B14" s="59"/>
      <c r="C14" s="574">
        <f>'1| Market Research'!V10/C13</f>
        <v>3.3571428571428572</v>
      </c>
      <c r="D14" s="575">
        <f>C13*C14</f>
        <v>2350</v>
      </c>
      <c r="E14" s="68" t="s">
        <v>69</v>
      </c>
      <c r="F14" s="609">
        <f>'1| Market Research'!AB8</f>
        <v>51</v>
      </c>
      <c r="G14" s="615" t="s">
        <v>70</v>
      </c>
      <c r="H14" s="749">
        <v>6.6000000000000003E-2</v>
      </c>
    </row>
    <row r="15" spans="1:10" ht="13.8" thickBot="1" x14ac:dyDescent="0.3">
      <c r="A15" s="69" t="s">
        <v>71</v>
      </c>
      <c r="B15" s="63"/>
      <c r="C15" s="64"/>
      <c r="D15" s="70"/>
      <c r="E15" s="71" t="s">
        <v>72</v>
      </c>
      <c r="F15" s="610">
        <v>38</v>
      </c>
      <c r="G15" s="616" t="s">
        <v>73</v>
      </c>
      <c r="H15" s="750">
        <v>0.02</v>
      </c>
    </row>
    <row r="16" spans="1:10" ht="13.8" thickBot="1" x14ac:dyDescent="0.3">
      <c r="A16" s="58" t="s">
        <v>63</v>
      </c>
      <c r="B16" s="72"/>
      <c r="C16" s="576">
        <f>900</f>
        <v>900</v>
      </c>
      <c r="D16" s="578">
        <f>C16</f>
        <v>900</v>
      </c>
      <c r="E16" s="73" t="s">
        <v>74</v>
      </c>
      <c r="F16" s="73"/>
      <c r="H16" s="74"/>
      <c r="J16" s="75"/>
    </row>
    <row r="17" spans="1:10" ht="46.95" customHeight="1" thickBot="1" x14ac:dyDescent="0.3">
      <c r="A17" s="58" t="s">
        <v>65</v>
      </c>
      <c r="B17" s="72"/>
      <c r="C17" s="574">
        <f>'1| Market Research'!V11/C16</f>
        <v>3.6111111111111112</v>
      </c>
      <c r="D17" s="579">
        <f>C16*C17</f>
        <v>3250</v>
      </c>
      <c r="E17" s="617" t="s">
        <v>75</v>
      </c>
      <c r="F17" s="620">
        <v>0.05</v>
      </c>
      <c r="G17" s="762" t="s">
        <v>76</v>
      </c>
      <c r="H17" s="763"/>
      <c r="J17" s="75"/>
    </row>
    <row r="18" spans="1:10" x14ac:dyDescent="0.25">
      <c r="A18" s="69" t="s">
        <v>77</v>
      </c>
      <c r="B18" s="63"/>
      <c r="C18" s="64"/>
      <c r="D18" s="70"/>
      <c r="E18" s="45" t="s">
        <v>78</v>
      </c>
      <c r="F18" s="621">
        <v>0.05</v>
      </c>
      <c r="G18" s="619" t="s">
        <v>79</v>
      </c>
      <c r="H18" s="57"/>
      <c r="J18" s="75"/>
    </row>
    <row r="19" spans="1:10" ht="13.8" thickBot="1" x14ac:dyDescent="0.3">
      <c r="A19" s="58" t="s">
        <v>63</v>
      </c>
      <c r="B19" s="72"/>
      <c r="C19" s="576">
        <v>1100</v>
      </c>
      <c r="D19" s="578">
        <f>C19</f>
        <v>1100</v>
      </c>
      <c r="E19" s="618" t="s">
        <v>80</v>
      </c>
      <c r="F19" s="622">
        <v>0.35</v>
      </c>
      <c r="G19" s="48" t="s">
        <v>81</v>
      </c>
      <c r="H19" s="623">
        <v>0.6</v>
      </c>
    </row>
    <row r="20" spans="1:10" ht="13.8" thickBot="1" x14ac:dyDescent="0.3">
      <c r="A20" s="76" t="s">
        <v>65</v>
      </c>
      <c r="B20" s="77"/>
      <c r="C20" s="580">
        <f>'1| Market Research'!V12/C19</f>
        <v>5.5909090909090908</v>
      </c>
      <c r="D20" s="581">
        <f>C19*C20</f>
        <v>6150</v>
      </c>
      <c r="E20" s="47"/>
      <c r="F20" s="47"/>
      <c r="G20" s="61" t="s">
        <v>82</v>
      </c>
      <c r="H20" s="623">
        <v>0.6</v>
      </c>
    </row>
    <row r="21" spans="1:10" ht="26.7" customHeight="1" x14ac:dyDescent="0.25">
      <c r="A21" s="78"/>
      <c r="B21" s="79"/>
      <c r="C21" s="79"/>
      <c r="D21" s="80"/>
      <c r="E21" s="764" t="s">
        <v>83</v>
      </c>
      <c r="F21" s="765"/>
      <c r="G21" s="48" t="s">
        <v>9</v>
      </c>
      <c r="H21" s="623">
        <v>0.6</v>
      </c>
    </row>
    <row r="22" spans="1:10" ht="13.8" thickBot="1" x14ac:dyDescent="0.3">
      <c r="A22" s="766" t="s">
        <v>84</v>
      </c>
      <c r="B22" s="767"/>
      <c r="C22" s="768"/>
      <c r="D22" s="80"/>
      <c r="E22" s="544" t="s">
        <v>85</v>
      </c>
      <c r="F22" s="545" t="s">
        <v>86</v>
      </c>
      <c r="G22" s="81" t="s">
        <v>10</v>
      </c>
      <c r="H22" s="624">
        <v>0.6</v>
      </c>
    </row>
    <row r="23" spans="1:10" ht="26.4" x14ac:dyDescent="0.25">
      <c r="A23" s="82" t="s">
        <v>87</v>
      </c>
      <c r="B23" s="83"/>
      <c r="C23" s="67"/>
      <c r="D23" s="80"/>
      <c r="E23" s="547" t="s">
        <v>88</v>
      </c>
      <c r="F23" s="625">
        <v>300</v>
      </c>
      <c r="G23" s="48"/>
      <c r="H23" s="84"/>
    </row>
    <row r="24" spans="1:10" ht="26.4" x14ac:dyDescent="0.25">
      <c r="A24" s="85" t="s">
        <v>89</v>
      </c>
      <c r="B24" s="79"/>
      <c r="C24" s="582">
        <v>0.55000000000000004</v>
      </c>
      <c r="D24" s="80"/>
      <c r="E24" s="547" t="s">
        <v>90</v>
      </c>
      <c r="F24" s="626">
        <v>250</v>
      </c>
      <c r="G24" s="86"/>
      <c r="H24" s="84"/>
    </row>
    <row r="25" spans="1:10" ht="26.4" x14ac:dyDescent="0.25">
      <c r="A25" s="85" t="s">
        <v>91</v>
      </c>
      <c r="B25" s="79"/>
      <c r="C25" s="583">
        <v>1</v>
      </c>
      <c r="D25" s="80"/>
      <c r="E25" s="21" t="s">
        <v>92</v>
      </c>
      <c r="F25" s="627">
        <v>300</v>
      </c>
      <c r="G25" s="48"/>
      <c r="H25" s="74"/>
    </row>
    <row r="26" spans="1:10" ht="39.6" x14ac:dyDescent="0.25">
      <c r="A26" s="87" t="s">
        <v>93</v>
      </c>
      <c r="B26" s="51"/>
      <c r="C26" s="88"/>
      <c r="D26" s="80"/>
      <c r="E26" s="21" t="s">
        <v>94</v>
      </c>
      <c r="F26" s="627">
        <v>325</v>
      </c>
    </row>
    <row r="27" spans="1:10" ht="26.4" x14ac:dyDescent="0.25">
      <c r="A27" s="89" t="s">
        <v>95</v>
      </c>
      <c r="B27" s="51"/>
      <c r="C27" s="584">
        <v>350</v>
      </c>
      <c r="D27" s="80"/>
      <c r="E27" s="21" t="s">
        <v>96</v>
      </c>
      <c r="F27" s="628">
        <v>200</v>
      </c>
    </row>
    <row r="28" spans="1:10" x14ac:dyDescent="0.25">
      <c r="A28" s="87" t="s">
        <v>97</v>
      </c>
      <c r="B28" s="51"/>
      <c r="C28" s="585"/>
      <c r="D28" s="80"/>
      <c r="E28" s="548" t="s">
        <v>98</v>
      </c>
      <c r="F28" s="628">
        <v>150</v>
      </c>
    </row>
    <row r="29" spans="1:10" x14ac:dyDescent="0.25">
      <c r="A29" s="89" t="s">
        <v>99</v>
      </c>
      <c r="B29" s="51"/>
      <c r="C29" s="586">
        <f>(F24*0.75)*C27</f>
        <v>65625</v>
      </c>
      <c r="D29" s="80"/>
      <c r="E29" s="548" t="s">
        <v>100</v>
      </c>
      <c r="F29" s="629" t="s">
        <v>101</v>
      </c>
      <c r="G29" s="48"/>
      <c r="H29" s="494"/>
      <c r="J29" s="90"/>
    </row>
    <row r="30" spans="1:10" x14ac:dyDescent="0.25">
      <c r="A30" s="89" t="s">
        <v>102</v>
      </c>
      <c r="B30" s="51"/>
      <c r="C30" s="587">
        <v>6000</v>
      </c>
      <c r="D30" s="80"/>
      <c r="E30" s="21" t="s">
        <v>103</v>
      </c>
      <c r="F30" s="630">
        <v>0.05</v>
      </c>
      <c r="G30" s="48"/>
      <c r="H30" s="74"/>
    </row>
    <row r="31" spans="1:10" ht="39.6" x14ac:dyDescent="0.25">
      <c r="A31" s="87" t="s">
        <v>104</v>
      </c>
      <c r="B31" s="51"/>
      <c r="C31" s="588"/>
      <c r="D31" s="80"/>
      <c r="E31" s="21" t="s">
        <v>105</v>
      </c>
      <c r="F31" s="631">
        <v>4000</v>
      </c>
      <c r="G31" s="48"/>
      <c r="H31" s="74"/>
    </row>
    <row r="32" spans="1:10" x14ac:dyDescent="0.25">
      <c r="A32" s="89" t="s">
        <v>95</v>
      </c>
      <c r="B32" s="51"/>
      <c r="C32" s="589">
        <v>150</v>
      </c>
      <c r="D32" s="80"/>
      <c r="E32" s="548" t="s">
        <v>106</v>
      </c>
      <c r="F32" s="240" t="s">
        <v>107</v>
      </c>
      <c r="G32" s="48"/>
      <c r="H32" s="74"/>
    </row>
    <row r="33" spans="1:8" x14ac:dyDescent="0.25">
      <c r="A33" s="89" t="s">
        <v>108</v>
      </c>
      <c r="B33" s="51"/>
      <c r="C33" s="587">
        <v>8500</v>
      </c>
      <c r="D33" s="80"/>
      <c r="E33" s="549" t="s">
        <v>109</v>
      </c>
      <c r="F33" s="632" t="s">
        <v>110</v>
      </c>
      <c r="G33" s="48"/>
      <c r="H33" s="74"/>
    </row>
    <row r="34" spans="1:8" x14ac:dyDescent="0.25">
      <c r="A34" s="89" t="s">
        <v>111</v>
      </c>
      <c r="B34" s="51"/>
      <c r="C34" s="588"/>
      <c r="D34" s="80"/>
      <c r="E34" s="21" t="s">
        <v>112</v>
      </c>
      <c r="F34" s="633">
        <v>0.01</v>
      </c>
      <c r="G34" s="48"/>
      <c r="H34" s="74"/>
    </row>
    <row r="35" spans="1:8" x14ac:dyDescent="0.25">
      <c r="A35" s="60" t="s">
        <v>113</v>
      </c>
      <c r="B35" s="51"/>
      <c r="C35" s="590">
        <v>250</v>
      </c>
      <c r="D35" s="80"/>
      <c r="E35" s="549" t="s">
        <v>114</v>
      </c>
      <c r="F35" s="633">
        <v>0.06</v>
      </c>
      <c r="G35" s="48"/>
      <c r="H35" s="74"/>
    </row>
    <row r="36" spans="1:8" x14ac:dyDescent="0.25">
      <c r="A36" s="92" t="s">
        <v>115</v>
      </c>
      <c r="B36" s="93"/>
      <c r="C36" s="590" t="s">
        <v>116</v>
      </c>
      <c r="D36" s="80"/>
      <c r="E36" s="549" t="s">
        <v>117</v>
      </c>
      <c r="F36" s="634">
        <v>0.03</v>
      </c>
      <c r="G36" s="48"/>
      <c r="H36" s="74"/>
    </row>
    <row r="37" spans="1:8" x14ac:dyDescent="0.25">
      <c r="A37" s="89" t="s">
        <v>118</v>
      </c>
      <c r="B37" s="79"/>
      <c r="C37" s="586">
        <v>0</v>
      </c>
      <c r="D37" s="80"/>
      <c r="E37" s="549" t="s">
        <v>119</v>
      </c>
      <c r="F37" s="633">
        <v>0.02</v>
      </c>
      <c r="G37" s="48"/>
      <c r="H37" s="74"/>
    </row>
    <row r="38" spans="1:8" ht="13.8" thickBot="1" x14ac:dyDescent="0.3">
      <c r="A38" s="94" t="s">
        <v>120</v>
      </c>
      <c r="B38" s="95"/>
      <c r="C38" s="747">
        <v>0</v>
      </c>
      <c r="D38" s="80"/>
      <c r="E38" s="549" t="s">
        <v>121</v>
      </c>
      <c r="F38" s="635" t="s">
        <v>122</v>
      </c>
      <c r="G38" s="48"/>
      <c r="H38" s="74"/>
    </row>
    <row r="39" spans="1:8" x14ac:dyDescent="0.25">
      <c r="A39" s="78"/>
      <c r="B39" s="79"/>
      <c r="C39" s="79"/>
      <c r="D39" s="80"/>
      <c r="E39" s="549" t="s">
        <v>123</v>
      </c>
      <c r="F39" s="636">
        <v>5000</v>
      </c>
      <c r="G39" s="48"/>
      <c r="H39" s="74"/>
    </row>
    <row r="40" spans="1:8" x14ac:dyDescent="0.25">
      <c r="A40" s="78"/>
      <c r="B40" s="79"/>
      <c r="C40" s="79"/>
      <c r="D40" s="80"/>
      <c r="E40" s="549" t="s">
        <v>124</v>
      </c>
      <c r="F40" s="637" t="s">
        <v>110</v>
      </c>
      <c r="G40" s="48"/>
      <c r="H40" s="74"/>
    </row>
    <row r="41" spans="1:8" x14ac:dyDescent="0.25">
      <c r="A41" s="78"/>
      <c r="B41" s="79"/>
      <c r="C41" s="79"/>
      <c r="D41" s="80"/>
      <c r="E41" s="549" t="s">
        <v>125</v>
      </c>
      <c r="F41" s="638">
        <v>6</v>
      </c>
      <c r="G41" s="48"/>
      <c r="H41" s="74"/>
    </row>
    <row r="42" spans="1:8" x14ac:dyDescent="0.25">
      <c r="A42" s="78"/>
      <c r="B42" s="79"/>
      <c r="C42" s="79"/>
      <c r="D42" s="80"/>
      <c r="E42" s="549" t="s">
        <v>126</v>
      </c>
      <c r="F42" s="639">
        <v>40</v>
      </c>
      <c r="G42" s="48"/>
      <c r="H42" s="74"/>
    </row>
    <row r="43" spans="1:8" x14ac:dyDescent="0.25">
      <c r="A43" s="78"/>
      <c r="B43" s="79"/>
      <c r="C43" s="79"/>
      <c r="D43" s="80"/>
      <c r="E43" s="549" t="s">
        <v>127</v>
      </c>
      <c r="F43" s="640">
        <v>0.06</v>
      </c>
      <c r="G43" s="48"/>
      <c r="H43" s="74"/>
    </row>
    <row r="44" spans="1:8" x14ac:dyDescent="0.25">
      <c r="A44" s="78"/>
      <c r="B44" s="79"/>
      <c r="C44" s="79"/>
      <c r="D44" s="80"/>
      <c r="E44" s="549" t="s">
        <v>128</v>
      </c>
      <c r="F44" s="641">
        <v>1.4999999999999999E-2</v>
      </c>
      <c r="G44" s="48"/>
      <c r="H44" s="74"/>
    </row>
    <row r="45" spans="1:8" x14ac:dyDescent="0.25">
      <c r="A45" s="78"/>
      <c r="B45" s="79"/>
      <c r="C45" s="79"/>
      <c r="D45" s="80"/>
      <c r="E45" s="549" t="s">
        <v>129</v>
      </c>
      <c r="F45" s="642">
        <v>0.02</v>
      </c>
      <c r="G45" s="48"/>
      <c r="H45" s="74"/>
    </row>
    <row r="46" spans="1:8" x14ac:dyDescent="0.25">
      <c r="A46" s="78"/>
      <c r="B46" s="79"/>
      <c r="C46" s="79"/>
      <c r="D46" s="80"/>
      <c r="E46" s="550" t="s">
        <v>130</v>
      </c>
      <c r="F46" s="643">
        <v>7.0000000000000007E-2</v>
      </c>
      <c r="G46" s="48"/>
      <c r="H46" s="74"/>
    </row>
    <row r="47" spans="1:8" x14ac:dyDescent="0.25">
      <c r="A47" s="78"/>
      <c r="B47" s="79"/>
      <c r="C47" s="79"/>
      <c r="D47" s="80"/>
      <c r="G47" s="48"/>
      <c r="H47" s="74"/>
    </row>
    <row r="48" spans="1:8" x14ac:dyDescent="0.25">
      <c r="A48" s="78"/>
      <c r="B48" s="79"/>
      <c r="C48" s="79"/>
      <c r="D48" s="80"/>
      <c r="G48" s="48"/>
      <c r="H48" s="74"/>
    </row>
    <row r="49" spans="1:10" x14ac:dyDescent="0.25">
      <c r="A49" s="753" t="s">
        <v>131</v>
      </c>
      <c r="B49" s="754"/>
      <c r="C49" s="754"/>
      <c r="D49" s="754"/>
      <c r="E49" s="755"/>
      <c r="F49" s="756"/>
      <c r="G49" s="756"/>
      <c r="H49" s="756"/>
      <c r="I49" s="756"/>
      <c r="J49" s="756"/>
    </row>
    <row r="50" spans="1:10" x14ac:dyDescent="0.25">
      <c r="A50" s="536" t="s">
        <v>132</v>
      </c>
      <c r="B50" s="644" t="s">
        <v>133</v>
      </c>
      <c r="C50" s="644" t="s">
        <v>134</v>
      </c>
      <c r="D50" s="644" t="s">
        <v>135</v>
      </c>
      <c r="E50" s="645" t="s">
        <v>136</v>
      </c>
    </row>
    <row r="51" spans="1:10" x14ac:dyDescent="0.25">
      <c r="A51" s="537" t="s">
        <v>137</v>
      </c>
      <c r="B51" s="98">
        <v>71875</v>
      </c>
      <c r="C51" s="98">
        <v>122375</v>
      </c>
      <c r="D51" s="98">
        <v>40106</v>
      </c>
      <c r="E51" s="646">
        <f>AVERAGE(B51:D51)</f>
        <v>78118.666666666672</v>
      </c>
    </row>
    <row r="52" spans="1:10" x14ac:dyDescent="0.25">
      <c r="A52" s="538" t="s">
        <v>138</v>
      </c>
      <c r="B52" s="98">
        <f>0.6*B$51</f>
        <v>43125</v>
      </c>
      <c r="C52" s="98">
        <f>0.6*C$51</f>
        <v>73425</v>
      </c>
      <c r="D52" s="98">
        <f>0.6*D$51</f>
        <v>24063.599999999999</v>
      </c>
      <c r="E52" s="646">
        <f>0.6*E$51</f>
        <v>46871.200000000004</v>
      </c>
    </row>
    <row r="53" spans="1:10" x14ac:dyDescent="0.25">
      <c r="A53" s="539" t="s">
        <v>139</v>
      </c>
      <c r="B53" s="98">
        <f>0.3*B52</f>
        <v>12937.5</v>
      </c>
      <c r="C53" s="98">
        <f>0.3*C52</f>
        <v>22027.5</v>
      </c>
      <c r="D53" s="98">
        <f>0.3*D52</f>
        <v>7219.079999999999</v>
      </c>
      <c r="E53" s="646">
        <f>0.3*E52</f>
        <v>14061.36</v>
      </c>
    </row>
    <row r="54" spans="1:10" x14ac:dyDescent="0.25">
      <c r="A54" s="540" t="s">
        <v>140</v>
      </c>
      <c r="B54" s="647">
        <f>B53*0.1</f>
        <v>1293.75</v>
      </c>
      <c r="C54" s="647">
        <f t="shared" ref="C54:E54" si="0">C53*0.1</f>
        <v>2202.75</v>
      </c>
      <c r="D54" s="647">
        <f t="shared" si="0"/>
        <v>721.9079999999999</v>
      </c>
      <c r="E54" s="648">
        <f t="shared" si="0"/>
        <v>1406.1360000000002</v>
      </c>
    </row>
    <row r="55" spans="1:10" x14ac:dyDescent="0.25">
      <c r="A55" s="541" t="s">
        <v>141</v>
      </c>
      <c r="B55" s="649">
        <f>B53-B54</f>
        <v>11643.75</v>
      </c>
      <c r="C55" s="649">
        <f>C53-C54</f>
        <v>19824.75</v>
      </c>
      <c r="D55" s="649">
        <f>D53-D54</f>
        <v>6497.1719999999987</v>
      </c>
      <c r="E55" s="650">
        <f>E53-E54</f>
        <v>12655.224</v>
      </c>
    </row>
    <row r="56" spans="1:10" x14ac:dyDescent="0.25">
      <c r="A56" s="538" t="s">
        <v>142</v>
      </c>
      <c r="B56" s="651">
        <f>B55/12</f>
        <v>970.3125</v>
      </c>
      <c r="C56" s="651">
        <f>C55/12</f>
        <v>1652.0625</v>
      </c>
      <c r="D56" s="651">
        <f>D55/12</f>
        <v>541.43099999999993</v>
      </c>
      <c r="E56" s="652">
        <f>E55/12</f>
        <v>1054.6020000000001</v>
      </c>
    </row>
    <row r="57" spans="1:10" x14ac:dyDescent="0.25">
      <c r="A57" s="538"/>
      <c r="B57" s="98"/>
      <c r="C57" s="98"/>
      <c r="D57" s="98"/>
      <c r="E57" s="646"/>
    </row>
    <row r="58" spans="1:10" x14ac:dyDescent="0.25">
      <c r="A58" s="538" t="s">
        <v>143</v>
      </c>
      <c r="B58" s="98">
        <f>0.8*B$51</f>
        <v>57500</v>
      </c>
      <c r="C58" s="98">
        <f>0.8*C$51</f>
        <v>97900</v>
      </c>
      <c r="D58" s="98">
        <f>0.8*D$51</f>
        <v>32084.800000000003</v>
      </c>
      <c r="E58" s="646">
        <f>0.8*E$51</f>
        <v>62494.933333333342</v>
      </c>
    </row>
    <row r="59" spans="1:10" x14ac:dyDescent="0.25">
      <c r="A59" s="539" t="s">
        <v>139</v>
      </c>
      <c r="B59" s="98">
        <f>0.3*B58</f>
        <v>17250</v>
      </c>
      <c r="C59" s="98">
        <f>0.3*C58</f>
        <v>29370</v>
      </c>
      <c r="D59" s="98">
        <f>0.3*D58</f>
        <v>9625.44</v>
      </c>
      <c r="E59" s="646">
        <f>0.3*E58</f>
        <v>18748.480000000003</v>
      </c>
    </row>
    <row r="60" spans="1:10" x14ac:dyDescent="0.25">
      <c r="A60" s="540" t="s">
        <v>140</v>
      </c>
      <c r="B60" s="647">
        <f>B59*0.1</f>
        <v>1725</v>
      </c>
      <c r="C60" s="647">
        <f>C59*0.1</f>
        <v>2937</v>
      </c>
      <c r="D60" s="647">
        <f>D59*0.1</f>
        <v>962.5440000000001</v>
      </c>
      <c r="E60" s="648">
        <f>E59*0.1</f>
        <v>1874.8480000000004</v>
      </c>
    </row>
    <row r="61" spans="1:10" x14ac:dyDescent="0.25">
      <c r="A61" s="541" t="s">
        <v>141</v>
      </c>
      <c r="B61" s="649">
        <f>B59-B60</f>
        <v>15525</v>
      </c>
      <c r="C61" s="649">
        <f>C59-C60</f>
        <v>26433</v>
      </c>
      <c r="D61" s="649">
        <f>D59-D60</f>
        <v>8662.8960000000006</v>
      </c>
      <c r="E61" s="650">
        <f>E59-E60</f>
        <v>16873.632000000001</v>
      </c>
    </row>
    <row r="62" spans="1:10" x14ac:dyDescent="0.25">
      <c r="A62" s="538" t="s">
        <v>142</v>
      </c>
      <c r="B62" s="651">
        <f>B61/12</f>
        <v>1293.75</v>
      </c>
      <c r="C62" s="651">
        <f>C61/12</f>
        <v>2202.75</v>
      </c>
      <c r="D62" s="651">
        <f>D61/12</f>
        <v>721.90800000000002</v>
      </c>
      <c r="E62" s="652">
        <f>E61/12</f>
        <v>1406.1360000000002</v>
      </c>
    </row>
    <row r="63" spans="1:10" x14ac:dyDescent="0.25">
      <c r="A63" s="538"/>
      <c r="B63" s="653"/>
      <c r="C63" s="653"/>
      <c r="D63" s="653"/>
      <c r="E63" s="654"/>
    </row>
    <row r="64" spans="1:10" x14ac:dyDescent="0.25">
      <c r="A64" s="538" t="s">
        <v>144</v>
      </c>
      <c r="B64" s="98">
        <f>1.1*B51</f>
        <v>79062.5</v>
      </c>
      <c r="C64" s="98">
        <f>1.1*C51</f>
        <v>134612.5</v>
      </c>
      <c r="D64" s="98">
        <f>1.1*D51</f>
        <v>44116.600000000006</v>
      </c>
      <c r="E64" s="646">
        <f>1.1*E51</f>
        <v>85930.53333333334</v>
      </c>
    </row>
    <row r="65" spans="1:5" x14ac:dyDescent="0.25">
      <c r="A65" s="539" t="s">
        <v>145</v>
      </c>
      <c r="B65" s="98">
        <f>0.35*B64</f>
        <v>27671.875</v>
      </c>
      <c r="C65" s="98">
        <f>0.35*C64</f>
        <v>47114.375</v>
      </c>
      <c r="D65" s="98">
        <f>0.35*D64</f>
        <v>15440.810000000001</v>
      </c>
      <c r="E65" s="646">
        <f>0.35*E64</f>
        <v>30075.686666666668</v>
      </c>
    </row>
    <row r="66" spans="1:5" x14ac:dyDescent="0.25">
      <c r="A66" s="540" t="s">
        <v>140</v>
      </c>
      <c r="B66" s="647">
        <f>B65*0.1</f>
        <v>2767.1875</v>
      </c>
      <c r="C66" s="647">
        <f>C65*0.1</f>
        <v>4711.4375</v>
      </c>
      <c r="D66" s="647">
        <f>D65*0.1</f>
        <v>1544.0810000000001</v>
      </c>
      <c r="E66" s="648">
        <f>E65*0.1</f>
        <v>3007.568666666667</v>
      </c>
    </row>
    <row r="67" spans="1:5" x14ac:dyDescent="0.25">
      <c r="A67" s="542" t="s">
        <v>146</v>
      </c>
      <c r="B67" s="649">
        <f>B65-B66</f>
        <v>24904.6875</v>
      </c>
      <c r="C67" s="649">
        <f>C65-C66</f>
        <v>42402.9375</v>
      </c>
      <c r="D67" s="649">
        <f>D65-D66</f>
        <v>13896.729000000001</v>
      </c>
      <c r="E67" s="650">
        <f>E65-E66</f>
        <v>27068.118000000002</v>
      </c>
    </row>
    <row r="68" spans="1:5" x14ac:dyDescent="0.25">
      <c r="A68" s="543" t="s">
        <v>142</v>
      </c>
      <c r="B68" s="655">
        <f>B67/12</f>
        <v>2075.390625</v>
      </c>
      <c r="C68" s="655">
        <f>C67/12</f>
        <v>3533.578125</v>
      </c>
      <c r="D68" s="655">
        <f>D67/12</f>
        <v>1158.0607500000001</v>
      </c>
      <c r="E68" s="656">
        <f>E67/12</f>
        <v>2255.6765</v>
      </c>
    </row>
    <row r="69" spans="1:5" x14ac:dyDescent="0.25">
      <c r="A69" s="78"/>
      <c r="B69" s="79"/>
      <c r="C69" s="79"/>
      <c r="D69" s="80"/>
      <c r="E69" s="47"/>
    </row>
    <row r="70" spans="1:5" x14ac:dyDescent="0.25">
      <c r="A70" s="78"/>
      <c r="B70" s="79"/>
      <c r="C70" s="79"/>
      <c r="D70" s="80"/>
      <c r="E70" s="47"/>
    </row>
    <row r="71" spans="1:5" x14ac:dyDescent="0.25">
      <c r="A71" s="78"/>
      <c r="B71" s="79"/>
      <c r="C71" s="79"/>
      <c r="D71" s="80"/>
      <c r="E71" s="47"/>
    </row>
    <row r="72" spans="1:5" x14ac:dyDescent="0.25">
      <c r="A72" s="78"/>
      <c r="B72" s="79"/>
      <c r="C72" s="79"/>
      <c r="D72" s="80"/>
      <c r="E72" s="47"/>
    </row>
    <row r="73" spans="1:5" x14ac:dyDescent="0.25">
      <c r="A73" s="78"/>
      <c r="B73" s="79"/>
      <c r="C73" s="79"/>
      <c r="D73" s="80"/>
      <c r="E73" s="47"/>
    </row>
    <row r="74" spans="1:5" x14ac:dyDescent="0.25">
      <c r="A74" s="78"/>
      <c r="B74" s="79"/>
      <c r="C74" s="79"/>
      <c r="D74" s="80"/>
      <c r="E74" s="47"/>
    </row>
    <row r="75" spans="1:5" x14ac:dyDescent="0.25">
      <c r="A75" s="78"/>
      <c r="B75" s="79"/>
      <c r="C75" s="79"/>
      <c r="D75" s="80"/>
      <c r="E75" s="47"/>
    </row>
    <row r="76" spans="1:5" x14ac:dyDescent="0.25">
      <c r="A76" s="78"/>
      <c r="B76" s="79"/>
      <c r="C76" s="79"/>
      <c r="D76" s="80"/>
      <c r="E76" s="47"/>
    </row>
    <row r="77" spans="1:5" x14ac:dyDescent="0.25">
      <c r="A77" s="78"/>
      <c r="B77" s="79"/>
      <c r="C77" s="79"/>
      <c r="D77" s="80"/>
      <c r="E77" s="47"/>
    </row>
    <row r="78" spans="1:5" x14ac:dyDescent="0.25">
      <c r="A78" s="78"/>
      <c r="B78" s="79"/>
      <c r="C78" s="79"/>
      <c r="D78" s="80"/>
      <c r="E78" s="47"/>
    </row>
    <row r="79" spans="1:5" x14ac:dyDescent="0.25">
      <c r="A79" s="78"/>
      <c r="B79" s="79"/>
      <c r="C79" s="79"/>
      <c r="D79" s="80"/>
      <c r="E79" s="47"/>
    </row>
    <row r="80" spans="1:5" x14ac:dyDescent="0.25">
      <c r="A80" s="78"/>
      <c r="B80" s="79"/>
      <c r="C80" s="79"/>
      <c r="D80" s="80"/>
      <c r="E80" s="47"/>
    </row>
    <row r="81" spans="1:8" x14ac:dyDescent="0.25">
      <c r="A81" s="78"/>
      <c r="B81" s="79"/>
      <c r="C81" s="79"/>
      <c r="D81" s="80"/>
      <c r="E81" s="47"/>
      <c r="F81" s="47"/>
      <c r="G81" s="48"/>
      <c r="H81" s="74"/>
    </row>
    <row r="82" spans="1:8" x14ac:dyDescent="0.25">
      <c r="A82" s="78"/>
      <c r="B82" s="51"/>
    </row>
    <row r="83" spans="1:8" x14ac:dyDescent="0.25">
      <c r="A83" s="78"/>
      <c r="B83" s="51"/>
    </row>
    <row r="84" spans="1:8" x14ac:dyDescent="0.25">
      <c r="A84" s="78"/>
      <c r="B84" s="51"/>
    </row>
    <row r="85" spans="1:8" x14ac:dyDescent="0.25">
      <c r="B85" s="79"/>
    </row>
    <row r="86" spans="1:8" x14ac:dyDescent="0.25">
      <c r="B86" s="79"/>
    </row>
    <row r="87" spans="1:8" x14ac:dyDescent="0.25">
      <c r="B87" s="79"/>
    </row>
    <row r="88" spans="1:8" x14ac:dyDescent="0.25">
      <c r="B88" s="79"/>
    </row>
  </sheetData>
  <mergeCells count="7">
    <mergeCell ref="A49:E49"/>
    <mergeCell ref="F49:J49"/>
    <mergeCell ref="C5:D5"/>
    <mergeCell ref="A7:H7"/>
    <mergeCell ref="G17:H17"/>
    <mergeCell ref="E21:F21"/>
    <mergeCell ref="A22:C22"/>
  </mergeCells>
  <pageMargins left="0.7" right="0.7" top="0.75" bottom="0.75" header="0.3" footer="0.3"/>
  <pageSetup scale="78" pageOrder="overThenDown" orientation="landscape" r:id="rId1"/>
  <rowBreaks count="1" manualBreakCount="1">
    <brk id="46" max="16383" man="1"/>
  </rowBreaks>
  <colBreaks count="2" manualBreakCount="2">
    <brk id="4" min="3" max="84" man="1"/>
    <brk id="8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396FEE-6819-4DC8-B577-F7AA0BCF5D33}">
  <sheetPr>
    <tabColor theme="6" tint="-0.249977111117893"/>
    <pageSetUpPr fitToPage="1"/>
  </sheetPr>
  <dimension ref="A1:J98"/>
  <sheetViews>
    <sheetView showGridLines="0" zoomScale="64" zoomScaleNormal="100" zoomScaleSheetLayoutView="90" workbookViewId="0">
      <selection activeCell="D5" sqref="D5"/>
    </sheetView>
  </sheetViews>
  <sheetFormatPr defaultColWidth="8.6640625" defaultRowHeight="23.25" customHeight="1" x14ac:dyDescent="0.25"/>
  <cols>
    <col min="1" max="1" width="36.5546875" style="65" bestFit="1" customWidth="1"/>
    <col min="2" max="2" width="25.6640625" style="65" bestFit="1" customWidth="1"/>
    <col min="3" max="3" width="22.44140625" style="65" bestFit="1" customWidth="1"/>
    <col min="4" max="4" width="21.44140625" style="65" customWidth="1"/>
    <col min="5" max="5" width="18.33203125" style="65" bestFit="1" customWidth="1"/>
    <col min="6" max="6" width="26.33203125" style="65" customWidth="1"/>
    <col min="7" max="7" width="14.33203125" style="65" bestFit="1" customWidth="1"/>
    <col min="8" max="8" width="24.5546875" style="65" customWidth="1"/>
    <col min="9" max="10" width="42.33203125" style="65" bestFit="1" customWidth="1"/>
    <col min="11" max="16384" width="8.6640625" style="65"/>
  </cols>
  <sheetData>
    <row r="1" spans="1:10" ht="23.25" customHeight="1" thickBot="1" x14ac:dyDescent="0.3">
      <c r="A1" s="103"/>
      <c r="B1" s="104"/>
      <c r="C1" s="105"/>
      <c r="D1" s="106"/>
    </row>
    <row r="2" spans="1:10" ht="23.25" customHeight="1" thickBot="1" x14ac:dyDescent="0.35">
      <c r="A2" s="786" t="s">
        <v>147</v>
      </c>
      <c r="B2" s="787"/>
      <c r="C2" s="787"/>
      <c r="D2" s="788" t="s">
        <v>148</v>
      </c>
      <c r="E2" s="788"/>
    </row>
    <row r="3" spans="1:10" ht="23.25" customHeight="1" x14ac:dyDescent="0.25">
      <c r="A3" s="107"/>
      <c r="B3" s="108"/>
      <c r="C3" s="108"/>
      <c r="D3" s="109">
        <v>0</v>
      </c>
      <c r="E3" s="110" t="s">
        <v>149</v>
      </c>
    </row>
    <row r="4" spans="1:10" ht="26.4" x14ac:dyDescent="0.25">
      <c r="A4" s="111" t="s">
        <v>150</v>
      </c>
      <c r="B4" s="112" t="s">
        <v>151</v>
      </c>
      <c r="C4" s="113" t="s">
        <v>152</v>
      </c>
      <c r="D4" s="112" t="s">
        <v>153</v>
      </c>
      <c r="E4" s="114" t="s">
        <v>154</v>
      </c>
      <c r="F4" s="114" t="s">
        <v>155</v>
      </c>
      <c r="G4" s="114" t="s">
        <v>156</v>
      </c>
      <c r="I4" s="789" t="s">
        <v>157</v>
      </c>
      <c r="J4" s="789"/>
    </row>
    <row r="5" spans="1:10" ht="23.25" customHeight="1" x14ac:dyDescent="0.25">
      <c r="A5" s="115" t="s">
        <v>158</v>
      </c>
      <c r="B5" s="116">
        <f>((I7/(15*30))*3)*I8</f>
        <v>273.56400000000002</v>
      </c>
      <c r="C5" s="117">
        <f>(15*30)</f>
        <v>450</v>
      </c>
      <c r="D5" s="118">
        <v>3.1517509727626458</v>
      </c>
      <c r="E5" s="119">
        <f>12*B5*C5*D5</f>
        <v>4655910.2568093389</v>
      </c>
      <c r="F5" s="119">
        <f>C5*D5</f>
        <v>1418.2879377431907</v>
      </c>
      <c r="G5" s="119">
        <f>F5/1</f>
        <v>1418.2879377431907</v>
      </c>
      <c r="I5" s="116">
        <v>482760</v>
      </c>
      <c r="J5" s="120" t="s">
        <v>159</v>
      </c>
    </row>
    <row r="6" spans="1:10" ht="23.25" customHeight="1" x14ac:dyDescent="0.25">
      <c r="A6" s="115" t="s">
        <v>160</v>
      </c>
      <c r="B6" s="116">
        <v>61.410655492367553</v>
      </c>
      <c r="C6" s="117">
        <v>668.2</v>
      </c>
      <c r="D6" s="118">
        <v>3.5169111044597425</v>
      </c>
      <c r="E6" s="119">
        <f>12*B6*C6*D6</f>
        <v>1731780.4848847652</v>
      </c>
      <c r="F6" s="119">
        <f t="shared" ref="F6" si="0">C6*D6</f>
        <v>2350</v>
      </c>
      <c r="G6" s="119">
        <f>F6/1</f>
        <v>2350</v>
      </c>
      <c r="I6" s="116">
        <v>10</v>
      </c>
      <c r="J6" s="120" t="s">
        <v>161</v>
      </c>
    </row>
    <row r="7" spans="1:10" ht="13.2" x14ac:dyDescent="0.25">
      <c r="A7" s="121" t="s">
        <v>162</v>
      </c>
      <c r="B7" s="122">
        <v>94.477931526719303</v>
      </c>
      <c r="C7" s="123">
        <v>868.66000000000008</v>
      </c>
      <c r="D7" s="118">
        <v>3.7413947919784492</v>
      </c>
      <c r="E7" s="119">
        <f t="shared" ref="E7" si="1">12*B7*C7*D7</f>
        <v>3684639.3295420525</v>
      </c>
      <c r="F7" s="119">
        <f>C7*D7</f>
        <v>3250</v>
      </c>
      <c r="G7" s="119">
        <f>F7/2</f>
        <v>1625</v>
      </c>
      <c r="I7" s="116">
        <f>I5/I6</f>
        <v>48276</v>
      </c>
      <c r="J7" s="120" t="s">
        <v>163</v>
      </c>
    </row>
    <row r="8" spans="1:10" ht="13.2" x14ac:dyDescent="0.25">
      <c r="A8" s="121" t="s">
        <v>164</v>
      </c>
      <c r="B8" s="116">
        <v>78.731609605599417</v>
      </c>
      <c r="C8" s="117">
        <v>1042.3920000000001</v>
      </c>
      <c r="D8" s="118">
        <v>5.899891787350632</v>
      </c>
      <c r="E8" s="119">
        <f>12*B8*C8*D8</f>
        <v>5810392.7888932368</v>
      </c>
      <c r="F8" s="119">
        <f>C8*D8</f>
        <v>6150</v>
      </c>
      <c r="G8" s="119">
        <f>F8/3</f>
        <v>2050</v>
      </c>
      <c r="H8" s="124"/>
      <c r="I8" s="125">
        <v>0.85</v>
      </c>
      <c r="J8" s="120" t="s">
        <v>165</v>
      </c>
    </row>
    <row r="9" spans="1:10" ht="13.2" x14ac:dyDescent="0.25">
      <c r="A9" s="121"/>
      <c r="B9" s="126"/>
      <c r="C9" s="126"/>
      <c r="D9" s="127"/>
      <c r="E9" s="128"/>
      <c r="H9" s="124"/>
      <c r="I9" s="125">
        <v>0.7</v>
      </c>
      <c r="J9" s="120" t="s">
        <v>166</v>
      </c>
    </row>
    <row r="10" spans="1:10" ht="13.8" thickBot="1" x14ac:dyDescent="0.3">
      <c r="A10" s="121"/>
      <c r="B10" s="126"/>
      <c r="C10" s="126"/>
      <c r="D10" s="127"/>
      <c r="E10" s="129"/>
    </row>
    <row r="11" spans="1:10" ht="14.4" thickTop="1" thickBot="1" x14ac:dyDescent="0.3">
      <c r="A11" s="130" t="s">
        <v>167</v>
      </c>
      <c r="B11" s="131">
        <f>SUM(B5:B10)</f>
        <v>508.18419662468631</v>
      </c>
      <c r="C11" s="132">
        <f>B5*C5+B6*C6+B7*C7+B8*C8+B9*C9+B10*C10</f>
        <v>328276.8</v>
      </c>
      <c r="D11" s="133"/>
      <c r="E11" s="134">
        <f>SUM(E5:E10)</f>
        <v>15882722.860129394</v>
      </c>
    </row>
    <row r="12" spans="1:10" ht="14.4" thickTop="1" thickBot="1" x14ac:dyDescent="0.3">
      <c r="A12" s="135" t="s">
        <v>168</v>
      </c>
      <c r="B12" s="136"/>
      <c r="C12" s="137">
        <f>C11/B11</f>
        <v>645.97994620923862</v>
      </c>
      <c r="D12" s="138">
        <f>(E11/12)/C11</f>
        <v>4.0318421476757305</v>
      </c>
      <c r="E12" s="139"/>
      <c r="H12" s="140"/>
    </row>
    <row r="13" spans="1:10" ht="13.2" x14ac:dyDescent="0.25">
      <c r="A13" s="141"/>
      <c r="B13" s="142"/>
      <c r="C13" s="143"/>
      <c r="D13" s="144"/>
      <c r="H13" s="140"/>
    </row>
    <row r="14" spans="1:10" ht="13.2" x14ac:dyDescent="0.25">
      <c r="A14" s="111" t="s">
        <v>169</v>
      </c>
      <c r="B14" s="112" t="s">
        <v>170</v>
      </c>
      <c r="C14" s="112" t="s">
        <v>171</v>
      </c>
      <c r="D14" s="112" t="s">
        <v>154</v>
      </c>
      <c r="H14" s="140"/>
    </row>
    <row r="15" spans="1:10" ht="13.2" x14ac:dyDescent="0.25">
      <c r="A15" s="145" t="s">
        <v>10</v>
      </c>
      <c r="B15" s="146">
        <f>(I7*2)*I9</f>
        <v>67586.399999999994</v>
      </c>
      <c r="C15" s="147">
        <v>51</v>
      </c>
      <c r="D15" s="148">
        <f>B15*C15</f>
        <v>3446906.4</v>
      </c>
      <c r="H15" s="149"/>
    </row>
    <row r="16" spans="1:10" ht="13.8" thickBot="1" x14ac:dyDescent="0.3">
      <c r="A16" s="150" t="s">
        <v>9</v>
      </c>
      <c r="B16" s="151">
        <v>0</v>
      </c>
      <c r="C16" s="152">
        <v>48</v>
      </c>
      <c r="D16" s="153">
        <f>B16*C16</f>
        <v>0</v>
      </c>
      <c r="H16" s="149"/>
    </row>
    <row r="17" spans="1:6" ht="14.4" thickTop="1" thickBot="1" x14ac:dyDescent="0.3">
      <c r="A17" s="154" t="s">
        <v>172</v>
      </c>
      <c r="B17" s="155">
        <f>SUM(B15:B16)</f>
        <v>67586.399999999994</v>
      </c>
      <c r="C17" s="156">
        <f>IF(B17=0,0,D17/B17)</f>
        <v>51</v>
      </c>
      <c r="D17" s="157">
        <f>SUM(D15:D16)</f>
        <v>3446906.4</v>
      </c>
      <c r="E17" s="140"/>
    </row>
    <row r="18" spans="1:6" ht="13.2" x14ac:dyDescent="0.25">
      <c r="A18" s="158" t="s">
        <v>173</v>
      </c>
      <c r="B18" s="159" t="str">
        <f>D2</f>
        <v>Component A</v>
      </c>
    </row>
    <row r="19" spans="1:6" ht="13.2" x14ac:dyDescent="0.25">
      <c r="A19" s="91" t="s">
        <v>174</v>
      </c>
      <c r="B19" s="160">
        <f>B11*0.55</f>
        <v>279.50130814357749</v>
      </c>
      <c r="C19" s="161"/>
      <c r="D19" s="162"/>
    </row>
    <row r="20" spans="1:6" ht="13.8" thickBot="1" x14ac:dyDescent="0.3">
      <c r="A20" s="97" t="s">
        <v>175</v>
      </c>
      <c r="B20" s="160">
        <f>B17*(2.2/1000)</f>
        <v>148.69007999999999</v>
      </c>
      <c r="C20" s="161"/>
      <c r="D20" s="162"/>
    </row>
    <row r="21" spans="1:6" ht="14.4" thickTop="1" thickBot="1" x14ac:dyDescent="0.3">
      <c r="A21" s="163" t="s">
        <v>176</v>
      </c>
      <c r="B21" s="164">
        <f>SUM(B19:B20)</f>
        <v>428.19138814357746</v>
      </c>
      <c r="C21" s="161"/>
      <c r="D21" s="162"/>
      <c r="F21" s="140"/>
    </row>
    <row r="22" spans="1:6" ht="13.2" x14ac:dyDescent="0.25">
      <c r="A22" s="165" t="s">
        <v>177</v>
      </c>
      <c r="B22" s="166" t="str">
        <f>D2</f>
        <v>Component A</v>
      </c>
      <c r="C22" s="167"/>
      <c r="D22" s="167"/>
      <c r="E22" s="167"/>
    </row>
    <row r="23" spans="1:6" ht="13.2" x14ac:dyDescent="0.25">
      <c r="A23" s="168" t="s">
        <v>178</v>
      </c>
      <c r="B23" s="169">
        <v>57120</v>
      </c>
      <c r="C23" s="170"/>
      <c r="D23" s="171"/>
      <c r="E23" s="167"/>
    </row>
    <row r="24" spans="1:6" ht="13.2" x14ac:dyDescent="0.25">
      <c r="A24" s="168" t="s">
        <v>179</v>
      </c>
      <c r="B24" s="169">
        <f>C11+B17</f>
        <v>395863.19999999995</v>
      </c>
      <c r="C24" s="170"/>
      <c r="D24" s="171"/>
      <c r="E24" s="167"/>
    </row>
    <row r="25" spans="1:6" ht="13.2" x14ac:dyDescent="0.25">
      <c r="A25" s="172">
        <v>150</v>
      </c>
      <c r="B25" s="169">
        <v>64228.708221536617</v>
      </c>
      <c r="C25" s="170"/>
      <c r="D25" s="171"/>
      <c r="E25" s="167"/>
    </row>
    <row r="26" spans="1:6" ht="13.2" x14ac:dyDescent="0.25">
      <c r="A26" s="173">
        <v>0.15</v>
      </c>
      <c r="B26" s="174">
        <f>(1+A26)*(B24+B25)</f>
        <v>529105.69445476704</v>
      </c>
      <c r="C26" s="170"/>
      <c r="D26" s="171"/>
      <c r="E26" s="167"/>
    </row>
    <row r="27" spans="1:6" ht="13.8" thickBot="1" x14ac:dyDescent="0.3">
      <c r="A27" s="175">
        <f>I6</f>
        <v>10</v>
      </c>
      <c r="B27" s="176">
        <f>B26/A27</f>
        <v>52910.569445476707</v>
      </c>
      <c r="C27" s="170"/>
      <c r="D27" s="171"/>
      <c r="E27" s="167"/>
    </row>
    <row r="28" spans="1:6" ht="15" customHeight="1" thickBot="1" x14ac:dyDescent="0.3">
      <c r="A28" s="790" t="s">
        <v>180</v>
      </c>
      <c r="B28" s="791"/>
      <c r="C28" s="177" t="str">
        <f>D2</f>
        <v>Component A</v>
      </c>
      <c r="D28" s="178"/>
      <c r="E28" s="167"/>
    </row>
    <row r="29" spans="1:6" ht="13.8" thickBot="1" x14ac:dyDescent="0.3">
      <c r="A29" s="179" t="s">
        <v>181</v>
      </c>
      <c r="B29" s="180" t="s">
        <v>155</v>
      </c>
      <c r="C29" s="180" t="s">
        <v>182</v>
      </c>
      <c r="D29" s="181" t="s">
        <v>183</v>
      </c>
      <c r="E29" s="167"/>
    </row>
    <row r="30" spans="1:6" ht="13.2" x14ac:dyDescent="0.25">
      <c r="A30" s="182" t="s">
        <v>184</v>
      </c>
      <c r="B30" s="183">
        <f>D30/B11</f>
        <v>31253.870084156511</v>
      </c>
      <c r="C30" s="184">
        <f>D30/C11</f>
        <v>48.382105772108766</v>
      </c>
      <c r="D30" s="185">
        <f>E11</f>
        <v>15882722.860129394</v>
      </c>
      <c r="E30" s="167"/>
    </row>
    <row r="31" spans="1:6" ht="13.2" x14ac:dyDescent="0.25">
      <c r="A31" s="186">
        <f>B17</f>
        <v>67586.399999999994</v>
      </c>
      <c r="B31" s="792" t="s">
        <v>185</v>
      </c>
      <c r="C31" s="793"/>
      <c r="D31" s="187">
        <f>D17</f>
        <v>3446906.4</v>
      </c>
      <c r="E31" s="167"/>
    </row>
    <row r="32" spans="1:6" ht="13.2" x14ac:dyDescent="0.25">
      <c r="A32" s="188"/>
      <c r="B32" s="794" t="s">
        <v>186</v>
      </c>
      <c r="C32" s="794"/>
      <c r="D32" s="189">
        <f>SUM(D30:D31)</f>
        <v>19329629.260129392</v>
      </c>
      <c r="E32" s="167"/>
    </row>
    <row r="33" spans="1:6" ht="13.2" x14ac:dyDescent="0.25">
      <c r="A33" s="190" t="s">
        <v>187</v>
      </c>
      <c r="B33" s="191" t="s">
        <v>188</v>
      </c>
      <c r="C33" s="191" t="s">
        <v>189</v>
      </c>
      <c r="D33" s="191"/>
      <c r="E33" s="167"/>
    </row>
    <row r="34" spans="1:6" ht="13.2" x14ac:dyDescent="0.25">
      <c r="A34" s="192" t="s">
        <v>190</v>
      </c>
      <c r="B34" s="193">
        <v>344</v>
      </c>
      <c r="C34" s="194">
        <f>D34/C11</f>
        <v>3.5146601892570168</v>
      </c>
      <c r="D34" s="193">
        <f>B34*B19*12</f>
        <v>1153781.4000166878</v>
      </c>
      <c r="E34" s="167"/>
    </row>
    <row r="35" spans="1:6" ht="13.2" x14ac:dyDescent="0.25">
      <c r="A35" s="192" t="s">
        <v>191</v>
      </c>
      <c r="B35" s="195">
        <f>D35/B11</f>
        <v>2662.5661663547462</v>
      </c>
      <c r="C35" s="196">
        <f>D35/C11</f>
        <v>4.1217474040476141</v>
      </c>
      <c r="D35" s="195">
        <v>1353074.0482090577</v>
      </c>
      <c r="E35" s="167"/>
    </row>
    <row r="36" spans="1:6" ht="13.8" thickBot="1" x14ac:dyDescent="0.3">
      <c r="A36" s="197" t="s">
        <v>192</v>
      </c>
      <c r="B36" s="777"/>
      <c r="C36" s="778"/>
      <c r="D36" s="198">
        <f>SUM(D34:D35)</f>
        <v>2506855.4482257455</v>
      </c>
      <c r="E36" s="167"/>
    </row>
    <row r="37" spans="1:6" ht="14.4" thickTop="1" thickBot="1" x14ac:dyDescent="0.3">
      <c r="A37" s="199">
        <v>0.08</v>
      </c>
      <c r="B37" s="779"/>
      <c r="C37" s="780"/>
      <c r="D37" s="200">
        <f>-A37*D32</f>
        <v>-1546370.3408103513</v>
      </c>
      <c r="E37" s="167"/>
    </row>
    <row r="38" spans="1:6" ht="14.4" thickTop="1" thickBot="1" x14ac:dyDescent="0.3">
      <c r="A38" s="201" t="s">
        <v>193</v>
      </c>
      <c r="B38" s="202">
        <f>D38/B11</f>
        <v>39926.692924159979</v>
      </c>
      <c r="C38" s="203">
        <f>D38/C11</f>
        <v>61.807944903644689</v>
      </c>
      <c r="D38" s="204">
        <f>D32+D36+D37</f>
        <v>20290114.367544785</v>
      </c>
      <c r="E38" s="167"/>
    </row>
    <row r="39" spans="1:6" ht="13.2" x14ac:dyDescent="0.25">
      <c r="A39" s="111" t="s">
        <v>194</v>
      </c>
      <c r="B39" s="112" t="s">
        <v>155</v>
      </c>
      <c r="C39" s="112" t="s">
        <v>195</v>
      </c>
      <c r="D39" s="205" t="s">
        <v>183</v>
      </c>
      <c r="E39" s="167"/>
    </row>
    <row r="40" spans="1:6" ht="13.8" thickBot="1" x14ac:dyDescent="0.3">
      <c r="A40" s="206" t="s">
        <v>196</v>
      </c>
      <c r="B40" s="207">
        <f>D40/B11</f>
        <v>-11410.997855806054</v>
      </c>
      <c r="C40" s="207">
        <f>D40/C11</f>
        <v>-17.664631731632628</v>
      </c>
      <c r="D40" s="208">
        <f>-0.3*D32</f>
        <v>-5798888.7780388175</v>
      </c>
      <c r="E40" s="167"/>
    </row>
    <row r="41" spans="1:6" ht="13.8" thickBot="1" x14ac:dyDescent="0.3">
      <c r="A41" s="209" t="s">
        <v>197</v>
      </c>
      <c r="B41" s="210">
        <f>D41/B11</f>
        <v>28515.695068353922</v>
      </c>
      <c r="C41" s="211"/>
      <c r="D41" s="210">
        <f>D38+D40</f>
        <v>14491225.589505967</v>
      </c>
      <c r="E41" s="167"/>
    </row>
    <row r="42" spans="1:6" ht="13.8" thickBot="1" x14ac:dyDescent="0.3">
      <c r="A42" s="212" t="s">
        <v>198</v>
      </c>
      <c r="B42" s="213" t="s">
        <v>199</v>
      </c>
      <c r="C42" s="214">
        <v>4.7500000000000001E-2</v>
      </c>
      <c r="D42" s="215">
        <f>D41/C42</f>
        <v>305078433.46328348</v>
      </c>
      <c r="E42" s="167"/>
    </row>
    <row r="43" spans="1:6" ht="13.8" thickBot="1" x14ac:dyDescent="0.3">
      <c r="A43" s="781" t="s">
        <v>200</v>
      </c>
      <c r="B43" s="782"/>
      <c r="C43" s="783" t="str">
        <f>D2</f>
        <v>Component A</v>
      </c>
      <c r="D43" s="783"/>
      <c r="F43" s="216" t="s">
        <v>201</v>
      </c>
    </row>
    <row r="44" spans="1:6" ht="13.8" thickBot="1" x14ac:dyDescent="0.3">
      <c r="A44" s="165"/>
      <c r="B44" s="113" t="s">
        <v>202</v>
      </c>
      <c r="C44" s="113" t="s">
        <v>203</v>
      </c>
      <c r="D44" s="113" t="s">
        <v>155</v>
      </c>
      <c r="F44" s="217">
        <f>D42-C45-C49</f>
        <v>29526841.463283479</v>
      </c>
    </row>
    <row r="45" spans="1:6" ht="13.2" x14ac:dyDescent="0.25">
      <c r="A45" s="218" t="s">
        <v>204</v>
      </c>
      <c r="B45" s="219">
        <v>60</v>
      </c>
      <c r="C45" s="220">
        <f>B45*(C11+B17)</f>
        <v>23751791.999999996</v>
      </c>
      <c r="D45" s="193">
        <f>C45/$B$11</f>
        <v>46738.549049256668</v>
      </c>
      <c r="F45" s="216"/>
    </row>
    <row r="46" spans="1:6" ht="13.2" x14ac:dyDescent="0.25">
      <c r="A46" s="221" t="s">
        <v>205</v>
      </c>
      <c r="B46" s="222">
        <v>0</v>
      </c>
      <c r="C46" s="183">
        <f>B21*B46</f>
        <v>0</v>
      </c>
      <c r="D46" s="193">
        <f>C46/$B$11</f>
        <v>0</v>
      </c>
    </row>
    <row r="47" spans="1:6" ht="13.2" x14ac:dyDescent="0.25">
      <c r="A47" s="221" t="s">
        <v>103</v>
      </c>
      <c r="B47" s="223">
        <v>0.1</v>
      </c>
      <c r="C47" s="183">
        <f>B47*C45</f>
        <v>2375179.1999999997</v>
      </c>
      <c r="D47" s="193">
        <f>C47/$B$11</f>
        <v>4673.8549049256671</v>
      </c>
    </row>
    <row r="48" spans="1:6" ht="13.2" x14ac:dyDescent="0.25">
      <c r="A48" s="221" t="s">
        <v>31</v>
      </c>
      <c r="B48" s="223" t="s">
        <v>110</v>
      </c>
      <c r="C48" s="183">
        <v>0</v>
      </c>
      <c r="D48" s="193"/>
    </row>
    <row r="49" spans="1:7" ht="13.2" x14ac:dyDescent="0.25">
      <c r="A49" s="221" t="s">
        <v>206</v>
      </c>
      <c r="B49" s="224" t="s">
        <v>207</v>
      </c>
      <c r="C49" s="225">
        <v>251799800</v>
      </c>
      <c r="D49" s="193">
        <f>C49/$B$11</f>
        <v>495489.23731283186</v>
      </c>
    </row>
    <row r="50" spans="1:7" ht="13.2" x14ac:dyDescent="0.25">
      <c r="A50" s="221" t="s">
        <v>208</v>
      </c>
      <c r="B50" s="226">
        <v>37500</v>
      </c>
      <c r="C50" s="183">
        <f>B11*B50</f>
        <v>19056907.373425737</v>
      </c>
      <c r="D50" s="183">
        <f>C50/B11</f>
        <v>37500</v>
      </c>
    </row>
    <row r="51" spans="1:7" ht="13.2" x14ac:dyDescent="0.25">
      <c r="A51" s="221" t="s">
        <v>209</v>
      </c>
      <c r="B51" s="227" t="s">
        <v>210</v>
      </c>
      <c r="C51" s="183">
        <v>0</v>
      </c>
      <c r="D51" s="193">
        <f>C51/$B$11</f>
        <v>0</v>
      </c>
    </row>
    <row r="52" spans="1:7" ht="13.2" x14ac:dyDescent="0.25">
      <c r="A52" s="228" t="s">
        <v>109</v>
      </c>
      <c r="B52" s="229" t="s">
        <v>110</v>
      </c>
      <c r="C52" s="230">
        <f>0.01*C45</f>
        <v>237517.91999999995</v>
      </c>
      <c r="D52" s="193">
        <f t="shared" ref="D52:D53" si="2">C52/$B$11</f>
        <v>467.38549049256665</v>
      </c>
    </row>
    <row r="53" spans="1:7" ht="13.2" x14ac:dyDescent="0.25">
      <c r="A53" s="91" t="s">
        <v>112</v>
      </c>
      <c r="B53" s="231" t="s">
        <v>110</v>
      </c>
      <c r="C53" s="232">
        <v>600000</v>
      </c>
      <c r="D53" s="195">
        <f t="shared" si="2"/>
        <v>1180.6742594223631</v>
      </c>
      <c r="E53" s="233"/>
    </row>
    <row r="54" spans="1:7" ht="13.2" x14ac:dyDescent="0.25">
      <c r="A54" s="228" t="s">
        <v>114</v>
      </c>
      <c r="B54" s="234">
        <v>0.06</v>
      </c>
      <c r="C54" s="193">
        <f>B54*(C45+C47)</f>
        <v>1567618.2719999996</v>
      </c>
      <c r="D54" s="193">
        <f>C54/$B$11</f>
        <v>3084.7442372509399</v>
      </c>
    </row>
    <row r="55" spans="1:7" ht="13.2" x14ac:dyDescent="0.25">
      <c r="A55" s="91" t="s">
        <v>117</v>
      </c>
      <c r="B55" s="235">
        <v>0.03</v>
      </c>
      <c r="C55" s="236">
        <f>B55*SUM(C45:C54)</f>
        <v>8981664.4429627713</v>
      </c>
      <c r="D55" s="195">
        <f>C55/$B$11</f>
        <v>17674.033357625402</v>
      </c>
    </row>
    <row r="56" spans="1:7" ht="13.2" x14ac:dyDescent="0.25">
      <c r="A56" s="91" t="s">
        <v>119</v>
      </c>
      <c r="B56" s="237">
        <v>0.02</v>
      </c>
      <c r="C56" s="238">
        <f>B56*(C45+C47)</f>
        <v>522539.42399999994</v>
      </c>
      <c r="D56" s="195">
        <f t="shared" ref="D56:D65" si="3">C56/$B$11</f>
        <v>1028.2480790836469</v>
      </c>
    </row>
    <row r="57" spans="1:7" ht="13.2" x14ac:dyDescent="0.25">
      <c r="A57" s="91" t="s">
        <v>211</v>
      </c>
      <c r="B57" s="239" t="s">
        <v>110</v>
      </c>
      <c r="C57" s="232">
        <v>2000000</v>
      </c>
      <c r="D57" s="195">
        <f t="shared" si="3"/>
        <v>3935.58086474121</v>
      </c>
    </row>
    <row r="58" spans="1:7" ht="13.2" x14ac:dyDescent="0.25">
      <c r="A58" s="91" t="s">
        <v>123</v>
      </c>
      <c r="B58" s="240">
        <v>6000</v>
      </c>
      <c r="C58" s="238">
        <f>B58*B11</f>
        <v>3049105.1797481179</v>
      </c>
      <c r="D58" s="195">
        <f t="shared" si="3"/>
        <v>6000</v>
      </c>
    </row>
    <row r="59" spans="1:7" ht="13.2" x14ac:dyDescent="0.25">
      <c r="A59" s="91" t="s">
        <v>124</v>
      </c>
      <c r="B59" s="231" t="s">
        <v>110</v>
      </c>
      <c r="C59" s="232">
        <v>800000</v>
      </c>
      <c r="D59" s="195">
        <f t="shared" si="3"/>
        <v>1574.232345896484</v>
      </c>
    </row>
    <row r="60" spans="1:7" ht="13.2" x14ac:dyDescent="0.25">
      <c r="A60" s="91" t="s">
        <v>125</v>
      </c>
      <c r="B60" s="241">
        <v>6</v>
      </c>
      <c r="C60" s="238">
        <f>-B60*(D40/12)</f>
        <v>2899444.3890194087</v>
      </c>
      <c r="D60" s="195">
        <f t="shared" si="3"/>
        <v>5705.4989279030269</v>
      </c>
    </row>
    <row r="61" spans="1:7" ht="13.2" x14ac:dyDescent="0.25">
      <c r="A61" s="91" t="s">
        <v>212</v>
      </c>
      <c r="B61" s="242">
        <v>75</v>
      </c>
      <c r="C61" s="238">
        <f>B17*B61</f>
        <v>5068980</v>
      </c>
      <c r="D61" s="195">
        <f t="shared" si="3"/>
        <v>9974.6903458779489</v>
      </c>
    </row>
    <row r="62" spans="1:7" ht="13.2" x14ac:dyDescent="0.25">
      <c r="A62" s="91" t="s">
        <v>213</v>
      </c>
      <c r="B62" s="243">
        <v>0.06</v>
      </c>
      <c r="C62" s="236">
        <f>B62*D17*5</f>
        <v>1034071.9199999999</v>
      </c>
      <c r="D62" s="195">
        <f t="shared" si="3"/>
        <v>2034.8368305591014</v>
      </c>
    </row>
    <row r="63" spans="1:7" ht="13.2" x14ac:dyDescent="0.25">
      <c r="A63" s="91" t="s">
        <v>128</v>
      </c>
      <c r="B63" s="244">
        <v>1.4999999999999999E-2</v>
      </c>
      <c r="C63" s="236">
        <v>1611000</v>
      </c>
      <c r="D63" s="195">
        <f t="shared" si="3"/>
        <v>3170.1103865490445</v>
      </c>
      <c r="E63" s="784" t="s">
        <v>214</v>
      </c>
      <c r="F63" s="785"/>
      <c r="G63" s="245">
        <f>B63*B76</f>
        <v>3022871.5810904047</v>
      </c>
    </row>
    <row r="64" spans="1:7" ht="13.2" customHeight="1" x14ac:dyDescent="0.25">
      <c r="A64" s="246" t="s">
        <v>130</v>
      </c>
      <c r="B64" s="247">
        <v>7.0000000000000007E-2</v>
      </c>
      <c r="C64" s="236">
        <v>7519000</v>
      </c>
      <c r="D64" s="195">
        <f t="shared" si="3"/>
        <v>14795.816260994579</v>
      </c>
      <c r="E64" s="784" t="s">
        <v>214</v>
      </c>
      <c r="F64" s="785"/>
      <c r="G64" s="248">
        <f>B64*B76</f>
        <v>14106734.045088556</v>
      </c>
    </row>
    <row r="65" spans="1:4" ht="13.8" thickBot="1" x14ac:dyDescent="0.3">
      <c r="A65" s="97" t="s">
        <v>215</v>
      </c>
      <c r="B65" s="249" t="s">
        <v>110</v>
      </c>
      <c r="C65" s="250">
        <v>3000000</v>
      </c>
      <c r="D65" s="251">
        <f t="shared" si="3"/>
        <v>5903.3712971118148</v>
      </c>
    </row>
    <row r="66" spans="1:4" ht="14.4" thickTop="1" thickBot="1" x14ac:dyDescent="0.3">
      <c r="A66" s="252" t="s">
        <v>216</v>
      </c>
      <c r="B66" s="253"/>
      <c r="C66" s="254">
        <f>SUM(C45:C65)</f>
        <v>335874620.1211561</v>
      </c>
      <c r="D66" s="254">
        <f>ROUND(C66/$B$11,-3)</f>
        <v>661000</v>
      </c>
    </row>
    <row r="67" spans="1:4" ht="13.2" x14ac:dyDescent="0.25">
      <c r="A67" s="255" t="s">
        <v>217</v>
      </c>
      <c r="B67" s="256">
        <v>5.6000000000000001E-2</v>
      </c>
    </row>
    <row r="68" spans="1:4" ht="13.2" x14ac:dyDescent="0.25">
      <c r="A68" s="257" t="s">
        <v>218</v>
      </c>
      <c r="B68" s="258">
        <f>(D42/C66)-1</f>
        <v>-9.1689531786485867E-2</v>
      </c>
      <c r="C68" s="259"/>
      <c r="D68" s="260"/>
    </row>
    <row r="69" spans="1:4" ht="13.8" thickBot="1" x14ac:dyDescent="0.3">
      <c r="A69" s="261">
        <v>0.5</v>
      </c>
      <c r="B69" s="262">
        <f>(D42/(1+A69))</f>
        <v>203385622.30885565</v>
      </c>
    </row>
    <row r="70" spans="1:4" ht="13.8" thickBot="1" x14ac:dyDescent="0.3">
      <c r="A70" s="263">
        <v>0.3</v>
      </c>
      <c r="B70" s="262">
        <f>ROUND((D42/(1+A70))-C66,-3)</f>
        <v>-101199000</v>
      </c>
      <c r="C70" s="264" t="s">
        <v>219</v>
      </c>
    </row>
    <row r="71" spans="1:4" ht="13.8" thickBot="1" x14ac:dyDescent="0.3">
      <c r="A71" s="265"/>
      <c r="B71" s="266"/>
    </row>
    <row r="72" spans="1:4" ht="15" customHeight="1" thickBot="1" x14ac:dyDescent="0.3">
      <c r="A72" s="769" t="s">
        <v>220</v>
      </c>
      <c r="B72" s="770"/>
      <c r="C72" s="267" t="str">
        <f>D2</f>
        <v>Component A</v>
      </c>
    </row>
    <row r="73" spans="1:4" ht="13.8" thickBot="1" x14ac:dyDescent="0.3">
      <c r="A73" s="268"/>
      <c r="B73" s="269" t="s">
        <v>221</v>
      </c>
      <c r="C73" s="270" t="s">
        <v>155</v>
      </c>
    </row>
    <row r="74" spans="1:4" ht="13.2" x14ac:dyDescent="0.25">
      <c r="A74" s="271" t="s">
        <v>222</v>
      </c>
      <c r="B74" s="272">
        <f>IF(B70&lt;0,B70,0)</f>
        <v>-101199000</v>
      </c>
      <c r="C74" s="273">
        <f>B74/B11</f>
        <v>-199138.42396547284</v>
      </c>
    </row>
    <row r="75" spans="1:4" ht="13.2" x14ac:dyDescent="0.25">
      <c r="A75" s="274" t="s">
        <v>223</v>
      </c>
      <c r="B75" s="272">
        <f>C66+B74</f>
        <v>234675620.1211561</v>
      </c>
      <c r="C75" s="273">
        <f>B75/B11</f>
        <v>461792.4399850496</v>
      </c>
    </row>
    <row r="76" spans="1:4" ht="13.2" x14ac:dyDescent="0.25">
      <c r="A76" s="275">
        <v>0.6</v>
      </c>
      <c r="B76" s="276">
        <f>A76*C$66</f>
        <v>201524772.07269365</v>
      </c>
      <c r="C76" s="277">
        <f>B76/B11</f>
        <v>396558.51837031345</v>
      </c>
    </row>
    <row r="77" spans="1:4" ht="13.8" thickBot="1" x14ac:dyDescent="0.3">
      <c r="A77" s="278">
        <f>1-A76</f>
        <v>0.4</v>
      </c>
      <c r="B77" s="276">
        <f>A77*C$66</f>
        <v>134349848.04846245</v>
      </c>
      <c r="C77" s="279">
        <f>B77/B11</f>
        <v>264372.34558020899</v>
      </c>
      <c r="D77" s="260"/>
    </row>
    <row r="78" spans="1:4" ht="13.8" thickTop="1" x14ac:dyDescent="0.25">
      <c r="A78" s="96" t="s">
        <v>224</v>
      </c>
      <c r="B78" s="280">
        <f>B76+B77</f>
        <v>335874620.1211561</v>
      </c>
      <c r="C78" s="281">
        <f>ROUND((C77+C76),-3)</f>
        <v>661000</v>
      </c>
    </row>
    <row r="79" spans="1:4" ht="13.8" thickBot="1" x14ac:dyDescent="0.3">
      <c r="A79" s="282"/>
      <c r="B79" s="283"/>
      <c r="C79" s="284"/>
    </row>
    <row r="80" spans="1:4" ht="15" customHeight="1" thickBot="1" x14ac:dyDescent="0.3">
      <c r="A80" s="769" t="s">
        <v>225</v>
      </c>
      <c r="B80" s="770"/>
      <c r="C80" s="267" t="str">
        <f>D2</f>
        <v>Component A</v>
      </c>
    </row>
    <row r="81" spans="1:5" ht="13.8" thickBot="1" x14ac:dyDescent="0.3">
      <c r="A81" s="285"/>
      <c r="B81" s="286" t="s">
        <v>226</v>
      </c>
      <c r="C81" s="286"/>
    </row>
    <row r="82" spans="1:5" ht="13.2" x14ac:dyDescent="0.25">
      <c r="A82" s="287" t="s">
        <v>227</v>
      </c>
      <c r="B82" s="288">
        <f>D42</f>
        <v>305078433.46328348</v>
      </c>
      <c r="C82" s="289"/>
    </row>
    <row r="83" spans="1:5" ht="13.8" thickBot="1" x14ac:dyDescent="0.3">
      <c r="A83" s="290">
        <v>0.02</v>
      </c>
      <c r="B83" s="291">
        <f>-A83*B82</f>
        <v>-6101568.6692656698</v>
      </c>
      <c r="C83" s="292"/>
    </row>
    <row r="84" spans="1:5" ht="14.4" thickTop="1" thickBot="1" x14ac:dyDescent="0.3">
      <c r="A84" s="293" t="s">
        <v>228</v>
      </c>
      <c r="B84" s="294">
        <f>B82+B83</f>
        <v>298976864.79401779</v>
      </c>
      <c r="C84" s="295"/>
      <c r="E84" s="296"/>
    </row>
    <row r="85" spans="1:5" ht="13.2" x14ac:dyDescent="0.25">
      <c r="A85" s="287" t="s">
        <v>229</v>
      </c>
      <c r="B85" s="288">
        <f>-B76</f>
        <v>-201524772.07269365</v>
      </c>
      <c r="C85" s="289"/>
    </row>
    <row r="86" spans="1:5" ht="13.8" thickBot="1" x14ac:dyDescent="0.3">
      <c r="A86" s="297" t="s">
        <v>230</v>
      </c>
      <c r="B86" s="298">
        <f>-B77</f>
        <v>-134349848.04846245</v>
      </c>
      <c r="C86" s="292"/>
    </row>
    <row r="87" spans="1:5" ht="14.4" thickTop="1" thickBot="1" x14ac:dyDescent="0.3">
      <c r="A87" s="99" t="s">
        <v>231</v>
      </c>
      <c r="B87" s="299">
        <f>ROUND(B84+B85+B86,-2)</f>
        <v>-36897800</v>
      </c>
      <c r="C87" s="300"/>
      <c r="D87" s="301"/>
    </row>
    <row r="88" spans="1:5" ht="13.8" thickBot="1" x14ac:dyDescent="0.3">
      <c r="A88" s="771" t="s">
        <v>232</v>
      </c>
      <c r="B88" s="772"/>
      <c r="C88" s="773"/>
    </row>
    <row r="89" spans="1:5" ht="13.2" x14ac:dyDescent="0.25">
      <c r="A89" s="302" t="s">
        <v>233</v>
      </c>
      <c r="B89" s="303">
        <f>ROUND((B82)/B$11,-2)</f>
        <v>600300</v>
      </c>
      <c r="C89" s="303"/>
    </row>
    <row r="90" spans="1:5" ht="13.8" thickBot="1" x14ac:dyDescent="0.3">
      <c r="A90" s="304" t="s">
        <v>234</v>
      </c>
      <c r="B90" s="305">
        <f>ROUND((B84)/B$11,-2)</f>
        <v>588300</v>
      </c>
      <c r="C90" s="305"/>
    </row>
    <row r="91" spans="1:5" ht="13.2" x14ac:dyDescent="0.25">
      <c r="A91" s="774" t="s">
        <v>235</v>
      </c>
      <c r="B91" s="775"/>
      <c r="C91" s="776"/>
    </row>
    <row r="92" spans="1:5" ht="13.8" thickBot="1" x14ac:dyDescent="0.3">
      <c r="A92" s="282"/>
      <c r="B92" s="306"/>
      <c r="C92" s="306"/>
    </row>
    <row r="93" spans="1:5" ht="13.2" x14ac:dyDescent="0.25">
      <c r="A93" s="307"/>
      <c r="B93" s="286" t="s">
        <v>226</v>
      </c>
      <c r="C93" s="286"/>
    </row>
    <row r="94" spans="1:5" ht="13.2" x14ac:dyDescent="0.25">
      <c r="A94" s="308" t="s">
        <v>236</v>
      </c>
      <c r="B94" s="309">
        <f>(B87+B77)/B77</f>
        <v>0.7253603146116675</v>
      </c>
      <c r="C94" s="309"/>
    </row>
    <row r="95" spans="1:5" ht="13.2" x14ac:dyDescent="0.25">
      <c r="A95" s="310" t="s">
        <v>237</v>
      </c>
      <c r="B95" s="311">
        <v>0.14486439067688939</v>
      </c>
      <c r="C95" s="311"/>
      <c r="D95" s="312"/>
    </row>
    <row r="96" spans="1:5" ht="13.2" x14ac:dyDescent="0.25">
      <c r="A96" s="310" t="s">
        <v>238</v>
      </c>
      <c r="B96" s="311">
        <v>0</v>
      </c>
      <c r="C96" s="311"/>
      <c r="D96" s="312"/>
    </row>
    <row r="97" spans="1:3" ht="13.2" x14ac:dyDescent="0.25">
      <c r="A97" s="308" t="s">
        <v>239</v>
      </c>
      <c r="B97" s="313">
        <f>D41/B76</f>
        <v>7.190791206690321E-2</v>
      </c>
      <c r="C97" s="313"/>
    </row>
    <row r="98" spans="1:3" ht="13.2" x14ac:dyDescent="0.25">
      <c r="A98" s="308" t="s">
        <v>240</v>
      </c>
      <c r="B98" s="314">
        <f>C42</f>
        <v>4.7500000000000001E-2</v>
      </c>
      <c r="C98" s="314"/>
    </row>
  </sheetData>
  <mergeCells count="16">
    <mergeCell ref="E63:F63"/>
    <mergeCell ref="E64:F64"/>
    <mergeCell ref="A2:C2"/>
    <mergeCell ref="D2:E2"/>
    <mergeCell ref="I4:J4"/>
    <mergeCell ref="A28:B28"/>
    <mergeCell ref="B31:C31"/>
    <mergeCell ref="B32:C32"/>
    <mergeCell ref="A72:B72"/>
    <mergeCell ref="A80:B80"/>
    <mergeCell ref="A88:C88"/>
    <mergeCell ref="A91:C91"/>
    <mergeCell ref="B36:C36"/>
    <mergeCell ref="B37:C37"/>
    <mergeCell ref="A43:B43"/>
    <mergeCell ref="C43:D43"/>
  </mergeCells>
  <printOptions horizontalCentered="1" verticalCentered="1"/>
  <pageMargins left="0.7" right="0.7" top="0.75" bottom="0.75" header="0.3" footer="0.3"/>
  <pageSetup fitToHeight="0" orientation="landscape" horizontalDpi="4294967292" verticalDpi="4294967292" r:id="rId1"/>
  <headerFooter>
    <oddHeader>&amp;C&amp;"Times New Roman Bold,Bold"&amp;14&amp;K000000INVESTOR SHEET</oddHeader>
    <oddFooter>&amp;CPage &amp;P of &amp;N</oddFooter>
  </headerFooter>
  <rowBreaks count="2" manualBreakCount="2">
    <brk id="27" max="4" man="1"/>
    <brk id="66" max="4" man="1"/>
  </rowBreaks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9D0514-436E-43D4-83B7-8BF0B473E45F}">
  <sheetPr>
    <tabColor rgb="FFB9720D"/>
    <pageSetUpPr fitToPage="1"/>
  </sheetPr>
  <dimension ref="A1:L42"/>
  <sheetViews>
    <sheetView showGridLines="0" zoomScale="92" workbookViewId="0">
      <selection activeCell="I7" sqref="I7"/>
    </sheetView>
  </sheetViews>
  <sheetFormatPr defaultRowHeight="14.4" x14ac:dyDescent="0.3"/>
  <cols>
    <col min="2" max="2" width="11.33203125" bestFit="1" customWidth="1"/>
    <col min="3" max="3" width="13.44140625" bestFit="1" customWidth="1"/>
    <col min="5" max="5" width="13.109375" bestFit="1" customWidth="1"/>
    <col min="6" max="6" width="18.33203125" bestFit="1" customWidth="1"/>
    <col min="7" max="7" width="10.6640625" bestFit="1" customWidth="1"/>
    <col min="8" max="8" width="15.33203125" bestFit="1" customWidth="1"/>
    <col min="9" max="9" width="17.6640625" bestFit="1" customWidth="1"/>
    <col min="10" max="10" width="28.6640625" bestFit="1" customWidth="1"/>
    <col min="11" max="11" width="15.33203125" bestFit="1" customWidth="1"/>
    <col min="12" max="12" width="2.109375" customWidth="1"/>
  </cols>
  <sheetData>
    <row r="1" spans="1:12" ht="15.6" x14ac:dyDescent="0.3">
      <c r="A1" s="28" t="s">
        <v>0</v>
      </c>
      <c r="L1" s="491"/>
    </row>
    <row r="2" spans="1:12" ht="15.6" x14ac:dyDescent="0.3">
      <c r="A2" s="28" t="s">
        <v>1</v>
      </c>
      <c r="L2" s="491"/>
    </row>
    <row r="3" spans="1:12" ht="15.6" x14ac:dyDescent="0.3">
      <c r="A3" s="28" t="s">
        <v>241</v>
      </c>
      <c r="L3" s="491"/>
    </row>
    <row r="4" spans="1:12" x14ac:dyDescent="0.3">
      <c r="L4" s="491"/>
    </row>
    <row r="5" spans="1:12" x14ac:dyDescent="0.3">
      <c r="L5" s="491"/>
    </row>
    <row r="6" spans="1:12" x14ac:dyDescent="0.3">
      <c r="B6" s="100" t="s">
        <v>242</v>
      </c>
      <c r="C6" s="100" t="s">
        <v>243</v>
      </c>
      <c r="D6" s="100" t="s">
        <v>244</v>
      </c>
      <c r="E6" s="100" t="s">
        <v>245</v>
      </c>
      <c r="F6" s="796" t="s">
        <v>244</v>
      </c>
      <c r="G6" s="797"/>
      <c r="H6" s="798"/>
      <c r="I6" s="100" t="s">
        <v>246</v>
      </c>
      <c r="J6" s="510" t="s">
        <v>247</v>
      </c>
      <c r="L6" s="491"/>
    </row>
    <row r="7" spans="1:12" x14ac:dyDescent="0.3">
      <c r="B7" s="496" t="s">
        <v>248</v>
      </c>
      <c r="C7" s="511">
        <v>57120</v>
      </c>
      <c r="D7" s="502">
        <v>10</v>
      </c>
      <c r="E7" s="511">
        <f>C7*D7</f>
        <v>571200</v>
      </c>
      <c r="F7" t="s">
        <v>249</v>
      </c>
      <c r="G7" s="509">
        <v>2</v>
      </c>
      <c r="H7" s="509"/>
      <c r="I7" s="516">
        <f>C7*G7</f>
        <v>114240</v>
      </c>
      <c r="J7" s="795">
        <f>'5| Demolitions &amp; Land'!O12-'3| Building Mix'!C7</f>
        <v>0</v>
      </c>
      <c r="L7" s="491"/>
    </row>
    <row r="8" spans="1:12" x14ac:dyDescent="0.3">
      <c r="B8" s="497"/>
      <c r="C8" s="512"/>
      <c r="D8" s="513"/>
      <c r="E8" s="512"/>
      <c r="F8" s="14" t="s">
        <v>250</v>
      </c>
      <c r="G8" s="507"/>
      <c r="H8" s="507">
        <f>D7-G7</f>
        <v>8</v>
      </c>
      <c r="I8" s="517">
        <f>C7*H8</f>
        <v>456960</v>
      </c>
      <c r="J8" s="795"/>
      <c r="L8" s="491"/>
    </row>
    <row r="9" spans="1:12" x14ac:dyDescent="0.3">
      <c r="B9" s="496" t="s">
        <v>251</v>
      </c>
      <c r="C9" s="511">
        <f>E9/D9</f>
        <v>8503.75</v>
      </c>
      <c r="D9" s="502">
        <v>12</v>
      </c>
      <c r="E9" s="511">
        <v>102045</v>
      </c>
      <c r="F9" t="s">
        <v>249</v>
      </c>
      <c r="G9" s="509">
        <v>2</v>
      </c>
      <c r="H9" s="509"/>
      <c r="I9" s="516">
        <v>18050</v>
      </c>
      <c r="J9" s="795">
        <f>'5| Demolitions &amp; Land'!O13-'3| Building Mix'!C9-'3| Building Mix'!C11-'3| Building Mix'!C13</f>
        <v>35861.96428571429</v>
      </c>
      <c r="L9" s="491"/>
    </row>
    <row r="10" spans="1:12" x14ac:dyDescent="0.3">
      <c r="B10" s="497"/>
      <c r="C10" s="512"/>
      <c r="D10" s="513"/>
      <c r="E10" s="512"/>
      <c r="F10" s="14" t="s">
        <v>250</v>
      </c>
      <c r="G10" s="507"/>
      <c r="H10" s="507">
        <f>D9-G9</f>
        <v>10</v>
      </c>
      <c r="I10" s="517">
        <f>E9-I9</f>
        <v>83995</v>
      </c>
      <c r="J10" s="795"/>
      <c r="L10" s="491"/>
    </row>
    <row r="11" spans="1:12" x14ac:dyDescent="0.3">
      <c r="B11" s="495" t="s">
        <v>252</v>
      </c>
      <c r="C11" s="514">
        <f>E11/D11</f>
        <v>5400</v>
      </c>
      <c r="D11" s="515">
        <v>16</v>
      </c>
      <c r="E11" s="514">
        <v>86400</v>
      </c>
      <c r="F11" s="12" t="s">
        <v>249</v>
      </c>
      <c r="G11" s="508">
        <v>2</v>
      </c>
      <c r="H11" s="508"/>
      <c r="I11" s="518">
        <f t="shared" ref="I11" si="0">C11*G11</f>
        <v>10800</v>
      </c>
      <c r="J11" s="795"/>
      <c r="L11" s="491"/>
    </row>
    <row r="12" spans="1:12" x14ac:dyDescent="0.3">
      <c r="B12" s="497"/>
      <c r="C12" s="512"/>
      <c r="D12" s="513"/>
      <c r="E12" s="512"/>
      <c r="F12" s="14" t="s">
        <v>250</v>
      </c>
      <c r="G12" s="507"/>
      <c r="H12" s="507">
        <f>D11-G11</f>
        <v>14</v>
      </c>
      <c r="I12" s="517">
        <f t="shared" ref="I12" si="1">C11*H12</f>
        <v>75600</v>
      </c>
      <c r="J12" s="795"/>
      <c r="L12" s="491"/>
    </row>
    <row r="13" spans="1:12" x14ac:dyDescent="0.3">
      <c r="B13" s="495" t="s">
        <v>253</v>
      </c>
      <c r="C13" s="514">
        <f>E13/D13</f>
        <v>9514.2857142857138</v>
      </c>
      <c r="D13" s="515">
        <v>14</v>
      </c>
      <c r="E13" s="514">
        <v>133200</v>
      </c>
      <c r="F13" s="12" t="s">
        <v>249</v>
      </c>
      <c r="G13" s="508">
        <v>2</v>
      </c>
      <c r="H13" s="508"/>
      <c r="I13" s="518">
        <v>16400</v>
      </c>
      <c r="J13" s="795"/>
      <c r="L13" s="491"/>
    </row>
    <row r="14" spans="1:12" x14ac:dyDescent="0.3">
      <c r="B14" s="497"/>
      <c r="C14" s="512"/>
      <c r="D14" s="513"/>
      <c r="E14" s="512"/>
      <c r="F14" s="14" t="s">
        <v>250</v>
      </c>
      <c r="G14" s="507"/>
      <c r="H14" s="507">
        <f>D13-G13</f>
        <v>12</v>
      </c>
      <c r="I14" s="517">
        <f>E13-I13</f>
        <v>116800</v>
      </c>
      <c r="J14" s="795"/>
      <c r="L14" s="491"/>
    </row>
    <row r="15" spans="1:12" x14ac:dyDescent="0.3">
      <c r="B15" s="495" t="s">
        <v>254</v>
      </c>
      <c r="C15" s="514">
        <f>E15/D15</f>
        <v>4032</v>
      </c>
      <c r="D15" s="515">
        <v>16</v>
      </c>
      <c r="E15" s="514">
        <v>64512</v>
      </c>
      <c r="F15" s="12" t="s">
        <v>249</v>
      </c>
      <c r="G15" s="508">
        <v>2</v>
      </c>
      <c r="H15" s="508"/>
      <c r="I15" s="518">
        <f t="shared" ref="I15" si="2">C15*G15</f>
        <v>8064</v>
      </c>
      <c r="J15" s="795">
        <f>'5| Demolitions &amp; Land'!O14-'3| Building Mix'!C15-'3| Building Mix'!C17-'3| Building Mix'!C19</f>
        <v>33380.111111111109</v>
      </c>
      <c r="L15" s="491"/>
    </row>
    <row r="16" spans="1:12" x14ac:dyDescent="0.3">
      <c r="B16" s="497"/>
      <c r="C16" s="512"/>
      <c r="D16" s="513"/>
      <c r="E16" s="512"/>
      <c r="F16" s="14" t="s">
        <v>250</v>
      </c>
      <c r="G16" s="507"/>
      <c r="H16" s="507">
        <f>D15-G15</f>
        <v>14</v>
      </c>
      <c r="I16" s="517">
        <f t="shared" ref="I16" si="3">C15*H16</f>
        <v>56448</v>
      </c>
      <c r="J16" s="795"/>
      <c r="L16" s="491"/>
    </row>
    <row r="17" spans="2:12" x14ac:dyDescent="0.3">
      <c r="B17" s="495" t="s">
        <v>255</v>
      </c>
      <c r="C17" s="514">
        <f>E17/D17</f>
        <v>11160</v>
      </c>
      <c r="D17" s="515">
        <v>24</v>
      </c>
      <c r="E17" s="514">
        <v>267840</v>
      </c>
      <c r="F17" s="12" t="s">
        <v>249</v>
      </c>
      <c r="G17" s="508">
        <v>2</v>
      </c>
      <c r="H17" s="508"/>
      <c r="I17" s="518">
        <v>23480</v>
      </c>
      <c r="J17" s="795"/>
      <c r="L17" s="491"/>
    </row>
    <row r="18" spans="2:12" x14ac:dyDescent="0.3">
      <c r="B18" s="497"/>
      <c r="C18" s="512"/>
      <c r="D18" s="513"/>
      <c r="E18" s="512"/>
      <c r="F18" s="14" t="s">
        <v>250</v>
      </c>
      <c r="G18" s="507"/>
      <c r="H18" s="507">
        <f>D17-G17</f>
        <v>22</v>
      </c>
      <c r="I18" s="517">
        <f>E17-I17</f>
        <v>244360</v>
      </c>
      <c r="J18" s="795"/>
      <c r="L18" s="491"/>
    </row>
    <row r="19" spans="2:12" x14ac:dyDescent="0.3">
      <c r="B19" s="495" t="s">
        <v>256</v>
      </c>
      <c r="C19" s="514">
        <f>E19/D19</f>
        <v>8683.8888888888887</v>
      </c>
      <c r="D19" s="515">
        <v>18</v>
      </c>
      <c r="E19" s="514">
        <v>156310</v>
      </c>
      <c r="F19" s="12" t="s">
        <v>249</v>
      </c>
      <c r="G19" s="508">
        <v>2</v>
      </c>
      <c r="H19" s="508"/>
      <c r="I19" s="518">
        <v>16110</v>
      </c>
      <c r="J19" s="795"/>
      <c r="L19" s="491"/>
    </row>
    <row r="20" spans="2:12" x14ac:dyDescent="0.3">
      <c r="B20" s="497"/>
      <c r="C20" s="512"/>
      <c r="D20" s="513"/>
      <c r="E20" s="512"/>
      <c r="F20" s="14" t="s">
        <v>250</v>
      </c>
      <c r="G20" s="507"/>
      <c r="H20" s="507">
        <f>D19-G19</f>
        <v>16</v>
      </c>
      <c r="I20" s="517">
        <f>E19-I19</f>
        <v>140200</v>
      </c>
      <c r="J20" s="795"/>
      <c r="L20" s="491"/>
    </row>
    <row r="21" spans="2:12" x14ac:dyDescent="0.3">
      <c r="B21" s="495" t="s">
        <v>257</v>
      </c>
      <c r="C21" s="514">
        <f>E21/D21</f>
        <v>900</v>
      </c>
      <c r="D21" s="515">
        <v>1</v>
      </c>
      <c r="E21" s="514">
        <v>900</v>
      </c>
      <c r="F21" s="12" t="s">
        <v>249</v>
      </c>
      <c r="G21" s="508">
        <v>1</v>
      </c>
      <c r="H21" s="508"/>
      <c r="I21" s="518">
        <f t="shared" ref="I21" si="4">C21*G21</f>
        <v>900</v>
      </c>
      <c r="J21" s="795">
        <f>'5| Demolitions &amp; Land'!O15-'3| Building Mix'!C21-'3| Building Mix'!C23-'3| Building Mix'!C25-'3| Building Mix'!C27-'3| Building Mix'!C29</f>
        <v>53780.888888888891</v>
      </c>
      <c r="L21" s="491"/>
    </row>
    <row r="22" spans="2:12" x14ac:dyDescent="0.3">
      <c r="B22" s="497"/>
      <c r="C22" s="512"/>
      <c r="D22" s="513"/>
      <c r="E22" s="512"/>
      <c r="F22" s="14" t="s">
        <v>250</v>
      </c>
      <c r="G22" s="507"/>
      <c r="H22" s="507">
        <f>D21-G21</f>
        <v>0</v>
      </c>
      <c r="I22" s="517">
        <f t="shared" ref="I22" si="5">C21*H22</f>
        <v>0</v>
      </c>
      <c r="J22" s="795"/>
      <c r="L22" s="491"/>
    </row>
    <row r="23" spans="2:12" x14ac:dyDescent="0.3">
      <c r="B23" s="495" t="s">
        <v>258</v>
      </c>
      <c r="C23" s="514">
        <f>E23/D23</f>
        <v>8711.1111111111113</v>
      </c>
      <c r="D23" s="515">
        <v>18</v>
      </c>
      <c r="E23" s="514">
        <v>156800</v>
      </c>
      <c r="F23" s="12" t="s">
        <v>249</v>
      </c>
      <c r="G23" s="508">
        <v>2</v>
      </c>
      <c r="H23" s="508"/>
      <c r="I23" s="518">
        <v>13440</v>
      </c>
      <c r="J23" s="795"/>
      <c r="L23" s="491"/>
    </row>
    <row r="24" spans="2:12" x14ac:dyDescent="0.3">
      <c r="B24" s="497"/>
      <c r="C24" s="512"/>
      <c r="D24" s="513"/>
      <c r="E24" s="512"/>
      <c r="F24" s="14" t="s">
        <v>250</v>
      </c>
      <c r="G24" s="507"/>
      <c r="H24" s="507">
        <f>D23-G23</f>
        <v>16</v>
      </c>
      <c r="I24" s="517">
        <f>E23-I23</f>
        <v>143360</v>
      </c>
      <c r="J24" s="795"/>
      <c r="L24" s="491"/>
    </row>
    <row r="25" spans="2:12" x14ac:dyDescent="0.3">
      <c r="B25" s="495" t="s">
        <v>259</v>
      </c>
      <c r="C25" s="514">
        <f>E25/D25</f>
        <v>9020</v>
      </c>
      <c r="D25" s="515">
        <v>14</v>
      </c>
      <c r="E25" s="514">
        <v>126280</v>
      </c>
      <c r="F25" s="12" t="s">
        <v>249</v>
      </c>
      <c r="G25" s="508">
        <v>2</v>
      </c>
      <c r="H25" s="508"/>
      <c r="I25" s="518">
        <f t="shared" ref="I25" si="6">C25*G25</f>
        <v>18040</v>
      </c>
      <c r="J25" s="795"/>
      <c r="L25" s="491"/>
    </row>
    <row r="26" spans="2:12" x14ac:dyDescent="0.3">
      <c r="B26" s="497"/>
      <c r="C26" s="512"/>
      <c r="D26" s="513"/>
      <c r="E26" s="512"/>
      <c r="F26" s="14" t="s">
        <v>250</v>
      </c>
      <c r="G26" s="507"/>
      <c r="H26" s="507">
        <f>D25-G25</f>
        <v>12</v>
      </c>
      <c r="I26" s="517">
        <f>E25-I25</f>
        <v>108240</v>
      </c>
      <c r="J26" s="795"/>
      <c r="L26" s="491"/>
    </row>
    <row r="27" spans="2:12" x14ac:dyDescent="0.3">
      <c r="B27" s="495" t="s">
        <v>260</v>
      </c>
      <c r="C27" s="514">
        <f>E27/D27</f>
        <v>4800</v>
      </c>
      <c r="D27" s="515">
        <v>6</v>
      </c>
      <c r="E27" s="514">
        <v>28800</v>
      </c>
      <c r="F27" s="12" t="s">
        <v>249</v>
      </c>
      <c r="G27" s="508">
        <v>2</v>
      </c>
      <c r="H27" s="508"/>
      <c r="I27" s="518">
        <f t="shared" ref="I27" si="7">C27*G27</f>
        <v>9600</v>
      </c>
      <c r="J27" s="795"/>
      <c r="L27" s="491"/>
    </row>
    <row r="28" spans="2:12" x14ac:dyDescent="0.3">
      <c r="B28" s="497"/>
      <c r="C28" s="512"/>
      <c r="D28" s="513"/>
      <c r="E28" s="512"/>
      <c r="F28" s="14" t="s">
        <v>250</v>
      </c>
      <c r="G28" s="507"/>
      <c r="H28" s="507">
        <f>D27-G27</f>
        <v>4</v>
      </c>
      <c r="I28" s="517">
        <f>E27-I27</f>
        <v>19200</v>
      </c>
      <c r="J28" s="795"/>
      <c r="L28" s="491"/>
    </row>
    <row r="29" spans="2:12" x14ac:dyDescent="0.3">
      <c r="B29" s="495" t="s">
        <v>261</v>
      </c>
      <c r="C29" s="514">
        <f>E29/D29</f>
        <v>5220</v>
      </c>
      <c r="D29" s="515">
        <v>10</v>
      </c>
      <c r="E29" s="514">
        <v>52200</v>
      </c>
      <c r="F29" s="12" t="s">
        <v>249</v>
      </c>
      <c r="G29" s="508">
        <v>2</v>
      </c>
      <c r="H29" s="508"/>
      <c r="I29" s="518">
        <v>8700</v>
      </c>
      <c r="J29" s="795"/>
      <c r="L29" s="491"/>
    </row>
    <row r="30" spans="2:12" x14ac:dyDescent="0.3">
      <c r="B30" s="497"/>
      <c r="C30" s="512"/>
      <c r="D30" s="513"/>
      <c r="E30" s="512"/>
      <c r="F30" s="14" t="s">
        <v>250</v>
      </c>
      <c r="G30" s="507"/>
      <c r="H30" s="507">
        <f>D29-G29</f>
        <v>8</v>
      </c>
      <c r="I30" s="517">
        <f>E29-I29</f>
        <v>43500</v>
      </c>
      <c r="J30" s="795"/>
      <c r="L30" s="491"/>
    </row>
    <row r="31" spans="2:12" x14ac:dyDescent="0.3">
      <c r="B31" s="495" t="s">
        <v>262</v>
      </c>
      <c r="C31" s="514">
        <f>E31/D31</f>
        <v>4776</v>
      </c>
      <c r="D31" s="515">
        <v>10</v>
      </c>
      <c r="E31" s="514">
        <v>47760</v>
      </c>
      <c r="F31" s="12" t="s">
        <v>249</v>
      </c>
      <c r="G31" s="508">
        <v>2</v>
      </c>
      <c r="H31" s="508"/>
      <c r="I31" s="518">
        <v>10160</v>
      </c>
      <c r="J31" s="795">
        <f>'5| Demolitions &amp; Land'!O16-C31-C33</f>
        <v>15669</v>
      </c>
      <c r="L31" s="491"/>
    </row>
    <row r="32" spans="2:12" x14ac:dyDescent="0.3">
      <c r="B32" s="497"/>
      <c r="C32" s="512"/>
      <c r="D32" s="513"/>
      <c r="E32" s="512"/>
      <c r="F32" s="14" t="s">
        <v>250</v>
      </c>
      <c r="G32" s="507"/>
      <c r="H32" s="507">
        <f>D31-G31</f>
        <v>8</v>
      </c>
      <c r="I32" s="517">
        <f>E31-I31</f>
        <v>37600</v>
      </c>
      <c r="J32" s="795"/>
      <c r="L32" s="491"/>
    </row>
    <row r="33" spans="1:12" x14ac:dyDescent="0.3">
      <c r="B33" s="495" t="s">
        <v>263</v>
      </c>
      <c r="C33" s="514">
        <f>E33/D33</f>
        <v>7875</v>
      </c>
      <c r="D33" s="515">
        <v>8</v>
      </c>
      <c r="E33" s="514">
        <v>63000</v>
      </c>
      <c r="F33" s="12" t="s">
        <v>249</v>
      </c>
      <c r="G33" s="508">
        <v>2</v>
      </c>
      <c r="H33" s="508"/>
      <c r="I33" s="518">
        <v>14000</v>
      </c>
      <c r="J33" s="795"/>
      <c r="L33" s="491"/>
    </row>
    <row r="34" spans="1:12" x14ac:dyDescent="0.3">
      <c r="B34" s="497"/>
      <c r="C34" s="512"/>
      <c r="D34" s="513"/>
      <c r="E34" s="512"/>
      <c r="F34" s="14" t="s">
        <v>250</v>
      </c>
      <c r="G34" s="507"/>
      <c r="H34" s="507">
        <f>D33-G33</f>
        <v>6</v>
      </c>
      <c r="I34" s="517">
        <f>E33-I33</f>
        <v>49000</v>
      </c>
      <c r="J34" s="795"/>
      <c r="L34" s="491"/>
    </row>
    <row r="35" spans="1:12" x14ac:dyDescent="0.3">
      <c r="B35" s="495" t="s">
        <v>264</v>
      </c>
      <c r="C35" s="514">
        <f>E35/D35</f>
        <v>12600</v>
      </c>
      <c r="D35" s="515">
        <v>4</v>
      </c>
      <c r="E35" s="514">
        <v>50400</v>
      </c>
      <c r="F35" s="12" t="s">
        <v>249</v>
      </c>
      <c r="G35" s="508">
        <v>4</v>
      </c>
      <c r="H35" s="508"/>
      <c r="I35" s="518">
        <f t="shared" ref="I35" si="8">C35*G35</f>
        <v>50400</v>
      </c>
      <c r="J35" s="795">
        <f>'5| Demolitions &amp; Land'!O17+'5| Demolitions &amp; Land'!O18+'5| Demolitions &amp; Land'!O20+'5| Demolitions &amp; Land'!O21+'5| Demolitions &amp; Land'!O22-C35</f>
        <v>14040</v>
      </c>
      <c r="L35" s="491"/>
    </row>
    <row r="36" spans="1:12" x14ac:dyDescent="0.3">
      <c r="B36" s="497"/>
      <c r="C36" s="512"/>
      <c r="D36" s="513"/>
      <c r="E36" s="512"/>
      <c r="F36" s="14" t="s">
        <v>250</v>
      </c>
      <c r="G36" s="507"/>
      <c r="H36" s="507">
        <f>D35-G35</f>
        <v>0</v>
      </c>
      <c r="I36" s="517">
        <f>C35*H36</f>
        <v>0</v>
      </c>
      <c r="J36" s="795"/>
      <c r="L36" s="491"/>
    </row>
    <row r="37" spans="1:12" x14ac:dyDescent="0.3">
      <c r="B37" s="496" t="s">
        <v>265</v>
      </c>
      <c r="C37" s="511">
        <f>E37/D37</f>
        <v>6450</v>
      </c>
      <c r="D37" s="502">
        <v>7</v>
      </c>
      <c r="E37" s="511">
        <v>45150</v>
      </c>
      <c r="F37" s="12" t="s">
        <v>249</v>
      </c>
      <c r="G37" s="509">
        <v>2</v>
      </c>
      <c r="H37" s="509"/>
      <c r="I37" s="516">
        <v>12900</v>
      </c>
      <c r="J37" s="795">
        <f>'5| Demolitions &amp; Land'!O19-C37</f>
        <v>9816</v>
      </c>
      <c r="L37" s="491"/>
    </row>
    <row r="38" spans="1:12" x14ac:dyDescent="0.3">
      <c r="B38" s="496"/>
      <c r="C38" s="511"/>
      <c r="D38" s="502"/>
      <c r="E38" s="511"/>
      <c r="F38" s="14" t="s">
        <v>250</v>
      </c>
      <c r="G38" s="509"/>
      <c r="H38" s="509">
        <f>D37-G37</f>
        <v>5</v>
      </c>
      <c r="I38" s="516">
        <f>E37-I37</f>
        <v>32250</v>
      </c>
      <c r="J38" s="795"/>
      <c r="L38" s="491"/>
    </row>
    <row r="39" spans="1:12" x14ac:dyDescent="0.3">
      <c r="B39" s="495" t="s">
        <v>266</v>
      </c>
      <c r="C39" s="514">
        <f>E39/D39</f>
        <v>16706.25</v>
      </c>
      <c r="D39" s="515">
        <v>16</v>
      </c>
      <c r="E39" s="514">
        <v>267300</v>
      </c>
      <c r="F39" s="12" t="s">
        <v>249</v>
      </c>
      <c r="G39" s="508">
        <v>2</v>
      </c>
      <c r="H39" s="508"/>
      <c r="I39" s="518">
        <v>15300</v>
      </c>
      <c r="J39" s="795">
        <f>'5| Demolitions &amp; Land'!O23-C39</f>
        <v>10031.75</v>
      </c>
      <c r="L39" s="491"/>
    </row>
    <row r="40" spans="1:12" x14ac:dyDescent="0.3">
      <c r="B40" s="497"/>
      <c r="C40" s="507"/>
      <c r="D40" s="14"/>
      <c r="E40" s="507"/>
      <c r="F40" s="14" t="s">
        <v>250</v>
      </c>
      <c r="G40" s="507"/>
      <c r="H40" s="507">
        <f>D39-G39</f>
        <v>14</v>
      </c>
      <c r="I40" s="517">
        <f>E39-I39</f>
        <v>252000</v>
      </c>
      <c r="J40" s="795"/>
      <c r="L40" s="491"/>
    </row>
    <row r="41" spans="1:12" x14ac:dyDescent="0.3">
      <c r="L41" s="491"/>
    </row>
    <row r="42" spans="1:12" ht="8.6999999999999993" customHeight="1" x14ac:dyDescent="0.3">
      <c r="A42" s="491"/>
      <c r="B42" s="491"/>
      <c r="C42" s="491"/>
      <c r="D42" s="491"/>
      <c r="E42" s="491"/>
      <c r="F42" s="491"/>
      <c r="G42" s="491"/>
      <c r="H42" s="491"/>
      <c r="I42" s="491"/>
      <c r="J42" s="491"/>
      <c r="K42" s="491"/>
      <c r="L42" s="491"/>
    </row>
  </sheetData>
  <mergeCells count="9">
    <mergeCell ref="J35:J36"/>
    <mergeCell ref="J39:J40"/>
    <mergeCell ref="J37:J38"/>
    <mergeCell ref="F6:H6"/>
    <mergeCell ref="J9:J14"/>
    <mergeCell ref="J7:J8"/>
    <mergeCell ref="J15:J20"/>
    <mergeCell ref="J21:J30"/>
    <mergeCell ref="J31:J34"/>
  </mergeCells>
  <pageMargins left="0.7" right="0.7" top="0.75" bottom="0.75" header="0.3" footer="0.3"/>
  <pageSetup paperSize="3" fitToHeight="0" orientation="landscape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2DF9DA-A6A0-47ED-9986-B3957B39E1AF}">
  <sheetPr>
    <tabColor rgb="FFB9720D"/>
    <pageSetUpPr fitToPage="1"/>
  </sheetPr>
  <dimension ref="A1:AN147"/>
  <sheetViews>
    <sheetView showGridLines="0" topLeftCell="A94" zoomScale="48" workbookViewId="0">
      <pane xSplit="3" topLeftCell="D1" activePane="topRight" state="frozen"/>
      <selection pane="topRight" sqref="A1:B3"/>
    </sheetView>
  </sheetViews>
  <sheetFormatPr defaultColWidth="8.6640625" defaultRowHeight="14.4" x14ac:dyDescent="0.3"/>
  <cols>
    <col min="1" max="1" width="30.33203125" style="1" customWidth="1"/>
    <col min="2" max="2" width="15.33203125" style="1" customWidth="1"/>
    <col min="3" max="3" width="15.88671875" style="1" bestFit="1" customWidth="1"/>
    <col min="4" max="4" width="15.109375" style="1" bestFit="1" customWidth="1"/>
    <col min="5" max="5" width="19.33203125" style="1" customWidth="1"/>
    <col min="6" max="6" width="16.44140625" style="1" bestFit="1" customWidth="1"/>
    <col min="7" max="7" width="19.5546875" style="1" bestFit="1" customWidth="1"/>
    <col min="8" max="8" width="18.6640625" style="1" customWidth="1"/>
    <col min="9" max="9" width="17" style="1" bestFit="1" customWidth="1"/>
    <col min="10" max="10" width="22" style="1" bestFit="1" customWidth="1"/>
    <col min="11" max="12" width="18.6640625" style="1" customWidth="1"/>
    <col min="13" max="13" width="19.6640625" style="1" bestFit="1" customWidth="1"/>
    <col min="14" max="14" width="19.109375" style="1" bestFit="1" customWidth="1"/>
    <col min="15" max="15" width="5.5546875" style="1" customWidth="1"/>
    <col min="16" max="16" width="24" style="1" bestFit="1" customWidth="1"/>
    <col min="17" max="17" width="18.33203125" style="1" bestFit="1" customWidth="1"/>
    <col min="18" max="18" width="17.88671875" style="1" bestFit="1" customWidth="1"/>
    <col min="19" max="19" width="22.88671875" style="1" bestFit="1" customWidth="1"/>
    <col min="20" max="20" width="32.109375" style="1" bestFit="1" customWidth="1"/>
    <col min="21" max="21" width="26.6640625" style="1" bestFit="1" customWidth="1"/>
    <col min="22" max="22" width="28.44140625" style="1" bestFit="1" customWidth="1"/>
    <col min="23" max="23" width="26.109375" style="1" bestFit="1" customWidth="1"/>
    <col min="24" max="24" width="10.109375" style="1" bestFit="1" customWidth="1"/>
    <col min="25" max="25" width="17.88671875" style="1" bestFit="1" customWidth="1"/>
    <col min="26" max="26" width="11.6640625" style="1" bestFit="1" customWidth="1"/>
    <col min="27" max="27" width="14.44140625" style="1" bestFit="1" customWidth="1"/>
    <col min="28" max="28" width="28.88671875" style="1" bestFit="1" customWidth="1"/>
    <col min="29" max="29" width="6" style="1" bestFit="1" customWidth="1"/>
    <col min="30" max="30" width="11.6640625" style="1" bestFit="1" customWidth="1"/>
    <col min="31" max="31" width="27.109375" style="1" bestFit="1" customWidth="1"/>
    <col min="32" max="32" width="15.6640625" style="1" bestFit="1" customWidth="1"/>
    <col min="33" max="33" width="25.44140625" style="1" bestFit="1" customWidth="1"/>
    <col min="34" max="34" width="15.33203125" style="1" bestFit="1" customWidth="1"/>
    <col min="35" max="35" width="27.33203125" style="1" bestFit="1" customWidth="1"/>
    <col min="36" max="36" width="19.5546875" style="1" bestFit="1" customWidth="1"/>
    <col min="37" max="37" width="21.33203125" style="1" bestFit="1" customWidth="1"/>
    <col min="38" max="38" width="14" style="1" bestFit="1" customWidth="1"/>
    <col min="39" max="39" width="28.5546875" style="1" bestFit="1" customWidth="1"/>
    <col min="40" max="40" width="3.109375" style="1" customWidth="1"/>
    <col min="41" max="41" width="22.44140625" style="1" bestFit="1" customWidth="1"/>
    <col min="42" max="42" width="24.6640625" style="1" customWidth="1"/>
    <col min="43" max="16384" width="8.6640625" style="1"/>
  </cols>
  <sheetData>
    <row r="1" spans="1:40" ht="15.6" x14ac:dyDescent="0.3">
      <c r="A1" s="751" t="s">
        <v>0</v>
      </c>
      <c r="B1" s="751"/>
      <c r="AN1" s="492"/>
    </row>
    <row r="2" spans="1:40" ht="15.6" x14ac:dyDescent="0.3">
      <c r="A2" s="751" t="s">
        <v>1</v>
      </c>
      <c r="B2" s="751"/>
      <c r="AN2" s="492"/>
    </row>
    <row r="3" spans="1:40" ht="15.6" x14ac:dyDescent="0.3">
      <c r="A3" s="751" t="s">
        <v>267</v>
      </c>
      <c r="B3" s="751"/>
      <c r="AN3" s="492"/>
    </row>
    <row r="4" spans="1:40" x14ac:dyDescent="0.3">
      <c r="E4" s="799" t="s">
        <v>268</v>
      </c>
      <c r="F4" s="800"/>
      <c r="G4" s="800"/>
      <c r="H4" s="800"/>
      <c r="I4" s="800"/>
      <c r="J4" s="800"/>
      <c r="K4" s="800"/>
      <c r="L4" s="800"/>
      <c r="M4" s="800"/>
      <c r="N4" s="801"/>
      <c r="O4"/>
      <c r="P4"/>
      <c r="AN4" s="492"/>
    </row>
    <row r="5" spans="1:40" ht="26.7" customHeight="1" x14ac:dyDescent="0.3">
      <c r="E5" s="812" t="s">
        <v>269</v>
      </c>
      <c r="F5" s="812"/>
      <c r="G5" s="812"/>
      <c r="H5" s="813" t="s">
        <v>270</v>
      </c>
      <c r="I5" s="814"/>
      <c r="J5" s="814"/>
      <c r="K5" s="814"/>
      <c r="L5" s="812" t="s">
        <v>271</v>
      </c>
      <c r="M5" s="812"/>
      <c r="N5" s="812"/>
      <c r="O5" s="457"/>
      <c r="P5" s="457"/>
      <c r="AN5" s="492"/>
    </row>
    <row r="6" spans="1:40" ht="28.8" x14ac:dyDescent="0.3">
      <c r="C6" s="811" t="s">
        <v>272</v>
      </c>
      <c r="D6" s="799"/>
      <c r="E6" s="3" t="s">
        <v>152</v>
      </c>
      <c r="F6" s="4" t="s">
        <v>153</v>
      </c>
      <c r="G6" s="2" t="s">
        <v>273</v>
      </c>
      <c r="H6" s="16" t="s">
        <v>152</v>
      </c>
      <c r="I6" s="17" t="s">
        <v>153</v>
      </c>
      <c r="J6" s="18" t="s">
        <v>273</v>
      </c>
      <c r="K6" s="533" t="s">
        <v>274</v>
      </c>
      <c r="L6" s="3" t="s">
        <v>152</v>
      </c>
      <c r="M6" s="4" t="s">
        <v>153</v>
      </c>
      <c r="N6" s="2" t="s">
        <v>273</v>
      </c>
      <c r="S6" s="2" t="s">
        <v>10</v>
      </c>
      <c r="AN6" s="492"/>
    </row>
    <row r="7" spans="1:40" x14ac:dyDescent="0.3">
      <c r="C7" s="2" t="s">
        <v>158</v>
      </c>
      <c r="D7" s="11">
        <v>0.05</v>
      </c>
      <c r="E7" s="5">
        <v>450</v>
      </c>
      <c r="F7" s="6">
        <v>3.1517509727626458</v>
      </c>
      <c r="G7" s="10">
        <f>E7*F7*12</f>
        <v>17019.455252918287</v>
      </c>
      <c r="H7" s="7">
        <f>E7</f>
        <v>450</v>
      </c>
      <c r="I7" s="8">
        <f>F7*(1-0.3)</f>
        <v>2.2062256809338519</v>
      </c>
      <c r="J7" s="10">
        <f>H7*I7*12</f>
        <v>11913.618677042799</v>
      </c>
      <c r="K7" s="2">
        <v>663</v>
      </c>
      <c r="L7" s="5">
        <v>450</v>
      </c>
      <c r="M7" s="6">
        <f>F7*1.3</f>
        <v>4.0972762645914393</v>
      </c>
      <c r="N7" s="10">
        <f>L7*M7*12</f>
        <v>22125.291828793772</v>
      </c>
      <c r="O7" s="323"/>
      <c r="P7" s="323"/>
      <c r="S7" s="2" t="s">
        <v>275</v>
      </c>
      <c r="V7" s="2" t="s">
        <v>276</v>
      </c>
      <c r="AN7" s="492"/>
    </row>
    <row r="8" spans="1:40" ht="40.200000000000003" x14ac:dyDescent="0.3">
      <c r="C8" s="9" t="s">
        <v>160</v>
      </c>
      <c r="D8" s="11">
        <v>0.3</v>
      </c>
      <c r="E8" s="7">
        <v>668.2</v>
      </c>
      <c r="F8" s="8">
        <v>3.5169111044597425</v>
      </c>
      <c r="G8" s="10">
        <f t="shared" ref="G8:G9" si="0">E8*F8*12</f>
        <v>28200</v>
      </c>
      <c r="H8" s="7">
        <f t="shared" ref="H8:H10" si="1">E8</f>
        <v>668.2</v>
      </c>
      <c r="I8" s="8">
        <f>F8*(1-0.3)</f>
        <v>2.4618377731218195</v>
      </c>
      <c r="J8" s="10">
        <f>H8*I8*12</f>
        <v>19740</v>
      </c>
      <c r="K8" s="2">
        <v>710</v>
      </c>
      <c r="L8" s="7">
        <v>668.2</v>
      </c>
      <c r="M8" s="8">
        <f>F8*1.3</f>
        <v>4.5719844357976651</v>
      </c>
      <c r="N8" s="10">
        <f t="shared" ref="N8:N9" si="2">L8*M8*12</f>
        <v>36660</v>
      </c>
      <c r="O8" s="323"/>
      <c r="P8" s="323"/>
      <c r="R8" s="2" t="s">
        <v>277</v>
      </c>
      <c r="S8" s="19">
        <v>51</v>
      </c>
      <c r="V8" s="21" t="s">
        <v>278</v>
      </c>
      <c r="W8" s="22">
        <f>'2| Assumptions'!F26</f>
        <v>325</v>
      </c>
      <c r="AN8" s="492"/>
    </row>
    <row r="9" spans="1:40" ht="27" x14ac:dyDescent="0.3">
      <c r="C9" s="9" t="s">
        <v>162</v>
      </c>
      <c r="D9" s="11">
        <v>0.4</v>
      </c>
      <c r="E9" s="5">
        <v>868.66000000000008</v>
      </c>
      <c r="F9" s="8">
        <v>3.7413947919784492</v>
      </c>
      <c r="G9" s="10">
        <f t="shared" si="0"/>
        <v>39000</v>
      </c>
      <c r="H9" s="7">
        <f t="shared" si="1"/>
        <v>868.66000000000008</v>
      </c>
      <c r="I9" s="8">
        <f>F9*(1-0.3)</f>
        <v>2.6189763543849143</v>
      </c>
      <c r="J9" s="10">
        <f>H9*I9*12</f>
        <v>27300</v>
      </c>
      <c r="K9" s="2">
        <v>852</v>
      </c>
      <c r="L9" s="5">
        <v>868.66000000000008</v>
      </c>
      <c r="M9" s="8">
        <f t="shared" ref="M9:M10" si="3">F9*1.3</f>
        <v>4.863813229571984</v>
      </c>
      <c r="N9" s="10">
        <f t="shared" si="2"/>
        <v>50700</v>
      </c>
      <c r="O9" s="323"/>
      <c r="P9" s="323"/>
      <c r="R9" s="2" t="s">
        <v>279</v>
      </c>
      <c r="S9" s="19">
        <v>40</v>
      </c>
      <c r="V9" s="21" t="s">
        <v>92</v>
      </c>
      <c r="W9" s="22">
        <f>'2| Assumptions'!F25</f>
        <v>300</v>
      </c>
      <c r="AN9" s="492"/>
    </row>
    <row r="10" spans="1:40" x14ac:dyDescent="0.3">
      <c r="C10" s="9" t="s">
        <v>164</v>
      </c>
      <c r="D10" s="11">
        <f>1-SUM(D7:D9)</f>
        <v>0.25</v>
      </c>
      <c r="E10" s="7">
        <v>1042.3920000000001</v>
      </c>
      <c r="F10" s="8">
        <v>5.899891787350632</v>
      </c>
      <c r="G10" s="10">
        <f>E10*F10*12</f>
        <v>73800</v>
      </c>
      <c r="H10" s="7">
        <f t="shared" si="1"/>
        <v>1042.3920000000001</v>
      </c>
      <c r="I10" s="8">
        <f>F10*(1-0.3)</f>
        <v>4.1299242511454421</v>
      </c>
      <c r="J10" s="10">
        <f>H10*I10*12</f>
        <v>51660</v>
      </c>
      <c r="K10" s="2">
        <v>985</v>
      </c>
      <c r="L10" s="7">
        <v>1042.3920000000001</v>
      </c>
      <c r="M10" s="8">
        <f t="shared" si="3"/>
        <v>7.6698593235558219</v>
      </c>
      <c r="N10" s="10">
        <f>L10*M10*12</f>
        <v>95940.000000000015</v>
      </c>
      <c r="O10" s="323"/>
      <c r="P10" s="323"/>
      <c r="R10" s="2" t="s">
        <v>136</v>
      </c>
      <c r="S10" s="19">
        <f>AVERAGE(S8:S9)</f>
        <v>45.5</v>
      </c>
      <c r="V10" s="21" t="s">
        <v>98</v>
      </c>
      <c r="W10" s="22">
        <f>'2| Assumptions'!F28</f>
        <v>150</v>
      </c>
      <c r="AN10" s="492"/>
    </row>
    <row r="11" spans="1:40" x14ac:dyDescent="0.3">
      <c r="AN11" s="492"/>
    </row>
    <row r="12" spans="1:40" x14ac:dyDescent="0.3">
      <c r="AN12" s="492"/>
    </row>
    <row r="13" spans="1:40" x14ac:dyDescent="0.3">
      <c r="G13" s="323"/>
      <c r="AN13" s="492"/>
    </row>
    <row r="14" spans="1:40" x14ac:dyDescent="0.3">
      <c r="AN14" s="492"/>
    </row>
    <row r="15" spans="1:40" x14ac:dyDescent="0.3">
      <c r="AN15" s="492"/>
    </row>
    <row r="16" spans="1:40" x14ac:dyDescent="0.3">
      <c r="AN16" s="492"/>
    </row>
    <row r="17" spans="2:40" x14ac:dyDescent="0.3">
      <c r="B17" s="808" t="s">
        <v>280</v>
      </c>
      <c r="C17" s="498" t="s">
        <v>242</v>
      </c>
      <c r="D17" s="2" t="s">
        <v>281</v>
      </c>
      <c r="E17" s="2" t="s">
        <v>282</v>
      </c>
      <c r="F17" s="2" t="s">
        <v>283</v>
      </c>
      <c r="G17" s="2" t="s">
        <v>284</v>
      </c>
      <c r="H17" s="2" t="s">
        <v>285</v>
      </c>
      <c r="I17" s="2" t="s">
        <v>286</v>
      </c>
      <c r="J17" s="2" t="s">
        <v>287</v>
      </c>
      <c r="K17" s="2" t="s">
        <v>288</v>
      </c>
      <c r="L17" s="2" t="s">
        <v>289</v>
      </c>
      <c r="M17" s="2" t="s">
        <v>290</v>
      </c>
      <c r="N17" s="316" t="s">
        <v>291</v>
      </c>
      <c r="P17" s="2" t="s">
        <v>276</v>
      </c>
      <c r="Q17" s="2"/>
      <c r="R17" s="2" t="s">
        <v>292</v>
      </c>
      <c r="S17" s="2" t="s">
        <v>293</v>
      </c>
      <c r="T17" s="2" t="s">
        <v>294</v>
      </c>
      <c r="U17" s="2" t="s">
        <v>295</v>
      </c>
      <c r="V17" s="2" t="s">
        <v>208</v>
      </c>
      <c r="W17" s="2" t="s">
        <v>209</v>
      </c>
      <c r="X17" s="2" t="s">
        <v>109</v>
      </c>
      <c r="Y17" s="2" t="s">
        <v>296</v>
      </c>
      <c r="Z17" s="2" t="s">
        <v>297</v>
      </c>
      <c r="AA17" s="2" t="s">
        <v>298</v>
      </c>
      <c r="AB17" s="2" t="s">
        <v>299</v>
      </c>
      <c r="AC17" s="2" t="s">
        <v>211</v>
      </c>
      <c r="AD17" s="2" t="s">
        <v>123</v>
      </c>
      <c r="AE17" s="2" t="s">
        <v>124</v>
      </c>
      <c r="AF17" s="2" t="s">
        <v>125</v>
      </c>
      <c r="AG17" s="2" t="s">
        <v>212</v>
      </c>
      <c r="AH17" s="2" t="s">
        <v>300</v>
      </c>
      <c r="AI17" s="2" t="s">
        <v>128</v>
      </c>
      <c r="AJ17" s="2" t="s">
        <v>130</v>
      </c>
      <c r="AK17" s="2" t="s">
        <v>215</v>
      </c>
      <c r="AL17" s="2" t="s">
        <v>301</v>
      </c>
      <c r="AN17" s="492"/>
    </row>
    <row r="18" spans="2:40" x14ac:dyDescent="0.3">
      <c r="B18" s="809"/>
      <c r="C18" s="498" t="s">
        <v>248</v>
      </c>
      <c r="D18" s="2">
        <f>'3| Building Mix'!I8</f>
        <v>456960</v>
      </c>
      <c r="E18" s="2"/>
      <c r="F18" s="2"/>
      <c r="G18" s="2"/>
      <c r="H18" s="2"/>
      <c r="I18" s="2"/>
      <c r="N18" s="499"/>
      <c r="P18" s="501"/>
      <c r="AL18" s="500"/>
      <c r="AN18" s="492"/>
    </row>
    <row r="19" spans="2:40" x14ac:dyDescent="0.3">
      <c r="B19" s="809"/>
      <c r="C19" s="458" t="s">
        <v>158</v>
      </c>
      <c r="D19" s="2">
        <f>D18*$D$7</f>
        <v>22848</v>
      </c>
      <c r="E19" s="2">
        <f>ROUNDDOWN(D19/$E$7,0)</f>
        <v>50</v>
      </c>
      <c r="F19" s="2">
        <f>E19-G19-H19</f>
        <v>35</v>
      </c>
      <c r="G19" s="2">
        <f>ROUNDUP(E19*0.25,0)</f>
        <v>13</v>
      </c>
      <c r="H19" s="2">
        <f>ROUNDDOWN(E19*0.05,0)</f>
        <v>2</v>
      </c>
      <c r="I19" s="10">
        <f>(F19*$G$7)+(G19*$J$7)+(H19*$N$7)</f>
        <v>794808.56031128403</v>
      </c>
      <c r="N19" s="499"/>
      <c r="P19" s="501"/>
      <c r="AL19" s="500"/>
      <c r="AN19" s="492"/>
    </row>
    <row r="20" spans="2:40" x14ac:dyDescent="0.3">
      <c r="B20" s="809"/>
      <c r="C20" s="498" t="s">
        <v>160</v>
      </c>
      <c r="D20" s="2">
        <f>D18*$D$8</f>
        <v>137088</v>
      </c>
      <c r="E20" s="2">
        <f>ROUNDDOWN(D20/$E$8,0)</f>
        <v>205</v>
      </c>
      <c r="F20" s="2">
        <f t="shared" ref="F20:F22" si="4">E20-G20-H20</f>
        <v>143</v>
      </c>
      <c r="G20" s="2">
        <f>ROUNDUP(E20*0.25,0)</f>
        <v>52</v>
      </c>
      <c r="H20" s="2">
        <f>ROUNDDOWN(E20*0.05,0)</f>
        <v>10</v>
      </c>
      <c r="I20" s="10">
        <f>(F20*$G$8)+(G20*$J$8)+(H20*$N$8)</f>
        <v>5425680</v>
      </c>
      <c r="N20" s="499"/>
      <c r="P20" s="501"/>
      <c r="Q20" s="1" t="s">
        <v>302</v>
      </c>
      <c r="R20" s="1">
        <v>80</v>
      </c>
      <c r="AL20" s="500"/>
      <c r="AN20" s="492"/>
    </row>
    <row r="21" spans="2:40" x14ac:dyDescent="0.3">
      <c r="B21" s="809"/>
      <c r="C21" s="498" t="s">
        <v>162</v>
      </c>
      <c r="D21" s="2">
        <f>D18*$D$9</f>
        <v>182784</v>
      </c>
      <c r="E21" s="2">
        <f>ROUNDDOWN(D21/$E$9,0)</f>
        <v>210</v>
      </c>
      <c r="F21" s="2">
        <f t="shared" si="4"/>
        <v>147</v>
      </c>
      <c r="G21" s="2">
        <f>ROUNDUP(E21*0.25,0)</f>
        <v>53</v>
      </c>
      <c r="H21" s="2">
        <f t="shared" ref="H21:H22" si="5">ROUNDDOWN(E21*0.05,0)</f>
        <v>10</v>
      </c>
      <c r="I21" s="10">
        <f>(F21*$G$9)+(G21*$J$9)+(H21*$N$9)</f>
        <v>7686900</v>
      </c>
      <c r="N21" s="499"/>
      <c r="P21" s="501"/>
      <c r="Q21" s="322" t="s">
        <v>303</v>
      </c>
      <c r="R21" s="1">
        <v>20</v>
      </c>
      <c r="AL21" s="500"/>
      <c r="AN21" s="492"/>
    </row>
    <row r="22" spans="2:40" x14ac:dyDescent="0.3">
      <c r="B22" s="809"/>
      <c r="C22" s="498" t="s">
        <v>164</v>
      </c>
      <c r="D22" s="2">
        <f>D18*$D$10</f>
        <v>114240</v>
      </c>
      <c r="E22" s="2">
        <f>ROUNDDOWN(D22/$E$10,0)</f>
        <v>109</v>
      </c>
      <c r="F22" s="2">
        <f t="shared" si="4"/>
        <v>76</v>
      </c>
      <c r="G22" s="2">
        <f>ROUNDUP(E22*0.25,0)</f>
        <v>28</v>
      </c>
      <c r="H22" s="2">
        <f t="shared" si="5"/>
        <v>5</v>
      </c>
      <c r="I22" s="10">
        <f>(F22*$G$10)+(G22*$J$10)+(H22*$N$10)</f>
        <v>7534980</v>
      </c>
      <c r="J22" s="10">
        <f>SUM(I19:I22)</f>
        <v>21442368.560311284</v>
      </c>
      <c r="K22" s="2">
        <f>'3| Building Mix'!I7</f>
        <v>114240</v>
      </c>
      <c r="L22" s="20">
        <f>$S$10</f>
        <v>45.5</v>
      </c>
      <c r="M22" s="20">
        <f>K22*L22</f>
        <v>5197920</v>
      </c>
      <c r="N22" s="317">
        <f>J22+M22</f>
        <v>26640288.560311284</v>
      </c>
      <c r="P22" s="27">
        <f>$W$10*(K22+D18)</f>
        <v>85680000</v>
      </c>
      <c r="Q22" s="27"/>
      <c r="R22" s="27">
        <f>SUM(R20:R21)*'2| Assumptions'!$C$29</f>
        <v>6562500</v>
      </c>
      <c r="S22" s="27">
        <f>P22*'2| Assumptions'!$F$30</f>
        <v>4284000</v>
      </c>
      <c r="T22" s="27">
        <f>'5| Demolitions &amp; Land'!D12</f>
        <v>250000</v>
      </c>
      <c r="U22" s="27">
        <f>'5| Demolitions &amp; Land'!J12</f>
        <v>176259860</v>
      </c>
      <c r="V22" s="27">
        <f>SUM(F19:F22,G19:G22)*'2| Assumptions'!$F$31</f>
        <v>2188000</v>
      </c>
      <c r="W22" s="27">
        <f>'2| Assumptions'!F27*'3| Building Mix'!J7</f>
        <v>0</v>
      </c>
      <c r="X22" s="27">
        <f>'6a| Phase 1 Financial'!C63/5</f>
        <v>80000</v>
      </c>
      <c r="Y22" s="27">
        <f>'6a| Phase 1 Financial'!C64/5</f>
        <v>524394.3600000001</v>
      </c>
      <c r="Z22" s="27">
        <f>(P22+S22)*'2| Assumptions'!$F$35</f>
        <v>5397840</v>
      </c>
      <c r="AA22" s="27">
        <f>(P22+S22)*'2| Assumptions'!$F$36</f>
        <v>2698920</v>
      </c>
      <c r="AB22" s="27">
        <f>(P22+S22)*'2| Assumptions'!$F$37</f>
        <v>1799280</v>
      </c>
      <c r="AC22" s="27">
        <f>'6a| Phase 1 Financial'!$C$68</f>
        <v>0</v>
      </c>
      <c r="AD22" s="27">
        <f>'6a| Phase 1 Financial'!$B$69*SUM('4| Development Program'!E19:E22)</f>
        <v>2870000</v>
      </c>
      <c r="AE22" s="27">
        <f>'6a| Phase 1 Financial'!$C$70/5</f>
        <v>300000</v>
      </c>
      <c r="AF22" s="27">
        <f>'6a| Phase 1 Financial'!$C$71/5</f>
        <v>1610524.2987900903</v>
      </c>
      <c r="AG22" s="27">
        <f>'6a| Phase 1 Financial'!$B$72*'4| Development Program'!K22</f>
        <v>2856000</v>
      </c>
      <c r="AH22" s="27">
        <f>M22*'2| Assumptions'!$F$43*5</f>
        <v>1559376</v>
      </c>
      <c r="AI22" s="27">
        <f>'6a| Phase 1 Financial'!$C$74/5</f>
        <v>686475</v>
      </c>
      <c r="AJ22" s="27">
        <f>'6a| Phase 1 Financial'!$C$75/5</f>
        <v>3203550.0000000005</v>
      </c>
      <c r="AK22" s="27">
        <f>'6a| Phase 1 Financial'!$C$76/5</f>
        <v>200000</v>
      </c>
      <c r="AL22" s="27">
        <f>SUM(P22:AK22)</f>
        <v>299010719.65879011</v>
      </c>
      <c r="AN22" s="492"/>
    </row>
    <row r="23" spans="2:40" x14ac:dyDescent="0.3">
      <c r="B23" s="809"/>
      <c r="N23" s="500"/>
      <c r="P23" s="501"/>
      <c r="AL23" s="500"/>
      <c r="AN23" s="492"/>
    </row>
    <row r="24" spans="2:40" x14ac:dyDescent="0.3">
      <c r="B24" s="809"/>
      <c r="C24" s="498" t="s">
        <v>242</v>
      </c>
      <c r="D24" s="2" t="s">
        <v>281</v>
      </c>
      <c r="E24" s="2" t="s">
        <v>282</v>
      </c>
      <c r="F24" s="2" t="s">
        <v>283</v>
      </c>
      <c r="G24" s="2" t="s">
        <v>284</v>
      </c>
      <c r="H24" s="2" t="s">
        <v>285</v>
      </c>
      <c r="I24" s="2" t="s">
        <v>286</v>
      </c>
      <c r="J24" s="2" t="s">
        <v>287</v>
      </c>
      <c r="K24" s="2" t="s">
        <v>288</v>
      </c>
      <c r="L24" s="2" t="s">
        <v>289</v>
      </c>
      <c r="M24" s="2" t="s">
        <v>290</v>
      </c>
      <c r="N24" s="316" t="s">
        <v>291</v>
      </c>
      <c r="P24" s="2" t="s">
        <v>276</v>
      </c>
      <c r="Q24" s="2"/>
      <c r="R24" s="2" t="s">
        <v>292</v>
      </c>
      <c r="S24" s="2" t="s">
        <v>293</v>
      </c>
      <c r="T24" s="2" t="s">
        <v>294</v>
      </c>
      <c r="U24" s="2" t="s">
        <v>295</v>
      </c>
      <c r="V24" s="2" t="s">
        <v>208</v>
      </c>
      <c r="W24" s="2" t="s">
        <v>209</v>
      </c>
      <c r="X24" s="2" t="s">
        <v>109</v>
      </c>
      <c r="Y24" s="2" t="s">
        <v>296</v>
      </c>
      <c r="Z24" s="2" t="s">
        <v>297</v>
      </c>
      <c r="AA24" s="2" t="s">
        <v>298</v>
      </c>
      <c r="AB24" s="2" t="s">
        <v>299</v>
      </c>
      <c r="AC24" s="2" t="s">
        <v>211</v>
      </c>
      <c r="AD24" s="2" t="s">
        <v>123</v>
      </c>
      <c r="AE24" s="2" t="s">
        <v>124</v>
      </c>
      <c r="AF24" s="2" t="s">
        <v>125</v>
      </c>
      <c r="AG24" s="2" t="s">
        <v>212</v>
      </c>
      <c r="AH24" s="2" t="s">
        <v>300</v>
      </c>
      <c r="AI24" s="2" t="s">
        <v>128</v>
      </c>
      <c r="AJ24" s="2" t="s">
        <v>130</v>
      </c>
      <c r="AK24" s="2" t="s">
        <v>215</v>
      </c>
      <c r="AL24" s="2" t="s">
        <v>301</v>
      </c>
      <c r="AN24" s="492"/>
    </row>
    <row r="25" spans="2:40" x14ac:dyDescent="0.3">
      <c r="B25" s="809"/>
      <c r="C25" s="498" t="s">
        <v>254</v>
      </c>
      <c r="D25" s="2">
        <f>'3| Building Mix'!I16</f>
        <v>56448</v>
      </c>
      <c r="E25" s="2"/>
      <c r="F25" s="2"/>
      <c r="G25" s="2"/>
      <c r="H25" s="2"/>
      <c r="I25" s="2"/>
      <c r="N25" s="499"/>
      <c r="P25" s="501"/>
      <c r="AL25" s="500"/>
      <c r="AN25" s="492"/>
    </row>
    <row r="26" spans="2:40" x14ac:dyDescent="0.3">
      <c r="B26" s="809"/>
      <c r="C26" s="458" t="s">
        <v>158</v>
      </c>
      <c r="D26" s="2">
        <f>D25*$D$7</f>
        <v>2822.4</v>
      </c>
      <c r="E26" s="2">
        <f>ROUNDDOWN(D26/$E$7,0)</f>
        <v>6</v>
      </c>
      <c r="F26" s="2">
        <f>E26-G26-H26</f>
        <v>4</v>
      </c>
      <c r="G26" s="2">
        <f>ROUNDUP(E26*0.25,0)</f>
        <v>2</v>
      </c>
      <c r="H26" s="2">
        <f>ROUNDDOWN(E26*0.05,0)</f>
        <v>0</v>
      </c>
      <c r="I26" s="10">
        <f>(F26*$G$7)+(G26*$J$7)+(H26*$N$7)</f>
        <v>91905.058365758741</v>
      </c>
      <c r="N26" s="499"/>
      <c r="P26" s="501"/>
      <c r="AL26" s="500"/>
      <c r="AN26" s="492"/>
    </row>
    <row r="27" spans="2:40" x14ac:dyDescent="0.3">
      <c r="B27" s="809"/>
      <c r="C27" s="498" t="s">
        <v>160</v>
      </c>
      <c r="D27" s="2">
        <f>D25*$D$8</f>
        <v>16934.399999999998</v>
      </c>
      <c r="E27" s="2">
        <f>ROUNDDOWN(D27/$E$8,0)</f>
        <v>25</v>
      </c>
      <c r="F27" s="2">
        <f t="shared" ref="F27:F29" si="6">E27-G27-H27</f>
        <v>17</v>
      </c>
      <c r="G27" s="2">
        <f>ROUNDUP(E27*0.25,0)</f>
        <v>7</v>
      </c>
      <c r="H27" s="2">
        <f>ROUNDDOWN(E27*0.05,0)</f>
        <v>1</v>
      </c>
      <c r="I27" s="10">
        <f>(F27*$G$8)+(G27*$J$8)+(H27*$N$8)</f>
        <v>654240</v>
      </c>
      <c r="N27" s="499"/>
      <c r="P27" s="501"/>
      <c r="Q27" s="1" t="s">
        <v>302</v>
      </c>
      <c r="R27" s="1">
        <v>20</v>
      </c>
      <c r="AL27" s="500"/>
      <c r="AN27" s="492"/>
    </row>
    <row r="28" spans="2:40" x14ac:dyDescent="0.3">
      <c r="B28" s="809"/>
      <c r="C28" s="498" t="s">
        <v>162</v>
      </c>
      <c r="D28" s="2">
        <f>D25*$D$9</f>
        <v>22579.200000000001</v>
      </c>
      <c r="E28" s="2">
        <f>ROUNDDOWN(D28/$E$9,0)</f>
        <v>25</v>
      </c>
      <c r="F28" s="2">
        <f t="shared" si="6"/>
        <v>17</v>
      </c>
      <c r="G28" s="2">
        <f>ROUNDUP(E28*0.25,0)</f>
        <v>7</v>
      </c>
      <c r="H28" s="2">
        <f t="shared" ref="H28:H29" si="7">ROUNDDOWN(E28*0.05,0)</f>
        <v>1</v>
      </c>
      <c r="I28" s="10">
        <f>(F28*$G$9)+(G28*$J$9)+(H28*$N$9)</f>
        <v>904800</v>
      </c>
      <c r="N28" s="499"/>
      <c r="P28" s="501"/>
      <c r="Q28" s="322" t="s">
        <v>303</v>
      </c>
      <c r="R28" s="1">
        <v>20</v>
      </c>
      <c r="AL28" s="500"/>
      <c r="AN28" s="492"/>
    </row>
    <row r="29" spans="2:40" x14ac:dyDescent="0.3">
      <c r="B29" s="809"/>
      <c r="C29" s="498" t="s">
        <v>164</v>
      </c>
      <c r="D29" s="2">
        <f>D25*$D$10</f>
        <v>14112</v>
      </c>
      <c r="E29" s="2">
        <f>ROUNDDOWN(D29/$E$10,0)</f>
        <v>13</v>
      </c>
      <c r="F29" s="2">
        <f t="shared" si="6"/>
        <v>9</v>
      </c>
      <c r="G29" s="2">
        <f>ROUNDUP(E29*0.25,0)</f>
        <v>4</v>
      </c>
      <c r="H29" s="2">
        <f t="shared" si="7"/>
        <v>0</v>
      </c>
      <c r="I29" s="10">
        <f>(F29*$G$10)+(G29*$J$10)+(H29*$N$10)</f>
        <v>870840</v>
      </c>
      <c r="J29" s="10">
        <f>SUM(I26:I29)</f>
        <v>2521785.0583657585</v>
      </c>
      <c r="K29" s="2">
        <f>'3| Building Mix'!I39</f>
        <v>15300</v>
      </c>
      <c r="L29" s="20">
        <f>$S$10</f>
        <v>45.5</v>
      </c>
      <c r="M29" s="20">
        <f>K29*L29</f>
        <v>696150</v>
      </c>
      <c r="N29" s="317">
        <f>J29+M29</f>
        <v>3217935.0583657585</v>
      </c>
      <c r="P29" s="27">
        <f>$W$8*(K29+D25)</f>
        <v>23318100</v>
      </c>
      <c r="Q29" s="27"/>
      <c r="R29" s="27">
        <f>SUM(R27:R28)*'2| Assumptions'!$C$29</f>
        <v>2625000</v>
      </c>
      <c r="S29" s="27">
        <f>P29*'2| Assumptions'!$F$30</f>
        <v>1165905</v>
      </c>
      <c r="T29" s="27">
        <f>'5| Demolitions &amp; Land'!D14*('3| Building Mix'!E15)/('3| Building Mix'!E15+'3| Building Mix'!E17+'3| Building Mix'!E19)</f>
        <v>132017.63181913062</v>
      </c>
      <c r="U29" s="27">
        <f>'5| Demolitions &amp; Land'!J14*('3| Building Mix'!E15)/('3| Building Mix'!E15+'3| Building Mix'!E17+'3| Building Mix'!E19)</f>
        <v>19747584.179166786</v>
      </c>
      <c r="V29" s="27">
        <f>SUM(F26:F29,G26:G29)*'2| Assumptions'!$F$31</f>
        <v>268000</v>
      </c>
      <c r="W29" s="27">
        <f>'3| Building Mix'!J15*'2| Assumptions'!F27/3</f>
        <v>2225340.7407407407</v>
      </c>
      <c r="X29" s="27">
        <f>'6a| Phase 1 Financial'!C63/5</f>
        <v>80000</v>
      </c>
      <c r="Y29" s="27">
        <f>'6a| Phase 1 Financial'!C64/5</f>
        <v>524394.3600000001</v>
      </c>
      <c r="Z29" s="27">
        <f>(P29+S29)*'2| Assumptions'!$F$35</f>
        <v>1469040.3</v>
      </c>
      <c r="AA29" s="27">
        <f>(P29+S29)*'2| Assumptions'!$F$36</f>
        <v>734520.15</v>
      </c>
      <c r="AB29" s="27">
        <f>(P29+S29)*'2| Assumptions'!$F$37</f>
        <v>489680.10000000003</v>
      </c>
      <c r="AC29" s="27">
        <f>'6a| Phase 1 Financial'!$C$68</f>
        <v>0</v>
      </c>
      <c r="AD29" s="27">
        <f>'6a| Phase 1 Financial'!$B$69*SUM('4| Development Program'!E26:E29)</f>
        <v>345000</v>
      </c>
      <c r="AE29" s="27">
        <f>'6a| Phase 1 Financial'!$C$70/5</f>
        <v>300000</v>
      </c>
      <c r="AF29" s="27">
        <f>'6a| Phase 1 Financial'!$C$71/5</f>
        <v>1610524.2987900903</v>
      </c>
      <c r="AG29" s="27">
        <f>'6a| Phase 1 Financial'!$B$72*'4| Development Program'!K29</f>
        <v>382500</v>
      </c>
      <c r="AH29" s="27">
        <f>M29*'2| Assumptions'!$F$43*5</f>
        <v>208845</v>
      </c>
      <c r="AI29" s="27">
        <f>'6a| Phase 1 Financial'!$C$74/5</f>
        <v>686475</v>
      </c>
      <c r="AJ29" s="27">
        <f>'6a| Phase 1 Financial'!$C$75/5</f>
        <v>3203550.0000000005</v>
      </c>
      <c r="AK29" s="27">
        <f>'6a| Phase 1 Financial'!$C$76/5</f>
        <v>200000</v>
      </c>
      <c r="AL29" s="27">
        <f t="shared" ref="AL29" si="8">SUM(P29:AK29)</f>
        <v>59716476.76051674</v>
      </c>
      <c r="AN29" s="492"/>
    </row>
    <row r="30" spans="2:40" x14ac:dyDescent="0.3">
      <c r="B30" s="809"/>
      <c r="N30" s="499"/>
      <c r="P30" s="501"/>
      <c r="AL30" s="500"/>
      <c r="AN30" s="492"/>
    </row>
    <row r="31" spans="2:40" x14ac:dyDescent="0.3">
      <c r="B31" s="809"/>
      <c r="C31" s="498" t="s">
        <v>242</v>
      </c>
      <c r="D31" s="2" t="s">
        <v>281</v>
      </c>
      <c r="E31" s="2" t="s">
        <v>282</v>
      </c>
      <c r="F31" s="2" t="s">
        <v>283</v>
      </c>
      <c r="G31" s="2" t="s">
        <v>284</v>
      </c>
      <c r="H31" s="2" t="s">
        <v>285</v>
      </c>
      <c r="I31" s="2" t="s">
        <v>286</v>
      </c>
      <c r="J31" s="2" t="s">
        <v>287</v>
      </c>
      <c r="K31" s="2" t="s">
        <v>288</v>
      </c>
      <c r="L31" s="2" t="s">
        <v>289</v>
      </c>
      <c r="M31" s="2" t="s">
        <v>290</v>
      </c>
      <c r="N31" s="316" t="s">
        <v>291</v>
      </c>
      <c r="P31" s="2" t="s">
        <v>276</v>
      </c>
      <c r="Q31" s="2"/>
      <c r="R31" s="2" t="s">
        <v>292</v>
      </c>
      <c r="S31" s="2" t="s">
        <v>293</v>
      </c>
      <c r="T31" s="2" t="s">
        <v>294</v>
      </c>
      <c r="U31" s="2" t="s">
        <v>295</v>
      </c>
      <c r="V31" s="2" t="s">
        <v>208</v>
      </c>
      <c r="W31" s="2" t="s">
        <v>209</v>
      </c>
      <c r="X31" s="2" t="s">
        <v>109</v>
      </c>
      <c r="Y31" s="2" t="s">
        <v>296</v>
      </c>
      <c r="Z31" s="2" t="s">
        <v>297</v>
      </c>
      <c r="AA31" s="2" t="s">
        <v>298</v>
      </c>
      <c r="AB31" s="2" t="s">
        <v>299</v>
      </c>
      <c r="AC31" s="2" t="s">
        <v>211</v>
      </c>
      <c r="AD31" s="2" t="s">
        <v>123</v>
      </c>
      <c r="AE31" s="2" t="s">
        <v>124</v>
      </c>
      <c r="AF31" s="2" t="s">
        <v>125</v>
      </c>
      <c r="AG31" s="2" t="s">
        <v>212</v>
      </c>
      <c r="AH31" s="2" t="s">
        <v>300</v>
      </c>
      <c r="AI31" s="2" t="s">
        <v>128</v>
      </c>
      <c r="AJ31" s="2" t="s">
        <v>130</v>
      </c>
      <c r="AK31" s="2" t="s">
        <v>215</v>
      </c>
      <c r="AL31" s="2" t="s">
        <v>301</v>
      </c>
      <c r="AN31" s="492"/>
    </row>
    <row r="32" spans="2:40" x14ac:dyDescent="0.3">
      <c r="B32" s="809"/>
      <c r="C32" s="498" t="s">
        <v>255</v>
      </c>
      <c r="D32" s="2">
        <f>'3| Building Mix'!I18</f>
        <v>244360</v>
      </c>
      <c r="E32" s="2"/>
      <c r="F32" s="2"/>
      <c r="G32" s="2"/>
      <c r="H32" s="2"/>
      <c r="I32" s="2"/>
      <c r="N32" s="499"/>
      <c r="P32" s="501"/>
      <c r="AL32" s="500"/>
      <c r="AN32" s="492"/>
    </row>
    <row r="33" spans="2:40" x14ac:dyDescent="0.3">
      <c r="B33" s="809"/>
      <c r="C33" s="458" t="s">
        <v>158</v>
      </c>
      <c r="D33" s="2">
        <f>D32*$D$7</f>
        <v>12218</v>
      </c>
      <c r="E33" s="2">
        <f>ROUNDDOWN(D33/$E$7,0)</f>
        <v>27</v>
      </c>
      <c r="F33" s="2">
        <f>E33-G33-H33</f>
        <v>19</v>
      </c>
      <c r="G33" s="2">
        <f>ROUNDUP(E33*0.25,0)</f>
        <v>7</v>
      </c>
      <c r="H33" s="2">
        <f>ROUNDDOWN(E33*0.05,0)</f>
        <v>1</v>
      </c>
      <c r="I33" s="10">
        <f>(F33*$G$7)+(G33*$J$7)+(H33*$N$7)</f>
        <v>428890.27237354079</v>
      </c>
      <c r="N33" s="499"/>
      <c r="P33" s="501"/>
      <c r="AL33" s="500"/>
      <c r="AN33" s="492"/>
    </row>
    <row r="34" spans="2:40" x14ac:dyDescent="0.3">
      <c r="B34" s="809"/>
      <c r="C34" s="498" t="s">
        <v>160</v>
      </c>
      <c r="D34" s="2">
        <f>D32*$D$8</f>
        <v>73308</v>
      </c>
      <c r="E34" s="2">
        <f>ROUNDDOWN(D34/$E$8,0)</f>
        <v>109</v>
      </c>
      <c r="F34" s="2">
        <f t="shared" ref="F34:F36" si="9">E34-G34-H34</f>
        <v>76</v>
      </c>
      <c r="G34" s="2">
        <f>ROUNDUP(E34*0.25,0)</f>
        <v>28</v>
      </c>
      <c r="H34" s="2">
        <f>ROUNDDOWN(E34*0.05,0)</f>
        <v>5</v>
      </c>
      <c r="I34" s="10">
        <f>(F34*$G$8)+(G34*$J$8)+(H34*$N$8)</f>
        <v>2879220</v>
      </c>
      <c r="N34" s="499"/>
      <c r="P34" s="501"/>
      <c r="Q34" s="1" t="s">
        <v>302</v>
      </c>
      <c r="R34" s="1">
        <v>10</v>
      </c>
      <c r="AL34" s="500"/>
      <c r="AN34" s="492"/>
    </row>
    <row r="35" spans="2:40" x14ac:dyDescent="0.3">
      <c r="B35" s="809"/>
      <c r="C35" s="498" t="s">
        <v>162</v>
      </c>
      <c r="D35" s="2">
        <f>D32*$D$9</f>
        <v>97744</v>
      </c>
      <c r="E35" s="2">
        <f>ROUNDDOWN(D35/$E$9,0)</f>
        <v>112</v>
      </c>
      <c r="F35" s="2">
        <f t="shared" si="9"/>
        <v>79</v>
      </c>
      <c r="G35" s="2">
        <f>ROUNDUP(E35*0.25,0)</f>
        <v>28</v>
      </c>
      <c r="H35" s="2">
        <f t="shared" ref="H35:H36" si="10">ROUNDDOWN(E35*0.05,0)</f>
        <v>5</v>
      </c>
      <c r="I35" s="10">
        <f>(F35*$G$9)+(G35*$J$9)+(H35*$N$9)</f>
        <v>4098900</v>
      </c>
      <c r="N35" s="499"/>
      <c r="P35" s="501"/>
      <c r="Q35" s="322" t="s">
        <v>303</v>
      </c>
      <c r="R35" s="1">
        <v>224</v>
      </c>
      <c r="AL35" s="500"/>
      <c r="AN35" s="492"/>
    </row>
    <row r="36" spans="2:40" x14ac:dyDescent="0.3">
      <c r="B36" s="809"/>
      <c r="C36" s="498" t="s">
        <v>164</v>
      </c>
      <c r="D36" s="2">
        <f>D32*$D$10</f>
        <v>61090</v>
      </c>
      <c r="E36" s="2">
        <f>ROUNDDOWN(D36/$E$10,0)</f>
        <v>58</v>
      </c>
      <c r="F36" s="2">
        <f t="shared" si="9"/>
        <v>41</v>
      </c>
      <c r="G36" s="2">
        <f>ROUNDUP(E36*0.25,0)</f>
        <v>15</v>
      </c>
      <c r="H36" s="2">
        <f t="shared" si="10"/>
        <v>2</v>
      </c>
      <c r="I36" s="10">
        <f>(F36*$G$10)+(G36*$J$10)+(H36*$N$10)</f>
        <v>3992580</v>
      </c>
      <c r="J36" s="10">
        <f>SUM(I33:I36)</f>
        <v>11399590.27237354</v>
      </c>
      <c r="K36" s="2">
        <f>'3| Building Mix'!I17</f>
        <v>23480</v>
      </c>
      <c r="L36" s="20">
        <f>$S$10</f>
        <v>45.5</v>
      </c>
      <c r="M36" s="20">
        <f>K36*L36</f>
        <v>1068340</v>
      </c>
      <c r="N36" s="317">
        <f>J36+M36</f>
        <v>12467930.27237354</v>
      </c>
      <c r="P36" s="27">
        <f>$W$8*(K36+D32)</f>
        <v>87048000</v>
      </c>
      <c r="Q36" s="27"/>
      <c r="R36" s="27">
        <f>SUM(R34:R35)*'2| Assumptions'!$C$29</f>
        <v>15356250</v>
      </c>
      <c r="S36" s="27">
        <f>P36*'2| Assumptions'!$F$30</f>
        <v>4352400</v>
      </c>
      <c r="T36" s="27">
        <f>'5| Demolitions &amp; Land'!D14*('3| Building Mix'!E17)/('3| Building Mix'!E15+'3| Building Mix'!E17+'3| Building Mix'!E19)</f>
        <v>548108.91782049765</v>
      </c>
      <c r="U36" s="27">
        <f>'5| Demolitions &amp; Land'!J14*('3| Building Mix'!E17)/('3| Building Mix'!E15+'3| Building Mix'!E17+'3| Building Mix'!E19)</f>
        <v>81987737.886719242</v>
      </c>
      <c r="V36" s="27">
        <f>SUM(F33:F36,G33:G36)*'2| Assumptions'!$F$31</f>
        <v>1172000</v>
      </c>
      <c r="W36" s="27">
        <f>'3| Building Mix'!J15*'2| Assumptions'!F27/3</f>
        <v>2225340.7407407407</v>
      </c>
      <c r="X36" s="27">
        <f>'6a| Phase 1 Financial'!C63/5</f>
        <v>80000</v>
      </c>
      <c r="Y36" s="27">
        <f>'6a| Phase 1 Financial'!C64/5</f>
        <v>524394.3600000001</v>
      </c>
      <c r="Z36" s="27">
        <f>(P36+S36)*'2| Assumptions'!$F$35</f>
        <v>5484024</v>
      </c>
      <c r="AA36" s="27">
        <f>(P36+S36)*'2| Assumptions'!$F$36</f>
        <v>2742012</v>
      </c>
      <c r="AB36" s="27">
        <f>(P36+S36)*'2| Assumptions'!$F$37</f>
        <v>1828008</v>
      </c>
      <c r="AC36" s="27">
        <f>'6a| Phase 1 Financial'!$C$68</f>
        <v>0</v>
      </c>
      <c r="AD36" s="27">
        <f>'6a| Phase 1 Financial'!$B$69*SUM('4| Development Program'!E33:E36)</f>
        <v>1530000</v>
      </c>
      <c r="AE36" s="27">
        <f>'6a| Phase 1 Financial'!$C$70/5</f>
        <v>300000</v>
      </c>
      <c r="AF36" s="27">
        <f>'6a| Phase 1 Financial'!$C$71/5</f>
        <v>1610524.2987900903</v>
      </c>
      <c r="AG36" s="27">
        <f>'6a| Phase 1 Financial'!$B$72*'4| Development Program'!K36</f>
        <v>587000</v>
      </c>
      <c r="AH36" s="27">
        <f>M36*'2| Assumptions'!$F$43*5</f>
        <v>320502</v>
      </c>
      <c r="AI36" s="27">
        <f>'6a| Phase 1 Financial'!$C$74/5</f>
        <v>686475</v>
      </c>
      <c r="AJ36" s="27">
        <f>'6a| Phase 1 Financial'!$C$75/5</f>
        <v>3203550.0000000005</v>
      </c>
      <c r="AK36" s="27">
        <f>'6a| Phase 1 Financial'!$C$76/5</f>
        <v>200000</v>
      </c>
      <c r="AL36" s="27">
        <f t="shared" ref="AL36" si="11">SUM(P36:AK36)</f>
        <v>211786327.2040706</v>
      </c>
      <c r="AN36" s="492"/>
    </row>
    <row r="37" spans="2:40" x14ac:dyDescent="0.3">
      <c r="B37" s="809"/>
      <c r="N37" s="499"/>
      <c r="P37" s="501"/>
      <c r="AL37" s="500"/>
      <c r="AN37" s="492"/>
    </row>
    <row r="38" spans="2:40" x14ac:dyDescent="0.3">
      <c r="B38" s="809"/>
      <c r="C38" s="498" t="s">
        <v>242</v>
      </c>
      <c r="D38" s="2" t="s">
        <v>281</v>
      </c>
      <c r="E38" s="2" t="s">
        <v>282</v>
      </c>
      <c r="F38" s="2" t="s">
        <v>283</v>
      </c>
      <c r="G38" s="2" t="s">
        <v>284</v>
      </c>
      <c r="H38" s="2" t="s">
        <v>285</v>
      </c>
      <c r="I38" s="2" t="s">
        <v>286</v>
      </c>
      <c r="J38" s="2" t="s">
        <v>287</v>
      </c>
      <c r="K38" s="2" t="s">
        <v>288</v>
      </c>
      <c r="L38" s="2" t="s">
        <v>289</v>
      </c>
      <c r="M38" s="2" t="s">
        <v>290</v>
      </c>
      <c r="N38" s="316" t="s">
        <v>291</v>
      </c>
      <c r="P38" s="2" t="s">
        <v>276</v>
      </c>
      <c r="Q38" s="2"/>
      <c r="R38" s="2" t="s">
        <v>292</v>
      </c>
      <c r="S38" s="2" t="s">
        <v>293</v>
      </c>
      <c r="T38" s="2" t="s">
        <v>294</v>
      </c>
      <c r="U38" s="2" t="s">
        <v>295</v>
      </c>
      <c r="V38" s="2" t="s">
        <v>208</v>
      </c>
      <c r="W38" s="2" t="s">
        <v>209</v>
      </c>
      <c r="X38" s="2" t="s">
        <v>109</v>
      </c>
      <c r="Y38" s="2" t="s">
        <v>296</v>
      </c>
      <c r="Z38" s="2" t="s">
        <v>297</v>
      </c>
      <c r="AA38" s="2" t="s">
        <v>298</v>
      </c>
      <c r="AB38" s="2" t="s">
        <v>299</v>
      </c>
      <c r="AC38" s="2" t="s">
        <v>211</v>
      </c>
      <c r="AD38" s="2" t="s">
        <v>123</v>
      </c>
      <c r="AE38" s="2" t="s">
        <v>124</v>
      </c>
      <c r="AF38" s="2" t="s">
        <v>125</v>
      </c>
      <c r="AG38" s="2" t="s">
        <v>212</v>
      </c>
      <c r="AH38" s="2" t="s">
        <v>300</v>
      </c>
      <c r="AI38" s="2" t="s">
        <v>128</v>
      </c>
      <c r="AJ38" s="2" t="s">
        <v>130</v>
      </c>
      <c r="AK38" s="2" t="s">
        <v>215</v>
      </c>
      <c r="AL38" s="2" t="s">
        <v>301</v>
      </c>
      <c r="AN38" s="492"/>
    </row>
    <row r="39" spans="2:40" x14ac:dyDescent="0.3">
      <c r="B39" s="809"/>
      <c r="C39" s="498" t="s">
        <v>256</v>
      </c>
      <c r="D39" s="2">
        <f>'3| Building Mix'!I20</f>
        <v>140200</v>
      </c>
      <c r="E39" s="2"/>
      <c r="F39" s="2"/>
      <c r="G39" s="2"/>
      <c r="H39" s="2"/>
      <c r="I39" s="2"/>
      <c r="N39" s="499"/>
      <c r="P39" s="501"/>
      <c r="AL39" s="500"/>
      <c r="AN39" s="492"/>
    </row>
    <row r="40" spans="2:40" x14ac:dyDescent="0.3">
      <c r="B40" s="809"/>
      <c r="C40" s="458" t="s">
        <v>158</v>
      </c>
      <c r="D40" s="2">
        <f>D39*$D$7</f>
        <v>7010</v>
      </c>
      <c r="E40" s="2">
        <f>ROUNDDOWN(D40/$E$7,0)</f>
        <v>15</v>
      </c>
      <c r="F40" s="2">
        <f>E40-G40-H40</f>
        <v>11</v>
      </c>
      <c r="G40" s="2">
        <f>ROUNDUP(E40*0.25,0)</f>
        <v>4</v>
      </c>
      <c r="H40" s="2">
        <f>ROUNDDOWN(E40*0.05,0)</f>
        <v>0</v>
      </c>
      <c r="I40" s="10">
        <f>(F40*$G$7)+(G40*$J$7)+(H40*$N$7)</f>
        <v>234868.48249027238</v>
      </c>
      <c r="N40" s="499"/>
      <c r="P40" s="501"/>
      <c r="AL40" s="500"/>
      <c r="AN40" s="492"/>
    </row>
    <row r="41" spans="2:40" x14ac:dyDescent="0.3">
      <c r="B41" s="809"/>
      <c r="C41" s="498" t="s">
        <v>160</v>
      </c>
      <c r="D41" s="2">
        <f>D39*$D$8</f>
        <v>42060</v>
      </c>
      <c r="E41" s="2">
        <f>ROUNDDOWN(D41/$E$8,0)</f>
        <v>62</v>
      </c>
      <c r="F41" s="2">
        <f t="shared" ref="F41:F43" si="12">E41-G41-H41</f>
        <v>43</v>
      </c>
      <c r="G41" s="2">
        <f>ROUNDUP(E41*0.25,0)</f>
        <v>16</v>
      </c>
      <c r="H41" s="2">
        <f>ROUNDDOWN(E41*0.05,0)</f>
        <v>3</v>
      </c>
      <c r="I41" s="10">
        <f>(F41*$G$8)+(G41*$J$8)+(H41*$N$8)</f>
        <v>1638420</v>
      </c>
      <c r="N41" s="499"/>
      <c r="P41" s="501"/>
      <c r="Q41" s="1" t="s">
        <v>302</v>
      </c>
      <c r="R41" s="1">
        <v>20</v>
      </c>
      <c r="AL41" s="500"/>
      <c r="AN41" s="492"/>
    </row>
    <row r="42" spans="2:40" x14ac:dyDescent="0.3">
      <c r="B42" s="809"/>
      <c r="C42" s="498" t="s">
        <v>162</v>
      </c>
      <c r="D42" s="2">
        <f>D39*$D$9</f>
        <v>56080</v>
      </c>
      <c r="E42" s="2">
        <f>ROUNDDOWN(D42/$E$9,0)</f>
        <v>64</v>
      </c>
      <c r="F42" s="2">
        <f t="shared" si="12"/>
        <v>45</v>
      </c>
      <c r="G42" s="2">
        <f>ROUNDUP(E42*0.25,0)</f>
        <v>16</v>
      </c>
      <c r="H42" s="2">
        <f t="shared" ref="H42:H43" si="13">ROUNDDOWN(E42*0.05,0)</f>
        <v>3</v>
      </c>
      <c r="I42" s="10">
        <f>(F42*$G$9)+(G42*$J$9)+(H42*$N$9)</f>
        <v>2343900</v>
      </c>
      <c r="N42" s="499"/>
      <c r="P42" s="501"/>
      <c r="Q42" s="322" t="s">
        <v>303</v>
      </c>
      <c r="R42" s="1">
        <v>40</v>
      </c>
      <c r="AL42" s="500"/>
      <c r="AN42" s="492"/>
    </row>
    <row r="43" spans="2:40" x14ac:dyDescent="0.3">
      <c r="B43" s="809"/>
      <c r="C43" s="498" t="s">
        <v>164</v>
      </c>
      <c r="D43" s="2">
        <f>D39*$D$10</f>
        <v>35050</v>
      </c>
      <c r="E43" s="2">
        <f>ROUNDDOWN(D43/$E$10,0)</f>
        <v>33</v>
      </c>
      <c r="F43" s="2">
        <f t="shared" si="12"/>
        <v>23</v>
      </c>
      <c r="G43" s="2">
        <f>ROUNDUP(E43*0.25,0)</f>
        <v>9</v>
      </c>
      <c r="H43" s="2">
        <f t="shared" si="13"/>
        <v>1</v>
      </c>
      <c r="I43" s="10">
        <f>(F43*$G$10)+(G43*$J$10)+(H43*$N$10)</f>
        <v>2258280</v>
      </c>
      <c r="J43" s="10">
        <f>SUM(I40:I43)</f>
        <v>6475468.4824902723</v>
      </c>
      <c r="K43" s="2">
        <f>'3| Building Mix'!I19</f>
        <v>16110</v>
      </c>
      <c r="L43" s="20">
        <f>$S$10</f>
        <v>45.5</v>
      </c>
      <c r="M43" s="20">
        <f>K43*L43</f>
        <v>733005</v>
      </c>
      <c r="N43" s="317">
        <f>J43+M43</f>
        <v>7208473.4824902723</v>
      </c>
      <c r="P43" s="27">
        <f>$W$9*(K43+D39)</f>
        <v>46893000</v>
      </c>
      <c r="Q43" s="27"/>
      <c r="R43" s="27">
        <f>SUM(R41:R42)*'2| Assumptions'!$C$29</f>
        <v>3937500</v>
      </c>
      <c r="S43" s="27">
        <f>P43*'2| Assumptions'!$F$30</f>
        <v>2344650</v>
      </c>
      <c r="T43" s="27">
        <f>'5| Demolitions &amp; Land'!D14*('3| Building Mix'!E19)/('3| Building Mix'!E15+'3| Building Mix'!E17+'3| Building Mix'!E19)</f>
        <v>319873.45036037179</v>
      </c>
      <c r="U43" s="27">
        <f>'5| Demolitions &amp; Land'!J14*('3| Building Mix'!E19)/('3| Building Mix'!E15+'3| Building Mix'!E17+'3| Building Mix'!E19)</f>
        <v>47847607.934113972</v>
      </c>
      <c r="V43" s="27">
        <f>SUM(F40:F43,G40:G43)*'2| Assumptions'!$F$31</f>
        <v>668000</v>
      </c>
      <c r="W43" s="27">
        <f>'3| Building Mix'!J15*'2| Assumptions'!F27/3</f>
        <v>2225340.7407407407</v>
      </c>
      <c r="X43" s="27">
        <f>'6a| Phase 1 Financial'!C63/5</f>
        <v>80000</v>
      </c>
      <c r="Y43" s="27">
        <f>'6a| Phase 1 Financial'!C64/5</f>
        <v>524394.3600000001</v>
      </c>
      <c r="Z43" s="27">
        <f>(P43+S43)*'2| Assumptions'!$F$35</f>
        <v>2954259</v>
      </c>
      <c r="AA43" s="27">
        <f>(P43+S43)*'2| Assumptions'!$F$36</f>
        <v>1477129.5</v>
      </c>
      <c r="AB43" s="27">
        <f>(P43+S43)*'2| Assumptions'!$F$37</f>
        <v>984753</v>
      </c>
      <c r="AC43" s="27">
        <f>'6a| Phase 1 Financial'!$C$68</f>
        <v>0</v>
      </c>
      <c r="AD43" s="27">
        <f>'6a| Phase 1 Financial'!$B$69*SUM('4| Development Program'!E40:E43)</f>
        <v>870000</v>
      </c>
      <c r="AE43" s="27">
        <f>'6a| Phase 1 Financial'!$C$70/5</f>
        <v>300000</v>
      </c>
      <c r="AF43" s="27">
        <f>'6a| Phase 1 Financial'!$C$71/5</f>
        <v>1610524.2987900903</v>
      </c>
      <c r="AG43" s="27">
        <f>'6a| Phase 1 Financial'!$B$72*'4| Development Program'!K43</f>
        <v>402750</v>
      </c>
      <c r="AH43" s="27">
        <f>M43*'2| Assumptions'!$F$43*5</f>
        <v>219901.49999999997</v>
      </c>
      <c r="AI43" s="27">
        <f>'6a| Phase 1 Financial'!$C$74/5</f>
        <v>686475</v>
      </c>
      <c r="AJ43" s="27">
        <f>'6a| Phase 1 Financial'!$C$75/5</f>
        <v>3203550.0000000005</v>
      </c>
      <c r="AK43" s="27">
        <f>'6a| Phase 1 Financial'!$C$76/5</f>
        <v>200000</v>
      </c>
      <c r="AL43" s="27">
        <f t="shared" ref="AL43" si="14">SUM(P43:AK43)</f>
        <v>117749708.78400518</v>
      </c>
      <c r="AN43" s="492"/>
    </row>
    <row r="44" spans="2:40" x14ac:dyDescent="0.3">
      <c r="B44" s="809"/>
      <c r="N44" s="500"/>
      <c r="P44" s="501"/>
      <c r="AL44" s="500"/>
      <c r="AN44" s="492"/>
    </row>
    <row r="45" spans="2:40" x14ac:dyDescent="0.3">
      <c r="B45" s="809"/>
      <c r="C45" s="498" t="s">
        <v>242</v>
      </c>
      <c r="D45" s="2" t="s">
        <v>281</v>
      </c>
      <c r="E45" s="2" t="s">
        <v>282</v>
      </c>
      <c r="F45" s="2" t="s">
        <v>283</v>
      </c>
      <c r="G45" s="2" t="s">
        <v>284</v>
      </c>
      <c r="H45" s="2" t="s">
        <v>285</v>
      </c>
      <c r="I45" s="2" t="s">
        <v>286</v>
      </c>
      <c r="J45" s="2" t="s">
        <v>287</v>
      </c>
      <c r="K45" s="2" t="s">
        <v>288</v>
      </c>
      <c r="L45" s="2" t="s">
        <v>289</v>
      </c>
      <c r="M45" s="2" t="s">
        <v>290</v>
      </c>
      <c r="N45" s="316" t="s">
        <v>291</v>
      </c>
      <c r="P45" s="2" t="s">
        <v>276</v>
      </c>
      <c r="Q45" s="2"/>
      <c r="R45" s="2" t="s">
        <v>292</v>
      </c>
      <c r="S45" s="2" t="s">
        <v>293</v>
      </c>
      <c r="T45" s="2" t="s">
        <v>294</v>
      </c>
      <c r="U45" s="2" t="s">
        <v>295</v>
      </c>
      <c r="V45" s="2" t="s">
        <v>208</v>
      </c>
      <c r="W45" s="2" t="s">
        <v>209</v>
      </c>
      <c r="X45" s="2" t="s">
        <v>109</v>
      </c>
      <c r="Y45" s="2" t="s">
        <v>296</v>
      </c>
      <c r="Z45" s="2" t="s">
        <v>297</v>
      </c>
      <c r="AA45" s="2" t="s">
        <v>298</v>
      </c>
      <c r="AB45" s="2" t="s">
        <v>299</v>
      </c>
      <c r="AC45" s="2" t="s">
        <v>211</v>
      </c>
      <c r="AD45" s="2" t="s">
        <v>123</v>
      </c>
      <c r="AE45" s="2" t="s">
        <v>124</v>
      </c>
      <c r="AF45" s="2" t="s">
        <v>125</v>
      </c>
      <c r="AG45" s="2" t="s">
        <v>212</v>
      </c>
      <c r="AH45" s="2" t="s">
        <v>300</v>
      </c>
      <c r="AI45" s="2" t="s">
        <v>128</v>
      </c>
      <c r="AJ45" s="2" t="s">
        <v>130</v>
      </c>
      <c r="AK45" s="2" t="s">
        <v>215</v>
      </c>
      <c r="AL45" s="2" t="s">
        <v>301</v>
      </c>
      <c r="AN45" s="492"/>
    </row>
    <row r="46" spans="2:40" x14ac:dyDescent="0.3">
      <c r="B46" s="809"/>
      <c r="C46" s="498" t="s">
        <v>265</v>
      </c>
      <c r="D46" s="315">
        <f>'3| Building Mix'!I38</f>
        <v>32250</v>
      </c>
      <c r="E46" s="2"/>
      <c r="F46" s="2"/>
      <c r="G46" s="2"/>
      <c r="H46" s="2"/>
      <c r="I46" s="2"/>
      <c r="N46" s="499"/>
      <c r="P46" s="501"/>
      <c r="AL46" s="500"/>
      <c r="AN46" s="492"/>
    </row>
    <row r="47" spans="2:40" x14ac:dyDescent="0.3">
      <c r="B47" s="809"/>
      <c r="C47" s="458" t="s">
        <v>158</v>
      </c>
      <c r="D47" s="2">
        <f>D46*$D$7</f>
        <v>1612.5</v>
      </c>
      <c r="E47" s="2">
        <f>ROUNDDOWN(D47/$E$7,0)</f>
        <v>3</v>
      </c>
      <c r="F47" s="2">
        <f>E47-G47-H47</f>
        <v>2</v>
      </c>
      <c r="G47" s="2">
        <f>ROUNDUP(E47*0.25,0)</f>
        <v>1</v>
      </c>
      <c r="H47" s="2">
        <f>ROUNDDOWN(E47*0.05,0)</f>
        <v>0</v>
      </c>
      <c r="I47" s="10">
        <f>(F47*$G$7)+(G47*$J$7)+(H47*$N$7)</f>
        <v>45952.529182879371</v>
      </c>
      <c r="N47" s="499"/>
      <c r="P47" s="501"/>
      <c r="AL47" s="500"/>
      <c r="AN47" s="492"/>
    </row>
    <row r="48" spans="2:40" x14ac:dyDescent="0.3">
      <c r="B48" s="809"/>
      <c r="C48" s="498" t="s">
        <v>160</v>
      </c>
      <c r="D48" s="2">
        <f>D46*$D$8</f>
        <v>9675</v>
      </c>
      <c r="E48" s="2">
        <f>ROUNDDOWN(D48/$E$8,0)</f>
        <v>14</v>
      </c>
      <c r="F48" s="2">
        <f t="shared" ref="F48:F50" si="15">E48-G48-H48</f>
        <v>10</v>
      </c>
      <c r="G48" s="2">
        <f>ROUNDUP(E48*0.25,0)</f>
        <v>4</v>
      </c>
      <c r="H48" s="2">
        <f>ROUNDDOWN(E48*0.05,0)</f>
        <v>0</v>
      </c>
      <c r="I48" s="10">
        <f>(F48*$G$8)+(G48*$J$8)+(H48*$N$8)</f>
        <v>360960</v>
      </c>
      <c r="N48" s="499"/>
      <c r="P48" s="501"/>
      <c r="Q48" s="1" t="s">
        <v>302</v>
      </c>
      <c r="R48" s="1">
        <v>20</v>
      </c>
      <c r="AL48" s="500"/>
      <c r="AN48" s="492"/>
    </row>
    <row r="49" spans="2:40" x14ac:dyDescent="0.3">
      <c r="B49" s="809"/>
      <c r="C49" s="498" t="s">
        <v>162</v>
      </c>
      <c r="D49" s="2">
        <f>D46*$D$9</f>
        <v>12900</v>
      </c>
      <c r="E49" s="2">
        <f>ROUNDDOWN(D49/$E$9,0)</f>
        <v>14</v>
      </c>
      <c r="F49" s="2">
        <f t="shared" si="15"/>
        <v>10</v>
      </c>
      <c r="G49" s="2">
        <f>ROUNDUP(E49*0.25,0)</f>
        <v>4</v>
      </c>
      <c r="H49" s="2">
        <f t="shared" ref="H49:H50" si="16">ROUNDDOWN(E49*0.05,0)</f>
        <v>0</v>
      </c>
      <c r="I49" s="10">
        <f>(F49*$G$9)+(G49*$J$9)+(H49*$N$9)</f>
        <v>499200</v>
      </c>
      <c r="N49" s="499"/>
      <c r="P49" s="501"/>
      <c r="Q49" s="322" t="s">
        <v>303</v>
      </c>
      <c r="R49" s="1">
        <v>40</v>
      </c>
      <c r="AL49" s="500"/>
      <c r="AN49" s="492"/>
    </row>
    <row r="50" spans="2:40" x14ac:dyDescent="0.3">
      <c r="B50" s="810"/>
      <c r="C50" s="498" t="s">
        <v>164</v>
      </c>
      <c r="D50" s="2">
        <f>D46*$D$10</f>
        <v>8062.5</v>
      </c>
      <c r="E50" s="2">
        <f>ROUNDDOWN(D50/$E$10,0)</f>
        <v>7</v>
      </c>
      <c r="F50" s="2">
        <f t="shared" si="15"/>
        <v>5</v>
      </c>
      <c r="G50" s="2">
        <f>ROUNDUP(E50*0.25,0)</f>
        <v>2</v>
      </c>
      <c r="H50" s="2">
        <f t="shared" si="16"/>
        <v>0</v>
      </c>
      <c r="I50" s="10">
        <f>(F50*$G$10)+(G50*$J$10)+(H50*$N$10)</f>
        <v>472320</v>
      </c>
      <c r="J50" s="10">
        <f>SUM(I47:I50)</f>
        <v>1378432.5291828793</v>
      </c>
      <c r="K50" s="315">
        <f>'3| Building Mix'!I37</f>
        <v>12900</v>
      </c>
      <c r="L50" s="20">
        <f>$S$10</f>
        <v>45.5</v>
      </c>
      <c r="M50" s="20">
        <f>K50*L50</f>
        <v>586950</v>
      </c>
      <c r="N50" s="317">
        <f>J50+M50</f>
        <v>1965382.5291828793</v>
      </c>
      <c r="P50" s="27">
        <f>$W$10*(K50+D46)</f>
        <v>6772500</v>
      </c>
      <c r="Q50" s="27"/>
      <c r="R50" s="27">
        <f>SUM(R48:R49)*'2| Assumptions'!$C$29</f>
        <v>3937500</v>
      </c>
      <c r="S50" s="27">
        <f>P50*'2| Assumptions'!$F$30</f>
        <v>338625</v>
      </c>
      <c r="T50" s="27">
        <f>'5| Demolitions &amp; Land'!D19</f>
        <v>250000</v>
      </c>
      <c r="U50" s="27">
        <f>'5| Demolitions &amp; Land'!J19</f>
        <v>18701000</v>
      </c>
      <c r="V50" s="27">
        <f>SUM(F47:F50,G47:G50)*'2| Assumptions'!$F$31</f>
        <v>152000</v>
      </c>
      <c r="W50" s="27">
        <f>'3| Building Mix'!J37*'2| Assumptions'!F27</f>
        <v>1963200</v>
      </c>
      <c r="X50" s="27">
        <f>'6a| Phase 1 Financial'!C63/5</f>
        <v>80000</v>
      </c>
      <c r="Y50" s="27">
        <f>'6a| Phase 1 Financial'!C64/5</f>
        <v>524394.3600000001</v>
      </c>
      <c r="Z50" s="27">
        <f>(P50+S50)*'2| Assumptions'!$F$35</f>
        <v>426667.5</v>
      </c>
      <c r="AA50" s="27">
        <f>(P50+S50)*'2| Assumptions'!$F$36</f>
        <v>213333.75</v>
      </c>
      <c r="AB50" s="27">
        <f>(P50+S50)*'2| Assumptions'!$F$37</f>
        <v>142222.5</v>
      </c>
      <c r="AC50" s="27">
        <f>'6a| Phase 1 Financial'!$C$68</f>
        <v>0</v>
      </c>
      <c r="AD50" s="27">
        <f>'6a| Phase 1 Financial'!$B$69*SUM('4| Development Program'!E47:E50)</f>
        <v>190000</v>
      </c>
      <c r="AE50" s="27">
        <f>'6a| Phase 1 Financial'!$C$70/5</f>
        <v>300000</v>
      </c>
      <c r="AF50" s="27">
        <f>'6a| Phase 1 Financial'!$C$71/5</f>
        <v>1610524.2987900903</v>
      </c>
      <c r="AG50" s="27">
        <f>'6a| Phase 1 Financial'!$B$72*'4| Development Program'!K50</f>
        <v>322500</v>
      </c>
      <c r="AH50" s="27">
        <f>M50*'2| Assumptions'!$F$43*5</f>
        <v>176085</v>
      </c>
      <c r="AI50" s="27">
        <f>'6a| Phase 1 Financial'!$C$74/5</f>
        <v>686475</v>
      </c>
      <c r="AJ50" s="27">
        <f>'6a| Phase 1 Financial'!$C$75/5</f>
        <v>3203550.0000000005</v>
      </c>
      <c r="AK50" s="27">
        <f>'6a| Phase 1 Financial'!$C$76/5</f>
        <v>200000</v>
      </c>
      <c r="AL50" s="27">
        <f t="shared" ref="AL50" si="17">SUM(P50:AK50)</f>
        <v>40190577.408790089</v>
      </c>
      <c r="AN50" s="492"/>
    </row>
    <row r="51" spans="2:40" x14ac:dyDescent="0.3">
      <c r="AN51" s="492"/>
    </row>
    <row r="52" spans="2:40" x14ac:dyDescent="0.3">
      <c r="AN52" s="492"/>
    </row>
    <row r="53" spans="2:40" x14ac:dyDescent="0.3">
      <c r="AN53" s="492"/>
    </row>
    <row r="54" spans="2:40" x14ac:dyDescent="0.3">
      <c r="AN54" s="492"/>
    </row>
    <row r="55" spans="2:40" ht="14.7" customHeight="1" x14ac:dyDescent="0.3">
      <c r="AN55" s="492"/>
    </row>
    <row r="56" spans="2:40" x14ac:dyDescent="0.3">
      <c r="B56" s="805" t="s">
        <v>304</v>
      </c>
      <c r="C56" s="498" t="s">
        <v>242</v>
      </c>
      <c r="D56" s="2" t="s">
        <v>281</v>
      </c>
      <c r="E56" s="2" t="s">
        <v>282</v>
      </c>
      <c r="F56" s="2" t="s">
        <v>283</v>
      </c>
      <c r="G56" s="2" t="s">
        <v>284</v>
      </c>
      <c r="H56" s="2" t="s">
        <v>285</v>
      </c>
      <c r="I56" s="2" t="s">
        <v>286</v>
      </c>
      <c r="J56" s="2" t="s">
        <v>287</v>
      </c>
      <c r="K56" s="2" t="s">
        <v>288</v>
      </c>
      <c r="L56" s="2" t="s">
        <v>289</v>
      </c>
      <c r="M56" s="2" t="s">
        <v>290</v>
      </c>
      <c r="N56" s="316" t="s">
        <v>291</v>
      </c>
      <c r="P56" s="2" t="s">
        <v>276</v>
      </c>
      <c r="Q56" s="2"/>
      <c r="R56" s="2" t="s">
        <v>292</v>
      </c>
      <c r="S56" s="2" t="s">
        <v>293</v>
      </c>
      <c r="T56" s="2" t="s">
        <v>294</v>
      </c>
      <c r="U56" s="2" t="s">
        <v>295</v>
      </c>
      <c r="V56" s="2" t="s">
        <v>208</v>
      </c>
      <c r="W56" s="2" t="s">
        <v>209</v>
      </c>
      <c r="X56" s="2" t="s">
        <v>109</v>
      </c>
      <c r="Y56" s="2" t="s">
        <v>296</v>
      </c>
      <c r="Z56" s="2" t="s">
        <v>297</v>
      </c>
      <c r="AA56" s="2" t="s">
        <v>298</v>
      </c>
      <c r="AB56" s="2" t="s">
        <v>299</v>
      </c>
      <c r="AC56" s="2" t="s">
        <v>211</v>
      </c>
      <c r="AD56" s="2" t="s">
        <v>123</v>
      </c>
      <c r="AE56" s="2" t="s">
        <v>124</v>
      </c>
      <c r="AF56" s="2" t="s">
        <v>125</v>
      </c>
      <c r="AG56" s="2" t="s">
        <v>212</v>
      </c>
      <c r="AH56" s="2" t="s">
        <v>300</v>
      </c>
      <c r="AI56" s="2" t="s">
        <v>128</v>
      </c>
      <c r="AJ56" s="2" t="s">
        <v>130</v>
      </c>
      <c r="AK56" s="2" t="s">
        <v>215</v>
      </c>
      <c r="AL56" s="2" t="s">
        <v>301</v>
      </c>
      <c r="AM56" s="323"/>
      <c r="AN56" s="492"/>
    </row>
    <row r="57" spans="2:40" x14ac:dyDescent="0.3">
      <c r="B57" s="806"/>
      <c r="C57" s="498" t="s">
        <v>257</v>
      </c>
      <c r="D57" s="2">
        <f>'3| Building Mix'!I22</f>
        <v>0</v>
      </c>
      <c r="E57" s="2"/>
      <c r="F57" s="2"/>
      <c r="G57" s="2"/>
      <c r="H57" s="2"/>
      <c r="I57" s="2"/>
      <c r="N57" s="499"/>
      <c r="P57" s="501"/>
      <c r="AL57" s="500"/>
      <c r="AM57" s="323"/>
      <c r="AN57" s="492"/>
    </row>
    <row r="58" spans="2:40" x14ac:dyDescent="0.3">
      <c r="B58" s="806"/>
      <c r="C58" s="458" t="s">
        <v>158</v>
      </c>
      <c r="D58" s="2">
        <f>D57*$D$7</f>
        <v>0</v>
      </c>
      <c r="E58" s="2">
        <f>ROUNDDOWN(D58/$E$7,0)</f>
        <v>0</v>
      </c>
      <c r="F58" s="2">
        <f>E58-G58-H58</f>
        <v>0</v>
      </c>
      <c r="G58" s="2">
        <f>ROUNDUP(E58*0.25,0)</f>
        <v>0</v>
      </c>
      <c r="H58" s="2">
        <f>ROUNDDOWN(E58*0.05,0)</f>
        <v>0</v>
      </c>
      <c r="I58" s="10">
        <f>(F58*$G$7)+(G58*$J$7)+(H58*$N$7)</f>
        <v>0</v>
      </c>
      <c r="N58" s="499"/>
      <c r="P58" s="501"/>
      <c r="AL58" s="500"/>
      <c r="AM58" s="323"/>
      <c r="AN58" s="492"/>
    </row>
    <row r="59" spans="2:40" x14ac:dyDescent="0.3">
      <c r="B59" s="806"/>
      <c r="C59" s="498" t="s">
        <v>160</v>
      </c>
      <c r="D59" s="2">
        <f>D57*$D$8</f>
        <v>0</v>
      </c>
      <c r="E59" s="2">
        <f>ROUNDDOWN(D59/$E$8,0)</f>
        <v>0</v>
      </c>
      <c r="F59" s="2">
        <f t="shared" ref="F59:F61" si="18">E59-G59-H59</f>
        <v>0</v>
      </c>
      <c r="G59" s="2">
        <f>ROUNDUP(E59*0.25,0)</f>
        <v>0</v>
      </c>
      <c r="H59" s="2">
        <f>ROUNDDOWN(E59*0.05,0)</f>
        <v>0</v>
      </c>
      <c r="I59" s="10">
        <f>(F59*$G$8)+(G59*$J$8)+(H59*$N$8)</f>
        <v>0</v>
      </c>
      <c r="N59" s="499"/>
      <c r="P59" s="501"/>
      <c r="Q59" s="1" t="s">
        <v>302</v>
      </c>
      <c r="R59" s="1">
        <v>0</v>
      </c>
      <c r="AL59" s="500"/>
      <c r="AM59" s="323"/>
      <c r="AN59" s="492"/>
    </row>
    <row r="60" spans="2:40" x14ac:dyDescent="0.3">
      <c r="B60" s="806"/>
      <c r="C60" s="498" t="s">
        <v>162</v>
      </c>
      <c r="D60" s="2">
        <f>D57*$D$9</f>
        <v>0</v>
      </c>
      <c r="E60" s="2">
        <f>ROUNDDOWN(D60/$E$9,0)</f>
        <v>0</v>
      </c>
      <c r="F60" s="2">
        <f t="shared" si="18"/>
        <v>0</v>
      </c>
      <c r="G60" s="2">
        <f>ROUNDUP(E60*0.25,0)</f>
        <v>0</v>
      </c>
      <c r="H60" s="2">
        <f t="shared" ref="H60:H61" si="19">ROUNDDOWN(E60*0.05,0)</f>
        <v>0</v>
      </c>
      <c r="I60" s="10">
        <f>(F60*$G$9)+(G60*$J$9)+(H60*$N$9)</f>
        <v>0</v>
      </c>
      <c r="N60" s="499"/>
      <c r="P60" s="501"/>
      <c r="Q60" s="322" t="s">
        <v>303</v>
      </c>
      <c r="R60" s="1">
        <f>ROUNDUP(SUM(E58:E61)*'2| Assumptions'!$C$24,0)</f>
        <v>0</v>
      </c>
      <c r="AL60" s="500"/>
      <c r="AM60" s="323"/>
      <c r="AN60" s="492"/>
    </row>
    <row r="61" spans="2:40" x14ac:dyDescent="0.3">
      <c r="B61" s="806"/>
      <c r="C61" s="498" t="s">
        <v>164</v>
      </c>
      <c r="D61" s="2">
        <f>D57*$D$10</f>
        <v>0</v>
      </c>
      <c r="E61" s="2">
        <f>ROUNDDOWN(D61/$E$10,0)</f>
        <v>0</v>
      </c>
      <c r="F61" s="2">
        <f t="shared" si="18"/>
        <v>0</v>
      </c>
      <c r="G61" s="2">
        <f>ROUNDUP(E61*0.25,0)</f>
        <v>0</v>
      </c>
      <c r="H61" s="2">
        <f t="shared" si="19"/>
        <v>0</v>
      </c>
      <c r="I61" s="10">
        <f>(F61*$G$10)+(G61*$J$10)+(H61*$N$10)</f>
        <v>0</v>
      </c>
      <c r="J61" s="10">
        <f>SUM(I58:I61)</f>
        <v>0</v>
      </c>
      <c r="K61" s="2">
        <f>'3| Building Mix'!I21</f>
        <v>900</v>
      </c>
      <c r="L61" s="20">
        <f>$S$10</f>
        <v>45.5</v>
      </c>
      <c r="M61" s="20">
        <f>K61*L61</f>
        <v>40950</v>
      </c>
      <c r="N61" s="317">
        <f>J61+M61</f>
        <v>40950</v>
      </c>
      <c r="P61" s="27">
        <f>$W$8*(K61+D57)</f>
        <v>292500</v>
      </c>
      <c r="Q61" s="27"/>
      <c r="R61" s="27">
        <f>SUM(R59:R60)*'2| Assumptions'!$C$29</f>
        <v>0</v>
      </c>
      <c r="S61" s="27">
        <f>P61*'2| Assumptions'!$F$30</f>
        <v>14625</v>
      </c>
      <c r="T61" s="27">
        <f>'5| Demolitions &amp; Land'!D15*('3| Building Mix'!E21/('3| Building Mix'!E21+'3| Building Mix'!E23+'3| Building Mix'!E25+'3| Building Mix'!E27+'3| Building Mix'!E29))</f>
        <v>1232.9442709189545</v>
      </c>
      <c r="U61" s="27">
        <f>'5| Demolitions &amp; Land'!J15*('3| Building Mix'!E21/('3| Building Mix'!E21+'3| Building Mix'!E23+'3| Building Mix'!E25+'3| Building Mix'!E27+'3| Building Mix'!E29))</f>
        <v>248981.70310701957</v>
      </c>
      <c r="V61" s="27">
        <f>SUM(F58:F61,G58:G61)*'2| Assumptions'!$F$31</f>
        <v>0</v>
      </c>
      <c r="W61" s="27">
        <f>'3| Building Mix'!J21*'2| Assumptions'!F27/5</f>
        <v>2151235.5555555555</v>
      </c>
      <c r="X61" s="27">
        <f>'7a| Phase 2 Financial'!C63/9</f>
        <v>33333.333333333336</v>
      </c>
      <c r="Y61" s="27">
        <f>'7a| Phase 2 Financial'!C64/9</f>
        <v>156028.25</v>
      </c>
      <c r="Z61" s="27">
        <f>(P61+S61)*'2| Assumptions'!$F$35</f>
        <v>18427.5</v>
      </c>
      <c r="AA61" s="27">
        <f>(P61+S61)*'2| Assumptions'!$F$36</f>
        <v>9213.75</v>
      </c>
      <c r="AB61" s="27">
        <f>(P61+S61)*'2| Assumptions'!$F$37</f>
        <v>6142.5</v>
      </c>
      <c r="AC61" s="27">
        <f>'7a| Phase 2 Financial'!$C$68/9</f>
        <v>0</v>
      </c>
      <c r="AD61" s="27">
        <f>'7a| Phase 2 Financial'!$B$69*SUM('4| Development Program'!E58:E61)</f>
        <v>0</v>
      </c>
      <c r="AE61" s="27">
        <f>'7a| Phase 2 Financial'!$C$70/9</f>
        <v>333333.33333333331</v>
      </c>
      <c r="AF61" s="27">
        <f>'7a| Phase 2 Financial'!$C$71/9</f>
        <v>328471.00887957698</v>
      </c>
      <c r="AG61" s="27">
        <f>'7a| Phase 2 Financial'!$B$72*K61</f>
        <v>22500</v>
      </c>
      <c r="AH61" s="27">
        <f>'2| Assumptions'!$F$43*M61*5</f>
        <v>12285</v>
      </c>
      <c r="AI61" s="27">
        <f>'7a| Phase 2 Financial'!$C$74/9</f>
        <v>127916.66666666667</v>
      </c>
      <c r="AJ61" s="27">
        <f>'7a| Phase 2 Financial'!$C$75/9</f>
        <v>596944.4444444445</v>
      </c>
      <c r="AK61" s="27">
        <f>'7a| Phase 2 Financial'!$C$76/9</f>
        <v>55555.555555555555</v>
      </c>
      <c r="AL61" s="27">
        <f t="shared" ref="AL61" si="20">SUM(P61:AK61)</f>
        <v>4408726.5451464048</v>
      </c>
      <c r="AM61" s="323"/>
      <c r="AN61" s="492"/>
    </row>
    <row r="62" spans="2:40" x14ac:dyDescent="0.3">
      <c r="B62" s="806"/>
      <c r="N62" s="499"/>
      <c r="P62" s="501"/>
      <c r="AL62" s="500"/>
      <c r="AM62" s="323"/>
      <c r="AN62" s="492"/>
    </row>
    <row r="63" spans="2:40" x14ac:dyDescent="0.3">
      <c r="B63" s="806"/>
      <c r="C63" s="498" t="s">
        <v>242</v>
      </c>
      <c r="D63" s="2" t="s">
        <v>281</v>
      </c>
      <c r="E63" s="2" t="s">
        <v>282</v>
      </c>
      <c r="F63" s="2" t="s">
        <v>283</v>
      </c>
      <c r="G63" s="2" t="s">
        <v>284</v>
      </c>
      <c r="H63" s="2" t="s">
        <v>285</v>
      </c>
      <c r="I63" s="2" t="s">
        <v>286</v>
      </c>
      <c r="J63" s="2" t="s">
        <v>287</v>
      </c>
      <c r="K63" s="2" t="s">
        <v>288</v>
      </c>
      <c r="L63" s="2" t="s">
        <v>289</v>
      </c>
      <c r="M63" s="2" t="s">
        <v>290</v>
      </c>
      <c r="N63" s="316" t="s">
        <v>291</v>
      </c>
      <c r="P63" s="2" t="s">
        <v>276</v>
      </c>
      <c r="Q63" s="2"/>
      <c r="R63" s="2" t="s">
        <v>292</v>
      </c>
      <c r="S63" s="2" t="s">
        <v>293</v>
      </c>
      <c r="T63" s="2" t="s">
        <v>294</v>
      </c>
      <c r="U63" s="2" t="s">
        <v>295</v>
      </c>
      <c r="V63" s="2" t="s">
        <v>208</v>
      </c>
      <c r="W63" s="2" t="s">
        <v>209</v>
      </c>
      <c r="X63" s="2" t="s">
        <v>109</v>
      </c>
      <c r="Y63" s="2" t="s">
        <v>296</v>
      </c>
      <c r="Z63" s="2" t="s">
        <v>297</v>
      </c>
      <c r="AA63" s="2" t="s">
        <v>298</v>
      </c>
      <c r="AB63" s="2" t="s">
        <v>299</v>
      </c>
      <c r="AC63" s="2" t="s">
        <v>211</v>
      </c>
      <c r="AD63" s="2" t="s">
        <v>123</v>
      </c>
      <c r="AE63" s="2" t="s">
        <v>124</v>
      </c>
      <c r="AF63" s="2" t="s">
        <v>125</v>
      </c>
      <c r="AG63" s="2" t="s">
        <v>212</v>
      </c>
      <c r="AH63" s="2" t="s">
        <v>300</v>
      </c>
      <c r="AI63" s="2" t="s">
        <v>128</v>
      </c>
      <c r="AJ63" s="2" t="s">
        <v>130</v>
      </c>
      <c r="AK63" s="2" t="s">
        <v>215</v>
      </c>
      <c r="AL63" s="2" t="s">
        <v>301</v>
      </c>
      <c r="AM63" s="323"/>
      <c r="AN63" s="492"/>
    </row>
    <row r="64" spans="2:40" x14ac:dyDescent="0.3">
      <c r="B64" s="806"/>
      <c r="C64" s="498" t="s">
        <v>258</v>
      </c>
      <c r="D64" s="2">
        <f>'3| Building Mix'!I24</f>
        <v>143360</v>
      </c>
      <c r="E64" s="2"/>
      <c r="F64" s="2"/>
      <c r="G64" s="2"/>
      <c r="H64" s="2"/>
      <c r="I64" s="2"/>
      <c r="N64" s="499"/>
      <c r="P64" s="501"/>
      <c r="AL64" s="500"/>
      <c r="AM64" s="323"/>
      <c r="AN64" s="492"/>
    </row>
    <row r="65" spans="2:40" x14ac:dyDescent="0.3">
      <c r="B65" s="806"/>
      <c r="C65" s="458" t="s">
        <v>158</v>
      </c>
      <c r="D65" s="2">
        <f>D64*$D$7</f>
        <v>7168</v>
      </c>
      <c r="E65" s="2">
        <f>ROUNDDOWN(D65/$E$7,0)</f>
        <v>15</v>
      </c>
      <c r="F65" s="2">
        <f>E65-G65-H65</f>
        <v>11</v>
      </c>
      <c r="G65" s="2">
        <f>ROUNDUP(E65*0.25,0)</f>
        <v>4</v>
      </c>
      <c r="H65" s="2">
        <f>ROUNDDOWN(E65*0.05,0)</f>
        <v>0</v>
      </c>
      <c r="I65" s="10">
        <f>(F65*$G$7)+(G65*$J$7)+(H65*$N$7)</f>
        <v>234868.48249027238</v>
      </c>
      <c r="N65" s="499"/>
      <c r="P65" s="501"/>
      <c r="AL65" s="500"/>
      <c r="AM65" s="323"/>
      <c r="AN65" s="492"/>
    </row>
    <row r="66" spans="2:40" x14ac:dyDescent="0.3">
      <c r="B66" s="806"/>
      <c r="C66" s="498" t="s">
        <v>160</v>
      </c>
      <c r="D66" s="2">
        <f>D64*$D$8</f>
        <v>43008</v>
      </c>
      <c r="E66" s="2">
        <f>ROUNDDOWN(D66/$E$8,0)</f>
        <v>64</v>
      </c>
      <c r="F66" s="2">
        <f t="shared" ref="F66:F68" si="21">E66-G66-H66</f>
        <v>45</v>
      </c>
      <c r="G66" s="2">
        <f>ROUNDUP(E66*0.25,0)</f>
        <v>16</v>
      </c>
      <c r="H66" s="2">
        <f>ROUNDDOWN(E66*0.05,0)</f>
        <v>3</v>
      </c>
      <c r="I66" s="10">
        <f>(F66*$G$8)+(G66*$J$8)+(H66*$N$8)</f>
        <v>1694820</v>
      </c>
      <c r="N66" s="499"/>
      <c r="P66" s="501"/>
      <c r="Q66" s="1" t="s">
        <v>302</v>
      </c>
      <c r="R66" s="1">
        <v>0</v>
      </c>
      <c r="AL66" s="500"/>
      <c r="AM66" s="323"/>
      <c r="AN66" s="492"/>
    </row>
    <row r="67" spans="2:40" x14ac:dyDescent="0.3">
      <c r="B67" s="806"/>
      <c r="C67" s="498" t="s">
        <v>162</v>
      </c>
      <c r="D67" s="2">
        <f>D64*$D$9</f>
        <v>57344</v>
      </c>
      <c r="E67" s="2">
        <f>ROUNDDOWN(D67/$E$9,0)</f>
        <v>66</v>
      </c>
      <c r="F67" s="2">
        <f t="shared" si="21"/>
        <v>46</v>
      </c>
      <c r="G67" s="2">
        <f>ROUNDUP(E67*0.25,0)</f>
        <v>17</v>
      </c>
      <c r="H67" s="2">
        <f t="shared" ref="H67:H68" si="22">ROUNDDOWN(E67*0.05,0)</f>
        <v>3</v>
      </c>
      <c r="I67" s="10">
        <f>(F67*$G$9)+(G67*$J$9)+(H67*$N$9)</f>
        <v>2410200</v>
      </c>
      <c r="N67" s="499"/>
      <c r="P67" s="501"/>
      <c r="Q67" s="322" t="s">
        <v>303</v>
      </c>
      <c r="R67" s="1">
        <v>0</v>
      </c>
      <c r="AL67" s="500"/>
      <c r="AM67" s="323"/>
      <c r="AN67" s="492"/>
    </row>
    <row r="68" spans="2:40" x14ac:dyDescent="0.3">
      <c r="B68" s="806"/>
      <c r="C68" s="498" t="s">
        <v>164</v>
      </c>
      <c r="D68" s="2">
        <f>D64*$D$10</f>
        <v>35840</v>
      </c>
      <c r="E68" s="2">
        <f>ROUNDDOWN(D68/$E$10,0)</f>
        <v>34</v>
      </c>
      <c r="F68" s="2">
        <f t="shared" si="21"/>
        <v>24</v>
      </c>
      <c r="G68" s="2">
        <f>ROUNDUP(E68*0.25,0)</f>
        <v>9</v>
      </c>
      <c r="H68" s="2">
        <f t="shared" si="22"/>
        <v>1</v>
      </c>
      <c r="I68" s="10">
        <f>(F68*$G$10)+(G68*$J$10)+(H68*$N$10)</f>
        <v>2332080</v>
      </c>
      <c r="J68" s="10">
        <f>SUM(I65:I68)</f>
        <v>6671968.4824902723</v>
      </c>
      <c r="K68" s="2">
        <f>'3| Building Mix'!I23</f>
        <v>13440</v>
      </c>
      <c r="L68" s="20">
        <f>$S$10</f>
        <v>45.5</v>
      </c>
      <c r="M68" s="20">
        <f>K68*L68</f>
        <v>611520</v>
      </c>
      <c r="N68" s="317">
        <f>J68+M68</f>
        <v>7283488.4824902723</v>
      </c>
      <c r="P68" s="27">
        <f>$W$8*(K68+D64)</f>
        <v>50960000</v>
      </c>
      <c r="Q68" s="27"/>
      <c r="R68" s="27">
        <f>SUM(R66:R67)*'2| Assumptions'!$C$29</f>
        <v>0</v>
      </c>
      <c r="S68" s="27">
        <f>P68*'2| Assumptions'!$F$30</f>
        <v>2548000</v>
      </c>
      <c r="T68" s="27">
        <f>'5| Demolitions &amp; Land'!D15*('3| Building Mix'!E23/('3| Building Mix'!E21+'3| Building Mix'!E23+'3| Building Mix'!E25+'3| Building Mix'!E27+'3| Building Mix'!E29))</f>
        <v>214806.29075565786</v>
      </c>
      <c r="U68" s="27">
        <f>'5| Demolitions &amp; Land'!J15*('3| Building Mix'!E23/('3| Building Mix'!E21+'3| Building Mix'!E23+'3| Building Mix'!E25+'3| Building Mix'!E27+'3| Building Mix'!E29))</f>
        <v>43378145.607978523</v>
      </c>
      <c r="V68" s="27">
        <f>SUM(F65:F68,G65:G68)*'2| Assumptions'!$F$31</f>
        <v>688000</v>
      </c>
      <c r="W68" s="27">
        <f>'3| Building Mix'!J21*'2| Assumptions'!F27/5</f>
        <v>2151235.5555555555</v>
      </c>
      <c r="X68" s="27">
        <f>'7a| Phase 2 Financial'!C63/9</f>
        <v>33333.333333333336</v>
      </c>
      <c r="Y68" s="27">
        <f>'7a| Phase 2 Financial'!C64/9</f>
        <v>156028.25</v>
      </c>
      <c r="Z68" s="27">
        <f>(P68+S68)*'2| Assumptions'!$F$35</f>
        <v>3210480</v>
      </c>
      <c r="AA68" s="27">
        <f>(P68+S68)*'2| Assumptions'!$F$36</f>
        <v>1605240</v>
      </c>
      <c r="AB68" s="27">
        <f>(P68+S68)*'2| Assumptions'!$F$37</f>
        <v>1070160</v>
      </c>
      <c r="AC68" s="27">
        <f>'7a| Phase 2 Financial'!$C$68/9</f>
        <v>0</v>
      </c>
      <c r="AD68" s="27">
        <f>'7a| Phase 2 Financial'!$B$69*SUM('4| Development Program'!E65:E68)</f>
        <v>895000</v>
      </c>
      <c r="AE68" s="27">
        <f>'7a| Phase 2 Financial'!$C$70/9</f>
        <v>333333.33333333331</v>
      </c>
      <c r="AF68" s="27">
        <f>'7a| Phase 2 Financial'!$C$71/9</f>
        <v>328471.00887957698</v>
      </c>
      <c r="AG68" s="27">
        <f>'7a| Phase 2 Financial'!$B$72*K68</f>
        <v>336000</v>
      </c>
      <c r="AH68" s="27">
        <f>'2| Assumptions'!$F$43*M68*5</f>
        <v>183456</v>
      </c>
      <c r="AI68" s="27">
        <f>'7a| Phase 2 Financial'!$C$74/9</f>
        <v>127916.66666666667</v>
      </c>
      <c r="AJ68" s="27">
        <f>'7a| Phase 2 Financial'!$C$75/9</f>
        <v>596944.4444444445</v>
      </c>
      <c r="AK68" s="27">
        <f>'7a| Phase 2 Financial'!$C$76/9</f>
        <v>55555.555555555555</v>
      </c>
      <c r="AL68" s="27">
        <f t="shared" ref="AL68" si="23">SUM(P68:AK68)</f>
        <v>108872106.04650263</v>
      </c>
      <c r="AM68" s="323"/>
      <c r="AN68" s="492"/>
    </row>
    <row r="69" spans="2:40" x14ac:dyDescent="0.3">
      <c r="B69" s="806"/>
      <c r="N69" s="499"/>
      <c r="P69" s="501"/>
      <c r="AL69" s="500"/>
      <c r="AM69" s="323"/>
      <c r="AN69" s="492"/>
    </row>
    <row r="70" spans="2:40" x14ac:dyDescent="0.3">
      <c r="B70" s="806"/>
      <c r="C70" s="498" t="s">
        <v>242</v>
      </c>
      <c r="D70" s="2" t="s">
        <v>281</v>
      </c>
      <c r="E70" s="2" t="s">
        <v>282</v>
      </c>
      <c r="F70" s="2" t="s">
        <v>283</v>
      </c>
      <c r="G70" s="2" t="s">
        <v>284</v>
      </c>
      <c r="H70" s="2" t="s">
        <v>285</v>
      </c>
      <c r="I70" s="2" t="s">
        <v>286</v>
      </c>
      <c r="J70" s="2" t="s">
        <v>287</v>
      </c>
      <c r="K70" s="2" t="s">
        <v>288</v>
      </c>
      <c r="L70" s="2" t="s">
        <v>289</v>
      </c>
      <c r="M70" s="2" t="s">
        <v>290</v>
      </c>
      <c r="N70" s="316" t="s">
        <v>291</v>
      </c>
      <c r="P70" s="2" t="s">
        <v>276</v>
      </c>
      <c r="Q70" s="2"/>
      <c r="R70" s="2" t="s">
        <v>292</v>
      </c>
      <c r="S70" s="2" t="s">
        <v>293</v>
      </c>
      <c r="T70" s="2" t="s">
        <v>294</v>
      </c>
      <c r="U70" s="2" t="s">
        <v>295</v>
      </c>
      <c r="V70" s="2" t="s">
        <v>208</v>
      </c>
      <c r="W70" s="2" t="s">
        <v>209</v>
      </c>
      <c r="X70" s="2" t="s">
        <v>109</v>
      </c>
      <c r="Y70" s="2" t="s">
        <v>296</v>
      </c>
      <c r="Z70" s="2" t="s">
        <v>297</v>
      </c>
      <c r="AA70" s="2" t="s">
        <v>298</v>
      </c>
      <c r="AB70" s="2" t="s">
        <v>299</v>
      </c>
      <c r="AC70" s="2" t="s">
        <v>211</v>
      </c>
      <c r="AD70" s="2" t="s">
        <v>123</v>
      </c>
      <c r="AE70" s="2" t="s">
        <v>124</v>
      </c>
      <c r="AF70" s="2" t="s">
        <v>125</v>
      </c>
      <c r="AG70" s="2" t="s">
        <v>212</v>
      </c>
      <c r="AH70" s="2" t="s">
        <v>300</v>
      </c>
      <c r="AI70" s="2" t="s">
        <v>128</v>
      </c>
      <c r="AJ70" s="2" t="s">
        <v>130</v>
      </c>
      <c r="AK70" s="2" t="s">
        <v>215</v>
      </c>
      <c r="AL70" s="2" t="s">
        <v>301</v>
      </c>
      <c r="AM70" s="323"/>
      <c r="AN70" s="492"/>
    </row>
    <row r="71" spans="2:40" x14ac:dyDescent="0.3">
      <c r="B71" s="806"/>
      <c r="C71" s="498" t="s">
        <v>259</v>
      </c>
      <c r="D71" s="2">
        <f>'3| Building Mix'!I26</f>
        <v>108240</v>
      </c>
      <c r="E71" s="2"/>
      <c r="F71" s="2"/>
      <c r="G71" s="2"/>
      <c r="H71" s="2"/>
      <c r="I71" s="2"/>
      <c r="N71" s="499"/>
      <c r="P71" s="501"/>
      <c r="AL71" s="500"/>
      <c r="AM71" s="323"/>
      <c r="AN71" s="492"/>
    </row>
    <row r="72" spans="2:40" x14ac:dyDescent="0.3">
      <c r="B72" s="806"/>
      <c r="C72" s="458" t="s">
        <v>158</v>
      </c>
      <c r="D72" s="2">
        <f>D71*$D$7</f>
        <v>5412</v>
      </c>
      <c r="E72" s="2">
        <f>ROUNDDOWN(D72/$E$7,0)</f>
        <v>12</v>
      </c>
      <c r="F72" s="2">
        <f>E72-G72-H72</f>
        <v>9</v>
      </c>
      <c r="G72" s="2">
        <f>ROUNDUP(E72*0.25,0)</f>
        <v>3</v>
      </c>
      <c r="H72" s="2">
        <f>ROUNDDOWN(E72*0.05,0)</f>
        <v>0</v>
      </c>
      <c r="I72" s="10">
        <f>(F72*$G$7)+(G72*$J$7)+(H72*$N$7)</f>
        <v>188915.95330739301</v>
      </c>
      <c r="N72" s="499"/>
      <c r="P72" s="501"/>
      <c r="AL72" s="500"/>
      <c r="AM72" s="323"/>
      <c r="AN72" s="492"/>
    </row>
    <row r="73" spans="2:40" x14ac:dyDescent="0.3">
      <c r="B73" s="806"/>
      <c r="C73" s="498" t="s">
        <v>160</v>
      </c>
      <c r="D73" s="2">
        <f>D71*$D$8</f>
        <v>32472</v>
      </c>
      <c r="E73" s="2">
        <f>ROUNDDOWN(D73/$E$8,0)</f>
        <v>48</v>
      </c>
      <c r="F73" s="2">
        <f t="shared" ref="F73:F75" si="24">E73-G73-H73</f>
        <v>34</v>
      </c>
      <c r="G73" s="2">
        <f>ROUNDUP(E73*0.25,0)</f>
        <v>12</v>
      </c>
      <c r="H73" s="2">
        <f>ROUNDDOWN(E73*0.05,0)</f>
        <v>2</v>
      </c>
      <c r="I73" s="10">
        <f>(F73*$G$8)+(G73*$J$8)+(H73*$N$8)</f>
        <v>1269000</v>
      </c>
      <c r="N73" s="499"/>
      <c r="P73" s="501"/>
      <c r="Q73" s="1" t="s">
        <v>302</v>
      </c>
      <c r="R73" s="1">
        <v>0</v>
      </c>
      <c r="AL73" s="500"/>
      <c r="AM73" s="323"/>
      <c r="AN73" s="492"/>
    </row>
    <row r="74" spans="2:40" x14ac:dyDescent="0.3">
      <c r="B74" s="806"/>
      <c r="C74" s="498" t="s">
        <v>162</v>
      </c>
      <c r="D74" s="2">
        <f>D71*$D$9</f>
        <v>43296</v>
      </c>
      <c r="E74" s="2">
        <f>ROUNDDOWN(D74/$E$9,0)</f>
        <v>49</v>
      </c>
      <c r="F74" s="2">
        <f t="shared" si="24"/>
        <v>34</v>
      </c>
      <c r="G74" s="2">
        <f>ROUNDUP(E74*0.25,0)</f>
        <v>13</v>
      </c>
      <c r="H74" s="2">
        <f t="shared" ref="H74:H75" si="25">ROUNDDOWN(E74*0.05,0)</f>
        <v>2</v>
      </c>
      <c r="I74" s="10">
        <f>(F74*$G$9)+(G74*$J$9)+(H74*$N$9)</f>
        <v>1782300</v>
      </c>
      <c r="N74" s="499"/>
      <c r="P74" s="501"/>
      <c r="Q74" s="322" t="s">
        <v>303</v>
      </c>
      <c r="R74" s="1">
        <v>0</v>
      </c>
      <c r="AL74" s="500"/>
      <c r="AM74" s="323"/>
      <c r="AN74" s="492"/>
    </row>
    <row r="75" spans="2:40" x14ac:dyDescent="0.3">
      <c r="B75" s="806"/>
      <c r="C75" s="498" t="s">
        <v>164</v>
      </c>
      <c r="D75" s="2">
        <f>D71*$D$10</f>
        <v>27060</v>
      </c>
      <c r="E75" s="2">
        <f>ROUNDDOWN(D75/$E$10,0)</f>
        <v>25</v>
      </c>
      <c r="F75" s="2">
        <f t="shared" si="24"/>
        <v>17</v>
      </c>
      <c r="G75" s="2">
        <f>ROUNDUP(E75*0.25,0)</f>
        <v>7</v>
      </c>
      <c r="H75" s="2">
        <f t="shared" si="25"/>
        <v>1</v>
      </c>
      <c r="I75" s="10">
        <f>(F75*$G$10)+(G75*$J$10)+(H75*$N$10)</f>
        <v>1712160</v>
      </c>
      <c r="J75" s="10">
        <f>SUM(I72:I75)</f>
        <v>4952375.953307393</v>
      </c>
      <c r="K75" s="2">
        <f>'3| Building Mix'!I25</f>
        <v>18040</v>
      </c>
      <c r="L75" s="20">
        <f>$S$10</f>
        <v>45.5</v>
      </c>
      <c r="M75" s="20">
        <f>K75*L75</f>
        <v>820820</v>
      </c>
      <c r="N75" s="317">
        <f>J75+M75</f>
        <v>5773195.953307393</v>
      </c>
      <c r="P75" s="27">
        <f>$W$8*(K75+D71)</f>
        <v>41041000</v>
      </c>
      <c r="Q75" s="27"/>
      <c r="R75" s="27">
        <f>SUM(R73:R74)*'2| Assumptions'!$C$29</f>
        <v>0</v>
      </c>
      <c r="S75" s="27">
        <f>P75*'2| Assumptions'!$F$30</f>
        <v>2052050</v>
      </c>
      <c r="T75" s="27">
        <f>'5| Demolitions &amp; Land'!D15*('3| Building Mix'!E25/('3| Building Mix'!E21+'3| Building Mix'!E23+'3| Building Mix'!E25+'3| Building Mix'!E27+'3| Building Mix'!E29))</f>
        <v>172995.7805907173</v>
      </c>
      <c r="U75" s="27">
        <f>'5| Demolitions &amp; Land'!J15*('3| Building Mix'!E25/('3| Building Mix'!E21+'3| Building Mix'!E23+'3| Building Mix'!E25+'3| Building Mix'!E27+'3| Building Mix'!E29))</f>
        <v>34934899.409282699</v>
      </c>
      <c r="V75" s="27">
        <f>SUM(F72:F75,G72:G75)*'2| Assumptions'!$F$31</f>
        <v>516000</v>
      </c>
      <c r="W75" s="27">
        <f>'3| Building Mix'!J21*'2| Assumptions'!F27/5</f>
        <v>2151235.5555555555</v>
      </c>
      <c r="X75" s="27">
        <f>'7a| Phase 2 Financial'!C63/9</f>
        <v>33333.333333333336</v>
      </c>
      <c r="Y75" s="27">
        <f>'7a| Phase 2 Financial'!C64/9</f>
        <v>156028.25</v>
      </c>
      <c r="Z75" s="27">
        <f>(P75+S75)*'2| Assumptions'!$F$35</f>
        <v>2585583</v>
      </c>
      <c r="AA75" s="27">
        <f>(P75+S75)*'2| Assumptions'!$F$36</f>
        <v>1292791.5</v>
      </c>
      <c r="AB75" s="27">
        <f>(P75+S75)*'2| Assumptions'!$F$37</f>
        <v>861861</v>
      </c>
      <c r="AC75" s="27">
        <f>'7a| Phase 2 Financial'!$C$68/9</f>
        <v>0</v>
      </c>
      <c r="AD75" s="27">
        <f>'7a| Phase 2 Financial'!$B$69*SUM('4| Development Program'!E72:E75)</f>
        <v>670000</v>
      </c>
      <c r="AE75" s="27">
        <f>'7a| Phase 2 Financial'!$C$70/9</f>
        <v>333333.33333333331</v>
      </c>
      <c r="AF75" s="27">
        <f>'7a| Phase 2 Financial'!$C$71/9</f>
        <v>328471.00887957698</v>
      </c>
      <c r="AG75" s="27">
        <f>'7a| Phase 2 Financial'!$B$72*K75</f>
        <v>451000</v>
      </c>
      <c r="AH75" s="27">
        <f>'2| Assumptions'!$F$43*M75*5</f>
        <v>246246</v>
      </c>
      <c r="AI75" s="27">
        <f>'7a| Phase 2 Financial'!$C$74/9</f>
        <v>127916.66666666667</v>
      </c>
      <c r="AJ75" s="27">
        <f>'7a| Phase 2 Financial'!$C$75/9</f>
        <v>596944.4444444445</v>
      </c>
      <c r="AK75" s="27">
        <f>'7a| Phase 2 Financial'!$C$76/9</f>
        <v>55555.555555555555</v>
      </c>
      <c r="AL75" s="27">
        <f t="shared" ref="AL75" si="26">SUM(P75:AK75)</f>
        <v>88607244.83764188</v>
      </c>
      <c r="AM75" s="323"/>
      <c r="AN75" s="492"/>
    </row>
    <row r="76" spans="2:40" x14ac:dyDescent="0.3">
      <c r="B76" s="806"/>
      <c r="N76" s="499"/>
      <c r="P76" s="501"/>
      <c r="AL76" s="500"/>
      <c r="AM76" s="323"/>
      <c r="AN76" s="492"/>
    </row>
    <row r="77" spans="2:40" x14ac:dyDescent="0.3">
      <c r="B77" s="806"/>
      <c r="C77" s="498" t="s">
        <v>242</v>
      </c>
      <c r="D77" s="2" t="s">
        <v>281</v>
      </c>
      <c r="E77" s="2" t="s">
        <v>282</v>
      </c>
      <c r="F77" s="2" t="s">
        <v>283</v>
      </c>
      <c r="G77" s="2" t="s">
        <v>284</v>
      </c>
      <c r="H77" s="2" t="s">
        <v>285</v>
      </c>
      <c r="I77" s="2" t="s">
        <v>286</v>
      </c>
      <c r="J77" s="2" t="s">
        <v>287</v>
      </c>
      <c r="K77" s="2" t="s">
        <v>288</v>
      </c>
      <c r="L77" s="2" t="s">
        <v>289</v>
      </c>
      <c r="M77" s="2" t="s">
        <v>290</v>
      </c>
      <c r="N77" s="316" t="s">
        <v>291</v>
      </c>
      <c r="P77" s="2" t="s">
        <v>276</v>
      </c>
      <c r="Q77" s="2"/>
      <c r="R77" s="2" t="s">
        <v>292</v>
      </c>
      <c r="S77" s="2" t="s">
        <v>293</v>
      </c>
      <c r="T77" s="2" t="s">
        <v>294</v>
      </c>
      <c r="U77" s="2" t="s">
        <v>295</v>
      </c>
      <c r="V77" s="2" t="s">
        <v>208</v>
      </c>
      <c r="W77" s="2" t="s">
        <v>209</v>
      </c>
      <c r="X77" s="2" t="s">
        <v>109</v>
      </c>
      <c r="Y77" s="2" t="s">
        <v>296</v>
      </c>
      <c r="Z77" s="2" t="s">
        <v>297</v>
      </c>
      <c r="AA77" s="2" t="s">
        <v>298</v>
      </c>
      <c r="AB77" s="2" t="s">
        <v>299</v>
      </c>
      <c r="AC77" s="2" t="s">
        <v>211</v>
      </c>
      <c r="AD77" s="2" t="s">
        <v>123</v>
      </c>
      <c r="AE77" s="2" t="s">
        <v>124</v>
      </c>
      <c r="AF77" s="2" t="s">
        <v>125</v>
      </c>
      <c r="AG77" s="2" t="s">
        <v>212</v>
      </c>
      <c r="AH77" s="2" t="s">
        <v>300</v>
      </c>
      <c r="AI77" s="2" t="s">
        <v>128</v>
      </c>
      <c r="AJ77" s="2" t="s">
        <v>130</v>
      </c>
      <c r="AK77" s="2" t="s">
        <v>215</v>
      </c>
      <c r="AL77" s="2" t="s">
        <v>301</v>
      </c>
      <c r="AM77" s="323"/>
      <c r="AN77" s="492"/>
    </row>
    <row r="78" spans="2:40" x14ac:dyDescent="0.3">
      <c r="B78" s="806"/>
      <c r="C78" s="498" t="s">
        <v>260</v>
      </c>
      <c r="D78" s="2">
        <f>'3| Building Mix'!I28</f>
        <v>19200</v>
      </c>
      <c r="E78" s="2"/>
      <c r="F78" s="2"/>
      <c r="G78" s="2"/>
      <c r="H78" s="2"/>
      <c r="I78" s="2"/>
      <c r="N78" s="499"/>
      <c r="P78" s="501"/>
      <c r="AL78" s="500"/>
      <c r="AM78" s="323"/>
      <c r="AN78" s="492"/>
    </row>
    <row r="79" spans="2:40" x14ac:dyDescent="0.3">
      <c r="B79" s="806"/>
      <c r="C79" s="458" t="s">
        <v>158</v>
      </c>
      <c r="D79" s="2">
        <f>D78*$D$7</f>
        <v>960</v>
      </c>
      <c r="E79" s="2">
        <f>ROUNDDOWN(D79/$E$7,0)</f>
        <v>2</v>
      </c>
      <c r="F79" s="2">
        <f>E79-G79-H79</f>
        <v>1</v>
      </c>
      <c r="G79" s="2">
        <f>ROUNDUP(E79*0.25,0)</f>
        <v>1</v>
      </c>
      <c r="H79" s="2">
        <f>ROUNDDOWN(E79*0.05,0)</f>
        <v>0</v>
      </c>
      <c r="I79" s="10">
        <f>(F79*$G$7)+(G79*$J$7)+(H79*$N$7)</f>
        <v>28933.073929961087</v>
      </c>
      <c r="N79" s="499"/>
      <c r="P79" s="501"/>
      <c r="AL79" s="500"/>
      <c r="AM79" s="323"/>
      <c r="AN79" s="492"/>
    </row>
    <row r="80" spans="2:40" x14ac:dyDescent="0.3">
      <c r="B80" s="806"/>
      <c r="C80" s="498" t="s">
        <v>160</v>
      </c>
      <c r="D80" s="2">
        <f>D78*$D$8</f>
        <v>5760</v>
      </c>
      <c r="E80" s="2">
        <f>ROUNDDOWN(D80/$E$8,0)</f>
        <v>8</v>
      </c>
      <c r="F80" s="2">
        <f t="shared" ref="F80:F82" si="27">E80-G80-H80</f>
        <v>6</v>
      </c>
      <c r="G80" s="2">
        <f>ROUNDUP(E80*0.25,0)</f>
        <v>2</v>
      </c>
      <c r="H80" s="2">
        <f>ROUNDDOWN(E80*0.05,0)</f>
        <v>0</v>
      </c>
      <c r="I80" s="10">
        <f>(F80*$G$8)+(G80*$J$8)+(H80*$N$8)</f>
        <v>208680</v>
      </c>
      <c r="N80" s="499"/>
      <c r="P80" s="501"/>
      <c r="Q80" s="1" t="s">
        <v>302</v>
      </c>
      <c r="R80" s="1">
        <v>0</v>
      </c>
      <c r="AL80" s="500"/>
      <c r="AM80" s="323"/>
      <c r="AN80" s="492"/>
    </row>
    <row r="81" spans="2:40" x14ac:dyDescent="0.3">
      <c r="B81" s="806"/>
      <c r="C81" s="498" t="s">
        <v>162</v>
      </c>
      <c r="D81" s="2">
        <f>D78*$D$9</f>
        <v>7680</v>
      </c>
      <c r="E81" s="2">
        <f>ROUNDDOWN(D81/$E$9,0)</f>
        <v>8</v>
      </c>
      <c r="F81" s="2">
        <f t="shared" si="27"/>
        <v>6</v>
      </c>
      <c r="G81" s="2">
        <f>ROUNDUP(E81*0.25,0)</f>
        <v>2</v>
      </c>
      <c r="H81" s="2">
        <f t="shared" ref="H81:H82" si="28">ROUNDDOWN(E81*0.05,0)</f>
        <v>0</v>
      </c>
      <c r="I81" s="10">
        <f>(F81*$G$9)+(G81*$J$9)+(H81*$N$9)</f>
        <v>288600</v>
      </c>
      <c r="N81" s="499"/>
      <c r="P81" s="501"/>
      <c r="Q81" s="322" t="s">
        <v>303</v>
      </c>
      <c r="R81" s="1">
        <v>0</v>
      </c>
      <c r="AL81" s="500"/>
      <c r="AM81" s="323"/>
      <c r="AN81" s="492"/>
    </row>
    <row r="82" spans="2:40" x14ac:dyDescent="0.3">
      <c r="B82" s="806"/>
      <c r="C82" s="498" t="s">
        <v>164</v>
      </c>
      <c r="D82" s="2">
        <f>D78*$D$10</f>
        <v>4800</v>
      </c>
      <c r="E82" s="2">
        <f>ROUNDDOWN(D82/$E$10,0)</f>
        <v>4</v>
      </c>
      <c r="F82" s="2">
        <f t="shared" si="27"/>
        <v>3</v>
      </c>
      <c r="G82" s="2">
        <f>ROUNDUP(E82*0.25,0)</f>
        <v>1</v>
      </c>
      <c r="H82" s="2">
        <f t="shared" si="28"/>
        <v>0</v>
      </c>
      <c r="I82" s="10">
        <f>(F82*$G$10)+(G82*$J$10)+(H82*$N$10)</f>
        <v>273060</v>
      </c>
      <c r="J82" s="10">
        <f>SUM(I79:I82)</f>
        <v>799273.07392996107</v>
      </c>
      <c r="K82" s="2">
        <f>'3| Building Mix'!I27</f>
        <v>9600</v>
      </c>
      <c r="L82" s="20">
        <f>$S$10</f>
        <v>45.5</v>
      </c>
      <c r="M82" s="20">
        <f>K82*L82</f>
        <v>436800</v>
      </c>
      <c r="N82" s="317">
        <f>J82+M82</f>
        <v>1236073.0739299611</v>
      </c>
      <c r="P82" s="27">
        <f>$W$8*(K82+D78)</f>
        <v>9360000</v>
      </c>
      <c r="Q82" s="27"/>
      <c r="R82" s="27">
        <f>SUM(R80:R81)*'2| Assumptions'!$C$29</f>
        <v>0</v>
      </c>
      <c r="S82" s="27">
        <f>P82*'2| Assumptions'!$F$30</f>
        <v>468000</v>
      </c>
      <c r="T82" s="27">
        <f>'5| Demolitions &amp; Land'!D15*('3| Building Mix'!E27/('3| Building Mix'!E21+'3| Building Mix'!E23+'3| Building Mix'!E25+'3| Building Mix'!E27+'3| Building Mix'!E29))</f>
        <v>39454.216669406545</v>
      </c>
      <c r="U82" s="27">
        <f>'5| Demolitions &amp; Land'!J15*('3| Building Mix'!E27/('3| Building Mix'!E21+'3| Building Mix'!E23+'3| Building Mix'!E25+'3| Building Mix'!E27+'3| Building Mix'!E29))</f>
        <v>7967414.4994246261</v>
      </c>
      <c r="V82" s="27">
        <f>SUM(F79:F82,G79:G82)*'2| Assumptions'!$F$31</f>
        <v>88000</v>
      </c>
      <c r="W82" s="27">
        <f>'3| Building Mix'!J21*'2| Assumptions'!F27/5</f>
        <v>2151235.5555555555</v>
      </c>
      <c r="X82" s="27">
        <f>'7a| Phase 2 Financial'!C63/9</f>
        <v>33333.333333333336</v>
      </c>
      <c r="Y82" s="27">
        <f>'7a| Phase 2 Financial'!C64/9</f>
        <v>156028.25</v>
      </c>
      <c r="Z82" s="27">
        <f>(P82+S82)*'2| Assumptions'!$F$35</f>
        <v>589680</v>
      </c>
      <c r="AA82" s="27">
        <f>(P82+S82)*'2| Assumptions'!$F$36</f>
        <v>294840</v>
      </c>
      <c r="AB82" s="27">
        <f>(P82+S82)*'2| Assumptions'!$F$37</f>
        <v>196560</v>
      </c>
      <c r="AC82" s="27">
        <f>'7a| Phase 2 Financial'!$C$68/9</f>
        <v>0</v>
      </c>
      <c r="AD82" s="27">
        <f>'7a| Phase 2 Financial'!$B$69*SUM('4| Development Program'!E79:E82)</f>
        <v>110000</v>
      </c>
      <c r="AE82" s="27">
        <f>'7a| Phase 2 Financial'!$C$70/9</f>
        <v>333333.33333333331</v>
      </c>
      <c r="AF82" s="27">
        <f>'7a| Phase 2 Financial'!$C$71/9</f>
        <v>328471.00887957698</v>
      </c>
      <c r="AG82" s="27">
        <f>'7a| Phase 2 Financial'!$B$72*K82</f>
        <v>240000</v>
      </c>
      <c r="AH82" s="27">
        <f>'2| Assumptions'!$F$43*M82*5</f>
        <v>131040</v>
      </c>
      <c r="AI82" s="27">
        <f>'7a| Phase 2 Financial'!$C$74/9</f>
        <v>127916.66666666667</v>
      </c>
      <c r="AJ82" s="27">
        <f>'7a| Phase 2 Financial'!$C$75/9</f>
        <v>596944.4444444445</v>
      </c>
      <c r="AK82" s="27">
        <f>'7a| Phase 2 Financial'!$C$76/9</f>
        <v>55555.555555555555</v>
      </c>
      <c r="AL82" s="27">
        <f t="shared" ref="AL82" si="29">SUM(P82:AK82)</f>
        <v>23267806.863862496</v>
      </c>
      <c r="AM82" s="323"/>
      <c r="AN82" s="492"/>
    </row>
    <row r="83" spans="2:40" x14ac:dyDescent="0.3">
      <c r="B83" s="806"/>
      <c r="N83" s="499"/>
      <c r="P83" s="501"/>
      <c r="AL83" s="500"/>
      <c r="AM83" s="323"/>
      <c r="AN83" s="492"/>
    </row>
    <row r="84" spans="2:40" x14ac:dyDescent="0.3">
      <c r="B84" s="806"/>
      <c r="C84" s="498" t="s">
        <v>242</v>
      </c>
      <c r="D84" s="2" t="s">
        <v>281</v>
      </c>
      <c r="E84" s="2" t="s">
        <v>282</v>
      </c>
      <c r="F84" s="2" t="s">
        <v>283</v>
      </c>
      <c r="G84" s="2" t="s">
        <v>284</v>
      </c>
      <c r="H84" s="2" t="s">
        <v>285</v>
      </c>
      <c r="I84" s="2" t="s">
        <v>286</v>
      </c>
      <c r="J84" s="2" t="s">
        <v>287</v>
      </c>
      <c r="K84" s="2" t="s">
        <v>288</v>
      </c>
      <c r="L84" s="2" t="s">
        <v>289</v>
      </c>
      <c r="M84" s="2" t="s">
        <v>290</v>
      </c>
      <c r="N84" s="316" t="s">
        <v>291</v>
      </c>
      <c r="P84" s="2" t="s">
        <v>276</v>
      </c>
      <c r="Q84" s="2"/>
      <c r="R84" s="2" t="s">
        <v>292</v>
      </c>
      <c r="S84" s="2" t="s">
        <v>293</v>
      </c>
      <c r="T84" s="2" t="s">
        <v>294</v>
      </c>
      <c r="U84" s="2" t="s">
        <v>295</v>
      </c>
      <c r="V84" s="2" t="s">
        <v>208</v>
      </c>
      <c r="W84" s="2" t="s">
        <v>209</v>
      </c>
      <c r="X84" s="2" t="s">
        <v>109</v>
      </c>
      <c r="Y84" s="2" t="s">
        <v>296</v>
      </c>
      <c r="Z84" s="2" t="s">
        <v>297</v>
      </c>
      <c r="AA84" s="2" t="s">
        <v>298</v>
      </c>
      <c r="AB84" s="2" t="s">
        <v>299</v>
      </c>
      <c r="AC84" s="2" t="s">
        <v>211</v>
      </c>
      <c r="AD84" s="2" t="s">
        <v>123</v>
      </c>
      <c r="AE84" s="2" t="s">
        <v>124</v>
      </c>
      <c r="AF84" s="2" t="s">
        <v>125</v>
      </c>
      <c r="AG84" s="2" t="s">
        <v>212</v>
      </c>
      <c r="AH84" s="2" t="s">
        <v>300</v>
      </c>
      <c r="AI84" s="2" t="s">
        <v>128</v>
      </c>
      <c r="AJ84" s="2" t="s">
        <v>130</v>
      </c>
      <c r="AK84" s="2" t="s">
        <v>215</v>
      </c>
      <c r="AL84" s="2" t="s">
        <v>301</v>
      </c>
      <c r="AM84" s="323"/>
      <c r="AN84" s="492"/>
    </row>
    <row r="85" spans="2:40" x14ac:dyDescent="0.3">
      <c r="B85" s="806"/>
      <c r="C85" s="498" t="s">
        <v>261</v>
      </c>
      <c r="D85" s="2">
        <f>'3| Building Mix'!I30</f>
        <v>43500</v>
      </c>
      <c r="E85" s="2"/>
      <c r="F85" s="2"/>
      <c r="G85" s="2"/>
      <c r="H85" s="2"/>
      <c r="I85" s="2"/>
      <c r="N85" s="499"/>
      <c r="P85" s="501"/>
      <c r="AL85" s="500"/>
      <c r="AM85" s="323"/>
      <c r="AN85" s="492"/>
    </row>
    <row r="86" spans="2:40" x14ac:dyDescent="0.3">
      <c r="B86" s="806"/>
      <c r="C86" s="458" t="s">
        <v>158</v>
      </c>
      <c r="D86" s="2">
        <f>D85*$D$7</f>
        <v>2175</v>
      </c>
      <c r="E86" s="2">
        <f>ROUNDDOWN(D86/$E$7,0)</f>
        <v>4</v>
      </c>
      <c r="F86" s="2">
        <f>E86-G86-H86</f>
        <v>3</v>
      </c>
      <c r="G86" s="2">
        <f>ROUNDUP(E86*0.25,0)</f>
        <v>1</v>
      </c>
      <c r="H86" s="2">
        <f>ROUNDDOWN(E86*0.05,0)</f>
        <v>0</v>
      </c>
      <c r="I86" s="10">
        <f>(F86*$G$7)+(G86*$J$7)+(H86*$N$7)</f>
        <v>62971.984435797669</v>
      </c>
      <c r="N86" s="499"/>
      <c r="P86" s="501"/>
      <c r="AL86" s="500"/>
      <c r="AM86" s="323"/>
      <c r="AN86" s="492"/>
    </row>
    <row r="87" spans="2:40" x14ac:dyDescent="0.3">
      <c r="B87" s="806"/>
      <c r="C87" s="498" t="s">
        <v>160</v>
      </c>
      <c r="D87" s="2">
        <f>D85*$D$8</f>
        <v>13050</v>
      </c>
      <c r="E87" s="2">
        <f>ROUNDDOWN(D87/$E$8,0)</f>
        <v>19</v>
      </c>
      <c r="F87" s="2">
        <f t="shared" ref="F87:F89" si="30">E87-G87-H87</f>
        <v>14</v>
      </c>
      <c r="G87" s="2">
        <f>ROUNDUP(E87*0.25,0)</f>
        <v>5</v>
      </c>
      <c r="H87" s="2">
        <f>ROUNDDOWN(E87*0.05,0)</f>
        <v>0</v>
      </c>
      <c r="I87" s="10">
        <f>(F87*$G$8)+(G87*$J$8)+(H87*$N$8)</f>
        <v>493500</v>
      </c>
      <c r="N87" s="499"/>
      <c r="P87" s="501"/>
      <c r="Q87" s="1" t="s">
        <v>302</v>
      </c>
      <c r="R87" s="1">
        <v>0</v>
      </c>
      <c r="AL87" s="500"/>
      <c r="AM87" s="323"/>
      <c r="AN87" s="492"/>
    </row>
    <row r="88" spans="2:40" x14ac:dyDescent="0.3">
      <c r="B88" s="806"/>
      <c r="C88" s="498" t="s">
        <v>162</v>
      </c>
      <c r="D88" s="2">
        <f>D85*$D$9</f>
        <v>17400</v>
      </c>
      <c r="E88" s="2">
        <f>ROUNDDOWN(D88/$E$9,0)</f>
        <v>20</v>
      </c>
      <c r="F88" s="2">
        <f t="shared" si="30"/>
        <v>14</v>
      </c>
      <c r="G88" s="2">
        <f>ROUNDUP(E88*0.25,0)</f>
        <v>5</v>
      </c>
      <c r="H88" s="2">
        <f t="shared" ref="H88:H89" si="31">ROUNDDOWN(E88*0.05,0)</f>
        <v>1</v>
      </c>
      <c r="I88" s="10">
        <f>(F88*$G$9)+(G88*$J$9)+(H88*$N$9)</f>
        <v>733200</v>
      </c>
      <c r="N88" s="499"/>
      <c r="P88" s="501"/>
      <c r="Q88" s="322" t="s">
        <v>303</v>
      </c>
      <c r="R88" s="1">
        <v>0</v>
      </c>
      <c r="AL88" s="500"/>
      <c r="AM88" s="323"/>
      <c r="AN88" s="492"/>
    </row>
    <row r="89" spans="2:40" x14ac:dyDescent="0.3">
      <c r="B89" s="806"/>
      <c r="C89" s="498" t="s">
        <v>164</v>
      </c>
      <c r="D89" s="2">
        <f>D85*$D$10</f>
        <v>10875</v>
      </c>
      <c r="E89" s="2">
        <f>ROUNDDOWN(D89/$E$10,0)</f>
        <v>10</v>
      </c>
      <c r="F89" s="2">
        <f t="shared" si="30"/>
        <v>7</v>
      </c>
      <c r="G89" s="2">
        <f>ROUNDUP(E89*0.25,0)</f>
        <v>3</v>
      </c>
      <c r="H89" s="2">
        <f t="shared" si="31"/>
        <v>0</v>
      </c>
      <c r="I89" s="10">
        <f>(F89*$G$10)+(G89*$J$10)+(H89*$N$10)</f>
        <v>671580</v>
      </c>
      <c r="J89" s="10">
        <f>SUM(I86:I89)</f>
        <v>1961251.9844357977</v>
      </c>
      <c r="K89" s="2">
        <f>'3| Building Mix'!I29</f>
        <v>8700</v>
      </c>
      <c r="L89" s="20">
        <f>$S$10</f>
        <v>45.5</v>
      </c>
      <c r="M89" s="20">
        <f>K89*L89</f>
        <v>395850</v>
      </c>
      <c r="N89" s="317">
        <f>J89+M89</f>
        <v>2357101.9844357977</v>
      </c>
      <c r="P89" s="27">
        <f>$W$8*(K89+D85)</f>
        <v>16965000</v>
      </c>
      <c r="Q89" s="27"/>
      <c r="R89" s="27">
        <f>SUM(R87:R88)*'2| Assumptions'!$C$29</f>
        <v>0</v>
      </c>
      <c r="S89" s="27">
        <f>P89*'2| Assumptions'!$F$30</f>
        <v>848250</v>
      </c>
      <c r="T89" s="27">
        <f>'5| Demolitions &amp; Land'!D15*('3| Building Mix'!E29/('3| Building Mix'!E21+'3| Building Mix'!E23+'3| Building Mix'!E25+'3| Building Mix'!E27+'3| Building Mix'!E29))</f>
        <v>71510.767713299356</v>
      </c>
      <c r="U89" s="27">
        <f>'5| Demolitions &amp; Land'!J15*('3| Building Mix'!E29/('3| Building Mix'!E21+'3| Building Mix'!E23+'3| Building Mix'!E25+'3| Building Mix'!E27+'3| Building Mix'!E29))</f>
        <v>14440938.780207133</v>
      </c>
      <c r="V89" s="27">
        <f>SUM(F86:F89,G86:G89)*'2| Assumptions'!$F$31</f>
        <v>208000</v>
      </c>
      <c r="W89" s="27">
        <f>'3| Building Mix'!J21*'2| Assumptions'!F27/5</f>
        <v>2151235.5555555555</v>
      </c>
      <c r="X89" s="27">
        <f>'7a| Phase 2 Financial'!C63/9</f>
        <v>33333.333333333336</v>
      </c>
      <c r="Y89" s="27">
        <f>'7a| Phase 2 Financial'!C64/9</f>
        <v>156028.25</v>
      </c>
      <c r="Z89" s="27">
        <f>(P89+S89)*'2| Assumptions'!$F$35</f>
        <v>1068795</v>
      </c>
      <c r="AA89" s="27">
        <f>(P89+S89)*'2| Assumptions'!$F$36</f>
        <v>534397.5</v>
      </c>
      <c r="AB89" s="27">
        <f>(P89+S89)*'2| Assumptions'!$F$37</f>
        <v>356265</v>
      </c>
      <c r="AC89" s="27">
        <f>'7a| Phase 2 Financial'!$C$68/9</f>
        <v>0</v>
      </c>
      <c r="AD89" s="27">
        <f>'7a| Phase 2 Financial'!$B$69*SUM('4| Development Program'!E86:E89)</f>
        <v>265000</v>
      </c>
      <c r="AE89" s="27">
        <f>'7a| Phase 2 Financial'!$C$70/9</f>
        <v>333333.33333333331</v>
      </c>
      <c r="AF89" s="27">
        <f>'7a| Phase 2 Financial'!$C$71/9</f>
        <v>328471.00887957698</v>
      </c>
      <c r="AG89" s="27">
        <f>'7a| Phase 2 Financial'!$B$72*K89</f>
        <v>217500</v>
      </c>
      <c r="AH89" s="27">
        <f>'2| Assumptions'!$F$43*M89*5</f>
        <v>118755</v>
      </c>
      <c r="AI89" s="27">
        <f>'7a| Phase 2 Financial'!$C$74/9</f>
        <v>127916.66666666667</v>
      </c>
      <c r="AJ89" s="27">
        <f>'7a| Phase 2 Financial'!$C$75/9</f>
        <v>596944.4444444445</v>
      </c>
      <c r="AK89" s="27">
        <f>'7a| Phase 2 Financial'!$C$76/9</f>
        <v>55555.555555555555</v>
      </c>
      <c r="AL89" s="27">
        <f t="shared" ref="AL89" si="32">SUM(P89:AK89)</f>
        <v>38877230.195688903</v>
      </c>
      <c r="AM89" s="323"/>
      <c r="AN89" s="492"/>
    </row>
    <row r="90" spans="2:40" x14ac:dyDescent="0.3">
      <c r="B90" s="806"/>
      <c r="N90" s="500"/>
      <c r="P90" s="501"/>
      <c r="AL90" s="500"/>
      <c r="AM90" s="323"/>
      <c r="AN90" s="492"/>
    </row>
    <row r="91" spans="2:40" x14ac:dyDescent="0.3">
      <c r="B91" s="806"/>
      <c r="C91" s="498" t="s">
        <v>242</v>
      </c>
      <c r="D91" s="2" t="s">
        <v>281</v>
      </c>
      <c r="E91" s="2" t="s">
        <v>282</v>
      </c>
      <c r="F91" s="2" t="s">
        <v>283</v>
      </c>
      <c r="G91" s="2" t="s">
        <v>284</v>
      </c>
      <c r="H91" s="2" t="s">
        <v>285</v>
      </c>
      <c r="I91" s="2" t="s">
        <v>286</v>
      </c>
      <c r="J91" s="2" t="s">
        <v>287</v>
      </c>
      <c r="K91" s="2" t="s">
        <v>288</v>
      </c>
      <c r="L91" s="2" t="s">
        <v>289</v>
      </c>
      <c r="M91" s="2" t="s">
        <v>290</v>
      </c>
      <c r="N91" s="316" t="s">
        <v>291</v>
      </c>
      <c r="P91" s="2" t="s">
        <v>276</v>
      </c>
      <c r="Q91" s="2"/>
      <c r="R91" s="2" t="s">
        <v>292</v>
      </c>
      <c r="S91" s="2" t="s">
        <v>293</v>
      </c>
      <c r="T91" s="2" t="s">
        <v>294</v>
      </c>
      <c r="U91" s="2" t="s">
        <v>295</v>
      </c>
      <c r="V91" s="2" t="s">
        <v>208</v>
      </c>
      <c r="W91" s="2" t="s">
        <v>209</v>
      </c>
      <c r="X91" s="2" t="s">
        <v>109</v>
      </c>
      <c r="Y91" s="2" t="s">
        <v>296</v>
      </c>
      <c r="Z91" s="2" t="s">
        <v>297</v>
      </c>
      <c r="AA91" s="2" t="s">
        <v>298</v>
      </c>
      <c r="AB91" s="2" t="s">
        <v>299</v>
      </c>
      <c r="AC91" s="2" t="s">
        <v>211</v>
      </c>
      <c r="AD91" s="2" t="s">
        <v>123</v>
      </c>
      <c r="AE91" s="2" t="s">
        <v>124</v>
      </c>
      <c r="AF91" s="2" t="s">
        <v>125</v>
      </c>
      <c r="AG91" s="2" t="s">
        <v>212</v>
      </c>
      <c r="AH91" s="2" t="s">
        <v>300</v>
      </c>
      <c r="AI91" s="2" t="s">
        <v>128</v>
      </c>
      <c r="AJ91" s="2" t="s">
        <v>130</v>
      </c>
      <c r="AK91" s="2" t="s">
        <v>215</v>
      </c>
      <c r="AL91" s="2" t="s">
        <v>301</v>
      </c>
      <c r="AM91" s="323"/>
      <c r="AN91" s="492"/>
    </row>
    <row r="92" spans="2:40" x14ac:dyDescent="0.3">
      <c r="B92" s="806"/>
      <c r="C92" s="498" t="s">
        <v>264</v>
      </c>
      <c r="D92" s="2">
        <f>'3| Building Mix'!I36</f>
        <v>0</v>
      </c>
      <c r="E92" s="2"/>
      <c r="F92" s="2"/>
      <c r="G92" s="2"/>
      <c r="H92" s="2"/>
      <c r="I92" s="2"/>
      <c r="N92" s="499"/>
      <c r="P92" s="501"/>
      <c r="AL92" s="500"/>
      <c r="AM92" s="323"/>
      <c r="AN92" s="492"/>
    </row>
    <row r="93" spans="2:40" x14ac:dyDescent="0.3">
      <c r="B93" s="806"/>
      <c r="C93" s="458" t="s">
        <v>158</v>
      </c>
      <c r="D93" s="2">
        <f>D92*$D$7</f>
        <v>0</v>
      </c>
      <c r="E93" s="2">
        <f>ROUNDDOWN(D93/$E$7,0)</f>
        <v>0</v>
      </c>
      <c r="F93" s="2">
        <f>E93-G93-H93</f>
        <v>0</v>
      </c>
      <c r="G93" s="2">
        <f>ROUNDUP(E93*0.25,0)</f>
        <v>0</v>
      </c>
      <c r="H93" s="2">
        <f>ROUNDDOWN(E93*0.05,0)</f>
        <v>0</v>
      </c>
      <c r="I93" s="10">
        <f>(F93*$G$7)+(G93*$J$7)+(H93*$N$7)</f>
        <v>0</v>
      </c>
      <c r="N93" s="499"/>
      <c r="P93" s="501"/>
      <c r="AL93" s="500"/>
      <c r="AM93" s="323"/>
      <c r="AN93" s="492"/>
    </row>
    <row r="94" spans="2:40" x14ac:dyDescent="0.3">
      <c r="B94" s="806"/>
      <c r="C94" s="498" t="s">
        <v>160</v>
      </c>
      <c r="D94" s="2">
        <f>D92*$D$8</f>
        <v>0</v>
      </c>
      <c r="E94" s="2">
        <f>ROUNDDOWN(D94/$E$8,0)</f>
        <v>0</v>
      </c>
      <c r="F94" s="2">
        <f t="shared" ref="F94:F96" si="33">E94-G94-H94</f>
        <v>0</v>
      </c>
      <c r="G94" s="2">
        <f>ROUNDUP(E94*0.25,0)</f>
        <v>0</v>
      </c>
      <c r="H94" s="2">
        <f>ROUNDDOWN(E94*0.05,0)</f>
        <v>0</v>
      </c>
      <c r="I94" s="10">
        <f>(F94*$G$8)+(G94*$J$8)+(H94*$N$8)</f>
        <v>0</v>
      </c>
      <c r="N94" s="499"/>
      <c r="P94" s="501"/>
      <c r="Q94" s="1" t="s">
        <v>302</v>
      </c>
      <c r="R94" s="1">
        <v>0</v>
      </c>
      <c r="AL94" s="500"/>
      <c r="AM94" s="323"/>
      <c r="AN94" s="492"/>
    </row>
    <row r="95" spans="2:40" x14ac:dyDescent="0.3">
      <c r="B95" s="806"/>
      <c r="C95" s="498" t="s">
        <v>162</v>
      </c>
      <c r="D95" s="2">
        <f>D92*$D$9</f>
        <v>0</v>
      </c>
      <c r="E95" s="2">
        <f>ROUNDDOWN(D95/$E$9,0)</f>
        <v>0</v>
      </c>
      <c r="F95" s="2">
        <f t="shared" si="33"/>
        <v>0</v>
      </c>
      <c r="G95" s="2">
        <f>ROUNDUP(E95*0.25,0)</f>
        <v>0</v>
      </c>
      <c r="H95" s="2">
        <f t="shared" ref="H95:H96" si="34">ROUNDDOWN(E95*0.05,0)</f>
        <v>0</v>
      </c>
      <c r="I95" s="10">
        <f>(F95*$G$9)+(G95*$J$9)+(H95*$N$9)</f>
        <v>0</v>
      </c>
      <c r="N95" s="499"/>
      <c r="P95" s="501"/>
      <c r="Q95" s="322" t="s">
        <v>303</v>
      </c>
      <c r="R95" s="1">
        <f>ROUNDUP(SUM(E93:E96)*'2| Assumptions'!$C$24,0)</f>
        <v>0</v>
      </c>
      <c r="AL95" s="500"/>
      <c r="AM95" s="323"/>
      <c r="AN95" s="492"/>
    </row>
    <row r="96" spans="2:40" x14ac:dyDescent="0.3">
      <c r="B96" s="807"/>
      <c r="C96" s="498" t="s">
        <v>164</v>
      </c>
      <c r="D96" s="2">
        <f>D92*$D$10</f>
        <v>0</v>
      </c>
      <c r="E96" s="2">
        <f>ROUNDDOWN(D96/$E$10,0)</f>
        <v>0</v>
      </c>
      <c r="F96" s="2">
        <f t="shared" si="33"/>
        <v>0</v>
      </c>
      <c r="G96" s="2">
        <f>ROUNDUP(E96*0.25,0)</f>
        <v>0</v>
      </c>
      <c r="H96" s="2">
        <f t="shared" si="34"/>
        <v>0</v>
      </c>
      <c r="I96" s="10">
        <f>(F96*$G$10)+(G96*$J$10)+(H96*$N$10)</f>
        <v>0</v>
      </c>
      <c r="J96" s="10">
        <f>SUM(I93:I96)</f>
        <v>0</v>
      </c>
      <c r="K96" s="2">
        <f>'3| Building Mix'!I35</f>
        <v>50400</v>
      </c>
      <c r="L96" s="20">
        <f>$S$10</f>
        <v>45.5</v>
      </c>
      <c r="M96" s="20">
        <f>K96*L96</f>
        <v>2293200</v>
      </c>
      <c r="N96" s="317">
        <f>J96+M96</f>
        <v>2293200</v>
      </c>
      <c r="P96" s="27">
        <f>$W$9*(K96+D92)</f>
        <v>15120000</v>
      </c>
      <c r="Q96" s="27"/>
      <c r="R96" s="27">
        <f>SUM(R94:R95)*'2| Assumptions'!$C$29</f>
        <v>0</v>
      </c>
      <c r="S96" s="27">
        <f>P96*'2| Assumptions'!$F$30</f>
        <v>756000</v>
      </c>
      <c r="T96" s="27">
        <f>'5| Demolitions &amp; Land'!D17+'5| Demolitions &amp; Land'!D18+'5| Demolitions &amp; Land'!D21+'5| Demolitions &amp; Land'!D20+'5| Demolitions &amp; Land'!D22</f>
        <v>1250000</v>
      </c>
      <c r="U96" s="27">
        <f>'5| Demolitions &amp; Land'!J17+'5| Demolitions &amp; Land'!J18+'5| Demolitions &amp; Land'!J21+'5| Demolitions &amp; Land'!J20+'5| Demolitions &amp; Land'!J22</f>
        <v>27583300</v>
      </c>
      <c r="V96" s="27">
        <f>SUM(F93:F96,G93:G96)*'2| Assumptions'!$F$31</f>
        <v>0</v>
      </c>
      <c r="W96" s="27">
        <f>'2| Assumptions'!F27*'3| Building Mix'!J35</f>
        <v>2808000</v>
      </c>
      <c r="X96" s="27">
        <f>'7a| Phase 2 Financial'!C63/9</f>
        <v>33333.333333333336</v>
      </c>
      <c r="Y96" s="27">
        <f>'7a| Phase 2 Financial'!C64/9</f>
        <v>156028.25</v>
      </c>
      <c r="Z96" s="27">
        <f>(P96+S96)*'2| Assumptions'!$F$35</f>
        <v>952560</v>
      </c>
      <c r="AA96" s="27">
        <f>(P96+S96)*'2| Assumptions'!$F$36</f>
        <v>476280</v>
      </c>
      <c r="AB96" s="27">
        <f>(P96+S96)*'2| Assumptions'!$F$37</f>
        <v>317520</v>
      </c>
      <c r="AC96" s="27">
        <f>'7a| Phase 2 Financial'!$C$68/9</f>
        <v>0</v>
      </c>
      <c r="AD96" s="27">
        <f>'7a| Phase 2 Financial'!$B$69*SUM('4| Development Program'!E93:E96)</f>
        <v>0</v>
      </c>
      <c r="AE96" s="27">
        <f>'7a| Phase 2 Financial'!$C$70/9</f>
        <v>333333.33333333331</v>
      </c>
      <c r="AF96" s="27">
        <f>'7a| Phase 2 Financial'!$C$71/9</f>
        <v>328471.00887957698</v>
      </c>
      <c r="AG96" s="27">
        <f>'7a| Phase 2 Financial'!$B$72*K96</f>
        <v>1260000</v>
      </c>
      <c r="AH96" s="27">
        <f>'2| Assumptions'!$F$43*M96*5</f>
        <v>687960</v>
      </c>
      <c r="AI96" s="27">
        <f>'7a| Phase 2 Financial'!$C$74/9</f>
        <v>127916.66666666667</v>
      </c>
      <c r="AJ96" s="27">
        <f>'7a| Phase 2 Financial'!$C$75/9</f>
        <v>596944.4444444445</v>
      </c>
      <c r="AK96" s="27">
        <f>'7a| Phase 2 Financial'!$C$76/9</f>
        <v>55555.555555555555</v>
      </c>
      <c r="AL96" s="27">
        <f t="shared" ref="AL96" si="35">SUM(P96:AK96)</f>
        <v>52843202.592212915</v>
      </c>
      <c r="AM96" s="323"/>
      <c r="AN96" s="492"/>
    </row>
    <row r="97" spans="2:40" x14ac:dyDescent="0.3">
      <c r="AN97" s="492"/>
    </row>
    <row r="98" spans="2:40" x14ac:dyDescent="0.3">
      <c r="AN98" s="492"/>
    </row>
    <row r="99" spans="2:40" x14ac:dyDescent="0.3">
      <c r="AN99" s="492"/>
    </row>
    <row r="100" spans="2:40" x14ac:dyDescent="0.3">
      <c r="AN100" s="492"/>
    </row>
    <row r="101" spans="2:40" x14ac:dyDescent="0.3">
      <c r="AN101" s="492"/>
    </row>
    <row r="102" spans="2:40" ht="14.4" customHeight="1" x14ac:dyDescent="0.3">
      <c r="B102" s="802" t="s">
        <v>305</v>
      </c>
      <c r="C102" s="498" t="s">
        <v>242</v>
      </c>
      <c r="D102" s="2" t="s">
        <v>281</v>
      </c>
      <c r="E102" s="2" t="s">
        <v>282</v>
      </c>
      <c r="F102" s="2" t="s">
        <v>283</v>
      </c>
      <c r="G102" s="2" t="s">
        <v>284</v>
      </c>
      <c r="H102" s="2" t="s">
        <v>285</v>
      </c>
      <c r="I102" s="2" t="s">
        <v>286</v>
      </c>
      <c r="J102" s="2" t="s">
        <v>287</v>
      </c>
      <c r="K102" s="2" t="s">
        <v>288</v>
      </c>
      <c r="L102" s="2" t="s">
        <v>289</v>
      </c>
      <c r="M102" s="2" t="s">
        <v>290</v>
      </c>
      <c r="N102" s="316" t="s">
        <v>291</v>
      </c>
      <c r="P102" s="2" t="s">
        <v>306</v>
      </c>
      <c r="Q102" s="2"/>
      <c r="R102" s="2" t="s">
        <v>292</v>
      </c>
      <c r="S102" s="2" t="s">
        <v>293</v>
      </c>
      <c r="T102" s="2" t="s">
        <v>294</v>
      </c>
      <c r="U102" s="2" t="s">
        <v>295</v>
      </c>
      <c r="V102" s="2" t="s">
        <v>208</v>
      </c>
      <c r="W102" s="2" t="s">
        <v>209</v>
      </c>
      <c r="X102" s="2" t="s">
        <v>109</v>
      </c>
      <c r="Y102" s="2" t="s">
        <v>296</v>
      </c>
      <c r="Z102" s="2" t="s">
        <v>297</v>
      </c>
      <c r="AA102" s="2" t="s">
        <v>298</v>
      </c>
      <c r="AB102" s="2" t="s">
        <v>299</v>
      </c>
      <c r="AC102" s="2" t="s">
        <v>211</v>
      </c>
      <c r="AD102" s="2" t="s">
        <v>123</v>
      </c>
      <c r="AE102" s="2" t="s">
        <v>124</v>
      </c>
      <c r="AF102" s="2" t="s">
        <v>125</v>
      </c>
      <c r="AG102" s="2" t="s">
        <v>212</v>
      </c>
      <c r="AH102" s="2" t="s">
        <v>300</v>
      </c>
      <c r="AI102" s="2" t="s">
        <v>128</v>
      </c>
      <c r="AJ102" s="2" t="s">
        <v>130</v>
      </c>
      <c r="AK102" s="2" t="s">
        <v>215</v>
      </c>
      <c r="AL102" s="2" t="s">
        <v>301</v>
      </c>
      <c r="AN102" s="492"/>
    </row>
    <row r="103" spans="2:40" x14ac:dyDescent="0.3">
      <c r="B103" s="803"/>
      <c r="C103" s="498" t="str">
        <f>'3| Building Mix'!B9</f>
        <v>B1</v>
      </c>
      <c r="D103" s="2">
        <f>'3| Building Mix'!I10</f>
        <v>83995</v>
      </c>
      <c r="E103" s="2"/>
      <c r="F103" s="2"/>
      <c r="G103" s="2"/>
      <c r="H103" s="2"/>
      <c r="I103" s="2"/>
      <c r="N103" s="499"/>
      <c r="P103" s="501"/>
      <c r="AL103" s="500"/>
      <c r="AN103" s="492"/>
    </row>
    <row r="104" spans="2:40" x14ac:dyDescent="0.3">
      <c r="B104" s="803"/>
      <c r="C104" s="458" t="s">
        <v>158</v>
      </c>
      <c r="D104" s="2">
        <f>$D$103*D7</f>
        <v>4199.75</v>
      </c>
      <c r="E104" s="2">
        <f>ROUNDDOWN(D104/E7,0)</f>
        <v>9</v>
      </c>
      <c r="F104" s="2">
        <f>E104-G104-H104</f>
        <v>6</v>
      </c>
      <c r="G104" s="2">
        <f>ROUNDUP(E104*0.25,0)</f>
        <v>3</v>
      </c>
      <c r="H104" s="2">
        <f>ROUNDDOWN(E104*0.05,0)</f>
        <v>0</v>
      </c>
      <c r="I104" s="10">
        <f>(F104*$G$7)+(G104*$J$7)+(H104*$N$7)</f>
        <v>137857.58754863811</v>
      </c>
      <c r="N104" s="499"/>
      <c r="P104" s="501"/>
      <c r="AL104" s="500"/>
      <c r="AN104" s="492"/>
    </row>
    <row r="105" spans="2:40" x14ac:dyDescent="0.3">
      <c r="B105" s="803"/>
      <c r="C105" s="498" t="s">
        <v>160</v>
      </c>
      <c r="D105" s="2">
        <f>$D$103*D8</f>
        <v>25198.5</v>
      </c>
      <c r="E105" s="2">
        <f>ROUNDDOWN(D105/E8,0)</f>
        <v>37</v>
      </c>
      <c r="F105" s="2">
        <f t="shared" ref="F105:F107" si="36">E105-G105-H105</f>
        <v>26</v>
      </c>
      <c r="G105" s="2">
        <f>ROUNDUP(E105*0.25,0)</f>
        <v>10</v>
      </c>
      <c r="H105" s="2">
        <f t="shared" ref="H105:H107" si="37">ROUNDDOWN(E105*0.05,0)</f>
        <v>1</v>
      </c>
      <c r="I105" s="10">
        <f>(F105*$G$8)+(G105*$J$8)+(H105*$N$8)</f>
        <v>967260</v>
      </c>
      <c r="N105" s="499"/>
      <c r="P105" s="501"/>
      <c r="Q105" s="1" t="s">
        <v>302</v>
      </c>
      <c r="R105" s="1">
        <v>10</v>
      </c>
      <c r="AL105" s="500"/>
      <c r="AN105" s="492"/>
    </row>
    <row r="106" spans="2:40" x14ac:dyDescent="0.3">
      <c r="B106" s="803"/>
      <c r="C106" s="498" t="s">
        <v>162</v>
      </c>
      <c r="D106" s="2">
        <f>$D$103*D9</f>
        <v>33598</v>
      </c>
      <c r="E106" s="2">
        <f>ROUNDDOWN(D106/E9,0)</f>
        <v>38</v>
      </c>
      <c r="F106" s="2">
        <f t="shared" si="36"/>
        <v>27</v>
      </c>
      <c r="G106" s="2">
        <f>ROUNDUP(E106*0.25,0)</f>
        <v>10</v>
      </c>
      <c r="H106" s="2">
        <f t="shared" si="37"/>
        <v>1</v>
      </c>
      <c r="I106" s="10">
        <f>(F106*$G$9)+(G106*$J$9)+(H106*$N$9)</f>
        <v>1376700</v>
      </c>
      <c r="N106" s="499"/>
      <c r="P106" s="501"/>
      <c r="Q106" s="322" t="s">
        <v>303</v>
      </c>
      <c r="R106" s="1">
        <v>40</v>
      </c>
      <c r="AL106" s="500"/>
      <c r="AN106" s="492"/>
    </row>
    <row r="107" spans="2:40" x14ac:dyDescent="0.3">
      <c r="B107" s="803"/>
      <c r="C107" s="498" t="s">
        <v>164</v>
      </c>
      <c r="D107" s="2">
        <f>$D$103*D10</f>
        <v>20998.75</v>
      </c>
      <c r="E107" s="2">
        <f>ROUNDDOWN(D107/E10,0)</f>
        <v>20</v>
      </c>
      <c r="F107" s="2">
        <f t="shared" si="36"/>
        <v>14</v>
      </c>
      <c r="G107" s="2">
        <f>ROUNDUP(E107*0.25,0)</f>
        <v>5</v>
      </c>
      <c r="H107" s="2">
        <f t="shared" si="37"/>
        <v>1</v>
      </c>
      <c r="I107" s="10">
        <f>(F107*$G$10)+(G107*$J$10)+(H107*$N$10)</f>
        <v>1387440</v>
      </c>
      <c r="J107" s="10">
        <f>SUM(I104:I107)</f>
        <v>3869257.5875486382</v>
      </c>
      <c r="K107" s="2">
        <f>'3| Building Mix'!I9</f>
        <v>18050</v>
      </c>
      <c r="L107" s="20">
        <f>$S$10</f>
        <v>45.5</v>
      </c>
      <c r="M107" s="20">
        <f>K107*L107</f>
        <v>821275</v>
      </c>
      <c r="N107" s="317">
        <f>J107+M107</f>
        <v>4690532.5875486378</v>
      </c>
      <c r="P107" s="27">
        <f>$W$8*(K107+D103)</f>
        <v>33164625</v>
      </c>
      <c r="Q107" s="27"/>
      <c r="R107" s="27">
        <f>SUM(R105:R106)*'2| Assumptions'!$C$29</f>
        <v>3281250</v>
      </c>
      <c r="S107" s="27">
        <f>P107*'2| Assumptions'!$F$30</f>
        <v>1658231.25</v>
      </c>
      <c r="T107" s="27">
        <f>'5| Demolitions &amp; Land'!D13*('3| Building Mix'!E9)/('3| Building Mix'!E9+'3| Building Mix'!E11+'3| Building Mix'!E13)</f>
        <v>158629.85589702934</v>
      </c>
      <c r="U107" s="27">
        <f>'5| Demolitions &amp; Land'!J13*('3| Building Mix'!E9)/('3| Building Mix'!E9+'3| Building Mix'!E11+'3| Building Mix'!E13)</f>
        <v>26491849.007601548</v>
      </c>
      <c r="V107" s="27">
        <f>SUM(F104:F107,G104:G107)*'2| Assumptions'!$F$31</f>
        <v>404000</v>
      </c>
      <c r="W107" s="27">
        <f>'3| Building Mix'!J9*'2| Assumptions'!F27/3</f>
        <v>2390797.6190476194</v>
      </c>
      <c r="X107" s="27">
        <f>'7a| Phase 2 Financial'!C63/9</f>
        <v>33333.333333333336</v>
      </c>
      <c r="Y107" s="27">
        <f>'7a| Phase 2 Financial'!C64/9</f>
        <v>156028.25</v>
      </c>
      <c r="Z107" s="27">
        <f>(P107+S107)*'2| Assumptions'!$F$35</f>
        <v>2089371.375</v>
      </c>
      <c r="AA107" s="27">
        <f>(P107+S107)*'2| Assumptions'!$F$36</f>
        <v>1044685.6875</v>
      </c>
      <c r="AB107" s="27">
        <f>(P107+S107)*'2| Assumptions'!$F$37</f>
        <v>696457.125</v>
      </c>
      <c r="AC107" s="27">
        <f>'7a| Phase 2 Financial'!$C$68/9</f>
        <v>0</v>
      </c>
      <c r="AD107" s="27">
        <f>'7a| Phase 2 Financial'!$B$69*SUM('4| Development Program'!E104:E107)</f>
        <v>520000</v>
      </c>
      <c r="AE107" s="27">
        <f>'7a| Phase 2 Financial'!$C$70/9</f>
        <v>333333.33333333331</v>
      </c>
      <c r="AF107" s="27">
        <f>'7a| Phase 2 Financial'!$C$71/9</f>
        <v>328471.00887957698</v>
      </c>
      <c r="AG107" s="27">
        <f>'7a| Phase 2 Financial'!$B$72*K107</f>
        <v>451250</v>
      </c>
      <c r="AH107" s="27">
        <f>'2| Assumptions'!$F$43*M107*5</f>
        <v>246382.5</v>
      </c>
      <c r="AI107" s="27">
        <f>'7a| Phase 2 Financial'!$C$74/9</f>
        <v>127916.66666666667</v>
      </c>
      <c r="AJ107" s="27">
        <f>'7a| Phase 2 Financial'!$C$75/9</f>
        <v>596944.4444444445</v>
      </c>
      <c r="AK107" s="27">
        <f>'7a| Phase 2 Financial'!$C$76/9</f>
        <v>55555.555555555555</v>
      </c>
      <c r="AL107" s="27">
        <f>SUM(P107:AK107)</f>
        <v>74229112.012259111</v>
      </c>
      <c r="AN107" s="492"/>
    </row>
    <row r="108" spans="2:40" x14ac:dyDescent="0.3">
      <c r="B108" s="803"/>
      <c r="N108" s="499"/>
      <c r="P108" s="501"/>
      <c r="AL108" s="500"/>
      <c r="AN108" s="492"/>
    </row>
    <row r="109" spans="2:40" x14ac:dyDescent="0.3">
      <c r="B109" s="803"/>
      <c r="C109" s="498" t="s">
        <v>242</v>
      </c>
      <c r="D109" s="2" t="s">
        <v>281</v>
      </c>
      <c r="E109" s="2" t="s">
        <v>282</v>
      </c>
      <c r="F109" s="2" t="s">
        <v>283</v>
      </c>
      <c r="G109" s="2" t="s">
        <v>284</v>
      </c>
      <c r="H109" s="2" t="s">
        <v>285</v>
      </c>
      <c r="I109" s="2" t="s">
        <v>286</v>
      </c>
      <c r="J109" s="2" t="s">
        <v>287</v>
      </c>
      <c r="K109" s="2" t="s">
        <v>288</v>
      </c>
      <c r="L109" s="2" t="s">
        <v>289</v>
      </c>
      <c r="M109" s="2" t="s">
        <v>290</v>
      </c>
      <c r="N109" s="316" t="s">
        <v>291</v>
      </c>
      <c r="P109" s="2" t="s">
        <v>276</v>
      </c>
      <c r="Q109" s="2"/>
      <c r="R109" s="2" t="s">
        <v>292</v>
      </c>
      <c r="S109" s="2" t="s">
        <v>293</v>
      </c>
      <c r="T109" s="2" t="s">
        <v>294</v>
      </c>
      <c r="U109" s="2" t="s">
        <v>295</v>
      </c>
      <c r="V109" s="2" t="s">
        <v>208</v>
      </c>
      <c r="W109" s="2" t="s">
        <v>209</v>
      </c>
      <c r="X109" s="2" t="s">
        <v>109</v>
      </c>
      <c r="Y109" s="2" t="s">
        <v>296</v>
      </c>
      <c r="Z109" s="2" t="s">
        <v>297</v>
      </c>
      <c r="AA109" s="2" t="s">
        <v>298</v>
      </c>
      <c r="AB109" s="2" t="s">
        <v>299</v>
      </c>
      <c r="AC109" s="2" t="s">
        <v>211</v>
      </c>
      <c r="AD109" s="2" t="s">
        <v>123</v>
      </c>
      <c r="AE109" s="2" t="s">
        <v>124</v>
      </c>
      <c r="AF109" s="2" t="s">
        <v>125</v>
      </c>
      <c r="AG109" s="2" t="s">
        <v>212</v>
      </c>
      <c r="AH109" s="2" t="s">
        <v>300</v>
      </c>
      <c r="AI109" s="2" t="s">
        <v>128</v>
      </c>
      <c r="AJ109" s="2" t="s">
        <v>130</v>
      </c>
      <c r="AK109" s="2" t="s">
        <v>215</v>
      </c>
      <c r="AL109" s="2" t="s">
        <v>301</v>
      </c>
      <c r="AN109" s="492"/>
    </row>
    <row r="110" spans="2:40" x14ac:dyDescent="0.3">
      <c r="B110" s="803"/>
      <c r="C110" s="498" t="str">
        <f>'3| Building Mix'!B11</f>
        <v>B2</v>
      </c>
      <c r="D110" s="2">
        <f>'3| Building Mix'!I12</f>
        <v>75600</v>
      </c>
      <c r="E110" s="2"/>
      <c r="F110" s="2"/>
      <c r="G110" s="2"/>
      <c r="H110" s="2"/>
      <c r="I110" s="2"/>
      <c r="N110" s="499"/>
      <c r="P110" s="501"/>
      <c r="AL110" s="500"/>
      <c r="AN110" s="492"/>
    </row>
    <row r="111" spans="2:40" x14ac:dyDescent="0.3">
      <c r="B111" s="803"/>
      <c r="C111" s="458" t="s">
        <v>158</v>
      </c>
      <c r="D111" s="2">
        <f>D110*$D$7</f>
        <v>3780</v>
      </c>
      <c r="E111" s="2">
        <f>ROUNDDOWN(D111/$E$7,0)</f>
        <v>8</v>
      </c>
      <c r="F111" s="2">
        <f>E111-G111-H111</f>
        <v>6</v>
      </c>
      <c r="G111" s="2">
        <f>ROUNDUP(E111*0.25,0)</f>
        <v>2</v>
      </c>
      <c r="H111" s="2">
        <f>ROUNDDOWN(E111*0.05,0)</f>
        <v>0</v>
      </c>
      <c r="I111" s="10">
        <f>(F111*$G$7)+(G111*$J$7)+(H111*$N$7)</f>
        <v>125943.96887159534</v>
      </c>
      <c r="N111" s="499"/>
      <c r="P111" s="501"/>
      <c r="AL111" s="500"/>
      <c r="AN111" s="492"/>
    </row>
    <row r="112" spans="2:40" x14ac:dyDescent="0.3">
      <c r="B112" s="803"/>
      <c r="C112" s="498" t="s">
        <v>160</v>
      </c>
      <c r="D112" s="2">
        <f>D110*$D$8</f>
        <v>22680</v>
      </c>
      <c r="E112" s="2">
        <f>ROUNDDOWN(D112/$E$8,0)</f>
        <v>33</v>
      </c>
      <c r="F112" s="2">
        <f t="shared" ref="F112:F114" si="38">E112-G112-H112</f>
        <v>23</v>
      </c>
      <c r="G112" s="2">
        <f>ROUNDUP(E112*0.25,0)</f>
        <v>9</v>
      </c>
      <c r="H112" s="2">
        <f>ROUNDDOWN(E112*0.05,0)</f>
        <v>1</v>
      </c>
      <c r="I112" s="10">
        <f>(F112*$G$8)+(G112*$J$8)+(H112*$N$8)</f>
        <v>862920</v>
      </c>
      <c r="N112" s="499"/>
      <c r="P112" s="501"/>
      <c r="Q112" s="1" t="s">
        <v>302</v>
      </c>
      <c r="R112" s="1">
        <v>10</v>
      </c>
      <c r="AL112" s="500"/>
      <c r="AN112" s="492"/>
    </row>
    <row r="113" spans="2:40" x14ac:dyDescent="0.3">
      <c r="B113" s="803"/>
      <c r="C113" s="498" t="s">
        <v>162</v>
      </c>
      <c r="D113" s="2">
        <f>$D$110*D9</f>
        <v>30240</v>
      </c>
      <c r="E113" s="2">
        <f>ROUNDDOWN(D113/$E$9,0)</f>
        <v>34</v>
      </c>
      <c r="F113" s="2">
        <f t="shared" si="38"/>
        <v>24</v>
      </c>
      <c r="G113" s="2">
        <f>ROUNDUP(E113*0.25,0)</f>
        <v>9</v>
      </c>
      <c r="H113" s="2">
        <f t="shared" ref="H113:H114" si="39">ROUNDDOWN(E113*0.05,0)</f>
        <v>1</v>
      </c>
      <c r="I113" s="10">
        <f>(F113*$G$9)+(G113*$J$9)+(H113*$N$9)</f>
        <v>1232400</v>
      </c>
      <c r="N113" s="499"/>
      <c r="P113" s="501"/>
      <c r="Q113" s="322" t="s">
        <v>303</v>
      </c>
      <c r="R113" s="1">
        <v>40</v>
      </c>
      <c r="AL113" s="500"/>
      <c r="AN113" s="492"/>
    </row>
    <row r="114" spans="2:40" x14ac:dyDescent="0.3">
      <c r="B114" s="803"/>
      <c r="C114" s="498" t="s">
        <v>164</v>
      </c>
      <c r="D114" s="2">
        <f>$D$110*D10</f>
        <v>18900</v>
      </c>
      <c r="E114" s="2">
        <f>ROUNDDOWN(D114/$E$10,0)</f>
        <v>18</v>
      </c>
      <c r="F114" s="2">
        <f t="shared" si="38"/>
        <v>13</v>
      </c>
      <c r="G114" s="2">
        <f>ROUNDUP(E114*0.25,0)</f>
        <v>5</v>
      </c>
      <c r="H114" s="2">
        <f t="shared" si="39"/>
        <v>0</v>
      </c>
      <c r="I114" s="10">
        <f>(F114*$G$10)+(G114*$J$10)+(H114*$N$10)</f>
        <v>1217700</v>
      </c>
      <c r="J114" s="10">
        <f>SUM(I111:I114)</f>
        <v>3438963.9688715953</v>
      </c>
      <c r="K114" s="2">
        <f>'3| Building Mix'!I16</f>
        <v>56448</v>
      </c>
      <c r="L114" s="20">
        <f>$S$10</f>
        <v>45.5</v>
      </c>
      <c r="M114" s="20">
        <f>K114*L114</f>
        <v>2568384</v>
      </c>
      <c r="N114" s="317">
        <f>J114+M114</f>
        <v>6007347.9688715953</v>
      </c>
      <c r="P114" s="27">
        <f>$W$8*(K114+D110)</f>
        <v>42915600</v>
      </c>
      <c r="Q114" s="27"/>
      <c r="R114" s="27">
        <f>SUM(R112:R113)*'2| Assumptions'!$C$29</f>
        <v>3281250</v>
      </c>
      <c r="S114" s="27">
        <f>P114*'2| Assumptions'!$F$30</f>
        <v>2145780</v>
      </c>
      <c r="T114" s="27">
        <f>'5| Demolitions &amp; Land'!D13*('3| Building Mix'!E11)/('3| Building Mix'!E9+'3| Building Mix'!E11+'3| Building Mix'!E13)</f>
        <v>134309.56489297206</v>
      </c>
      <c r="U114" s="27">
        <f>'5| Demolitions &amp; Land'!J13*('3| Building Mix'!E11)/('3| Building Mix'!E9+'3| Building Mix'!E11+'3| Building Mix'!E13)</f>
        <v>22430258.751107588</v>
      </c>
      <c r="V114" s="27">
        <f>SUM(F111:F114,G111:G114)*'2| Assumptions'!$F$31</f>
        <v>364000</v>
      </c>
      <c r="W114" s="27">
        <f>'3| Building Mix'!J9*'2| Assumptions'!F27/3</f>
        <v>2390797.6190476194</v>
      </c>
      <c r="X114" s="27">
        <f>'7a| Phase 2 Financial'!C63/9</f>
        <v>33333.333333333336</v>
      </c>
      <c r="Y114" s="27">
        <f>'7a| Phase 2 Financial'!C64/9</f>
        <v>156028.25</v>
      </c>
      <c r="Z114" s="27">
        <f>(P114+S114)*'2| Assumptions'!$F$35</f>
        <v>2703682.8</v>
      </c>
      <c r="AA114" s="27">
        <f>(P114+S114)*'2| Assumptions'!$F$36</f>
        <v>1351841.4</v>
      </c>
      <c r="AB114" s="27">
        <f>(P114+S114)*'2| Assumptions'!$F$37</f>
        <v>901227.6</v>
      </c>
      <c r="AC114" s="27">
        <f>'7a| Phase 2 Financial'!$C$68/9</f>
        <v>0</v>
      </c>
      <c r="AD114" s="27">
        <f>'7a| Phase 2 Financial'!$B$69*SUM('4| Development Program'!E111:E114)</f>
        <v>465000</v>
      </c>
      <c r="AE114" s="27">
        <f>'7a| Phase 2 Financial'!$C$70/9</f>
        <v>333333.33333333331</v>
      </c>
      <c r="AF114" s="27">
        <f>'7a| Phase 2 Financial'!$C$71/9</f>
        <v>328471.00887957698</v>
      </c>
      <c r="AG114" s="27">
        <f>'7a| Phase 2 Financial'!$B$72*K114</f>
        <v>1411200</v>
      </c>
      <c r="AH114" s="27">
        <f>'2| Assumptions'!$F$43*M114*5</f>
        <v>770515.20000000007</v>
      </c>
      <c r="AI114" s="27">
        <f>'7a| Phase 2 Financial'!$C$74/9</f>
        <v>127916.66666666667</v>
      </c>
      <c r="AJ114" s="27">
        <f>'7a| Phase 2 Financial'!$C$75/9</f>
        <v>596944.4444444445</v>
      </c>
      <c r="AK114" s="27">
        <f>'7a| Phase 2 Financial'!$C$76/9</f>
        <v>55555.555555555555</v>
      </c>
      <c r="AL114" s="27">
        <f t="shared" ref="AL114" si="40">SUM(P114:AK114)</f>
        <v>82897045.527261063</v>
      </c>
      <c r="AN114" s="492"/>
    </row>
    <row r="115" spans="2:40" x14ac:dyDescent="0.3">
      <c r="B115" s="803"/>
      <c r="N115" s="499"/>
      <c r="P115" s="501"/>
      <c r="AL115" s="500"/>
      <c r="AN115" s="492"/>
    </row>
    <row r="116" spans="2:40" x14ac:dyDescent="0.3">
      <c r="B116" s="803"/>
      <c r="C116" s="498" t="s">
        <v>242</v>
      </c>
      <c r="D116" s="2" t="s">
        <v>281</v>
      </c>
      <c r="E116" s="2" t="s">
        <v>282</v>
      </c>
      <c r="F116" s="2" t="s">
        <v>283</v>
      </c>
      <c r="G116" s="2" t="s">
        <v>284</v>
      </c>
      <c r="H116" s="2" t="s">
        <v>285</v>
      </c>
      <c r="I116" s="2" t="s">
        <v>286</v>
      </c>
      <c r="J116" s="2" t="s">
        <v>287</v>
      </c>
      <c r="K116" s="2" t="s">
        <v>288</v>
      </c>
      <c r="L116" s="2" t="s">
        <v>289</v>
      </c>
      <c r="M116" s="2" t="s">
        <v>290</v>
      </c>
      <c r="N116" s="316" t="s">
        <v>291</v>
      </c>
      <c r="P116" s="2" t="s">
        <v>276</v>
      </c>
      <c r="Q116" s="2"/>
      <c r="R116" s="2" t="s">
        <v>292</v>
      </c>
      <c r="S116" s="2" t="s">
        <v>293</v>
      </c>
      <c r="T116" s="2" t="s">
        <v>294</v>
      </c>
      <c r="U116" s="2" t="s">
        <v>295</v>
      </c>
      <c r="V116" s="2" t="s">
        <v>208</v>
      </c>
      <c r="W116" s="2" t="s">
        <v>209</v>
      </c>
      <c r="X116" s="2" t="s">
        <v>109</v>
      </c>
      <c r="Y116" s="2" t="s">
        <v>296</v>
      </c>
      <c r="Z116" s="2" t="s">
        <v>297</v>
      </c>
      <c r="AA116" s="2" t="s">
        <v>298</v>
      </c>
      <c r="AB116" s="2" t="s">
        <v>299</v>
      </c>
      <c r="AC116" s="2" t="s">
        <v>211</v>
      </c>
      <c r="AD116" s="2" t="s">
        <v>123</v>
      </c>
      <c r="AE116" s="2" t="s">
        <v>124</v>
      </c>
      <c r="AF116" s="2" t="s">
        <v>125</v>
      </c>
      <c r="AG116" s="2" t="s">
        <v>212</v>
      </c>
      <c r="AH116" s="2" t="s">
        <v>300</v>
      </c>
      <c r="AI116" s="2" t="s">
        <v>128</v>
      </c>
      <c r="AJ116" s="2" t="s">
        <v>130</v>
      </c>
      <c r="AK116" s="2" t="s">
        <v>215</v>
      </c>
      <c r="AL116" s="2" t="s">
        <v>301</v>
      </c>
      <c r="AN116" s="492"/>
    </row>
    <row r="117" spans="2:40" x14ac:dyDescent="0.3">
      <c r="B117" s="803"/>
      <c r="C117" s="498" t="str">
        <f>'3| Building Mix'!B13</f>
        <v>B3</v>
      </c>
      <c r="D117" s="2">
        <f>'3| Building Mix'!I14</f>
        <v>116800</v>
      </c>
      <c r="E117" s="2"/>
      <c r="F117" s="2"/>
      <c r="G117" s="2"/>
      <c r="H117" s="2"/>
      <c r="I117" s="2"/>
      <c r="N117" s="499"/>
      <c r="P117" s="501"/>
      <c r="AL117" s="500"/>
      <c r="AN117" s="492"/>
    </row>
    <row r="118" spans="2:40" x14ac:dyDescent="0.3">
      <c r="B118" s="803"/>
      <c r="C118" s="458" t="s">
        <v>158</v>
      </c>
      <c r="D118" s="2">
        <f>D117*$D$7</f>
        <v>5840</v>
      </c>
      <c r="E118" s="2">
        <f>ROUNDDOWN(D118/$E$7,0)</f>
        <v>12</v>
      </c>
      <c r="F118" s="2">
        <f>E118-G118-H118</f>
        <v>9</v>
      </c>
      <c r="G118" s="2">
        <f>ROUNDUP(E118*0.25,0)</f>
        <v>3</v>
      </c>
      <c r="H118" s="2">
        <f>ROUNDDOWN(E118*0.05,0)</f>
        <v>0</v>
      </c>
      <c r="I118" s="10">
        <f>(F118*$G$7)+(G118*$J$7)+(H118*$N$7)</f>
        <v>188915.95330739301</v>
      </c>
      <c r="N118" s="499"/>
      <c r="P118" s="501"/>
      <c r="AL118" s="500"/>
      <c r="AN118" s="492"/>
    </row>
    <row r="119" spans="2:40" x14ac:dyDescent="0.3">
      <c r="B119" s="803"/>
      <c r="C119" s="498" t="s">
        <v>160</v>
      </c>
      <c r="D119" s="2">
        <f>D117*$D$8</f>
        <v>35040</v>
      </c>
      <c r="E119" s="2">
        <f>ROUNDDOWN(D119/$E$8,0)</f>
        <v>52</v>
      </c>
      <c r="F119" s="2">
        <f t="shared" ref="F119:F121" si="41">E119-G119-H119</f>
        <v>37</v>
      </c>
      <c r="G119" s="2">
        <f>ROUNDUP(E119*0.25,0)</f>
        <v>13</v>
      </c>
      <c r="H119" s="2">
        <f>ROUNDDOWN(E119*0.05,0)</f>
        <v>2</v>
      </c>
      <c r="I119" s="10">
        <f>(F119*$G$8)+(G119*$J$8)+(H119*$N$8)</f>
        <v>1373340</v>
      </c>
      <c r="N119" s="499"/>
      <c r="P119" s="501"/>
      <c r="Q119" s="1" t="s">
        <v>302</v>
      </c>
      <c r="R119" s="1">
        <v>10</v>
      </c>
      <c r="AL119" s="500"/>
      <c r="AN119" s="492"/>
    </row>
    <row r="120" spans="2:40" x14ac:dyDescent="0.3">
      <c r="B120" s="803"/>
      <c r="C120" s="498" t="s">
        <v>162</v>
      </c>
      <c r="D120" s="2">
        <f>D117*$D$9</f>
        <v>46720</v>
      </c>
      <c r="E120" s="2">
        <f>ROUNDDOWN(D120/$E$9,0)</f>
        <v>53</v>
      </c>
      <c r="F120" s="2">
        <f t="shared" si="41"/>
        <v>37</v>
      </c>
      <c r="G120" s="2">
        <f>ROUNDUP(E120*0.25,0)</f>
        <v>14</v>
      </c>
      <c r="H120" s="2">
        <f t="shared" ref="H120:H121" si="42">ROUNDDOWN(E120*0.05,0)</f>
        <v>2</v>
      </c>
      <c r="I120" s="10">
        <f>(F120*$G$9)+(G120*$J$9)+(H120*$N$9)</f>
        <v>1926600</v>
      </c>
      <c r="N120" s="499"/>
      <c r="P120" s="501"/>
      <c r="Q120" s="322" t="s">
        <v>303</v>
      </c>
      <c r="R120" s="1">
        <v>40</v>
      </c>
      <c r="AL120" s="500"/>
      <c r="AN120" s="492"/>
    </row>
    <row r="121" spans="2:40" x14ac:dyDescent="0.3">
      <c r="B121" s="803"/>
      <c r="C121" s="498" t="s">
        <v>164</v>
      </c>
      <c r="D121" s="2">
        <f>D117*$D$10</f>
        <v>29200</v>
      </c>
      <c r="E121" s="2">
        <f>ROUNDDOWN(D121/$E$10,0)</f>
        <v>28</v>
      </c>
      <c r="F121" s="2">
        <f t="shared" si="41"/>
        <v>20</v>
      </c>
      <c r="G121" s="2">
        <f>ROUNDUP(E121*0.25,0)</f>
        <v>7</v>
      </c>
      <c r="H121" s="2">
        <f t="shared" si="42"/>
        <v>1</v>
      </c>
      <c r="I121" s="10">
        <f>(F121*$G$10)+(G121*$J$10)+(H121*$N$10)</f>
        <v>1933560</v>
      </c>
      <c r="J121" s="10">
        <f>SUM(I118:I121)</f>
        <v>5422415.953307393</v>
      </c>
      <c r="K121" s="2">
        <f>'3| Building Mix'!I23</f>
        <v>13440</v>
      </c>
      <c r="L121" s="20">
        <f>$S$10</f>
        <v>45.5</v>
      </c>
      <c r="M121" s="20">
        <f>K121*L121</f>
        <v>611520</v>
      </c>
      <c r="N121" s="317">
        <f>J121+M121</f>
        <v>6033935.953307393</v>
      </c>
      <c r="P121" s="27">
        <f>$W$8*(K121+D117)</f>
        <v>42328000</v>
      </c>
      <c r="Q121" s="27"/>
      <c r="R121" s="27">
        <f>SUM(R119:R120)*'2| Assumptions'!$C$29</f>
        <v>3281250</v>
      </c>
      <c r="S121" s="27">
        <f>P121*'2| Assumptions'!$F$30</f>
        <v>2116400</v>
      </c>
      <c r="T121" s="27">
        <f>'5| Demolitions &amp; Land'!D13*('3| Building Mix'!E13)/('3| Building Mix'!E9+'3| Building Mix'!E11+'3| Building Mix'!E13)</f>
        <v>207060.5792099986</v>
      </c>
      <c r="U121" s="27">
        <f>'5| Demolitions &amp; Land'!J13*('3| Building Mix'!E13)/('3| Building Mix'!E9+'3| Building Mix'!E11+'3| Building Mix'!E13)</f>
        <v>34579982.241290867</v>
      </c>
      <c r="V121" s="27">
        <f>SUM(F118:F121,G118:G121)*'2| Assumptions'!$F$31</f>
        <v>560000</v>
      </c>
      <c r="W121" s="27">
        <f>'3| Building Mix'!J9*'2| Assumptions'!F27/3</f>
        <v>2390797.6190476194</v>
      </c>
      <c r="X121" s="27">
        <f>'7a| Phase 2 Financial'!C63/9</f>
        <v>33333.333333333336</v>
      </c>
      <c r="Y121" s="27">
        <f>'7a| Phase 2 Financial'!C64/9</f>
        <v>156028.25</v>
      </c>
      <c r="Z121" s="27">
        <f>(P121+S121)*'2| Assumptions'!$F$35</f>
        <v>2666664</v>
      </c>
      <c r="AA121" s="27">
        <f>(P121+S121)*'2| Assumptions'!$F$36</f>
        <v>1333332</v>
      </c>
      <c r="AB121" s="27">
        <f>(P121+S121)*'2| Assumptions'!$F$37</f>
        <v>888888</v>
      </c>
      <c r="AC121" s="27">
        <f>'7a| Phase 2 Financial'!$C$68/9</f>
        <v>0</v>
      </c>
      <c r="AD121" s="27">
        <f>'7a| Phase 2 Financial'!$B$69*SUM('4| Development Program'!E118:E121)</f>
        <v>725000</v>
      </c>
      <c r="AE121" s="27">
        <f>'7a| Phase 2 Financial'!$C$70/9</f>
        <v>333333.33333333331</v>
      </c>
      <c r="AF121" s="27">
        <f>'7a| Phase 2 Financial'!$C$71/9</f>
        <v>328471.00887957698</v>
      </c>
      <c r="AG121" s="27">
        <f>'7a| Phase 2 Financial'!$B$72*K121</f>
        <v>336000</v>
      </c>
      <c r="AH121" s="27">
        <f>'2| Assumptions'!$F$43*M121*5</f>
        <v>183456</v>
      </c>
      <c r="AI121" s="27">
        <f>'7a| Phase 2 Financial'!$C$74/9</f>
        <v>127916.66666666667</v>
      </c>
      <c r="AJ121" s="27">
        <f>'7a| Phase 2 Financial'!$C$75/9</f>
        <v>596944.4444444445</v>
      </c>
      <c r="AK121" s="27">
        <f>'7a| Phase 2 Financial'!$C$76/9</f>
        <v>55555.555555555555</v>
      </c>
      <c r="AL121" s="27">
        <f t="shared" ref="AL121" si="43">SUM(P121:AK121)</f>
        <v>93228413.031761393</v>
      </c>
      <c r="AN121" s="492"/>
    </row>
    <row r="122" spans="2:40" x14ac:dyDescent="0.3">
      <c r="B122" s="803"/>
      <c r="N122" s="500"/>
      <c r="P122" s="501"/>
      <c r="AL122" s="500"/>
      <c r="AN122" s="492"/>
    </row>
    <row r="123" spans="2:40" x14ac:dyDescent="0.3">
      <c r="B123" s="803"/>
      <c r="C123" s="498" t="s">
        <v>242</v>
      </c>
      <c r="D123" s="2" t="s">
        <v>281</v>
      </c>
      <c r="E123" s="2" t="s">
        <v>282</v>
      </c>
      <c r="F123" s="2" t="s">
        <v>283</v>
      </c>
      <c r="G123" s="2" t="s">
        <v>284</v>
      </c>
      <c r="H123" s="2" t="s">
        <v>285</v>
      </c>
      <c r="I123" s="2" t="s">
        <v>286</v>
      </c>
      <c r="J123" s="2" t="s">
        <v>287</v>
      </c>
      <c r="K123" s="2" t="s">
        <v>288</v>
      </c>
      <c r="L123" s="2" t="s">
        <v>289</v>
      </c>
      <c r="M123" s="2" t="s">
        <v>290</v>
      </c>
      <c r="N123" s="316" t="s">
        <v>291</v>
      </c>
      <c r="P123" s="2" t="s">
        <v>276</v>
      </c>
      <c r="Q123" s="2"/>
      <c r="R123" s="2" t="s">
        <v>292</v>
      </c>
      <c r="S123" s="2" t="s">
        <v>293</v>
      </c>
      <c r="T123" s="2" t="s">
        <v>294</v>
      </c>
      <c r="U123" s="2" t="s">
        <v>295</v>
      </c>
      <c r="V123" s="2" t="s">
        <v>208</v>
      </c>
      <c r="W123" s="2" t="s">
        <v>209</v>
      </c>
      <c r="X123" s="2" t="s">
        <v>109</v>
      </c>
      <c r="Y123" s="2" t="s">
        <v>296</v>
      </c>
      <c r="Z123" s="2" t="s">
        <v>297</v>
      </c>
      <c r="AA123" s="2" t="s">
        <v>298</v>
      </c>
      <c r="AB123" s="2" t="s">
        <v>299</v>
      </c>
      <c r="AC123" s="2" t="s">
        <v>211</v>
      </c>
      <c r="AD123" s="2" t="s">
        <v>123</v>
      </c>
      <c r="AE123" s="2" t="s">
        <v>124</v>
      </c>
      <c r="AF123" s="2" t="s">
        <v>125</v>
      </c>
      <c r="AG123" s="2" t="s">
        <v>212</v>
      </c>
      <c r="AH123" s="2" t="s">
        <v>300</v>
      </c>
      <c r="AI123" s="2" t="s">
        <v>128</v>
      </c>
      <c r="AJ123" s="2" t="s">
        <v>130</v>
      </c>
      <c r="AK123" s="2" t="s">
        <v>215</v>
      </c>
      <c r="AL123" s="2" t="s">
        <v>301</v>
      </c>
      <c r="AN123" s="492"/>
    </row>
    <row r="124" spans="2:40" x14ac:dyDescent="0.3">
      <c r="B124" s="803"/>
      <c r="C124" s="498" t="s">
        <v>262</v>
      </c>
      <c r="D124" s="2">
        <f>'3| Building Mix'!I32</f>
        <v>37600</v>
      </c>
      <c r="E124" s="2"/>
      <c r="F124" s="2"/>
      <c r="G124" s="2"/>
      <c r="H124" s="2"/>
      <c r="I124" s="2"/>
      <c r="N124" s="499"/>
      <c r="P124" s="501"/>
      <c r="AL124" s="500"/>
      <c r="AN124" s="492"/>
    </row>
    <row r="125" spans="2:40" x14ac:dyDescent="0.3">
      <c r="B125" s="803"/>
      <c r="C125" s="458" t="s">
        <v>158</v>
      </c>
      <c r="D125" s="2">
        <f>D124*$D$7</f>
        <v>1880</v>
      </c>
      <c r="E125" s="2">
        <f>ROUNDDOWN(D125/$E$7,0)</f>
        <v>4</v>
      </c>
      <c r="F125" s="2">
        <f>E125-G125-H125</f>
        <v>3</v>
      </c>
      <c r="G125" s="2">
        <f>ROUNDUP(E125*0.25,0)</f>
        <v>1</v>
      </c>
      <c r="H125" s="2">
        <f>ROUNDDOWN(E125*0.05,0)</f>
        <v>0</v>
      </c>
      <c r="I125" s="10">
        <f>(F125*$G$7)+(G125*$J$7)+(H125*$N$7)</f>
        <v>62971.984435797669</v>
      </c>
      <c r="N125" s="499"/>
      <c r="P125" s="501"/>
      <c r="AL125" s="500"/>
      <c r="AN125" s="492"/>
    </row>
    <row r="126" spans="2:40" x14ac:dyDescent="0.3">
      <c r="B126" s="803"/>
      <c r="C126" s="498" t="s">
        <v>160</v>
      </c>
      <c r="D126" s="2">
        <f>D124*$D$8</f>
        <v>11280</v>
      </c>
      <c r="E126" s="2">
        <f>ROUNDDOWN(D126/$E$8,0)</f>
        <v>16</v>
      </c>
      <c r="F126" s="2">
        <f t="shared" ref="F126:F128" si="44">E126-G126-H126</f>
        <v>12</v>
      </c>
      <c r="G126" s="2">
        <f>ROUNDUP(E126*0.25,0)</f>
        <v>4</v>
      </c>
      <c r="H126" s="2">
        <f>ROUNDDOWN(E126*0.05,0)</f>
        <v>0</v>
      </c>
      <c r="I126" s="10">
        <f>(F126*$G$8)+(G126*$J$8)+(H126*$N$8)</f>
        <v>417360</v>
      </c>
      <c r="N126" s="499"/>
      <c r="P126" s="501"/>
      <c r="Q126" s="1" t="s">
        <v>302</v>
      </c>
      <c r="R126" s="1">
        <v>10</v>
      </c>
      <c r="AL126" s="500"/>
      <c r="AN126" s="492"/>
    </row>
    <row r="127" spans="2:40" x14ac:dyDescent="0.3">
      <c r="B127" s="803"/>
      <c r="C127" s="498" t="s">
        <v>162</v>
      </c>
      <c r="D127" s="2">
        <f>D124*$D$9</f>
        <v>15040</v>
      </c>
      <c r="E127" s="2">
        <f>ROUNDDOWN(D127/$E$9,0)</f>
        <v>17</v>
      </c>
      <c r="F127" s="2">
        <f t="shared" si="44"/>
        <v>12</v>
      </c>
      <c r="G127" s="2">
        <f>ROUNDUP(E127*0.25,0)</f>
        <v>5</v>
      </c>
      <c r="H127" s="2">
        <f t="shared" ref="H127:H128" si="45">ROUNDDOWN(E127*0.05,0)</f>
        <v>0</v>
      </c>
      <c r="I127" s="10">
        <f>(F127*$G$9)+(G127*$J$9)+(H127*$N$9)</f>
        <v>604500</v>
      </c>
      <c r="N127" s="499"/>
      <c r="P127" s="501"/>
      <c r="Q127" s="322" t="s">
        <v>303</v>
      </c>
      <c r="R127" s="1">
        <v>40</v>
      </c>
      <c r="AL127" s="551"/>
      <c r="AN127" s="492"/>
    </row>
    <row r="128" spans="2:40" x14ac:dyDescent="0.3">
      <c r="B128" s="803"/>
      <c r="C128" s="498" t="s">
        <v>164</v>
      </c>
      <c r="D128" s="2">
        <f>D124*$D$10</f>
        <v>9400</v>
      </c>
      <c r="E128" s="2">
        <f>ROUNDDOWN(D128/$E$10,0)</f>
        <v>9</v>
      </c>
      <c r="F128" s="2">
        <f t="shared" si="44"/>
        <v>6</v>
      </c>
      <c r="G128" s="2">
        <f>ROUNDUP(E128*0.25,0)</f>
        <v>3</v>
      </c>
      <c r="H128" s="2">
        <f t="shared" si="45"/>
        <v>0</v>
      </c>
      <c r="I128" s="10">
        <f>(F128*$G$10)+(G128*$J$10)+(H128*$N$10)</f>
        <v>597780</v>
      </c>
      <c r="J128" s="10">
        <f>SUM(I125:I128)</f>
        <v>1682611.9844357977</v>
      </c>
      <c r="K128" s="2">
        <f>'3| Building Mix'!I31</f>
        <v>10160</v>
      </c>
      <c r="L128" s="20">
        <f>$S$10</f>
        <v>45.5</v>
      </c>
      <c r="M128" s="20">
        <f>K128*L128</f>
        <v>462280</v>
      </c>
      <c r="N128" s="317">
        <f>J128+M128</f>
        <v>2144891.9844357977</v>
      </c>
      <c r="P128" s="27">
        <f>$W$8*(K128+D124)</f>
        <v>15522000</v>
      </c>
      <c r="Q128" s="27"/>
      <c r="R128" s="27">
        <f>SUM(R126:R127)*'2| Assumptions'!$C$29</f>
        <v>3281250</v>
      </c>
      <c r="S128" s="27">
        <f>P128*'2| Assumptions'!$F$30</f>
        <v>776100</v>
      </c>
      <c r="T128" s="27">
        <f>'5| Demolitions &amp; Land'!D16*('3| Building Mix'!E31/('3| Building Mix'!E31+'3| Building Mix'!E33))</f>
        <v>431202.60021668469</v>
      </c>
      <c r="U128" s="27">
        <f>'5| Demolitions &amp; Land'!J16*('3| Building Mix'!E31/('3| Building Mix'!E31+'3| Building Mix'!E33))</f>
        <v>48642533.737811483</v>
      </c>
      <c r="V128" s="27">
        <f>SUM(F125:F128,G125:G128)*'2| Assumptions'!$F$31</f>
        <v>184000</v>
      </c>
      <c r="W128" s="27">
        <f>'3| Building Mix'!J31*'2| Assumptions'!F27/2</f>
        <v>1566900</v>
      </c>
      <c r="X128" s="27">
        <f>'8a| Phase 3 Financial'!C63/3</f>
        <v>100000</v>
      </c>
      <c r="Y128" s="27">
        <f>'8a| Phase 3 Financial'!C64/3</f>
        <v>844472.03750000009</v>
      </c>
      <c r="Z128" s="27">
        <f>(P128+S128)*'2| Assumptions'!$F$35</f>
        <v>977886</v>
      </c>
      <c r="AA128" s="27">
        <f>(P128+S128)*'2| Assumptions'!$F$36</f>
        <v>488943</v>
      </c>
      <c r="AB128" s="27">
        <f>(P128+S128)*'2| Assumptions'!$F$37</f>
        <v>325962</v>
      </c>
      <c r="AC128" s="27">
        <f>'8a| Phase 3 Financial'!$C$68/3</f>
        <v>0</v>
      </c>
      <c r="AD128" s="27">
        <f>'8a| Phase 3 Financial'!$B$69*SUM(E125:E128)</f>
        <v>230000</v>
      </c>
      <c r="AE128" s="27">
        <f>'8a| Phase 3 Financial'!$C$70/3</f>
        <v>500000</v>
      </c>
      <c r="AF128" s="27">
        <f>'8a| Phase 3 Financial'!$C$71/3</f>
        <v>2574038.7289583958</v>
      </c>
      <c r="AG128" s="27">
        <f>'8a| Phase 3 Financial'!$B$72*K128</f>
        <v>254000</v>
      </c>
      <c r="AH128" s="27">
        <f>'2| Assumptions'!$F$43*M128*5</f>
        <v>138684</v>
      </c>
      <c r="AI128" s="27">
        <f>'8a| Phase 3 Financial'!$C$74/3</f>
        <v>1106775</v>
      </c>
      <c r="AJ128" s="27">
        <f>'8a| Phase 3 Financial'!$C$75/3</f>
        <v>5164950.0000000009</v>
      </c>
      <c r="AK128" s="27">
        <f>'8a| Phase 3 Financial'!$C$76/3</f>
        <v>133333.33333333334</v>
      </c>
      <c r="AL128" s="27">
        <f t="shared" ref="AL128" si="46">SUM(P128:AK128)</f>
        <v>83243030.437819883</v>
      </c>
      <c r="AN128" s="492"/>
    </row>
    <row r="129" spans="2:40" x14ac:dyDescent="0.3">
      <c r="B129" s="803"/>
      <c r="N129" s="499"/>
      <c r="P129" s="501"/>
      <c r="AL129" s="500"/>
      <c r="AN129" s="492"/>
    </row>
    <row r="130" spans="2:40" x14ac:dyDescent="0.3">
      <c r="B130" s="803"/>
      <c r="C130" s="498" t="s">
        <v>242</v>
      </c>
      <c r="D130" s="2" t="s">
        <v>281</v>
      </c>
      <c r="E130" s="2" t="s">
        <v>282</v>
      </c>
      <c r="F130" s="2" t="s">
        <v>283</v>
      </c>
      <c r="G130" s="2" t="s">
        <v>284</v>
      </c>
      <c r="H130" s="2" t="s">
        <v>285</v>
      </c>
      <c r="I130" s="2" t="s">
        <v>286</v>
      </c>
      <c r="J130" s="2" t="s">
        <v>287</v>
      </c>
      <c r="K130" s="2" t="s">
        <v>288</v>
      </c>
      <c r="L130" s="2" t="s">
        <v>289</v>
      </c>
      <c r="M130" s="2" t="s">
        <v>290</v>
      </c>
      <c r="N130" s="316" t="s">
        <v>291</v>
      </c>
      <c r="P130" s="2" t="s">
        <v>276</v>
      </c>
      <c r="Q130" s="2"/>
      <c r="R130" s="2" t="s">
        <v>292</v>
      </c>
      <c r="S130" s="2" t="s">
        <v>293</v>
      </c>
      <c r="T130" s="2" t="s">
        <v>294</v>
      </c>
      <c r="U130" s="2" t="s">
        <v>295</v>
      </c>
      <c r="V130" s="2" t="s">
        <v>208</v>
      </c>
      <c r="W130" s="2" t="s">
        <v>209</v>
      </c>
      <c r="X130" s="2" t="s">
        <v>109</v>
      </c>
      <c r="Y130" s="2" t="s">
        <v>296</v>
      </c>
      <c r="Z130" s="2" t="s">
        <v>297</v>
      </c>
      <c r="AA130" s="2" t="s">
        <v>298</v>
      </c>
      <c r="AB130" s="2" t="s">
        <v>299</v>
      </c>
      <c r="AC130" s="2" t="s">
        <v>211</v>
      </c>
      <c r="AD130" s="2" t="s">
        <v>123</v>
      </c>
      <c r="AE130" s="2" t="s">
        <v>124</v>
      </c>
      <c r="AF130" s="2" t="s">
        <v>125</v>
      </c>
      <c r="AG130" s="2" t="s">
        <v>212</v>
      </c>
      <c r="AH130" s="2" t="s">
        <v>300</v>
      </c>
      <c r="AI130" s="2" t="s">
        <v>128</v>
      </c>
      <c r="AJ130" s="2" t="s">
        <v>130</v>
      </c>
      <c r="AK130" s="2" t="s">
        <v>215</v>
      </c>
      <c r="AL130" s="2" t="s">
        <v>301</v>
      </c>
      <c r="AN130" s="492"/>
    </row>
    <row r="131" spans="2:40" x14ac:dyDescent="0.3">
      <c r="B131" s="803"/>
      <c r="C131" s="498" t="s">
        <v>263</v>
      </c>
      <c r="D131" s="2">
        <f>'3| Building Mix'!I34</f>
        <v>49000</v>
      </c>
      <c r="E131" s="2"/>
      <c r="F131" s="2"/>
      <c r="G131" s="2"/>
      <c r="H131" s="2"/>
      <c r="I131" s="2"/>
      <c r="N131" s="499"/>
      <c r="P131" s="501"/>
      <c r="AL131" s="500"/>
      <c r="AN131" s="492"/>
    </row>
    <row r="132" spans="2:40" x14ac:dyDescent="0.3">
      <c r="B132" s="803"/>
      <c r="C132" s="458" t="s">
        <v>158</v>
      </c>
      <c r="D132" s="2">
        <f>D131*$D$7</f>
        <v>2450</v>
      </c>
      <c r="E132" s="2">
        <f>ROUNDDOWN(D132/$E$7,0)</f>
        <v>5</v>
      </c>
      <c r="F132" s="2">
        <f>E132-G132-H132</f>
        <v>3</v>
      </c>
      <c r="G132" s="2">
        <f>ROUNDUP(E132*0.25,0)</f>
        <v>2</v>
      </c>
      <c r="H132" s="2">
        <f>ROUNDDOWN(E132*0.05,0)</f>
        <v>0</v>
      </c>
      <c r="I132" s="10">
        <f>(F132*$G$7)+(G132*$J$7)+(H132*$N$7)</f>
        <v>74885.603112840472</v>
      </c>
      <c r="N132" s="499"/>
      <c r="P132" s="501"/>
      <c r="AL132" s="500"/>
      <c r="AN132" s="492"/>
    </row>
    <row r="133" spans="2:40" x14ac:dyDescent="0.3">
      <c r="B133" s="803"/>
      <c r="C133" s="498" t="s">
        <v>160</v>
      </c>
      <c r="D133" s="2">
        <f>D131*$D$8</f>
        <v>14700</v>
      </c>
      <c r="E133" s="2">
        <f>ROUNDDOWN(D133/$E$8,0)</f>
        <v>21</v>
      </c>
      <c r="F133" s="2">
        <f t="shared" ref="F133:F135" si="47">E133-G133-H133</f>
        <v>14</v>
      </c>
      <c r="G133" s="2">
        <f>ROUNDUP(E133*0.25,0)</f>
        <v>6</v>
      </c>
      <c r="H133" s="2">
        <f>ROUNDDOWN(E133*0.05,0)</f>
        <v>1</v>
      </c>
      <c r="I133" s="10">
        <f>(F133*$G$8)+(G133*$J$8)+(H133*$N$8)</f>
        <v>549900</v>
      </c>
      <c r="N133" s="499"/>
      <c r="P133" s="501"/>
      <c r="Q133" s="1" t="s">
        <v>302</v>
      </c>
      <c r="R133" s="1">
        <v>10</v>
      </c>
      <c r="AL133" s="500"/>
      <c r="AN133" s="492"/>
    </row>
    <row r="134" spans="2:40" x14ac:dyDescent="0.3">
      <c r="B134" s="803"/>
      <c r="C134" s="498" t="s">
        <v>162</v>
      </c>
      <c r="D134" s="2">
        <f>D131*$D$9</f>
        <v>19600</v>
      </c>
      <c r="E134" s="2">
        <f>ROUNDDOWN(D134/$E$9,0)</f>
        <v>22</v>
      </c>
      <c r="F134" s="2">
        <f t="shared" si="47"/>
        <v>15</v>
      </c>
      <c r="G134" s="2">
        <f>ROUNDUP(E134*0.25,0)</f>
        <v>6</v>
      </c>
      <c r="H134" s="2">
        <f t="shared" ref="H134:H135" si="48">ROUNDDOWN(E134*0.05,0)</f>
        <v>1</v>
      </c>
      <c r="I134" s="10">
        <f>(F134*$G$9)+(G134*$J$9)+(H134*$N$9)</f>
        <v>799500</v>
      </c>
      <c r="N134" s="499"/>
      <c r="P134" s="501"/>
      <c r="Q134" s="322" t="s">
        <v>303</v>
      </c>
      <c r="R134" s="1">
        <v>50</v>
      </c>
      <c r="AL134" s="500"/>
      <c r="AN134" s="492"/>
    </row>
    <row r="135" spans="2:40" x14ac:dyDescent="0.3">
      <c r="B135" s="803"/>
      <c r="C135" s="498" t="s">
        <v>164</v>
      </c>
      <c r="D135" s="2">
        <f>D131*$D$10</f>
        <v>12250</v>
      </c>
      <c r="E135" s="2">
        <f>ROUNDDOWN(D135/$E$10,0)</f>
        <v>11</v>
      </c>
      <c r="F135" s="2">
        <f t="shared" si="47"/>
        <v>8</v>
      </c>
      <c r="G135" s="2">
        <f>ROUNDUP(E135*0.25,0)</f>
        <v>3</v>
      </c>
      <c r="H135" s="2">
        <f t="shared" si="48"/>
        <v>0</v>
      </c>
      <c r="I135" s="10">
        <f>(F135*$G$10)+(G135*$J$10)+(H135*$N$10)</f>
        <v>745380</v>
      </c>
      <c r="J135" s="10">
        <f>SUM(I132:I135)</f>
        <v>2169665.6031128406</v>
      </c>
      <c r="K135" s="2">
        <f>'3| Building Mix'!I33</f>
        <v>14000</v>
      </c>
      <c r="L135" s="20">
        <f>$S$10</f>
        <v>45.5</v>
      </c>
      <c r="M135" s="20">
        <f>K135*L135</f>
        <v>637000</v>
      </c>
      <c r="N135" s="317">
        <f>J135+M135</f>
        <v>2806665.6031128406</v>
      </c>
      <c r="P135" s="27">
        <f>$W$8*(K135+D131)</f>
        <v>20475000</v>
      </c>
      <c r="Q135" s="27"/>
      <c r="R135" s="27">
        <f>SUM(R133:R134)*'2| Assumptions'!$C$29</f>
        <v>3937500</v>
      </c>
      <c r="S135" s="27">
        <f>P135*'2| Assumptions'!$F$30</f>
        <v>1023750</v>
      </c>
      <c r="T135" s="27">
        <f>'5| Demolitions &amp; Land'!D16*('3| Building Mix'!E33/('3| Building Mix'!E31+'3| Building Mix'!E33))</f>
        <v>568797.39978331525</v>
      </c>
      <c r="U135" s="27">
        <f>'5| Demolitions &amp; Land'!J16*('3| Building Mix'!E33/('3| Building Mix'!E31+'3| Building Mix'!E33))</f>
        <v>64164146.262188509</v>
      </c>
      <c r="V135" s="27">
        <f>SUM(F132:F135,G132:G135)*'2| Assumptions'!$F$31</f>
        <v>228000</v>
      </c>
      <c r="W135" s="27">
        <f>'3| Building Mix'!J31*'2| Assumptions'!F27/2</f>
        <v>1566900</v>
      </c>
      <c r="X135" s="27">
        <f>'8a| Phase 3 Financial'!C63/3</f>
        <v>100000</v>
      </c>
      <c r="Y135" s="27">
        <f>'8a| Phase 3 Financial'!C64/3</f>
        <v>844472.03750000009</v>
      </c>
      <c r="Z135" s="27">
        <f>(P135+S135)*'2| Assumptions'!$F$35</f>
        <v>1289925</v>
      </c>
      <c r="AA135" s="27">
        <f>(P135+S135)*'2| Assumptions'!$F$36</f>
        <v>644962.5</v>
      </c>
      <c r="AB135" s="27">
        <f>(P135+S135)*'2| Assumptions'!$F$37</f>
        <v>429975</v>
      </c>
      <c r="AC135" s="27">
        <f>'8a| Phase 3 Financial'!$C$68/3</f>
        <v>0</v>
      </c>
      <c r="AD135" s="27">
        <f>'8a| Phase 3 Financial'!$B$69*SUM(E132:E135)</f>
        <v>295000</v>
      </c>
      <c r="AE135" s="27">
        <f>'8a| Phase 3 Financial'!$C$70/3</f>
        <v>500000</v>
      </c>
      <c r="AF135" s="27">
        <f>'8a| Phase 3 Financial'!$C$71/3</f>
        <v>2574038.7289583958</v>
      </c>
      <c r="AG135" s="27">
        <f>'8a| Phase 3 Financial'!$B$72*K135</f>
        <v>350000</v>
      </c>
      <c r="AH135" s="27">
        <f>'2| Assumptions'!$F$43*M135*5</f>
        <v>191100</v>
      </c>
      <c r="AI135" s="27">
        <f>'8a| Phase 3 Financial'!$C$74/3</f>
        <v>1106775</v>
      </c>
      <c r="AJ135" s="27">
        <f>'8a| Phase 3 Financial'!$C$75/3</f>
        <v>5164950.0000000009</v>
      </c>
      <c r="AK135" s="27">
        <f>'8a| Phase 3 Financial'!$C$76/3</f>
        <v>133333.33333333334</v>
      </c>
      <c r="AL135" s="27">
        <f t="shared" ref="AL135" si="49">SUM(P135:AK135)</f>
        <v>105588625.26176354</v>
      </c>
      <c r="AN135" s="492"/>
    </row>
    <row r="136" spans="2:40" x14ac:dyDescent="0.3">
      <c r="B136" s="803"/>
      <c r="N136" s="499"/>
      <c r="P136" s="546"/>
      <c r="AL136" s="500"/>
      <c r="AN136" s="492"/>
    </row>
    <row r="137" spans="2:40" x14ac:dyDescent="0.3">
      <c r="B137" s="803"/>
      <c r="C137" s="498" t="s">
        <v>242</v>
      </c>
      <c r="D137" s="2" t="s">
        <v>281</v>
      </c>
      <c r="E137" s="2" t="s">
        <v>282</v>
      </c>
      <c r="F137" s="2" t="s">
        <v>283</v>
      </c>
      <c r="G137" s="2" t="s">
        <v>284</v>
      </c>
      <c r="H137" s="2" t="s">
        <v>285</v>
      </c>
      <c r="I137" s="2" t="s">
        <v>286</v>
      </c>
      <c r="J137" s="2" t="s">
        <v>287</v>
      </c>
      <c r="K137" s="2" t="s">
        <v>288</v>
      </c>
      <c r="L137" s="2" t="s">
        <v>289</v>
      </c>
      <c r="M137" s="2" t="s">
        <v>290</v>
      </c>
      <c r="N137" s="316" t="s">
        <v>291</v>
      </c>
      <c r="P137" s="2" t="s">
        <v>276</v>
      </c>
      <c r="Q137" s="2"/>
      <c r="R137" s="2" t="s">
        <v>292</v>
      </c>
      <c r="S137" s="2" t="s">
        <v>293</v>
      </c>
      <c r="T137" s="2" t="s">
        <v>294</v>
      </c>
      <c r="U137" s="2" t="s">
        <v>295</v>
      </c>
      <c r="V137" s="2" t="s">
        <v>208</v>
      </c>
      <c r="W137" s="2" t="s">
        <v>209</v>
      </c>
      <c r="X137" s="2" t="s">
        <v>109</v>
      </c>
      <c r="Y137" s="2" t="s">
        <v>296</v>
      </c>
      <c r="Z137" s="2" t="s">
        <v>297</v>
      </c>
      <c r="AA137" s="2" t="s">
        <v>298</v>
      </c>
      <c r="AB137" s="2" t="s">
        <v>299</v>
      </c>
      <c r="AC137" s="2" t="s">
        <v>211</v>
      </c>
      <c r="AD137" s="2" t="s">
        <v>123</v>
      </c>
      <c r="AE137" s="2" t="s">
        <v>124</v>
      </c>
      <c r="AF137" s="2" t="s">
        <v>125</v>
      </c>
      <c r="AG137" s="2" t="s">
        <v>212</v>
      </c>
      <c r="AH137" s="2" t="s">
        <v>300</v>
      </c>
      <c r="AI137" s="2" t="s">
        <v>128</v>
      </c>
      <c r="AJ137" s="2" t="s">
        <v>130</v>
      </c>
      <c r="AK137" s="2" t="s">
        <v>215</v>
      </c>
      <c r="AL137" s="2" t="s">
        <v>301</v>
      </c>
      <c r="AN137" s="492"/>
    </row>
    <row r="138" spans="2:40" x14ac:dyDescent="0.3">
      <c r="B138" s="803"/>
      <c r="C138" s="498" t="s">
        <v>266</v>
      </c>
      <c r="D138" s="2">
        <f>'3| Building Mix'!I40</f>
        <v>252000</v>
      </c>
      <c r="E138" s="2"/>
      <c r="F138" s="2"/>
      <c r="G138" s="2"/>
      <c r="H138" s="2"/>
      <c r="I138" s="2"/>
      <c r="N138" s="499"/>
      <c r="P138" s="501"/>
      <c r="AL138" s="500"/>
      <c r="AN138" s="492"/>
    </row>
    <row r="139" spans="2:40" x14ac:dyDescent="0.3">
      <c r="B139" s="803"/>
      <c r="C139" s="458" t="s">
        <v>158</v>
      </c>
      <c r="D139" s="2">
        <f>D138*$D$7</f>
        <v>12600</v>
      </c>
      <c r="E139" s="2">
        <f>ROUNDDOWN(D139/$E$7,0)</f>
        <v>28</v>
      </c>
      <c r="F139" s="2">
        <f>E139-G139-H139</f>
        <v>20</v>
      </c>
      <c r="G139" s="2">
        <f>ROUNDUP(E139*0.25,0)</f>
        <v>7</v>
      </c>
      <c r="H139" s="2">
        <f>ROUNDDOWN(E139*0.05,0)</f>
        <v>1</v>
      </c>
      <c r="I139" s="10">
        <f>(F139*$G$7)+(G139*$J$7)+(H139*$N$7)</f>
        <v>445909.72762645909</v>
      </c>
      <c r="N139" s="499"/>
      <c r="P139" s="501"/>
      <c r="AL139" s="500"/>
      <c r="AN139" s="492"/>
    </row>
    <row r="140" spans="2:40" x14ac:dyDescent="0.3">
      <c r="B140" s="803"/>
      <c r="C140" s="498" t="s">
        <v>160</v>
      </c>
      <c r="D140" s="2">
        <f>D138*$D$8</f>
        <v>75600</v>
      </c>
      <c r="E140" s="2">
        <f>ROUNDDOWN(D140/$E$8,0)</f>
        <v>113</v>
      </c>
      <c r="F140" s="2">
        <f t="shared" ref="F140:F142" si="50">E140-G140-H140</f>
        <v>79</v>
      </c>
      <c r="G140" s="2">
        <f>ROUNDUP(E140*0.25,0)</f>
        <v>29</v>
      </c>
      <c r="H140" s="2">
        <f>ROUNDDOWN(E140*0.05,0)</f>
        <v>5</v>
      </c>
      <c r="I140" s="10">
        <f>(F140*$G$8)+(G140*$J$8)+(H140*$N$8)</f>
        <v>2983560</v>
      </c>
      <c r="N140" s="499"/>
      <c r="P140" s="501"/>
      <c r="Q140" s="1" t="s">
        <v>302</v>
      </c>
      <c r="R140" s="1">
        <v>10</v>
      </c>
      <c r="AL140" s="500"/>
      <c r="AN140" s="492"/>
    </row>
    <row r="141" spans="2:40" x14ac:dyDescent="0.3">
      <c r="B141" s="803"/>
      <c r="C141" s="498" t="s">
        <v>162</v>
      </c>
      <c r="D141" s="2">
        <f>D138*$D$9</f>
        <v>100800</v>
      </c>
      <c r="E141" s="2">
        <f>ROUNDDOWN(D141/$E$9,0)</f>
        <v>116</v>
      </c>
      <c r="F141" s="2">
        <f t="shared" si="50"/>
        <v>82</v>
      </c>
      <c r="G141" s="2">
        <f>ROUNDUP(E141*0.25,0)</f>
        <v>29</v>
      </c>
      <c r="H141" s="2">
        <f t="shared" ref="H141:H142" si="51">ROUNDDOWN(E141*0.05,0)</f>
        <v>5</v>
      </c>
      <c r="I141" s="10">
        <f>(F141*$G$9)+(G141*$J$9)+(H141*$N$9)</f>
        <v>4243200</v>
      </c>
      <c r="N141" s="499"/>
      <c r="P141" s="501"/>
      <c r="Q141" s="322" t="s">
        <v>303</v>
      </c>
      <c r="R141" s="1">
        <v>100</v>
      </c>
      <c r="AL141" s="500"/>
      <c r="AN141" s="492"/>
    </row>
    <row r="142" spans="2:40" x14ac:dyDescent="0.3">
      <c r="B142" s="804"/>
      <c r="C142" s="498" t="s">
        <v>164</v>
      </c>
      <c r="D142" s="2">
        <f>D138*$D$10</f>
        <v>63000</v>
      </c>
      <c r="E142" s="2">
        <f>ROUNDDOWN(D142/$E$10,0)</f>
        <v>60</v>
      </c>
      <c r="F142" s="2">
        <f t="shared" si="50"/>
        <v>42</v>
      </c>
      <c r="G142" s="2">
        <f>ROUNDUP(E142*0.25,0)</f>
        <v>15</v>
      </c>
      <c r="H142" s="2">
        <f t="shared" si="51"/>
        <v>3</v>
      </c>
      <c r="I142" s="10">
        <f>(F142*$G$10)+(G142*$J$10)+(H142*$N$10)</f>
        <v>4162320</v>
      </c>
      <c r="J142" s="10">
        <f>SUM(I139:I142)</f>
        <v>11834989.72762646</v>
      </c>
      <c r="K142" s="2">
        <f>'3| Building Mix'!I39</f>
        <v>15300</v>
      </c>
      <c r="L142" s="20">
        <f>$S$10</f>
        <v>45.5</v>
      </c>
      <c r="M142" s="20">
        <f>K142*L142</f>
        <v>696150</v>
      </c>
      <c r="N142" s="317">
        <f>J142+M142</f>
        <v>12531139.72762646</v>
      </c>
      <c r="P142" s="27">
        <f>$W$8*(K142+D138)</f>
        <v>86872500</v>
      </c>
      <c r="Q142" s="27"/>
      <c r="R142" s="27">
        <f>SUM(R140:R141)*'2| Assumptions'!$C$29</f>
        <v>7218750</v>
      </c>
      <c r="S142" s="27">
        <f>P142*'2| Assumptions'!$F$30</f>
        <v>4343625</v>
      </c>
      <c r="T142" s="27">
        <f>'5| Demolitions &amp; Land'!D23*('3| Building Mix'!E39/('3| Building Mix'!E39))</f>
        <v>1000000</v>
      </c>
      <c r="U142" s="27">
        <f>'5| Demolitions &amp; Land'!J23*('3| Building Mix'!E39/('3| Building Mix'!E39))</f>
        <v>105757000</v>
      </c>
      <c r="V142" s="27">
        <f>SUM(F139:F142,G139:G142)*'2| Assumptions'!$F$31</f>
        <v>1212000</v>
      </c>
      <c r="W142" s="27">
        <f>'3| Building Mix'!J39*'2| Assumptions'!F27</f>
        <v>2006350</v>
      </c>
      <c r="X142" s="27">
        <f>'8a| Phase 3 Financial'!C63/3</f>
        <v>100000</v>
      </c>
      <c r="Y142" s="27">
        <f>'8a| Phase 3 Financial'!C64/3</f>
        <v>844472.03750000009</v>
      </c>
      <c r="Z142" s="27">
        <f>(P142+S142)*'2| Assumptions'!$F$35</f>
        <v>5472967.5</v>
      </c>
      <c r="AA142" s="27">
        <f>(P142+S142)*'2| Assumptions'!$F$36</f>
        <v>2736483.75</v>
      </c>
      <c r="AB142" s="27">
        <f>(P142+S142)*'2| Assumptions'!$F$37</f>
        <v>1824322.5</v>
      </c>
      <c r="AC142" s="27">
        <f>'8a| Phase 3 Financial'!$C$68/3</f>
        <v>0</v>
      </c>
      <c r="AD142" s="27">
        <f>'8a| Phase 3 Financial'!$B$69*SUM(E139:E142)</f>
        <v>1585000</v>
      </c>
      <c r="AE142" s="27">
        <f>'8a| Phase 3 Financial'!$C$70/3</f>
        <v>500000</v>
      </c>
      <c r="AF142" s="27">
        <f>'8a| Phase 3 Financial'!$C$71/3</f>
        <v>2574038.7289583958</v>
      </c>
      <c r="AG142" s="27">
        <f>'8a| Phase 3 Financial'!$B$72*K142</f>
        <v>382500</v>
      </c>
      <c r="AH142" s="27">
        <f>'2| Assumptions'!$F$43*M142*5</f>
        <v>208845</v>
      </c>
      <c r="AI142" s="27">
        <f>'8a| Phase 3 Financial'!$C$74/3</f>
        <v>1106775</v>
      </c>
      <c r="AJ142" s="27">
        <f>'8a| Phase 3 Financial'!$C$75/3</f>
        <v>5164950.0000000009</v>
      </c>
      <c r="AK142" s="27">
        <f>'8a| Phase 3 Financial'!$C$76/3</f>
        <v>133333.33333333334</v>
      </c>
      <c r="AL142" s="27">
        <f t="shared" ref="AL142" si="52">SUM(P142:AK142)</f>
        <v>231043912.84979174</v>
      </c>
      <c r="AN142" s="492"/>
    </row>
    <row r="143" spans="2:40" x14ac:dyDescent="0.3">
      <c r="AN143" s="492"/>
    </row>
    <row r="144" spans="2:40" x14ac:dyDescent="0.3">
      <c r="AN144" s="492"/>
    </row>
    <row r="145" spans="1:40" x14ac:dyDescent="0.3">
      <c r="AN145" s="492"/>
    </row>
    <row r="146" spans="1:40" x14ac:dyDescent="0.3">
      <c r="AN146" s="492"/>
    </row>
    <row r="147" spans="1:40" x14ac:dyDescent="0.3">
      <c r="A147" s="492"/>
      <c r="B147" s="492"/>
      <c r="C147" s="492"/>
      <c r="D147" s="492"/>
      <c r="E147" s="492"/>
      <c r="F147" s="492"/>
      <c r="G147" s="492"/>
      <c r="H147" s="492"/>
      <c r="I147" s="492"/>
      <c r="J147" s="492"/>
      <c r="K147" s="492"/>
      <c r="L147" s="492"/>
      <c r="M147" s="492"/>
      <c r="N147" s="492"/>
      <c r="O147" s="492"/>
      <c r="P147" s="492"/>
      <c r="Q147" s="492"/>
      <c r="R147" s="492"/>
      <c r="S147" s="492"/>
      <c r="T147" s="492"/>
      <c r="U147" s="492"/>
      <c r="V147" s="492"/>
      <c r="W147" s="492"/>
      <c r="X147" s="492"/>
      <c r="Y147" s="492"/>
      <c r="Z147" s="492"/>
      <c r="AA147" s="492"/>
      <c r="AB147" s="492"/>
      <c r="AC147" s="492"/>
      <c r="AD147" s="492"/>
      <c r="AE147" s="492"/>
      <c r="AF147" s="492"/>
      <c r="AG147" s="492"/>
      <c r="AH147" s="492"/>
      <c r="AI147" s="492"/>
      <c r="AJ147" s="492"/>
      <c r="AK147" s="492"/>
      <c r="AL147" s="492"/>
      <c r="AM147" s="492"/>
      <c r="AN147" s="492"/>
    </row>
  </sheetData>
  <mergeCells count="8">
    <mergeCell ref="E4:N4"/>
    <mergeCell ref="B102:B142"/>
    <mergeCell ref="B56:B96"/>
    <mergeCell ref="B17:B50"/>
    <mergeCell ref="C6:D6"/>
    <mergeCell ref="E5:G5"/>
    <mergeCell ref="H5:K5"/>
    <mergeCell ref="L5:N5"/>
  </mergeCells>
  <pageMargins left="0.25" right="0.25" top="0.75" bottom="0.75" header="0.3" footer="0.3"/>
  <pageSetup paperSize="3" scale="24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3389E1-7BA6-4FDE-81C8-EB3B9E56E424}">
  <sheetPr>
    <tabColor rgb="FFB9720D"/>
  </sheetPr>
  <dimension ref="A1:H15"/>
  <sheetViews>
    <sheetView showGridLines="0" workbookViewId="0">
      <selection activeCell="C11" sqref="C11"/>
    </sheetView>
  </sheetViews>
  <sheetFormatPr defaultRowHeight="14.4" x14ac:dyDescent="0.3"/>
  <cols>
    <col min="2" max="2" width="19.33203125" customWidth="1"/>
    <col min="3" max="3" width="16.6640625" customWidth="1"/>
    <col min="4" max="4" width="16.44140625" customWidth="1"/>
    <col min="5" max="5" width="23.6640625" customWidth="1"/>
    <col min="6" max="6" width="24.44140625" customWidth="1"/>
    <col min="8" max="8" width="1.6640625" customWidth="1"/>
  </cols>
  <sheetData>
    <row r="1" spans="1:8" ht="15.6" x14ac:dyDescent="0.3">
      <c r="A1" s="28" t="s">
        <v>0</v>
      </c>
      <c r="H1" s="491"/>
    </row>
    <row r="2" spans="1:8" ht="15.6" x14ac:dyDescent="0.3">
      <c r="A2" s="28" t="s">
        <v>1</v>
      </c>
      <c r="H2" s="491"/>
    </row>
    <row r="3" spans="1:8" ht="15.6" x14ac:dyDescent="0.3">
      <c r="A3" s="28" t="s">
        <v>307</v>
      </c>
      <c r="H3" s="491"/>
    </row>
    <row r="4" spans="1:8" x14ac:dyDescent="0.3">
      <c r="H4" s="491"/>
    </row>
    <row r="5" spans="1:8" x14ac:dyDescent="0.3">
      <c r="H5" s="491"/>
    </row>
    <row r="6" spans="1:8" x14ac:dyDescent="0.3">
      <c r="H6" s="491"/>
    </row>
    <row r="7" spans="1:8" x14ac:dyDescent="0.3">
      <c r="H7" s="491"/>
    </row>
    <row r="8" spans="1:8" ht="17.399999999999999" x14ac:dyDescent="0.3">
      <c r="B8" s="815" t="s">
        <v>308</v>
      </c>
      <c r="C8" s="816"/>
      <c r="D8" s="816"/>
      <c r="E8" s="816"/>
      <c r="F8" s="817"/>
      <c r="H8" s="491"/>
    </row>
    <row r="9" spans="1:8" ht="27.6" x14ac:dyDescent="0.3">
      <c r="B9" s="563" t="s">
        <v>309</v>
      </c>
      <c r="C9" s="563" t="s">
        <v>310</v>
      </c>
      <c r="D9" s="563" t="s">
        <v>31</v>
      </c>
      <c r="E9" s="563" t="s">
        <v>276</v>
      </c>
      <c r="F9" s="563" t="s">
        <v>311</v>
      </c>
      <c r="H9" s="491"/>
    </row>
    <row r="10" spans="1:8" ht="27.6" x14ac:dyDescent="0.3">
      <c r="B10" s="564" t="s">
        <v>280</v>
      </c>
      <c r="C10" s="565" t="s">
        <v>312</v>
      </c>
      <c r="D10" s="566" t="s">
        <v>313</v>
      </c>
      <c r="E10" s="566" t="s">
        <v>314</v>
      </c>
      <c r="F10" s="567" t="s">
        <v>315</v>
      </c>
      <c r="H10" s="491"/>
    </row>
    <row r="11" spans="1:8" ht="27.6" x14ac:dyDescent="0.3">
      <c r="B11" s="564" t="s">
        <v>304</v>
      </c>
      <c r="C11" s="565" t="s">
        <v>316</v>
      </c>
      <c r="D11" s="568" t="s">
        <v>317</v>
      </c>
      <c r="E11" s="566" t="s">
        <v>318</v>
      </c>
      <c r="F11" s="567" t="s">
        <v>319</v>
      </c>
      <c r="H11" s="491"/>
    </row>
    <row r="12" spans="1:8" x14ac:dyDescent="0.3">
      <c r="B12" s="569" t="s">
        <v>305</v>
      </c>
      <c r="C12" s="565" t="s">
        <v>320</v>
      </c>
      <c r="D12" s="566" t="s">
        <v>321</v>
      </c>
      <c r="E12" s="566" t="s">
        <v>322</v>
      </c>
      <c r="F12" s="567" t="s">
        <v>323</v>
      </c>
      <c r="H12" s="491"/>
    </row>
    <row r="13" spans="1:8" x14ac:dyDescent="0.3">
      <c r="H13" s="491"/>
    </row>
    <row r="14" spans="1:8" x14ac:dyDescent="0.3">
      <c r="H14" s="491"/>
    </row>
    <row r="15" spans="1:8" ht="8.4" customHeight="1" x14ac:dyDescent="0.3">
      <c r="A15" s="491"/>
      <c r="B15" s="491"/>
      <c r="C15" s="491"/>
      <c r="D15" s="491"/>
      <c r="E15" s="491"/>
      <c r="F15" s="491"/>
      <c r="G15" s="491"/>
      <c r="H15" s="491"/>
    </row>
  </sheetData>
  <mergeCells count="1">
    <mergeCell ref="B8:F8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7A77B6-66A0-4313-8545-2FD41D9509D7}">
  <sheetPr>
    <tabColor rgb="FFB9720D"/>
  </sheetPr>
  <dimension ref="A1:Q20"/>
  <sheetViews>
    <sheetView showGridLines="0" zoomScale="76" workbookViewId="0">
      <selection activeCell="J22" sqref="J22"/>
    </sheetView>
  </sheetViews>
  <sheetFormatPr defaultRowHeight="14.4" x14ac:dyDescent="0.3"/>
  <cols>
    <col min="4" max="4" width="15.109375" customWidth="1"/>
    <col min="5" max="5" width="20.88671875" customWidth="1"/>
    <col min="6" max="6" width="14.6640625" customWidth="1"/>
    <col min="7" max="7" width="15.109375" customWidth="1"/>
    <col min="8" max="8" width="15.109375" bestFit="1" customWidth="1"/>
    <col min="9" max="9" width="15.109375" customWidth="1"/>
    <col min="10" max="10" width="13.88671875" bestFit="1" customWidth="1"/>
    <col min="11" max="11" width="13.88671875" customWidth="1"/>
    <col min="12" max="12" width="13" customWidth="1"/>
    <col min="13" max="13" width="10.5546875" customWidth="1"/>
    <col min="14" max="14" width="11.109375" customWidth="1"/>
    <col min="17" max="17" width="1.33203125" customWidth="1"/>
  </cols>
  <sheetData>
    <row r="1" spans="1:17" ht="15.6" x14ac:dyDescent="0.3">
      <c r="A1" s="28" t="s">
        <v>0</v>
      </c>
      <c r="Q1" s="491"/>
    </row>
    <row r="2" spans="1:17" ht="15.6" x14ac:dyDescent="0.3">
      <c r="A2" s="28" t="s">
        <v>1</v>
      </c>
      <c r="Q2" s="491"/>
    </row>
    <row r="3" spans="1:17" ht="15.6" x14ac:dyDescent="0.3">
      <c r="A3" s="28" t="s">
        <v>324</v>
      </c>
      <c r="Q3" s="491"/>
    </row>
    <row r="4" spans="1:17" x14ac:dyDescent="0.3">
      <c r="Q4" s="491"/>
    </row>
    <row r="5" spans="1:17" x14ac:dyDescent="0.3">
      <c r="C5" s="2"/>
      <c r="D5" s="316" t="s">
        <v>245</v>
      </c>
      <c r="E5" s="316" t="s">
        <v>325</v>
      </c>
      <c r="F5" s="316" t="s">
        <v>326</v>
      </c>
      <c r="G5" s="316" t="s">
        <v>327</v>
      </c>
      <c r="H5" s="316" t="s">
        <v>283</v>
      </c>
      <c r="I5" s="316" t="s">
        <v>328</v>
      </c>
      <c r="J5" s="316" t="s">
        <v>329</v>
      </c>
      <c r="K5" s="316" t="s">
        <v>330</v>
      </c>
      <c r="L5" s="316" t="s">
        <v>285</v>
      </c>
      <c r="M5" s="316" t="s">
        <v>331</v>
      </c>
      <c r="N5" s="316" t="s">
        <v>332</v>
      </c>
      <c r="O5" s="316" t="s">
        <v>333</v>
      </c>
      <c r="Q5" s="491"/>
    </row>
    <row r="6" spans="1:17" x14ac:dyDescent="0.3">
      <c r="C6" s="316" t="s">
        <v>280</v>
      </c>
      <c r="D6" s="743">
        <f>SUM(E6:G6)</f>
        <v>1155444.111111111</v>
      </c>
      <c r="E6" s="743">
        <f>SUM('4| Development Program'!D18,'4| Development Program'!D25,'4| Development Program'!D32,'4| Development Program'!D39,'4| Development Program'!D46)</f>
        <v>930218</v>
      </c>
      <c r="F6" s="743">
        <f>SUM('4| Development Program'!K22,'4| Development Program'!K29,'4| Development Program'!K36,'4| Development Program'!K43,'4| Development Program'!K50)</f>
        <v>182030</v>
      </c>
      <c r="G6" s="743">
        <f>SUM('3| Building Mix'!J7,'3| Building Mix'!J15,'3| Building Mix'!J37)</f>
        <v>43196.111111111109</v>
      </c>
      <c r="H6" s="2">
        <f>SUM('4| Development Program'!F19:F22,'4| Development Program'!F26:F29,'4| Development Program'!F33:F36,'4| Development Program'!F40:F43,'4| Development Program'!F47:F50)</f>
        <v>812</v>
      </c>
      <c r="I6" s="11">
        <f>H6/N6</f>
        <v>0.69939707149009478</v>
      </c>
      <c r="J6" s="2">
        <f>SUM('4| Development Program'!G19:G22,'4| Development Program'!G26:G29,'4| Development Program'!G33:G36,'4| Development Program'!G40:G43,'4| Development Program'!G47:G50)</f>
        <v>300</v>
      </c>
      <c r="K6" s="11">
        <f>J6/N6</f>
        <v>0.25839793281653745</v>
      </c>
      <c r="L6" s="2">
        <f>SUM('4| Development Program'!H19:H22,'4| Development Program'!H26:H29,'4| Development Program'!H33:H36,'4| Development Program'!H40:H43,'4| Development Program'!H47:H50)</f>
        <v>49</v>
      </c>
      <c r="M6" s="11">
        <f>L6/N6</f>
        <v>4.2204995693367789E-2</v>
      </c>
      <c r="N6" s="2">
        <f>SUM(H6,J6,L6)</f>
        <v>1161</v>
      </c>
      <c r="O6" s="744">
        <f>SUM(E6:F6)/SUM('5| Demolitions &amp; Land'!O12,'5| Demolitions &amp; Land'!O14,'5| Demolitions &amp; Land'!O19)</f>
        <v>8.5137092206181784</v>
      </c>
      <c r="Q6" s="491"/>
    </row>
    <row r="7" spans="1:17" x14ac:dyDescent="0.3">
      <c r="C7" s="316" t="s">
        <v>304</v>
      </c>
      <c r="D7" s="743">
        <f>SUM(E7:G7)</f>
        <v>483200.88888888888</v>
      </c>
      <c r="E7" s="743">
        <f>SUM('4| Development Program'!D57,'4| Development Program'!D64,'4| Development Program'!D71,'4| Development Program'!D78,'4| Development Program'!D85,'4| Development Program'!D92)</f>
        <v>314300</v>
      </c>
      <c r="F7" s="743">
        <f>SUM('4| Development Program'!K61,'4| Development Program'!K68,'4| Development Program'!K75,'4| Development Program'!K82,'4| Development Program'!K89,'4| Development Program'!K96)</f>
        <v>101080</v>
      </c>
      <c r="G7" s="743">
        <f>SUM('3| Building Mix'!J21,'3| Building Mix'!J35)</f>
        <v>67820.888888888891</v>
      </c>
      <c r="H7" s="2">
        <f>SUM('4| Development Program'!F58:F61,'4| Development Program'!F65:F68,'4| Development Program'!F72:F75,'4| Development Program'!F79:F82,'4| Development Program'!F86:F89,'4| Development Program'!F93:F96)</f>
        <v>274</v>
      </c>
      <c r="I7" s="11">
        <f t="shared" ref="I7" si="0">H7/N7</f>
        <v>0.70618556701030932</v>
      </c>
      <c r="J7" s="2">
        <f>SUM('4| Development Program'!G58:G61,'4| Development Program'!G65:G68,'4| Development Program'!G72:G75,'4| Development Program'!G79:G82,'4| Development Program'!G86:G89,'4| Development Program'!G93:G96)</f>
        <v>101</v>
      </c>
      <c r="K7" s="11">
        <f t="shared" ref="K7:K9" si="1">J7/N7</f>
        <v>0.26030927835051548</v>
      </c>
      <c r="L7" s="2">
        <f>SUM('4| Development Program'!H58:H61,'4| Development Program'!H65:H68,'4| Development Program'!H72:H75,'4| Development Program'!H79:H82,'4| Development Program'!H86:H89,'4| Development Program'!H93:H96)</f>
        <v>13</v>
      </c>
      <c r="M7" s="11">
        <f t="shared" ref="M7:M9" si="2">L7/N7</f>
        <v>3.3505154639175257E-2</v>
      </c>
      <c r="N7" s="2">
        <f t="shared" ref="N7:N8" si="3">SUM(H7,J7,L7)</f>
        <v>388</v>
      </c>
      <c r="O7" s="744">
        <f>SUM(E7:F7)/SUM('5| Demolitions &amp; Land'!O15,'5| Demolitions &amp; Land'!O17,'5| Demolitions &amp; Land'!O18,'5| Demolitions &amp; Land'!O20,'5| Demolitions &amp; Land'!O21,'5| Demolitions &amp; Land'!O22)</f>
        <v>3.8083101070852283</v>
      </c>
      <c r="Q7" s="491"/>
    </row>
    <row r="8" spans="1:17" x14ac:dyDescent="0.3">
      <c r="C8" s="316" t="s">
        <v>305</v>
      </c>
      <c r="D8" s="743">
        <f>SUM(E8:G8)</f>
        <v>803955.71428571432</v>
      </c>
      <c r="E8" s="743">
        <f>SUM('4| Development Program'!D103,'4| Development Program'!D110,'4| Development Program'!D117,'4| Development Program'!D124,'4| Development Program'!D131,'4| Development Program'!D138)</f>
        <v>614995</v>
      </c>
      <c r="F8" s="743">
        <f>SUM('4| Development Program'!K107,'4| Development Program'!K114,'4| Development Program'!K121,'4| Development Program'!K128,'4| Development Program'!K135,'4| Development Program'!K142)</f>
        <v>127398</v>
      </c>
      <c r="G8" s="743">
        <f>SUM('3| Building Mix'!J9,'3| Building Mix'!J31,'3| Building Mix'!J39)</f>
        <v>61562.71428571429</v>
      </c>
      <c r="H8" s="2">
        <f>SUM('4| Development Program'!F104:F107,'4| Development Program'!F111:F114,'4| Development Program'!F118:F121,'4| Development Program'!F125:F128,'4| Development Program'!F132:F135,'4| Development Program'!F139:F142)</f>
        <v>538</v>
      </c>
      <c r="I8" s="11">
        <f>H8/N8</f>
        <v>0.70418848167539272</v>
      </c>
      <c r="J8" s="2">
        <f>SUM('4| Development Program'!G104:G107,'4| Development Program'!G111:G114,'4| Development Program'!G118:G121,'4| Development Program'!G125:G128,'4| Development Program'!G132:G135,'4| Development Program'!G139:G142)</f>
        <v>200</v>
      </c>
      <c r="K8" s="11">
        <f t="shared" si="1"/>
        <v>0.26178010471204188</v>
      </c>
      <c r="L8" s="2">
        <f>SUM('4| Development Program'!H104:H107,'4| Development Program'!H111:H114,'4| Development Program'!H118:H121,'4| Development Program'!H125:H128,'4| Development Program'!H132:H135,'4| Development Program'!H139:H142)</f>
        <v>26</v>
      </c>
      <c r="M8" s="11">
        <f t="shared" si="2"/>
        <v>3.4031413612565446E-2</v>
      </c>
      <c r="N8" s="2">
        <f t="shared" si="3"/>
        <v>764</v>
      </c>
      <c r="O8" s="744">
        <f>SUM(E8:F8)/SUM('5| Demolitions &amp; Land'!O13,'5| Demolitions &amp; Land'!O16,'5| Demolitions &amp; Land'!O23)</f>
        <v>6.4929682170407039</v>
      </c>
      <c r="Q8" s="491"/>
    </row>
    <row r="9" spans="1:17" x14ac:dyDescent="0.3">
      <c r="C9" s="316" t="s">
        <v>221</v>
      </c>
      <c r="D9" s="745">
        <f>SUM(D6:D8)</f>
        <v>2442600.7142857146</v>
      </c>
      <c r="E9" s="745">
        <f t="shared" ref="E9:H9" si="4">SUM(E6:E8)</f>
        <v>1859513</v>
      </c>
      <c r="F9" s="745">
        <f t="shared" si="4"/>
        <v>410508</v>
      </c>
      <c r="G9" s="745">
        <f t="shared" si="4"/>
        <v>172579.71428571429</v>
      </c>
      <c r="H9" s="2">
        <f t="shared" si="4"/>
        <v>1624</v>
      </c>
      <c r="I9" s="11">
        <f>H9/N9</f>
        <v>0.70211846087332463</v>
      </c>
      <c r="J9" s="2">
        <f t="shared" ref="J9:L9" si="5">SUM(J6:J8)</f>
        <v>601</v>
      </c>
      <c r="K9" s="11">
        <f t="shared" si="1"/>
        <v>0.25983571119757892</v>
      </c>
      <c r="L9" s="2">
        <f t="shared" si="5"/>
        <v>88</v>
      </c>
      <c r="M9" s="11">
        <f t="shared" si="2"/>
        <v>3.8045827929096408E-2</v>
      </c>
      <c r="N9" s="2">
        <f>SUM(N6:N8)</f>
        <v>2313</v>
      </c>
      <c r="O9" s="744">
        <f>SUM(E9:F9)/SUM('5| Demolitions &amp; Land'!O12:O23)</f>
        <v>6.4115468914170801</v>
      </c>
      <c r="Q9" s="491"/>
    </row>
    <row r="10" spans="1:17" x14ac:dyDescent="0.3">
      <c r="Q10" s="491"/>
    </row>
    <row r="11" spans="1:17" ht="7.2" customHeight="1" x14ac:dyDescent="0.3">
      <c r="A11" s="491"/>
      <c r="B11" s="491"/>
      <c r="C11" s="491"/>
      <c r="D11" s="491"/>
      <c r="E11" s="491"/>
      <c r="F11" s="491"/>
      <c r="G11" s="491"/>
      <c r="H11" s="491"/>
      <c r="I11" s="491"/>
      <c r="J11" s="491"/>
      <c r="K11" s="491"/>
      <c r="L11" s="491"/>
      <c r="M11" s="491"/>
      <c r="N11" s="491"/>
      <c r="O11" s="491"/>
      <c r="P11" s="491"/>
      <c r="Q11" s="491"/>
    </row>
    <row r="15" spans="1:17" x14ac:dyDescent="0.3">
      <c r="J15" s="748"/>
    </row>
    <row r="16" spans="1:17" x14ac:dyDescent="0.3">
      <c r="J16" s="748"/>
    </row>
    <row r="20" spans="10:10" x14ac:dyDescent="0.3">
      <c r="J20" s="748"/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7D6680-C18B-4533-91AE-BFCCC943D1AD}">
  <sheetPr>
    <tabColor rgb="FFB9720D"/>
  </sheetPr>
  <dimension ref="A1:R30"/>
  <sheetViews>
    <sheetView showGridLines="0" tabSelected="1" zoomScale="58" workbookViewId="0">
      <selection activeCell="K29" sqref="K29"/>
    </sheetView>
  </sheetViews>
  <sheetFormatPr defaultRowHeight="14.4" x14ac:dyDescent="0.3"/>
  <cols>
    <col min="2" max="2" width="11.88671875" bestFit="1" customWidth="1"/>
    <col min="3" max="3" width="15.44140625" bestFit="1" customWidth="1"/>
    <col min="4" max="4" width="22" bestFit="1" customWidth="1"/>
    <col min="6" max="6" width="9.88671875" bestFit="1" customWidth="1"/>
    <col min="7" max="7" width="11.88671875" customWidth="1"/>
    <col min="8" max="8" width="33.6640625" bestFit="1" customWidth="1"/>
    <col min="9" max="9" width="23.6640625" bestFit="1" customWidth="1"/>
    <col min="10" max="10" width="56.88671875" bestFit="1" customWidth="1"/>
    <col min="11" max="11" width="39.5546875" bestFit="1" customWidth="1"/>
    <col min="12" max="12" width="19.109375" bestFit="1" customWidth="1"/>
    <col min="13" max="13" width="17.88671875" bestFit="1" customWidth="1"/>
    <col min="14" max="14" width="13.6640625" bestFit="1" customWidth="1"/>
    <col min="15" max="15" width="15.33203125" bestFit="1" customWidth="1"/>
    <col min="18" max="18" width="2.33203125" customWidth="1"/>
  </cols>
  <sheetData>
    <row r="1" spans="1:18" ht="15.6" x14ac:dyDescent="0.3">
      <c r="A1" s="28" t="s">
        <v>0</v>
      </c>
      <c r="R1" s="491"/>
    </row>
    <row r="2" spans="1:18" ht="15.6" x14ac:dyDescent="0.3">
      <c r="A2" s="28" t="s">
        <v>1</v>
      </c>
      <c r="R2" s="491"/>
    </row>
    <row r="3" spans="1:18" ht="15.6" x14ac:dyDescent="0.3">
      <c r="A3" s="28" t="s">
        <v>334</v>
      </c>
      <c r="R3" s="491"/>
    </row>
    <row r="4" spans="1:18" x14ac:dyDescent="0.3">
      <c r="R4" s="491"/>
    </row>
    <row r="5" spans="1:18" x14ac:dyDescent="0.3">
      <c r="D5" s="318" t="s">
        <v>335</v>
      </c>
      <c r="R5" s="491"/>
    </row>
    <row r="6" spans="1:18" x14ac:dyDescent="0.3">
      <c r="C6" s="101" t="s">
        <v>336</v>
      </c>
      <c r="D6" s="102">
        <v>250000</v>
      </c>
      <c r="L6" s="483"/>
      <c r="M6" s="483"/>
      <c r="R6" s="491"/>
    </row>
    <row r="7" spans="1:18" x14ac:dyDescent="0.3">
      <c r="C7" s="101" t="s">
        <v>337</v>
      </c>
      <c r="D7" s="102">
        <v>500000</v>
      </c>
      <c r="L7" s="484"/>
      <c r="M7" s="484"/>
      <c r="R7" s="491"/>
    </row>
    <row r="8" spans="1:18" x14ac:dyDescent="0.3">
      <c r="C8" s="101" t="s">
        <v>338</v>
      </c>
      <c r="D8" s="102">
        <v>1000000</v>
      </c>
      <c r="J8" s="2" t="s">
        <v>339</v>
      </c>
      <c r="R8" s="491"/>
    </row>
    <row r="9" spans="1:18" x14ac:dyDescent="0.3">
      <c r="J9" s="520">
        <v>0.3</v>
      </c>
      <c r="R9" s="491"/>
    </row>
    <row r="10" spans="1:18" x14ac:dyDescent="0.3">
      <c r="R10" s="491"/>
    </row>
    <row r="11" spans="1:18" x14ac:dyDescent="0.3">
      <c r="D11" s="318" t="s">
        <v>335</v>
      </c>
      <c r="H11" s="318" t="s">
        <v>340</v>
      </c>
      <c r="I11" s="318" t="s">
        <v>341</v>
      </c>
      <c r="J11" s="318" t="s">
        <v>342</v>
      </c>
      <c r="K11" s="318" t="s">
        <v>343</v>
      </c>
      <c r="O11" s="318" t="s">
        <v>344</v>
      </c>
      <c r="R11" s="491"/>
    </row>
    <row r="12" spans="1:18" x14ac:dyDescent="0.3">
      <c r="B12" s="320" t="s">
        <v>345</v>
      </c>
      <c r="C12" s="320">
        <v>942000860</v>
      </c>
      <c r="D12" s="319">
        <v>250000</v>
      </c>
      <c r="F12" s="320" t="s">
        <v>345</v>
      </c>
      <c r="G12" s="320">
        <v>942000860</v>
      </c>
      <c r="H12" s="319">
        <v>251799800</v>
      </c>
      <c r="I12" s="320" t="s">
        <v>346</v>
      </c>
      <c r="J12" s="319">
        <f t="shared" ref="J12:J24" si="0">IF(I12="Yes",H12*(1-$J$9),H12)</f>
        <v>176259860</v>
      </c>
      <c r="K12" s="318" t="s">
        <v>347</v>
      </c>
      <c r="L12" s="484"/>
      <c r="M12" s="320" t="s">
        <v>345</v>
      </c>
      <c r="N12" s="320">
        <v>942000860</v>
      </c>
      <c r="O12" s="460">
        <v>57120</v>
      </c>
      <c r="R12" s="491"/>
    </row>
    <row r="13" spans="1:18" x14ac:dyDescent="0.3">
      <c r="B13" s="320" t="s">
        <v>348</v>
      </c>
      <c r="C13" s="320">
        <v>942000920</v>
      </c>
      <c r="D13" s="319">
        <f>D7</f>
        <v>500000</v>
      </c>
      <c r="F13" s="320" t="s">
        <v>348</v>
      </c>
      <c r="G13" s="320">
        <v>942000920</v>
      </c>
      <c r="H13" s="319">
        <v>119288700</v>
      </c>
      <c r="I13" s="320" t="s">
        <v>346</v>
      </c>
      <c r="J13" s="319">
        <f t="shared" si="0"/>
        <v>83502090</v>
      </c>
      <c r="K13" s="318" t="s">
        <v>349</v>
      </c>
      <c r="L13" s="484"/>
      <c r="M13" s="320" t="s">
        <v>348</v>
      </c>
      <c r="N13" s="320">
        <v>942000920</v>
      </c>
      <c r="O13" s="460">
        <v>59280</v>
      </c>
      <c r="R13" s="491"/>
    </row>
    <row r="14" spans="1:18" x14ac:dyDescent="0.3">
      <c r="B14" s="320" t="s">
        <v>350</v>
      </c>
      <c r="C14" s="320">
        <v>942001010</v>
      </c>
      <c r="D14" s="319">
        <f>D8</f>
        <v>1000000</v>
      </c>
      <c r="F14" s="320" t="s">
        <v>350</v>
      </c>
      <c r="G14" s="320">
        <v>942001010</v>
      </c>
      <c r="H14" s="319">
        <v>213689900</v>
      </c>
      <c r="I14" s="320" t="s">
        <v>346</v>
      </c>
      <c r="J14" s="319">
        <f t="shared" si="0"/>
        <v>149582930</v>
      </c>
      <c r="K14" s="318" t="s">
        <v>351</v>
      </c>
      <c r="L14" s="484"/>
      <c r="M14" s="320" t="s">
        <v>350</v>
      </c>
      <c r="N14" s="320">
        <v>942001010</v>
      </c>
      <c r="O14" s="460">
        <v>57256</v>
      </c>
      <c r="R14" s="491"/>
    </row>
    <row r="15" spans="1:18" x14ac:dyDescent="0.3">
      <c r="B15" s="320" t="s">
        <v>352</v>
      </c>
      <c r="C15" s="320">
        <v>942001050</v>
      </c>
      <c r="D15" s="319">
        <f>D7</f>
        <v>500000</v>
      </c>
      <c r="F15" s="320" t="s">
        <v>352</v>
      </c>
      <c r="G15" s="320">
        <v>942001050</v>
      </c>
      <c r="H15" s="319">
        <v>144243400</v>
      </c>
      <c r="I15" s="320" t="s">
        <v>346</v>
      </c>
      <c r="J15" s="319">
        <f t="shared" si="0"/>
        <v>100970380</v>
      </c>
      <c r="K15" s="318" t="s">
        <v>353</v>
      </c>
      <c r="L15" s="484"/>
      <c r="M15" s="320" t="s">
        <v>352</v>
      </c>
      <c r="N15" s="320">
        <v>942001050</v>
      </c>
      <c r="O15" s="460">
        <v>82432</v>
      </c>
      <c r="R15" s="491"/>
    </row>
    <row r="16" spans="1:18" x14ac:dyDescent="0.3">
      <c r="B16" s="320" t="s">
        <v>354</v>
      </c>
      <c r="C16" s="320">
        <v>942001105</v>
      </c>
      <c r="D16" s="319">
        <f>D8</f>
        <v>1000000</v>
      </c>
      <c r="F16" s="320" t="s">
        <v>354</v>
      </c>
      <c r="G16" s="320">
        <v>942001105</v>
      </c>
      <c r="H16" s="319">
        <v>161152400</v>
      </c>
      <c r="I16" s="320" t="s">
        <v>346</v>
      </c>
      <c r="J16" s="319">
        <f t="shared" si="0"/>
        <v>112806680</v>
      </c>
      <c r="K16" s="318" t="s">
        <v>355</v>
      </c>
      <c r="L16" s="484"/>
      <c r="M16" s="320" t="s">
        <v>354</v>
      </c>
      <c r="N16" s="320">
        <v>942001105</v>
      </c>
      <c r="O16" s="493">
        <v>28320</v>
      </c>
      <c r="R16" s="491"/>
    </row>
    <row r="17" spans="1:18" x14ac:dyDescent="0.3">
      <c r="B17" s="320" t="s">
        <v>356</v>
      </c>
      <c r="C17" s="320">
        <v>942001090</v>
      </c>
      <c r="D17" s="319">
        <f>D6</f>
        <v>250000</v>
      </c>
      <c r="F17" s="320" t="s">
        <v>356</v>
      </c>
      <c r="G17" s="320">
        <v>942001090</v>
      </c>
      <c r="H17" s="319">
        <v>3104000</v>
      </c>
      <c r="I17" s="320" t="s">
        <v>346</v>
      </c>
      <c r="J17" s="319">
        <f t="shared" si="0"/>
        <v>2172800</v>
      </c>
      <c r="K17" s="318" t="s">
        <v>357</v>
      </c>
      <c r="L17" s="484"/>
      <c r="M17" s="320" t="s">
        <v>356</v>
      </c>
      <c r="N17" s="320">
        <v>942001090</v>
      </c>
      <c r="O17" s="493">
        <v>2400</v>
      </c>
      <c r="R17" s="491"/>
    </row>
    <row r="18" spans="1:18" x14ac:dyDescent="0.3">
      <c r="B18" s="320" t="s">
        <v>358</v>
      </c>
      <c r="C18" s="320">
        <v>942001095</v>
      </c>
      <c r="D18" s="319">
        <f>D6</f>
        <v>250000</v>
      </c>
      <c r="F18" s="320" t="s">
        <v>358</v>
      </c>
      <c r="G18" s="320">
        <v>942001095</v>
      </c>
      <c r="H18" s="319">
        <v>5472000</v>
      </c>
      <c r="I18" s="320" t="s">
        <v>346</v>
      </c>
      <c r="J18" s="319">
        <f t="shared" si="0"/>
        <v>3830399.9999999995</v>
      </c>
      <c r="K18" s="318" t="s">
        <v>359</v>
      </c>
      <c r="L18" s="484"/>
      <c r="M18" s="320" t="s">
        <v>358</v>
      </c>
      <c r="N18" s="320">
        <v>942001095</v>
      </c>
      <c r="O18" s="493">
        <v>4260</v>
      </c>
      <c r="R18" s="491"/>
    </row>
    <row r="19" spans="1:18" x14ac:dyDescent="0.3">
      <c r="B19" s="320" t="s">
        <v>360</v>
      </c>
      <c r="C19" s="320">
        <v>942001150</v>
      </c>
      <c r="D19" s="319">
        <v>250000</v>
      </c>
      <c r="F19" s="320" t="s">
        <v>360</v>
      </c>
      <c r="G19" s="320">
        <v>942001150</v>
      </c>
      <c r="H19" s="319">
        <v>18701000</v>
      </c>
      <c r="I19" s="320" t="s">
        <v>361</v>
      </c>
      <c r="J19" s="319">
        <f t="shared" si="0"/>
        <v>18701000</v>
      </c>
      <c r="K19" s="318" t="s">
        <v>362</v>
      </c>
      <c r="L19" s="484"/>
      <c r="M19" s="320" t="s">
        <v>360</v>
      </c>
      <c r="N19" s="320">
        <v>942001150</v>
      </c>
      <c r="O19" s="493">
        <v>16266</v>
      </c>
      <c r="R19" s="491"/>
    </row>
    <row r="20" spans="1:18" x14ac:dyDescent="0.3">
      <c r="B20" s="320" t="s">
        <v>363</v>
      </c>
      <c r="C20" s="320">
        <v>942001115</v>
      </c>
      <c r="D20" s="319">
        <v>0</v>
      </c>
      <c r="F20" s="320" t="s">
        <v>363</v>
      </c>
      <c r="G20" s="320">
        <v>942001115</v>
      </c>
      <c r="H20" s="319">
        <v>7992000</v>
      </c>
      <c r="I20" s="320" t="s">
        <v>361</v>
      </c>
      <c r="J20" s="319">
        <f t="shared" si="0"/>
        <v>7992000</v>
      </c>
      <c r="K20" s="318" t="s">
        <v>364</v>
      </c>
      <c r="L20" s="484"/>
      <c r="M20" s="320" t="s">
        <v>363</v>
      </c>
      <c r="N20" s="320">
        <v>942001115</v>
      </c>
      <c r="O20" s="493">
        <v>6660</v>
      </c>
      <c r="R20" s="491"/>
    </row>
    <row r="21" spans="1:18" x14ac:dyDescent="0.3">
      <c r="B21" s="320" t="s">
        <v>365</v>
      </c>
      <c r="C21" s="320">
        <v>942001120</v>
      </c>
      <c r="D21" s="319">
        <f>D7</f>
        <v>500000</v>
      </c>
      <c r="F21" s="320" t="s">
        <v>365</v>
      </c>
      <c r="G21" s="320">
        <v>942001120</v>
      </c>
      <c r="H21" s="319">
        <v>7993000</v>
      </c>
      <c r="I21" s="320" t="s">
        <v>346</v>
      </c>
      <c r="J21" s="319">
        <f t="shared" si="0"/>
        <v>5595100</v>
      </c>
      <c r="K21" s="318" t="s">
        <v>366</v>
      </c>
      <c r="L21" s="484"/>
      <c r="M21" s="320" t="s">
        <v>365</v>
      </c>
      <c r="N21" s="320">
        <v>942001120</v>
      </c>
      <c r="O21" s="493">
        <v>6660</v>
      </c>
      <c r="R21" s="491"/>
    </row>
    <row r="22" spans="1:18" x14ac:dyDescent="0.3">
      <c r="B22" s="320" t="s">
        <v>367</v>
      </c>
      <c r="C22" s="320">
        <v>942001140</v>
      </c>
      <c r="D22" s="319">
        <f>D6</f>
        <v>250000</v>
      </c>
      <c r="F22" s="320" t="s">
        <v>367</v>
      </c>
      <c r="G22" s="320">
        <v>942001140</v>
      </c>
      <c r="H22" s="319">
        <v>7993000</v>
      </c>
      <c r="I22" s="320" t="s">
        <v>361</v>
      </c>
      <c r="J22" s="319">
        <f t="shared" si="0"/>
        <v>7993000</v>
      </c>
      <c r="K22" s="318" t="s">
        <v>368</v>
      </c>
      <c r="L22" s="484"/>
      <c r="M22" s="320" t="s">
        <v>367</v>
      </c>
      <c r="N22" s="320">
        <v>942001140</v>
      </c>
      <c r="O22" s="493">
        <v>6660</v>
      </c>
      <c r="R22" s="491"/>
    </row>
    <row r="23" spans="1:18" x14ac:dyDescent="0.3">
      <c r="B23" s="320" t="s">
        <v>369</v>
      </c>
      <c r="C23" s="320">
        <v>942001155</v>
      </c>
      <c r="D23" s="319">
        <f>D8</f>
        <v>1000000</v>
      </c>
      <c r="F23" s="320" t="s">
        <v>369</v>
      </c>
      <c r="G23" s="320">
        <v>942001155</v>
      </c>
      <c r="H23" s="319">
        <v>105757000</v>
      </c>
      <c r="I23" s="320" t="s">
        <v>361</v>
      </c>
      <c r="J23" s="319">
        <f t="shared" si="0"/>
        <v>105757000</v>
      </c>
      <c r="K23" s="318" t="s">
        <v>370</v>
      </c>
      <c r="L23" s="484"/>
      <c r="M23" s="320" t="s">
        <v>369</v>
      </c>
      <c r="N23" s="320">
        <v>942001155</v>
      </c>
      <c r="O23" s="493">
        <v>26738</v>
      </c>
      <c r="R23" s="491"/>
    </row>
    <row r="24" spans="1:18" x14ac:dyDescent="0.3">
      <c r="B24" s="320" t="s">
        <v>371</v>
      </c>
      <c r="C24" s="320">
        <v>942001145</v>
      </c>
      <c r="D24" s="319">
        <v>0</v>
      </c>
      <c r="F24" s="320" t="s">
        <v>371</v>
      </c>
      <c r="G24" s="320">
        <v>942001145</v>
      </c>
      <c r="H24" s="319">
        <v>11025000</v>
      </c>
      <c r="I24" s="320" t="s">
        <v>361</v>
      </c>
      <c r="J24" s="319">
        <f t="shared" si="0"/>
        <v>11025000</v>
      </c>
      <c r="K24" s="318" t="s">
        <v>553</v>
      </c>
      <c r="L24" s="484"/>
      <c r="M24" s="320" t="s">
        <v>371</v>
      </c>
      <c r="N24" s="320">
        <v>942001145</v>
      </c>
      <c r="O24" s="493">
        <v>24500</v>
      </c>
      <c r="R24" s="491"/>
    </row>
    <row r="25" spans="1:18" x14ac:dyDescent="0.3">
      <c r="B25" s="321" t="s">
        <v>221</v>
      </c>
      <c r="C25" s="321"/>
      <c r="D25" s="519">
        <f>SUM(D12:D24)</f>
        <v>5750000</v>
      </c>
      <c r="F25" s="321" t="s">
        <v>221</v>
      </c>
      <c r="G25" s="321"/>
      <c r="H25" s="321"/>
      <c r="I25" s="321"/>
      <c r="J25" s="519">
        <f>SUM(J12:J24)</f>
        <v>786188240</v>
      </c>
      <c r="L25" s="482"/>
      <c r="M25" s="321" t="s">
        <v>221</v>
      </c>
      <c r="N25" s="459"/>
      <c r="O25" s="493">
        <f>SUM(O12:O24)</f>
        <v>378552</v>
      </c>
      <c r="R25" s="491"/>
    </row>
    <row r="26" spans="1:18" x14ac:dyDescent="0.3">
      <c r="R26" s="491"/>
    </row>
    <row r="27" spans="1:18" x14ac:dyDescent="0.3">
      <c r="R27" s="491"/>
    </row>
    <row r="28" spans="1:18" x14ac:dyDescent="0.3">
      <c r="R28" s="491"/>
    </row>
    <row r="29" spans="1:18" x14ac:dyDescent="0.3">
      <c r="R29" s="491"/>
    </row>
    <row r="30" spans="1:18" ht="9" customHeight="1" x14ac:dyDescent="0.3">
      <c r="A30" s="491"/>
      <c r="B30" s="491"/>
      <c r="C30" s="491"/>
      <c r="D30" s="491"/>
      <c r="E30" s="491"/>
      <c r="F30" s="491"/>
      <c r="G30" s="491"/>
      <c r="H30" s="491"/>
      <c r="I30" s="491"/>
      <c r="J30" s="491"/>
      <c r="K30" s="491"/>
      <c r="L30" s="491"/>
      <c r="M30" s="491"/>
      <c r="N30" s="491"/>
      <c r="O30" s="491"/>
      <c r="P30" s="491"/>
      <c r="Q30" s="491"/>
      <c r="R30" s="491"/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74C927-9886-4F09-B900-111E0FBC0D6A}">
  <sheetPr>
    <tabColor rgb="FFB9720D"/>
  </sheetPr>
  <dimension ref="A1:CY41"/>
  <sheetViews>
    <sheetView showGridLines="0" topLeftCell="A12" zoomScale="75" workbookViewId="0">
      <selection activeCell="E19" sqref="E19"/>
    </sheetView>
  </sheetViews>
  <sheetFormatPr defaultRowHeight="14.4" x14ac:dyDescent="0.3"/>
  <cols>
    <col min="2" max="2" width="20.6640625" customWidth="1"/>
    <col min="3" max="3" width="35.109375" bestFit="1" customWidth="1"/>
    <col min="4" max="4" width="20.6640625" customWidth="1"/>
    <col min="5" max="5" width="29.44140625" bestFit="1" customWidth="1"/>
    <col min="6" max="12" width="15.33203125" bestFit="1" customWidth="1"/>
    <col min="13" max="13" width="14.6640625" bestFit="1" customWidth="1"/>
    <col min="14" max="23" width="15.33203125" bestFit="1" customWidth="1"/>
    <col min="24" max="83" width="13.6640625" bestFit="1" customWidth="1"/>
    <col min="84" max="84" width="15.33203125" bestFit="1" customWidth="1"/>
    <col min="85" max="101" width="13.6640625" bestFit="1" customWidth="1"/>
    <col min="103" max="103" width="2.109375" customWidth="1"/>
  </cols>
  <sheetData>
    <row r="1" spans="1:103" ht="15.6" x14ac:dyDescent="0.3">
      <c r="A1" s="28" t="s">
        <v>0</v>
      </c>
      <c r="CY1" s="491"/>
    </row>
    <row r="2" spans="1:103" ht="15.6" x14ac:dyDescent="0.3">
      <c r="A2" s="28" t="s">
        <v>1</v>
      </c>
      <c r="CY2" s="491"/>
    </row>
    <row r="3" spans="1:103" ht="15.6" x14ac:dyDescent="0.3">
      <c r="A3" s="28" t="s">
        <v>372</v>
      </c>
      <c r="CY3" s="491"/>
    </row>
    <row r="4" spans="1:103" x14ac:dyDescent="0.3">
      <c r="CY4" s="491"/>
    </row>
    <row r="5" spans="1:103" x14ac:dyDescent="0.3">
      <c r="CY5" s="491"/>
    </row>
    <row r="6" spans="1:103" x14ac:dyDescent="0.3">
      <c r="CY6" s="491"/>
    </row>
    <row r="7" spans="1:103" x14ac:dyDescent="0.3">
      <c r="B7" s="818" t="s">
        <v>280</v>
      </c>
      <c r="C7" s="12" t="s">
        <v>373</v>
      </c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2"/>
      <c r="V7" s="12"/>
      <c r="W7" s="12"/>
      <c r="X7" s="12"/>
      <c r="Y7" s="12"/>
      <c r="Z7" s="12"/>
      <c r="AA7" s="12"/>
      <c r="AB7" s="12"/>
      <c r="AC7" s="12"/>
      <c r="AD7" s="12"/>
      <c r="AE7" s="12"/>
      <c r="AF7" s="12"/>
      <c r="AG7" s="12"/>
      <c r="AH7" s="12"/>
      <c r="AI7" s="12"/>
      <c r="AJ7" s="12"/>
      <c r="AK7" s="12"/>
      <c r="AL7" s="12"/>
      <c r="AM7" s="12"/>
      <c r="AN7" s="12"/>
      <c r="AO7" s="12"/>
      <c r="AP7" s="12"/>
      <c r="AQ7" s="12"/>
      <c r="AR7" s="12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/>
      <c r="BM7" s="12"/>
      <c r="BN7" s="12"/>
      <c r="BO7" s="12"/>
      <c r="BP7" s="12"/>
      <c r="BQ7" s="12"/>
      <c r="BR7" s="12"/>
      <c r="BS7" s="12"/>
      <c r="BT7" s="12"/>
      <c r="BU7" s="12"/>
      <c r="BV7" s="12"/>
      <c r="BW7" s="12"/>
      <c r="BX7" s="12"/>
      <c r="BY7" s="12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3"/>
      <c r="CY7" s="491"/>
    </row>
    <row r="8" spans="1:103" x14ac:dyDescent="0.3">
      <c r="B8" s="819"/>
      <c r="C8" t="s">
        <v>374</v>
      </c>
      <c r="CW8" s="26"/>
      <c r="CY8" s="491"/>
    </row>
    <row r="9" spans="1:103" x14ac:dyDescent="0.3">
      <c r="B9" s="819"/>
      <c r="CW9" s="26"/>
      <c r="CY9" s="491"/>
    </row>
    <row r="10" spans="1:103" x14ac:dyDescent="0.3">
      <c r="B10" s="819"/>
      <c r="C10" s="526" t="s">
        <v>375</v>
      </c>
      <c r="D10" s="527" t="s">
        <v>376</v>
      </c>
      <c r="E10" s="527" t="s">
        <v>377</v>
      </c>
      <c r="F10" s="527" t="s">
        <v>378</v>
      </c>
      <c r="G10" s="527" t="s">
        <v>379</v>
      </c>
      <c r="H10" s="527" t="s">
        <v>380</v>
      </c>
      <c r="I10" s="527" t="s">
        <v>381</v>
      </c>
      <c r="J10" s="527" t="s">
        <v>382</v>
      </c>
      <c r="K10" s="527" t="s">
        <v>383</v>
      </c>
      <c r="L10" s="527" t="s">
        <v>384</v>
      </c>
      <c r="M10" s="527" t="s">
        <v>385</v>
      </c>
      <c r="N10" s="527" t="s">
        <v>386</v>
      </c>
      <c r="O10" s="527" t="s">
        <v>387</v>
      </c>
      <c r="P10" s="527" t="s">
        <v>388</v>
      </c>
      <c r="Q10" s="527" t="s">
        <v>389</v>
      </c>
      <c r="R10" s="527" t="s">
        <v>390</v>
      </c>
      <c r="S10" s="527" t="s">
        <v>391</v>
      </c>
      <c r="T10" s="527" t="s">
        <v>392</v>
      </c>
      <c r="U10" s="527" t="s">
        <v>393</v>
      </c>
      <c r="V10" s="527" t="s">
        <v>394</v>
      </c>
      <c r="W10" s="527" t="s">
        <v>395</v>
      </c>
      <c r="X10" s="527" t="s">
        <v>396</v>
      </c>
      <c r="Y10" s="527" t="s">
        <v>397</v>
      </c>
      <c r="Z10" s="527" t="s">
        <v>398</v>
      </c>
      <c r="AA10" s="527" t="s">
        <v>399</v>
      </c>
      <c r="AB10" s="527" t="s">
        <v>400</v>
      </c>
      <c r="AC10" s="527" t="s">
        <v>401</v>
      </c>
      <c r="AD10" s="527" t="s">
        <v>402</v>
      </c>
      <c r="AE10" s="527" t="s">
        <v>403</v>
      </c>
      <c r="AF10" s="527" t="s">
        <v>404</v>
      </c>
      <c r="AG10" s="527" t="s">
        <v>405</v>
      </c>
      <c r="AH10" s="527" t="s">
        <v>406</v>
      </c>
      <c r="AI10" s="527" t="s">
        <v>407</v>
      </c>
      <c r="AJ10" s="527" t="s">
        <v>408</v>
      </c>
      <c r="AK10" s="527" t="s">
        <v>409</v>
      </c>
      <c r="AL10" s="527" t="s">
        <v>410</v>
      </c>
      <c r="AM10" s="527" t="s">
        <v>411</v>
      </c>
      <c r="AN10" s="527" t="s">
        <v>412</v>
      </c>
      <c r="AO10" s="527" t="s">
        <v>413</v>
      </c>
      <c r="AP10" s="527" t="s">
        <v>414</v>
      </c>
      <c r="AQ10" s="527" t="s">
        <v>415</v>
      </c>
      <c r="AR10" s="527" t="s">
        <v>416</v>
      </c>
      <c r="AS10" s="527" t="s">
        <v>417</v>
      </c>
      <c r="AT10" s="527" t="s">
        <v>418</v>
      </c>
      <c r="AU10" s="527" t="s">
        <v>419</v>
      </c>
      <c r="AV10" s="527" t="s">
        <v>420</v>
      </c>
      <c r="AW10" s="527" t="s">
        <v>421</v>
      </c>
      <c r="AX10" s="527" t="s">
        <v>422</v>
      </c>
      <c r="AY10" s="527" t="s">
        <v>423</v>
      </c>
      <c r="AZ10" s="527" t="s">
        <v>424</v>
      </c>
      <c r="BA10" s="527" t="s">
        <v>425</v>
      </c>
      <c r="BB10" s="527" t="s">
        <v>426</v>
      </c>
      <c r="BC10" s="527" t="s">
        <v>427</v>
      </c>
      <c r="BD10" s="527" t="s">
        <v>428</v>
      </c>
      <c r="BE10" s="527" t="s">
        <v>429</v>
      </c>
      <c r="BF10" s="527" t="s">
        <v>430</v>
      </c>
      <c r="BG10" s="527" t="s">
        <v>431</v>
      </c>
      <c r="BH10" s="527" t="s">
        <v>432</v>
      </c>
      <c r="BI10" s="527" t="s">
        <v>433</v>
      </c>
      <c r="BJ10" s="527" t="s">
        <v>434</v>
      </c>
      <c r="BK10" s="527" t="s">
        <v>435</v>
      </c>
      <c r="BL10" s="527" t="s">
        <v>436</v>
      </c>
      <c r="BM10" s="527" t="s">
        <v>437</v>
      </c>
      <c r="BN10" s="527" t="s">
        <v>438</v>
      </c>
      <c r="BO10" s="527" t="s">
        <v>439</v>
      </c>
      <c r="BP10" s="527" t="s">
        <v>440</v>
      </c>
      <c r="BQ10" s="527" t="s">
        <v>441</v>
      </c>
      <c r="BR10" s="527" t="s">
        <v>442</v>
      </c>
      <c r="BS10" s="527" t="s">
        <v>443</v>
      </c>
      <c r="BT10" s="527" t="s">
        <v>444</v>
      </c>
      <c r="BU10" s="527" t="s">
        <v>445</v>
      </c>
      <c r="BV10" s="527" t="s">
        <v>446</v>
      </c>
      <c r="BW10" s="527" t="s">
        <v>447</v>
      </c>
      <c r="BX10" s="527" t="s">
        <v>448</v>
      </c>
      <c r="BY10" s="527" t="s">
        <v>449</v>
      </c>
      <c r="BZ10" s="527" t="s">
        <v>450</v>
      </c>
      <c r="CA10" s="527" t="s">
        <v>451</v>
      </c>
      <c r="CB10" s="527" t="s">
        <v>452</v>
      </c>
      <c r="CC10" s="527" t="s">
        <v>453</v>
      </c>
      <c r="CD10" s="527" t="s">
        <v>454</v>
      </c>
      <c r="CE10" s="527" t="s">
        <v>455</v>
      </c>
      <c r="CF10" s="527" t="s">
        <v>456</v>
      </c>
      <c r="CG10" s="527" t="s">
        <v>457</v>
      </c>
      <c r="CH10" s="527" t="s">
        <v>458</v>
      </c>
      <c r="CI10" s="527" t="s">
        <v>459</v>
      </c>
      <c r="CJ10" s="527" t="s">
        <v>460</v>
      </c>
      <c r="CK10" s="527" t="s">
        <v>461</v>
      </c>
      <c r="CL10" s="527" t="s">
        <v>462</v>
      </c>
      <c r="CM10" s="527" t="s">
        <v>463</v>
      </c>
      <c r="CN10" s="527" t="s">
        <v>464</v>
      </c>
      <c r="CO10" s="527" t="s">
        <v>465</v>
      </c>
      <c r="CP10" s="527" t="s">
        <v>466</v>
      </c>
      <c r="CQ10" s="527" t="s">
        <v>467</v>
      </c>
      <c r="CR10" s="527" t="s">
        <v>468</v>
      </c>
      <c r="CS10" s="527" t="s">
        <v>469</v>
      </c>
      <c r="CT10" s="527" t="s">
        <v>470</v>
      </c>
      <c r="CU10" s="527" t="s">
        <v>471</v>
      </c>
      <c r="CV10" s="527" t="s">
        <v>472</v>
      </c>
      <c r="CW10" s="528" t="s">
        <v>473</v>
      </c>
      <c r="CY10" s="491"/>
    </row>
    <row r="11" spans="1:103" x14ac:dyDescent="0.3">
      <c r="B11" s="819"/>
      <c r="C11" s="532">
        <v>16038582.48814477</v>
      </c>
      <c r="D11" s="513">
        <f t="shared" ref="D11:AI11" si="0">$C$11</f>
        <v>16038582.48814477</v>
      </c>
      <c r="E11" s="513">
        <f t="shared" si="0"/>
        <v>16038582.48814477</v>
      </c>
      <c r="F11" s="513">
        <f t="shared" si="0"/>
        <v>16038582.48814477</v>
      </c>
      <c r="G11" s="513">
        <f t="shared" si="0"/>
        <v>16038582.48814477</v>
      </c>
      <c r="H11" s="513">
        <f t="shared" si="0"/>
        <v>16038582.48814477</v>
      </c>
      <c r="I11" s="513">
        <f t="shared" si="0"/>
        <v>16038582.48814477</v>
      </c>
      <c r="J11" s="513">
        <f t="shared" si="0"/>
        <v>16038582.48814477</v>
      </c>
      <c r="K11" s="513">
        <f t="shared" si="0"/>
        <v>16038582.48814477</v>
      </c>
      <c r="L11" s="513">
        <f t="shared" si="0"/>
        <v>16038582.48814477</v>
      </c>
      <c r="M11" s="513">
        <f t="shared" si="0"/>
        <v>16038582.48814477</v>
      </c>
      <c r="N11" s="513">
        <f t="shared" si="0"/>
        <v>16038582.48814477</v>
      </c>
      <c r="O11" s="513">
        <f t="shared" si="0"/>
        <v>16038582.48814477</v>
      </c>
      <c r="P11" s="513">
        <f t="shared" si="0"/>
        <v>16038582.48814477</v>
      </c>
      <c r="Q11" s="513">
        <f t="shared" si="0"/>
        <v>16038582.48814477</v>
      </c>
      <c r="R11" s="513">
        <f t="shared" si="0"/>
        <v>16038582.48814477</v>
      </c>
      <c r="S11" s="513">
        <f t="shared" si="0"/>
        <v>16038582.48814477</v>
      </c>
      <c r="T11" s="513">
        <f t="shared" si="0"/>
        <v>16038582.48814477</v>
      </c>
      <c r="U11" s="513">
        <f t="shared" si="0"/>
        <v>16038582.48814477</v>
      </c>
      <c r="V11" s="513">
        <f t="shared" si="0"/>
        <v>16038582.48814477</v>
      </c>
      <c r="W11" s="513">
        <f t="shared" si="0"/>
        <v>16038582.48814477</v>
      </c>
      <c r="X11" s="513">
        <f t="shared" si="0"/>
        <v>16038582.48814477</v>
      </c>
      <c r="Y11" s="513">
        <f t="shared" si="0"/>
        <v>16038582.48814477</v>
      </c>
      <c r="Z11" s="513">
        <f t="shared" si="0"/>
        <v>16038582.48814477</v>
      </c>
      <c r="AA11" s="513">
        <f t="shared" si="0"/>
        <v>16038582.48814477</v>
      </c>
      <c r="AB11" s="513">
        <f t="shared" si="0"/>
        <v>16038582.48814477</v>
      </c>
      <c r="AC11" s="513">
        <f t="shared" si="0"/>
        <v>16038582.48814477</v>
      </c>
      <c r="AD11" s="513">
        <f t="shared" si="0"/>
        <v>16038582.48814477</v>
      </c>
      <c r="AE11" s="513">
        <f t="shared" si="0"/>
        <v>16038582.48814477</v>
      </c>
      <c r="AF11" s="513">
        <f t="shared" si="0"/>
        <v>16038582.48814477</v>
      </c>
      <c r="AG11" s="513">
        <f t="shared" si="0"/>
        <v>16038582.48814477</v>
      </c>
      <c r="AH11" s="513">
        <f t="shared" si="0"/>
        <v>16038582.48814477</v>
      </c>
      <c r="AI11" s="513">
        <f t="shared" si="0"/>
        <v>16038582.48814477</v>
      </c>
      <c r="AJ11" s="513">
        <f t="shared" ref="AJ11:BO11" si="1">$C$11</f>
        <v>16038582.48814477</v>
      </c>
      <c r="AK11" s="513">
        <f t="shared" si="1"/>
        <v>16038582.48814477</v>
      </c>
      <c r="AL11" s="513">
        <f t="shared" si="1"/>
        <v>16038582.48814477</v>
      </c>
      <c r="AM11" s="513">
        <f t="shared" si="1"/>
        <v>16038582.48814477</v>
      </c>
      <c r="AN11" s="513">
        <f t="shared" si="1"/>
        <v>16038582.48814477</v>
      </c>
      <c r="AO11" s="513">
        <f t="shared" si="1"/>
        <v>16038582.48814477</v>
      </c>
      <c r="AP11" s="513">
        <f t="shared" si="1"/>
        <v>16038582.48814477</v>
      </c>
      <c r="AQ11" s="513">
        <f t="shared" si="1"/>
        <v>16038582.48814477</v>
      </c>
      <c r="AR11" s="513">
        <f t="shared" si="1"/>
        <v>16038582.48814477</v>
      </c>
      <c r="AS11" s="513">
        <f t="shared" si="1"/>
        <v>16038582.48814477</v>
      </c>
      <c r="AT11" s="513">
        <f t="shared" si="1"/>
        <v>16038582.48814477</v>
      </c>
      <c r="AU11" s="513">
        <f t="shared" si="1"/>
        <v>16038582.48814477</v>
      </c>
      <c r="AV11" s="513">
        <f t="shared" si="1"/>
        <v>16038582.48814477</v>
      </c>
      <c r="AW11" s="513">
        <f t="shared" si="1"/>
        <v>16038582.48814477</v>
      </c>
      <c r="AX11" s="513">
        <f t="shared" si="1"/>
        <v>16038582.48814477</v>
      </c>
      <c r="AY11" s="513">
        <f t="shared" si="1"/>
        <v>16038582.48814477</v>
      </c>
      <c r="AZ11" s="513">
        <f t="shared" si="1"/>
        <v>16038582.48814477</v>
      </c>
      <c r="BA11" s="513">
        <f t="shared" si="1"/>
        <v>16038582.48814477</v>
      </c>
      <c r="BB11" s="513">
        <f t="shared" si="1"/>
        <v>16038582.48814477</v>
      </c>
      <c r="BC11" s="513">
        <f t="shared" si="1"/>
        <v>16038582.48814477</v>
      </c>
      <c r="BD11" s="513">
        <f t="shared" si="1"/>
        <v>16038582.48814477</v>
      </c>
      <c r="BE11" s="513">
        <f t="shared" si="1"/>
        <v>16038582.48814477</v>
      </c>
      <c r="BF11" s="513">
        <f t="shared" si="1"/>
        <v>16038582.48814477</v>
      </c>
      <c r="BG11" s="513">
        <f t="shared" si="1"/>
        <v>16038582.48814477</v>
      </c>
      <c r="BH11" s="513">
        <f t="shared" si="1"/>
        <v>16038582.48814477</v>
      </c>
      <c r="BI11" s="513">
        <f t="shared" si="1"/>
        <v>16038582.48814477</v>
      </c>
      <c r="BJ11" s="513">
        <f t="shared" si="1"/>
        <v>16038582.48814477</v>
      </c>
      <c r="BK11" s="513">
        <f t="shared" si="1"/>
        <v>16038582.48814477</v>
      </c>
      <c r="BL11" s="513">
        <f t="shared" si="1"/>
        <v>16038582.48814477</v>
      </c>
      <c r="BM11" s="513">
        <f t="shared" si="1"/>
        <v>16038582.48814477</v>
      </c>
      <c r="BN11" s="513">
        <f t="shared" si="1"/>
        <v>16038582.48814477</v>
      </c>
      <c r="BO11" s="513">
        <f t="shared" si="1"/>
        <v>16038582.48814477</v>
      </c>
      <c r="BP11" s="513">
        <f t="shared" ref="BP11:CW11" si="2">$C$11</f>
        <v>16038582.48814477</v>
      </c>
      <c r="BQ11" s="513">
        <f t="shared" si="2"/>
        <v>16038582.48814477</v>
      </c>
      <c r="BR11" s="513">
        <f t="shared" si="2"/>
        <v>16038582.48814477</v>
      </c>
      <c r="BS11" s="513">
        <f t="shared" si="2"/>
        <v>16038582.48814477</v>
      </c>
      <c r="BT11" s="513">
        <f t="shared" si="2"/>
        <v>16038582.48814477</v>
      </c>
      <c r="BU11" s="513">
        <f t="shared" si="2"/>
        <v>16038582.48814477</v>
      </c>
      <c r="BV11" s="513">
        <f t="shared" si="2"/>
        <v>16038582.48814477</v>
      </c>
      <c r="BW11" s="513">
        <f t="shared" si="2"/>
        <v>16038582.48814477</v>
      </c>
      <c r="BX11" s="513">
        <f t="shared" si="2"/>
        <v>16038582.48814477</v>
      </c>
      <c r="BY11" s="513">
        <f t="shared" si="2"/>
        <v>16038582.48814477</v>
      </c>
      <c r="BZ11" s="513">
        <f t="shared" si="2"/>
        <v>16038582.48814477</v>
      </c>
      <c r="CA11" s="513">
        <f t="shared" si="2"/>
        <v>16038582.48814477</v>
      </c>
      <c r="CB11" s="513">
        <f t="shared" si="2"/>
        <v>16038582.48814477</v>
      </c>
      <c r="CC11" s="513">
        <f t="shared" si="2"/>
        <v>16038582.48814477</v>
      </c>
      <c r="CD11" s="513">
        <f t="shared" si="2"/>
        <v>16038582.48814477</v>
      </c>
      <c r="CE11" s="513">
        <f t="shared" si="2"/>
        <v>16038582.48814477</v>
      </c>
      <c r="CF11" s="513">
        <f t="shared" si="2"/>
        <v>16038582.48814477</v>
      </c>
      <c r="CG11" s="513">
        <f t="shared" si="2"/>
        <v>16038582.48814477</v>
      </c>
      <c r="CH11" s="513">
        <f t="shared" si="2"/>
        <v>16038582.48814477</v>
      </c>
      <c r="CI11" s="513">
        <f t="shared" si="2"/>
        <v>16038582.48814477</v>
      </c>
      <c r="CJ11" s="513">
        <f t="shared" si="2"/>
        <v>16038582.48814477</v>
      </c>
      <c r="CK11" s="513">
        <f t="shared" si="2"/>
        <v>16038582.48814477</v>
      </c>
      <c r="CL11" s="513">
        <f t="shared" si="2"/>
        <v>16038582.48814477</v>
      </c>
      <c r="CM11" s="513">
        <f t="shared" si="2"/>
        <v>16038582.48814477</v>
      </c>
      <c r="CN11" s="513">
        <f t="shared" si="2"/>
        <v>16038582.48814477</v>
      </c>
      <c r="CO11" s="513">
        <f t="shared" si="2"/>
        <v>16038582.48814477</v>
      </c>
      <c r="CP11" s="513">
        <f t="shared" si="2"/>
        <v>16038582.48814477</v>
      </c>
      <c r="CQ11" s="513">
        <f t="shared" si="2"/>
        <v>16038582.48814477</v>
      </c>
      <c r="CR11" s="513">
        <f t="shared" si="2"/>
        <v>16038582.48814477</v>
      </c>
      <c r="CS11" s="513">
        <f t="shared" si="2"/>
        <v>16038582.48814477</v>
      </c>
      <c r="CT11" s="513">
        <f t="shared" si="2"/>
        <v>16038582.48814477</v>
      </c>
      <c r="CU11" s="513">
        <f t="shared" si="2"/>
        <v>16038582.48814477</v>
      </c>
      <c r="CV11" s="513">
        <f t="shared" si="2"/>
        <v>16038582.48814477</v>
      </c>
      <c r="CW11" s="517">
        <f t="shared" si="2"/>
        <v>16038582.48814477</v>
      </c>
      <c r="CY11" s="491"/>
    </row>
    <row r="12" spans="1:103" x14ac:dyDescent="0.3">
      <c r="B12" s="819"/>
      <c r="C12" s="322"/>
      <c r="CW12" s="26"/>
      <c r="CY12" s="491"/>
    </row>
    <row r="13" spans="1:103" x14ac:dyDescent="0.3">
      <c r="B13" s="819"/>
      <c r="C13" s="521" t="s">
        <v>474</v>
      </c>
      <c r="D13" s="522">
        <f>NPV(0.04,C11:AZ11)</f>
        <v>344543790.00000024</v>
      </c>
      <c r="CW13" s="26"/>
      <c r="CY13" s="491"/>
    </row>
    <row r="14" spans="1:103" x14ac:dyDescent="0.3">
      <c r="B14" s="819"/>
      <c r="C14" s="523" t="s">
        <v>475</v>
      </c>
      <c r="D14" s="524">
        <f>SUM('4| Development Program'!U22,'4| Development Program'!U29,'4| Development Program'!U36,'4| Development Program'!U43,'4| Development Program'!U50)</f>
        <v>344543790</v>
      </c>
      <c r="CW14" s="26"/>
      <c r="CY14" s="491"/>
    </row>
    <row r="15" spans="1:103" x14ac:dyDescent="0.3">
      <c r="B15" s="820"/>
      <c r="C15" s="525" t="s">
        <v>476</v>
      </c>
      <c r="D15" s="524">
        <f>D13-D14</f>
        <v>0</v>
      </c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4"/>
      <c r="AB15" s="14"/>
      <c r="AC15" s="14"/>
      <c r="AD15" s="14"/>
      <c r="AE15" s="14"/>
      <c r="AF15" s="14"/>
      <c r="AG15" s="14"/>
      <c r="AH15" s="14"/>
      <c r="AI15" s="14"/>
      <c r="AJ15" s="14"/>
      <c r="AK15" s="14"/>
      <c r="AL15" s="14"/>
      <c r="AM15" s="14"/>
      <c r="AN15" s="14"/>
      <c r="AO15" s="14"/>
      <c r="AP15" s="14"/>
      <c r="AQ15" s="14"/>
      <c r="AR15" s="14"/>
      <c r="AS15" s="14"/>
      <c r="AT15" s="14"/>
      <c r="AU15" s="14"/>
      <c r="AV15" s="14"/>
      <c r="AW15" s="14"/>
      <c r="AX15" s="14"/>
      <c r="AY15" s="14"/>
      <c r="AZ15" s="14"/>
      <c r="BA15" s="14"/>
      <c r="BB15" s="14"/>
      <c r="BC15" s="14"/>
      <c r="BD15" s="14"/>
      <c r="BE15" s="14"/>
      <c r="BF15" s="14"/>
      <c r="BG15" s="14"/>
      <c r="BH15" s="14"/>
      <c r="BI15" s="14"/>
      <c r="BJ15" s="14"/>
      <c r="BK15" s="14"/>
      <c r="BL15" s="14"/>
      <c r="BM15" s="14"/>
      <c r="BN15" s="14"/>
      <c r="BO15" s="14"/>
      <c r="BP15" s="14"/>
      <c r="BQ15" s="14"/>
      <c r="BR15" s="14"/>
      <c r="BS15" s="14"/>
      <c r="BT15" s="14"/>
      <c r="BU15" s="14"/>
      <c r="BV15" s="14"/>
      <c r="BW15" s="14"/>
      <c r="BX15" s="14"/>
      <c r="BY15" s="14"/>
      <c r="BZ15" s="14"/>
      <c r="CA15" s="14"/>
      <c r="CB15" s="14"/>
      <c r="CC15" s="14"/>
      <c r="CD15" s="14"/>
      <c r="CE15" s="14"/>
      <c r="CF15" s="14"/>
      <c r="CG15" s="14"/>
      <c r="CH15" s="14"/>
      <c r="CI15" s="14"/>
      <c r="CJ15" s="14"/>
      <c r="CK15" s="14"/>
      <c r="CL15" s="14"/>
      <c r="CM15" s="14"/>
      <c r="CN15" s="14"/>
      <c r="CO15" s="14"/>
      <c r="CP15" s="14"/>
      <c r="CQ15" s="14"/>
      <c r="CR15" s="14"/>
      <c r="CS15" s="14"/>
      <c r="CT15" s="14"/>
      <c r="CU15" s="14"/>
      <c r="CV15" s="14"/>
      <c r="CW15" s="15"/>
      <c r="CY15" s="491"/>
    </row>
    <row r="16" spans="1:103" x14ac:dyDescent="0.3">
      <c r="CY16" s="491"/>
    </row>
    <row r="17" spans="2:103" x14ac:dyDescent="0.3">
      <c r="CY17" s="491"/>
    </row>
    <row r="18" spans="2:103" x14ac:dyDescent="0.3">
      <c r="B18" s="821" t="s">
        <v>304</v>
      </c>
      <c r="C18" s="12" t="s">
        <v>373</v>
      </c>
      <c r="D18" s="12"/>
      <c r="E18" s="12"/>
      <c r="F18" s="12"/>
      <c r="G18" s="12"/>
      <c r="H18" s="12"/>
      <c r="I18" s="12"/>
      <c r="J18" s="12"/>
      <c r="K18" s="12"/>
      <c r="L18" s="12"/>
      <c r="M18" s="12"/>
      <c r="N18" s="12"/>
      <c r="O18" s="12"/>
      <c r="P18" s="12"/>
      <c r="Q18" s="12"/>
      <c r="R18" s="12"/>
      <c r="S18" s="12"/>
      <c r="T18" s="12"/>
      <c r="U18" s="12"/>
      <c r="V18" s="12"/>
      <c r="W18" s="12"/>
      <c r="X18" s="12"/>
      <c r="Y18" s="12"/>
      <c r="Z18" s="12"/>
      <c r="AA18" s="12"/>
      <c r="AB18" s="12"/>
      <c r="AC18" s="12"/>
      <c r="AD18" s="12"/>
      <c r="AE18" s="12"/>
      <c r="AF18" s="12"/>
      <c r="AG18" s="12"/>
      <c r="AH18" s="12"/>
      <c r="AI18" s="12"/>
      <c r="AJ18" s="12"/>
      <c r="AK18" s="12"/>
      <c r="AL18" s="12"/>
      <c r="AM18" s="12"/>
      <c r="AN18" s="12"/>
      <c r="AO18" s="12"/>
      <c r="AP18" s="12"/>
      <c r="AQ18" s="12"/>
      <c r="AR18" s="12"/>
      <c r="AS18" s="12"/>
      <c r="AT18" s="12"/>
      <c r="AU18" s="12"/>
      <c r="AV18" s="12"/>
      <c r="AW18" s="12"/>
      <c r="AX18" s="12"/>
      <c r="AY18" s="12"/>
      <c r="AZ18" s="12"/>
      <c r="BA18" s="12"/>
      <c r="BB18" s="12"/>
      <c r="BC18" s="12"/>
      <c r="BD18" s="12"/>
      <c r="BE18" s="12"/>
      <c r="BF18" s="12"/>
      <c r="BG18" s="12"/>
      <c r="BH18" s="12"/>
      <c r="BI18" s="12"/>
      <c r="BJ18" s="12"/>
      <c r="BK18" s="12"/>
      <c r="BL18" s="12"/>
      <c r="BM18" s="12"/>
      <c r="BN18" s="12"/>
      <c r="BO18" s="12"/>
      <c r="BP18" s="12"/>
      <c r="BQ18" s="12"/>
      <c r="BR18" s="12"/>
      <c r="BS18" s="12"/>
      <c r="BT18" s="12"/>
      <c r="BU18" s="12"/>
      <c r="BV18" s="12"/>
      <c r="BW18" s="12"/>
      <c r="BX18" s="12"/>
      <c r="BY18" s="12"/>
      <c r="BZ18" s="12"/>
      <c r="CA18" s="12"/>
      <c r="CB18" s="12"/>
      <c r="CC18" s="12"/>
      <c r="CD18" s="12"/>
      <c r="CE18" s="12"/>
      <c r="CF18" s="12"/>
      <c r="CG18" s="12"/>
      <c r="CH18" s="12"/>
      <c r="CI18" s="12"/>
      <c r="CJ18" s="12"/>
      <c r="CK18" s="12"/>
      <c r="CL18" s="12"/>
      <c r="CM18" s="12"/>
      <c r="CN18" s="12"/>
      <c r="CO18" s="12"/>
      <c r="CP18" s="12"/>
      <c r="CQ18" s="12"/>
      <c r="CR18" s="12"/>
      <c r="CS18" s="12"/>
      <c r="CT18" s="12"/>
      <c r="CU18" s="12"/>
      <c r="CV18" s="12"/>
      <c r="CW18" s="13"/>
      <c r="CY18" s="491"/>
    </row>
    <row r="19" spans="2:103" x14ac:dyDescent="0.3">
      <c r="B19" s="822"/>
      <c r="C19" t="s">
        <v>374</v>
      </c>
      <c r="CW19" s="26"/>
      <c r="CY19" s="491"/>
    </row>
    <row r="20" spans="2:103" x14ac:dyDescent="0.3">
      <c r="B20" s="822"/>
      <c r="CW20" s="26"/>
      <c r="CY20" s="491"/>
    </row>
    <row r="21" spans="2:103" x14ac:dyDescent="0.3">
      <c r="B21" s="822"/>
      <c r="C21" s="526" t="s">
        <v>375</v>
      </c>
      <c r="D21" s="527" t="s">
        <v>376</v>
      </c>
      <c r="E21" s="527" t="s">
        <v>377</v>
      </c>
      <c r="F21" s="527" t="s">
        <v>378</v>
      </c>
      <c r="G21" s="527" t="s">
        <v>379</v>
      </c>
      <c r="H21" s="527" t="s">
        <v>380</v>
      </c>
      <c r="I21" s="527" t="s">
        <v>381</v>
      </c>
      <c r="J21" s="527" t="s">
        <v>382</v>
      </c>
      <c r="K21" s="527" t="s">
        <v>383</v>
      </c>
      <c r="L21" s="527" t="s">
        <v>384</v>
      </c>
      <c r="M21" s="527" t="s">
        <v>385</v>
      </c>
      <c r="N21" s="527" t="s">
        <v>386</v>
      </c>
      <c r="O21" s="527" t="s">
        <v>387</v>
      </c>
      <c r="P21" s="527" t="s">
        <v>388</v>
      </c>
      <c r="Q21" s="527" t="s">
        <v>389</v>
      </c>
      <c r="R21" s="527" t="s">
        <v>390</v>
      </c>
      <c r="S21" s="527" t="s">
        <v>391</v>
      </c>
      <c r="T21" s="527" t="s">
        <v>392</v>
      </c>
      <c r="U21" s="527" t="s">
        <v>393</v>
      </c>
      <c r="V21" s="527" t="s">
        <v>394</v>
      </c>
      <c r="W21" s="527" t="s">
        <v>395</v>
      </c>
      <c r="X21" s="527" t="s">
        <v>396</v>
      </c>
      <c r="Y21" s="527" t="s">
        <v>397</v>
      </c>
      <c r="Z21" s="527" t="s">
        <v>398</v>
      </c>
      <c r="AA21" s="527" t="s">
        <v>399</v>
      </c>
      <c r="AB21" s="527" t="s">
        <v>400</v>
      </c>
      <c r="AC21" s="527" t="s">
        <v>401</v>
      </c>
      <c r="AD21" s="527" t="s">
        <v>402</v>
      </c>
      <c r="AE21" s="527" t="s">
        <v>403</v>
      </c>
      <c r="AF21" s="527" t="s">
        <v>404</v>
      </c>
      <c r="AG21" s="527" t="s">
        <v>405</v>
      </c>
      <c r="AH21" s="527" t="s">
        <v>406</v>
      </c>
      <c r="AI21" s="527" t="s">
        <v>407</v>
      </c>
      <c r="AJ21" s="527" t="s">
        <v>408</v>
      </c>
      <c r="AK21" s="527" t="s">
        <v>409</v>
      </c>
      <c r="AL21" s="527" t="s">
        <v>410</v>
      </c>
      <c r="AM21" s="527" t="s">
        <v>411</v>
      </c>
      <c r="AN21" s="527" t="s">
        <v>412</v>
      </c>
      <c r="AO21" s="527" t="s">
        <v>413</v>
      </c>
      <c r="AP21" s="527" t="s">
        <v>414</v>
      </c>
      <c r="AQ21" s="527" t="s">
        <v>415</v>
      </c>
      <c r="AR21" s="527" t="s">
        <v>416</v>
      </c>
      <c r="AS21" s="527" t="s">
        <v>417</v>
      </c>
      <c r="AT21" s="527" t="s">
        <v>418</v>
      </c>
      <c r="AU21" s="527" t="s">
        <v>419</v>
      </c>
      <c r="AV21" s="527" t="s">
        <v>420</v>
      </c>
      <c r="AW21" s="527" t="s">
        <v>421</v>
      </c>
      <c r="AX21" s="527" t="s">
        <v>422</v>
      </c>
      <c r="AY21" s="527" t="s">
        <v>423</v>
      </c>
      <c r="AZ21" s="527" t="s">
        <v>424</v>
      </c>
      <c r="BA21" s="527" t="s">
        <v>425</v>
      </c>
      <c r="BB21" s="527" t="s">
        <v>426</v>
      </c>
      <c r="BC21" s="527" t="s">
        <v>427</v>
      </c>
      <c r="BD21" s="527" t="s">
        <v>428</v>
      </c>
      <c r="BE21" s="527" t="s">
        <v>429</v>
      </c>
      <c r="BF21" s="527" t="s">
        <v>430</v>
      </c>
      <c r="BG21" s="527" t="s">
        <v>431</v>
      </c>
      <c r="BH21" s="527" t="s">
        <v>432</v>
      </c>
      <c r="BI21" s="527" t="s">
        <v>433</v>
      </c>
      <c r="BJ21" s="527" t="s">
        <v>434</v>
      </c>
      <c r="BK21" s="527" t="s">
        <v>435</v>
      </c>
      <c r="BL21" s="527" t="s">
        <v>436</v>
      </c>
      <c r="BM21" s="527" t="s">
        <v>437</v>
      </c>
      <c r="BN21" s="527" t="s">
        <v>438</v>
      </c>
      <c r="BO21" s="527" t="s">
        <v>439</v>
      </c>
      <c r="BP21" s="527" t="s">
        <v>440</v>
      </c>
      <c r="BQ21" s="527" t="s">
        <v>441</v>
      </c>
      <c r="BR21" s="527" t="s">
        <v>442</v>
      </c>
      <c r="BS21" s="527" t="s">
        <v>443</v>
      </c>
      <c r="BT21" s="527" t="s">
        <v>444</v>
      </c>
      <c r="BU21" s="527" t="s">
        <v>445</v>
      </c>
      <c r="BV21" s="527" t="s">
        <v>446</v>
      </c>
      <c r="BW21" s="527" t="s">
        <v>447</v>
      </c>
      <c r="BX21" s="527" t="s">
        <v>448</v>
      </c>
      <c r="BY21" s="527" t="s">
        <v>449</v>
      </c>
      <c r="BZ21" s="527" t="s">
        <v>450</v>
      </c>
      <c r="CA21" s="527" t="s">
        <v>451</v>
      </c>
      <c r="CB21" s="527" t="s">
        <v>452</v>
      </c>
      <c r="CC21" s="527" t="s">
        <v>453</v>
      </c>
      <c r="CD21" s="527" t="s">
        <v>454</v>
      </c>
      <c r="CE21" s="527" t="s">
        <v>455</v>
      </c>
      <c r="CF21" s="527" t="s">
        <v>456</v>
      </c>
      <c r="CG21" s="527" t="s">
        <v>457</v>
      </c>
      <c r="CH21" s="527" t="s">
        <v>458</v>
      </c>
      <c r="CI21" s="527" t="s">
        <v>459</v>
      </c>
      <c r="CJ21" s="527" t="s">
        <v>460</v>
      </c>
      <c r="CK21" s="527" t="s">
        <v>461</v>
      </c>
      <c r="CL21" s="527" t="s">
        <v>462</v>
      </c>
      <c r="CM21" s="527" t="s">
        <v>463</v>
      </c>
      <c r="CN21" s="527" t="s">
        <v>464</v>
      </c>
      <c r="CO21" s="527" t="s">
        <v>465</v>
      </c>
      <c r="CP21" s="527" t="s">
        <v>466</v>
      </c>
      <c r="CQ21" s="527" t="s">
        <v>467</v>
      </c>
      <c r="CR21" s="527" t="s">
        <v>468</v>
      </c>
      <c r="CS21" s="527" t="s">
        <v>469</v>
      </c>
      <c r="CT21" s="527" t="s">
        <v>470</v>
      </c>
      <c r="CU21" s="527" t="s">
        <v>471</v>
      </c>
      <c r="CV21" s="527" t="s">
        <v>472</v>
      </c>
      <c r="CW21" s="528" t="s">
        <v>473</v>
      </c>
      <c r="CY21" s="491"/>
    </row>
    <row r="22" spans="2:103" x14ac:dyDescent="0.3">
      <c r="B22" s="822"/>
      <c r="C22" s="529">
        <v>5984199.5725262268</v>
      </c>
      <c r="D22" s="530">
        <f t="shared" ref="D22:AI22" si="3">$C$22</f>
        <v>5984199.5725262268</v>
      </c>
      <c r="E22" s="530">
        <f t="shared" si="3"/>
        <v>5984199.5725262268</v>
      </c>
      <c r="F22" s="530">
        <f t="shared" si="3"/>
        <v>5984199.5725262268</v>
      </c>
      <c r="G22" s="530">
        <f t="shared" si="3"/>
        <v>5984199.5725262268</v>
      </c>
      <c r="H22" s="530">
        <f t="shared" si="3"/>
        <v>5984199.5725262268</v>
      </c>
      <c r="I22" s="530">
        <f t="shared" si="3"/>
        <v>5984199.5725262268</v>
      </c>
      <c r="J22" s="530">
        <f t="shared" si="3"/>
        <v>5984199.5725262268</v>
      </c>
      <c r="K22" s="530">
        <f t="shared" si="3"/>
        <v>5984199.5725262268</v>
      </c>
      <c r="L22" s="530">
        <f t="shared" si="3"/>
        <v>5984199.5725262268</v>
      </c>
      <c r="M22" s="530">
        <f t="shared" si="3"/>
        <v>5984199.5725262268</v>
      </c>
      <c r="N22" s="530">
        <f t="shared" si="3"/>
        <v>5984199.5725262268</v>
      </c>
      <c r="O22" s="530">
        <f t="shared" si="3"/>
        <v>5984199.5725262268</v>
      </c>
      <c r="P22" s="530">
        <f t="shared" si="3"/>
        <v>5984199.5725262268</v>
      </c>
      <c r="Q22" s="530">
        <f t="shared" si="3"/>
        <v>5984199.5725262268</v>
      </c>
      <c r="R22" s="530">
        <f t="shared" si="3"/>
        <v>5984199.5725262268</v>
      </c>
      <c r="S22" s="530">
        <f t="shared" si="3"/>
        <v>5984199.5725262268</v>
      </c>
      <c r="T22" s="530">
        <f t="shared" si="3"/>
        <v>5984199.5725262268</v>
      </c>
      <c r="U22" s="530">
        <f t="shared" si="3"/>
        <v>5984199.5725262268</v>
      </c>
      <c r="V22" s="530">
        <f t="shared" si="3"/>
        <v>5984199.5725262268</v>
      </c>
      <c r="W22" s="530">
        <f t="shared" si="3"/>
        <v>5984199.5725262268</v>
      </c>
      <c r="X22" s="530">
        <f t="shared" si="3"/>
        <v>5984199.5725262268</v>
      </c>
      <c r="Y22" s="530">
        <f t="shared" si="3"/>
        <v>5984199.5725262268</v>
      </c>
      <c r="Z22" s="530">
        <f t="shared" si="3"/>
        <v>5984199.5725262268</v>
      </c>
      <c r="AA22" s="530">
        <f t="shared" si="3"/>
        <v>5984199.5725262268</v>
      </c>
      <c r="AB22" s="530">
        <f t="shared" si="3"/>
        <v>5984199.5725262268</v>
      </c>
      <c r="AC22" s="530">
        <f t="shared" si="3"/>
        <v>5984199.5725262268</v>
      </c>
      <c r="AD22" s="530">
        <f t="shared" si="3"/>
        <v>5984199.5725262268</v>
      </c>
      <c r="AE22" s="530">
        <f t="shared" si="3"/>
        <v>5984199.5725262268</v>
      </c>
      <c r="AF22" s="530">
        <f t="shared" si="3"/>
        <v>5984199.5725262268</v>
      </c>
      <c r="AG22" s="530">
        <f t="shared" si="3"/>
        <v>5984199.5725262268</v>
      </c>
      <c r="AH22" s="530">
        <f t="shared" si="3"/>
        <v>5984199.5725262268</v>
      </c>
      <c r="AI22" s="530">
        <f t="shared" si="3"/>
        <v>5984199.5725262268</v>
      </c>
      <c r="AJ22" s="530">
        <f t="shared" ref="AJ22:BO22" si="4">$C$22</f>
        <v>5984199.5725262268</v>
      </c>
      <c r="AK22" s="530">
        <f t="shared" si="4"/>
        <v>5984199.5725262268</v>
      </c>
      <c r="AL22" s="530">
        <f t="shared" si="4"/>
        <v>5984199.5725262268</v>
      </c>
      <c r="AM22" s="530">
        <f t="shared" si="4"/>
        <v>5984199.5725262268</v>
      </c>
      <c r="AN22" s="530">
        <f t="shared" si="4"/>
        <v>5984199.5725262268</v>
      </c>
      <c r="AO22" s="530">
        <f t="shared" si="4"/>
        <v>5984199.5725262268</v>
      </c>
      <c r="AP22" s="530">
        <f t="shared" si="4"/>
        <v>5984199.5725262268</v>
      </c>
      <c r="AQ22" s="530">
        <f t="shared" si="4"/>
        <v>5984199.5725262268</v>
      </c>
      <c r="AR22" s="530">
        <f t="shared" si="4"/>
        <v>5984199.5725262268</v>
      </c>
      <c r="AS22" s="530">
        <f t="shared" si="4"/>
        <v>5984199.5725262268</v>
      </c>
      <c r="AT22" s="530">
        <f t="shared" si="4"/>
        <v>5984199.5725262268</v>
      </c>
      <c r="AU22" s="530">
        <f t="shared" si="4"/>
        <v>5984199.5725262268</v>
      </c>
      <c r="AV22" s="530">
        <f t="shared" si="4"/>
        <v>5984199.5725262268</v>
      </c>
      <c r="AW22" s="530">
        <f t="shared" si="4"/>
        <v>5984199.5725262268</v>
      </c>
      <c r="AX22" s="530">
        <f t="shared" si="4"/>
        <v>5984199.5725262268</v>
      </c>
      <c r="AY22" s="530">
        <f t="shared" si="4"/>
        <v>5984199.5725262268</v>
      </c>
      <c r="AZ22" s="530">
        <f t="shared" si="4"/>
        <v>5984199.5725262268</v>
      </c>
      <c r="BA22" s="530">
        <f t="shared" si="4"/>
        <v>5984199.5725262268</v>
      </c>
      <c r="BB22" s="530">
        <f t="shared" si="4"/>
        <v>5984199.5725262268</v>
      </c>
      <c r="BC22" s="530">
        <f t="shared" si="4"/>
        <v>5984199.5725262268</v>
      </c>
      <c r="BD22" s="530">
        <f t="shared" si="4"/>
        <v>5984199.5725262268</v>
      </c>
      <c r="BE22" s="530">
        <f t="shared" si="4"/>
        <v>5984199.5725262268</v>
      </c>
      <c r="BF22" s="530">
        <f t="shared" si="4"/>
        <v>5984199.5725262268</v>
      </c>
      <c r="BG22" s="530">
        <f t="shared" si="4"/>
        <v>5984199.5725262268</v>
      </c>
      <c r="BH22" s="530">
        <f t="shared" si="4"/>
        <v>5984199.5725262268</v>
      </c>
      <c r="BI22" s="530">
        <f t="shared" si="4"/>
        <v>5984199.5725262268</v>
      </c>
      <c r="BJ22" s="530">
        <f t="shared" si="4"/>
        <v>5984199.5725262268</v>
      </c>
      <c r="BK22" s="530">
        <f t="shared" si="4"/>
        <v>5984199.5725262268</v>
      </c>
      <c r="BL22" s="530">
        <f t="shared" si="4"/>
        <v>5984199.5725262268</v>
      </c>
      <c r="BM22" s="530">
        <f t="shared" si="4"/>
        <v>5984199.5725262268</v>
      </c>
      <c r="BN22" s="530">
        <f t="shared" si="4"/>
        <v>5984199.5725262268</v>
      </c>
      <c r="BO22" s="530">
        <f t="shared" si="4"/>
        <v>5984199.5725262268</v>
      </c>
      <c r="BP22" s="530">
        <f t="shared" ref="BP22:CW22" si="5">$C$22</f>
        <v>5984199.5725262268</v>
      </c>
      <c r="BQ22" s="530">
        <f t="shared" si="5"/>
        <v>5984199.5725262268</v>
      </c>
      <c r="BR22" s="530">
        <f t="shared" si="5"/>
        <v>5984199.5725262268</v>
      </c>
      <c r="BS22" s="530">
        <f t="shared" si="5"/>
        <v>5984199.5725262268</v>
      </c>
      <c r="BT22" s="530">
        <f t="shared" si="5"/>
        <v>5984199.5725262268</v>
      </c>
      <c r="BU22" s="530">
        <f t="shared" si="5"/>
        <v>5984199.5725262268</v>
      </c>
      <c r="BV22" s="530">
        <f t="shared" si="5"/>
        <v>5984199.5725262268</v>
      </c>
      <c r="BW22" s="530">
        <f t="shared" si="5"/>
        <v>5984199.5725262268</v>
      </c>
      <c r="BX22" s="530">
        <f t="shared" si="5"/>
        <v>5984199.5725262268</v>
      </c>
      <c r="BY22" s="530">
        <f t="shared" si="5"/>
        <v>5984199.5725262268</v>
      </c>
      <c r="BZ22" s="530">
        <f t="shared" si="5"/>
        <v>5984199.5725262268</v>
      </c>
      <c r="CA22" s="530">
        <f t="shared" si="5"/>
        <v>5984199.5725262268</v>
      </c>
      <c r="CB22" s="530">
        <f t="shared" si="5"/>
        <v>5984199.5725262268</v>
      </c>
      <c r="CC22" s="530">
        <f t="shared" si="5"/>
        <v>5984199.5725262268</v>
      </c>
      <c r="CD22" s="530">
        <f t="shared" si="5"/>
        <v>5984199.5725262268</v>
      </c>
      <c r="CE22" s="530">
        <f t="shared" si="5"/>
        <v>5984199.5725262268</v>
      </c>
      <c r="CF22" s="530">
        <f t="shared" si="5"/>
        <v>5984199.5725262268</v>
      </c>
      <c r="CG22" s="530">
        <f t="shared" si="5"/>
        <v>5984199.5725262268</v>
      </c>
      <c r="CH22" s="530">
        <f t="shared" si="5"/>
        <v>5984199.5725262268</v>
      </c>
      <c r="CI22" s="530">
        <f t="shared" si="5"/>
        <v>5984199.5725262268</v>
      </c>
      <c r="CJ22" s="530">
        <f t="shared" si="5"/>
        <v>5984199.5725262268</v>
      </c>
      <c r="CK22" s="530">
        <f t="shared" si="5"/>
        <v>5984199.5725262268</v>
      </c>
      <c r="CL22" s="530">
        <f t="shared" si="5"/>
        <v>5984199.5725262268</v>
      </c>
      <c r="CM22" s="530">
        <f t="shared" si="5"/>
        <v>5984199.5725262268</v>
      </c>
      <c r="CN22" s="530">
        <f t="shared" si="5"/>
        <v>5984199.5725262268</v>
      </c>
      <c r="CO22" s="530">
        <f t="shared" si="5"/>
        <v>5984199.5725262268</v>
      </c>
      <c r="CP22" s="530">
        <f t="shared" si="5"/>
        <v>5984199.5725262268</v>
      </c>
      <c r="CQ22" s="530">
        <f t="shared" si="5"/>
        <v>5984199.5725262268</v>
      </c>
      <c r="CR22" s="530">
        <f t="shared" si="5"/>
        <v>5984199.5725262268</v>
      </c>
      <c r="CS22" s="530">
        <f t="shared" si="5"/>
        <v>5984199.5725262268</v>
      </c>
      <c r="CT22" s="530">
        <f t="shared" si="5"/>
        <v>5984199.5725262268</v>
      </c>
      <c r="CU22" s="530">
        <f t="shared" si="5"/>
        <v>5984199.5725262268</v>
      </c>
      <c r="CV22" s="530">
        <f t="shared" si="5"/>
        <v>5984199.5725262268</v>
      </c>
      <c r="CW22" s="531">
        <f t="shared" si="5"/>
        <v>5984199.5725262268</v>
      </c>
      <c r="CY22" s="491"/>
    </row>
    <row r="23" spans="2:103" x14ac:dyDescent="0.3">
      <c r="B23" s="822"/>
      <c r="CW23" s="26"/>
      <c r="CY23" s="491"/>
    </row>
    <row r="24" spans="2:103" x14ac:dyDescent="0.3">
      <c r="B24" s="822"/>
      <c r="C24" s="521" t="s">
        <v>474</v>
      </c>
      <c r="D24" s="522">
        <f>NPV(0.04,C22:AZ22)</f>
        <v>128553680.00000009</v>
      </c>
      <c r="CW24" s="26"/>
      <c r="CY24" s="491"/>
    </row>
    <row r="25" spans="2:103" x14ac:dyDescent="0.3">
      <c r="B25" s="822"/>
      <c r="C25" s="523" t="s">
        <v>477</v>
      </c>
      <c r="D25" s="524">
        <f>SUM('4| Development Program'!U61,'4| Development Program'!U68,'4| Development Program'!U75,'4| Development Program'!U82,'4| Development Program'!U89,'4| Development Program'!U96)</f>
        <v>128553679.99999999</v>
      </c>
      <c r="CW25" s="26"/>
      <c r="CY25" s="491"/>
    </row>
    <row r="26" spans="2:103" x14ac:dyDescent="0.3">
      <c r="B26" s="823"/>
      <c r="C26" s="525" t="s">
        <v>476</v>
      </c>
      <c r="D26" s="524">
        <f>D24-D25</f>
        <v>0</v>
      </c>
      <c r="E26" s="14"/>
      <c r="F26" s="14"/>
      <c r="G26" s="14"/>
      <c r="H26" s="14"/>
      <c r="I26" s="14"/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14"/>
      <c r="Z26" s="14"/>
      <c r="AA26" s="14"/>
      <c r="AB26" s="14"/>
      <c r="AC26" s="14"/>
      <c r="AD26" s="14"/>
      <c r="AE26" s="14"/>
      <c r="AF26" s="14"/>
      <c r="AG26" s="14"/>
      <c r="AH26" s="14"/>
      <c r="AI26" s="14"/>
      <c r="AJ26" s="14"/>
      <c r="AK26" s="14"/>
      <c r="AL26" s="14"/>
      <c r="AM26" s="14"/>
      <c r="AN26" s="14"/>
      <c r="AO26" s="14"/>
      <c r="AP26" s="14"/>
      <c r="AQ26" s="14"/>
      <c r="AR26" s="14"/>
      <c r="AS26" s="14"/>
      <c r="AT26" s="14"/>
      <c r="AU26" s="14"/>
      <c r="AV26" s="14"/>
      <c r="AW26" s="14"/>
      <c r="AX26" s="14"/>
      <c r="AY26" s="14"/>
      <c r="AZ26" s="14"/>
      <c r="BA26" s="14"/>
      <c r="BB26" s="14"/>
      <c r="BC26" s="14"/>
      <c r="BD26" s="14"/>
      <c r="BE26" s="14"/>
      <c r="BF26" s="14"/>
      <c r="BG26" s="14"/>
      <c r="BH26" s="14"/>
      <c r="BI26" s="14"/>
      <c r="BJ26" s="14"/>
      <c r="BK26" s="14"/>
      <c r="BL26" s="14"/>
      <c r="BM26" s="14"/>
      <c r="BN26" s="14"/>
      <c r="BO26" s="14"/>
      <c r="BP26" s="14"/>
      <c r="BQ26" s="14"/>
      <c r="BR26" s="14"/>
      <c r="BS26" s="14"/>
      <c r="BT26" s="14"/>
      <c r="BU26" s="14"/>
      <c r="BV26" s="14"/>
      <c r="BW26" s="14"/>
      <c r="BX26" s="14"/>
      <c r="BY26" s="14"/>
      <c r="BZ26" s="14"/>
      <c r="CA26" s="14"/>
      <c r="CB26" s="14"/>
      <c r="CC26" s="14"/>
      <c r="CD26" s="14"/>
      <c r="CE26" s="14"/>
      <c r="CF26" s="14"/>
      <c r="CG26" s="14"/>
      <c r="CH26" s="14"/>
      <c r="CI26" s="14"/>
      <c r="CJ26" s="14"/>
      <c r="CK26" s="14"/>
      <c r="CL26" s="14"/>
      <c r="CM26" s="14"/>
      <c r="CN26" s="14"/>
      <c r="CO26" s="14"/>
      <c r="CP26" s="14"/>
      <c r="CQ26" s="14"/>
      <c r="CR26" s="14"/>
      <c r="CS26" s="14"/>
      <c r="CT26" s="14"/>
      <c r="CU26" s="14"/>
      <c r="CV26" s="14"/>
      <c r="CW26" s="15"/>
      <c r="CY26" s="491"/>
    </row>
    <row r="27" spans="2:103" x14ac:dyDescent="0.3">
      <c r="CY27" s="491"/>
    </row>
    <row r="28" spans="2:103" x14ac:dyDescent="0.3">
      <c r="CY28" s="491"/>
    </row>
    <row r="29" spans="2:103" x14ac:dyDescent="0.3">
      <c r="B29" s="824" t="s">
        <v>305</v>
      </c>
      <c r="C29" s="12" t="s">
        <v>373</v>
      </c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2"/>
      <c r="V29" s="12"/>
      <c r="W29" s="12"/>
      <c r="X29" s="12"/>
      <c r="Y29" s="12"/>
      <c r="Z29" s="12"/>
      <c r="AA29" s="12"/>
      <c r="AB29" s="12"/>
      <c r="AC29" s="12"/>
      <c r="AD29" s="12"/>
      <c r="AE29" s="12"/>
      <c r="AF29" s="12"/>
      <c r="AG29" s="12"/>
      <c r="AH29" s="12"/>
      <c r="AI29" s="12"/>
      <c r="AJ29" s="12"/>
      <c r="AK29" s="12"/>
      <c r="AL29" s="12"/>
      <c r="AM29" s="12"/>
      <c r="AN29" s="12"/>
      <c r="AO29" s="12"/>
      <c r="AP29" s="12"/>
      <c r="AQ29" s="12"/>
      <c r="AR29" s="12"/>
      <c r="AS29" s="12"/>
      <c r="AT29" s="12"/>
      <c r="AU29" s="12"/>
      <c r="AV29" s="12"/>
      <c r="AW29" s="12"/>
      <c r="AX29" s="12"/>
      <c r="AY29" s="12"/>
      <c r="AZ29" s="12"/>
      <c r="BA29" s="12"/>
      <c r="BB29" s="12"/>
      <c r="BC29" s="12"/>
      <c r="BD29" s="12"/>
      <c r="BE29" s="12"/>
      <c r="BF29" s="12"/>
      <c r="BG29" s="12"/>
      <c r="BH29" s="12"/>
      <c r="BI29" s="12"/>
      <c r="BJ29" s="12"/>
      <c r="BK29" s="12"/>
      <c r="BL29" s="12"/>
      <c r="BM29" s="12"/>
      <c r="BN29" s="12"/>
      <c r="BO29" s="12"/>
      <c r="BP29" s="12"/>
      <c r="BQ29" s="12"/>
      <c r="BR29" s="12"/>
      <c r="BS29" s="12"/>
      <c r="BT29" s="12"/>
      <c r="BU29" s="12"/>
      <c r="BV29" s="12"/>
      <c r="BW29" s="12"/>
      <c r="BX29" s="12"/>
      <c r="BY29" s="12"/>
      <c r="BZ29" s="12"/>
      <c r="CA29" s="12"/>
      <c r="CB29" s="12"/>
      <c r="CC29" s="12"/>
      <c r="CD29" s="12"/>
      <c r="CE29" s="12"/>
      <c r="CF29" s="12"/>
      <c r="CG29" s="12"/>
      <c r="CH29" s="12"/>
      <c r="CI29" s="12"/>
      <c r="CJ29" s="12"/>
      <c r="CK29" s="12"/>
      <c r="CL29" s="12"/>
      <c r="CM29" s="12"/>
      <c r="CN29" s="12"/>
      <c r="CO29" s="12"/>
      <c r="CP29" s="12"/>
      <c r="CQ29" s="12"/>
      <c r="CR29" s="12"/>
      <c r="CS29" s="12"/>
      <c r="CT29" s="12"/>
      <c r="CU29" s="12"/>
      <c r="CV29" s="12"/>
      <c r="CW29" s="13"/>
      <c r="CY29" s="491"/>
    </row>
    <row r="30" spans="2:103" x14ac:dyDescent="0.3">
      <c r="B30" s="825"/>
      <c r="C30" t="s">
        <v>374</v>
      </c>
      <c r="CW30" s="26"/>
      <c r="CY30" s="491"/>
    </row>
    <row r="31" spans="2:103" x14ac:dyDescent="0.3">
      <c r="B31" s="825"/>
      <c r="CW31" s="26"/>
      <c r="CY31" s="491"/>
    </row>
    <row r="32" spans="2:103" x14ac:dyDescent="0.3">
      <c r="B32" s="825"/>
      <c r="C32" s="526" t="s">
        <v>375</v>
      </c>
      <c r="D32" s="527" t="s">
        <v>376</v>
      </c>
      <c r="E32" s="527" t="s">
        <v>377</v>
      </c>
      <c r="F32" s="527" t="s">
        <v>378</v>
      </c>
      <c r="G32" s="527" t="s">
        <v>379</v>
      </c>
      <c r="H32" s="527" t="s">
        <v>380</v>
      </c>
      <c r="I32" s="527" t="s">
        <v>381</v>
      </c>
      <c r="J32" s="527" t="s">
        <v>382</v>
      </c>
      <c r="K32" s="527" t="s">
        <v>383</v>
      </c>
      <c r="L32" s="527" t="s">
        <v>384</v>
      </c>
      <c r="M32" s="527" t="s">
        <v>385</v>
      </c>
      <c r="N32" s="527" t="s">
        <v>386</v>
      </c>
      <c r="O32" s="527" t="s">
        <v>387</v>
      </c>
      <c r="P32" s="527" t="s">
        <v>388</v>
      </c>
      <c r="Q32" s="527" t="s">
        <v>389</v>
      </c>
      <c r="R32" s="527" t="s">
        <v>390</v>
      </c>
      <c r="S32" s="527" t="s">
        <v>391</v>
      </c>
      <c r="T32" s="527" t="s">
        <v>392</v>
      </c>
      <c r="U32" s="527" t="s">
        <v>393</v>
      </c>
      <c r="V32" s="527" t="s">
        <v>394</v>
      </c>
      <c r="W32" s="527" t="s">
        <v>395</v>
      </c>
      <c r="X32" s="527" t="s">
        <v>396</v>
      </c>
      <c r="Y32" s="527" t="s">
        <v>397</v>
      </c>
      <c r="Z32" s="527" t="s">
        <v>398</v>
      </c>
      <c r="AA32" s="527" t="s">
        <v>399</v>
      </c>
      <c r="AB32" s="527" t="s">
        <v>400</v>
      </c>
      <c r="AC32" s="527" t="s">
        <v>401</v>
      </c>
      <c r="AD32" s="527" t="s">
        <v>402</v>
      </c>
      <c r="AE32" s="527" t="s">
        <v>403</v>
      </c>
      <c r="AF32" s="527" t="s">
        <v>404</v>
      </c>
      <c r="AG32" s="527" t="s">
        <v>405</v>
      </c>
      <c r="AH32" s="527" t="s">
        <v>406</v>
      </c>
      <c r="AI32" s="527" t="s">
        <v>407</v>
      </c>
      <c r="AJ32" s="527" t="s">
        <v>408</v>
      </c>
      <c r="AK32" s="527" t="s">
        <v>409</v>
      </c>
      <c r="AL32" s="527" t="s">
        <v>410</v>
      </c>
      <c r="AM32" s="527" t="s">
        <v>411</v>
      </c>
      <c r="AN32" s="527" t="s">
        <v>412</v>
      </c>
      <c r="AO32" s="527" t="s">
        <v>413</v>
      </c>
      <c r="AP32" s="527" t="s">
        <v>414</v>
      </c>
      <c r="AQ32" s="527" t="s">
        <v>415</v>
      </c>
      <c r="AR32" s="527" t="s">
        <v>416</v>
      </c>
      <c r="AS32" s="527" t="s">
        <v>417</v>
      </c>
      <c r="AT32" s="527" t="s">
        <v>418</v>
      </c>
      <c r="AU32" s="527" t="s">
        <v>419</v>
      </c>
      <c r="AV32" s="527" t="s">
        <v>420</v>
      </c>
      <c r="AW32" s="527" t="s">
        <v>421</v>
      </c>
      <c r="AX32" s="527" t="s">
        <v>422</v>
      </c>
      <c r="AY32" s="527" t="s">
        <v>423</v>
      </c>
      <c r="AZ32" s="527" t="s">
        <v>424</v>
      </c>
      <c r="BA32" s="527" t="s">
        <v>425</v>
      </c>
      <c r="BB32" s="527" t="s">
        <v>426</v>
      </c>
      <c r="BC32" s="527" t="s">
        <v>427</v>
      </c>
      <c r="BD32" s="527" t="s">
        <v>428</v>
      </c>
      <c r="BE32" s="527" t="s">
        <v>429</v>
      </c>
      <c r="BF32" s="527" t="s">
        <v>430</v>
      </c>
      <c r="BG32" s="527" t="s">
        <v>431</v>
      </c>
      <c r="BH32" s="527" t="s">
        <v>432</v>
      </c>
      <c r="BI32" s="527" t="s">
        <v>433</v>
      </c>
      <c r="BJ32" s="527" t="s">
        <v>434</v>
      </c>
      <c r="BK32" s="527" t="s">
        <v>435</v>
      </c>
      <c r="BL32" s="527" t="s">
        <v>436</v>
      </c>
      <c r="BM32" s="527" t="s">
        <v>437</v>
      </c>
      <c r="BN32" s="527" t="s">
        <v>438</v>
      </c>
      <c r="BO32" s="527" t="s">
        <v>439</v>
      </c>
      <c r="BP32" s="527" t="s">
        <v>440</v>
      </c>
      <c r="BQ32" s="527" t="s">
        <v>441</v>
      </c>
      <c r="BR32" s="527" t="s">
        <v>442</v>
      </c>
      <c r="BS32" s="527" t="s">
        <v>443</v>
      </c>
      <c r="BT32" s="527" t="s">
        <v>444</v>
      </c>
      <c r="BU32" s="527" t="s">
        <v>445</v>
      </c>
      <c r="BV32" s="527" t="s">
        <v>446</v>
      </c>
      <c r="BW32" s="527" t="s">
        <v>447</v>
      </c>
      <c r="BX32" s="527" t="s">
        <v>448</v>
      </c>
      <c r="BY32" s="527" t="s">
        <v>449</v>
      </c>
      <c r="BZ32" s="527" t="s">
        <v>450</v>
      </c>
      <c r="CA32" s="527" t="s">
        <v>451</v>
      </c>
      <c r="CB32" s="527" t="s">
        <v>452</v>
      </c>
      <c r="CC32" s="527" t="s">
        <v>453</v>
      </c>
      <c r="CD32" s="527" t="s">
        <v>454</v>
      </c>
      <c r="CE32" s="527" t="s">
        <v>455</v>
      </c>
      <c r="CF32" s="527" t="s">
        <v>456</v>
      </c>
      <c r="CG32" s="527" t="s">
        <v>457</v>
      </c>
      <c r="CH32" s="527" t="s">
        <v>458</v>
      </c>
      <c r="CI32" s="527" t="s">
        <v>459</v>
      </c>
      <c r="CJ32" s="527" t="s">
        <v>460</v>
      </c>
      <c r="CK32" s="527" t="s">
        <v>461</v>
      </c>
      <c r="CL32" s="527" t="s">
        <v>462</v>
      </c>
      <c r="CM32" s="527" t="s">
        <v>463</v>
      </c>
      <c r="CN32" s="527" t="s">
        <v>464</v>
      </c>
      <c r="CO32" s="527" t="s">
        <v>465</v>
      </c>
      <c r="CP32" s="527" t="s">
        <v>466</v>
      </c>
      <c r="CQ32" s="527" t="s">
        <v>467</v>
      </c>
      <c r="CR32" s="527" t="s">
        <v>468</v>
      </c>
      <c r="CS32" s="527" t="s">
        <v>469</v>
      </c>
      <c r="CT32" s="527" t="s">
        <v>470</v>
      </c>
      <c r="CU32" s="527" t="s">
        <v>471</v>
      </c>
      <c r="CV32" s="527" t="s">
        <v>472</v>
      </c>
      <c r="CW32" s="528" t="s">
        <v>473</v>
      </c>
      <c r="CY32" s="491"/>
    </row>
    <row r="33" spans="1:103" x14ac:dyDescent="0.3">
      <c r="B33" s="825"/>
      <c r="C33" s="532">
        <v>14061222.142445132</v>
      </c>
      <c r="D33" s="513">
        <f t="shared" ref="D33:AI33" si="6">$C$33</f>
        <v>14061222.142445132</v>
      </c>
      <c r="E33" s="513">
        <f t="shared" si="6"/>
        <v>14061222.142445132</v>
      </c>
      <c r="F33" s="513">
        <f t="shared" si="6"/>
        <v>14061222.142445132</v>
      </c>
      <c r="G33" s="513">
        <f t="shared" si="6"/>
        <v>14061222.142445132</v>
      </c>
      <c r="H33" s="513">
        <f t="shared" si="6"/>
        <v>14061222.142445132</v>
      </c>
      <c r="I33" s="513">
        <f t="shared" si="6"/>
        <v>14061222.142445132</v>
      </c>
      <c r="J33" s="513">
        <f t="shared" si="6"/>
        <v>14061222.142445132</v>
      </c>
      <c r="K33" s="513">
        <f t="shared" si="6"/>
        <v>14061222.142445132</v>
      </c>
      <c r="L33" s="513">
        <f t="shared" si="6"/>
        <v>14061222.142445132</v>
      </c>
      <c r="M33" s="513">
        <f t="shared" si="6"/>
        <v>14061222.142445132</v>
      </c>
      <c r="N33" s="513">
        <f t="shared" si="6"/>
        <v>14061222.142445132</v>
      </c>
      <c r="O33" s="513">
        <f t="shared" si="6"/>
        <v>14061222.142445132</v>
      </c>
      <c r="P33" s="513">
        <f t="shared" si="6"/>
        <v>14061222.142445132</v>
      </c>
      <c r="Q33" s="513">
        <f t="shared" si="6"/>
        <v>14061222.142445132</v>
      </c>
      <c r="R33" s="513">
        <f t="shared" si="6"/>
        <v>14061222.142445132</v>
      </c>
      <c r="S33" s="513">
        <f t="shared" si="6"/>
        <v>14061222.142445132</v>
      </c>
      <c r="T33" s="513">
        <f t="shared" si="6"/>
        <v>14061222.142445132</v>
      </c>
      <c r="U33" s="513">
        <f t="shared" si="6"/>
        <v>14061222.142445132</v>
      </c>
      <c r="V33" s="513">
        <f t="shared" si="6"/>
        <v>14061222.142445132</v>
      </c>
      <c r="W33" s="513">
        <f t="shared" si="6"/>
        <v>14061222.142445132</v>
      </c>
      <c r="X33" s="513">
        <f t="shared" si="6"/>
        <v>14061222.142445132</v>
      </c>
      <c r="Y33" s="513">
        <f t="shared" si="6"/>
        <v>14061222.142445132</v>
      </c>
      <c r="Z33" s="513">
        <f t="shared" si="6"/>
        <v>14061222.142445132</v>
      </c>
      <c r="AA33" s="513">
        <f t="shared" si="6"/>
        <v>14061222.142445132</v>
      </c>
      <c r="AB33" s="513">
        <f t="shared" si="6"/>
        <v>14061222.142445132</v>
      </c>
      <c r="AC33" s="513">
        <f t="shared" si="6"/>
        <v>14061222.142445132</v>
      </c>
      <c r="AD33" s="513">
        <f t="shared" si="6"/>
        <v>14061222.142445132</v>
      </c>
      <c r="AE33" s="513">
        <f t="shared" si="6"/>
        <v>14061222.142445132</v>
      </c>
      <c r="AF33" s="513">
        <f t="shared" si="6"/>
        <v>14061222.142445132</v>
      </c>
      <c r="AG33" s="513">
        <f t="shared" si="6"/>
        <v>14061222.142445132</v>
      </c>
      <c r="AH33" s="513">
        <f t="shared" si="6"/>
        <v>14061222.142445132</v>
      </c>
      <c r="AI33" s="513">
        <f t="shared" si="6"/>
        <v>14061222.142445132</v>
      </c>
      <c r="AJ33" s="513">
        <f t="shared" ref="AJ33:BO33" si="7">$C$33</f>
        <v>14061222.142445132</v>
      </c>
      <c r="AK33" s="513">
        <f t="shared" si="7"/>
        <v>14061222.142445132</v>
      </c>
      <c r="AL33" s="513">
        <f t="shared" si="7"/>
        <v>14061222.142445132</v>
      </c>
      <c r="AM33" s="513">
        <f t="shared" si="7"/>
        <v>14061222.142445132</v>
      </c>
      <c r="AN33" s="513">
        <f t="shared" si="7"/>
        <v>14061222.142445132</v>
      </c>
      <c r="AO33" s="513">
        <f t="shared" si="7"/>
        <v>14061222.142445132</v>
      </c>
      <c r="AP33" s="513">
        <f t="shared" si="7"/>
        <v>14061222.142445132</v>
      </c>
      <c r="AQ33" s="513">
        <f t="shared" si="7"/>
        <v>14061222.142445132</v>
      </c>
      <c r="AR33" s="513">
        <f t="shared" si="7"/>
        <v>14061222.142445132</v>
      </c>
      <c r="AS33" s="513">
        <f t="shared" si="7"/>
        <v>14061222.142445132</v>
      </c>
      <c r="AT33" s="513">
        <f t="shared" si="7"/>
        <v>14061222.142445132</v>
      </c>
      <c r="AU33" s="513">
        <f t="shared" si="7"/>
        <v>14061222.142445132</v>
      </c>
      <c r="AV33" s="513">
        <f t="shared" si="7"/>
        <v>14061222.142445132</v>
      </c>
      <c r="AW33" s="513">
        <f t="shared" si="7"/>
        <v>14061222.142445132</v>
      </c>
      <c r="AX33" s="513">
        <f t="shared" si="7"/>
        <v>14061222.142445132</v>
      </c>
      <c r="AY33" s="513">
        <f t="shared" si="7"/>
        <v>14061222.142445132</v>
      </c>
      <c r="AZ33" s="513">
        <f t="shared" si="7"/>
        <v>14061222.142445132</v>
      </c>
      <c r="BA33" s="513">
        <f t="shared" si="7"/>
        <v>14061222.142445132</v>
      </c>
      <c r="BB33" s="513">
        <f t="shared" si="7"/>
        <v>14061222.142445132</v>
      </c>
      <c r="BC33" s="513">
        <f t="shared" si="7"/>
        <v>14061222.142445132</v>
      </c>
      <c r="BD33" s="513">
        <f t="shared" si="7"/>
        <v>14061222.142445132</v>
      </c>
      <c r="BE33" s="513">
        <f t="shared" si="7"/>
        <v>14061222.142445132</v>
      </c>
      <c r="BF33" s="513">
        <f t="shared" si="7"/>
        <v>14061222.142445132</v>
      </c>
      <c r="BG33" s="513">
        <f t="shared" si="7"/>
        <v>14061222.142445132</v>
      </c>
      <c r="BH33" s="513">
        <f t="shared" si="7"/>
        <v>14061222.142445132</v>
      </c>
      <c r="BI33" s="513">
        <f t="shared" si="7"/>
        <v>14061222.142445132</v>
      </c>
      <c r="BJ33" s="513">
        <f t="shared" si="7"/>
        <v>14061222.142445132</v>
      </c>
      <c r="BK33" s="513">
        <f t="shared" si="7"/>
        <v>14061222.142445132</v>
      </c>
      <c r="BL33" s="513">
        <f t="shared" si="7"/>
        <v>14061222.142445132</v>
      </c>
      <c r="BM33" s="513">
        <f t="shared" si="7"/>
        <v>14061222.142445132</v>
      </c>
      <c r="BN33" s="513">
        <f t="shared" si="7"/>
        <v>14061222.142445132</v>
      </c>
      <c r="BO33" s="513">
        <f t="shared" si="7"/>
        <v>14061222.142445132</v>
      </c>
      <c r="BP33" s="513">
        <f t="shared" ref="BP33:CW33" si="8">$C$33</f>
        <v>14061222.142445132</v>
      </c>
      <c r="BQ33" s="513">
        <f t="shared" si="8"/>
        <v>14061222.142445132</v>
      </c>
      <c r="BR33" s="513">
        <f t="shared" si="8"/>
        <v>14061222.142445132</v>
      </c>
      <c r="BS33" s="513">
        <f t="shared" si="8"/>
        <v>14061222.142445132</v>
      </c>
      <c r="BT33" s="513">
        <f t="shared" si="8"/>
        <v>14061222.142445132</v>
      </c>
      <c r="BU33" s="513">
        <f t="shared" si="8"/>
        <v>14061222.142445132</v>
      </c>
      <c r="BV33" s="513">
        <f t="shared" si="8"/>
        <v>14061222.142445132</v>
      </c>
      <c r="BW33" s="513">
        <f t="shared" si="8"/>
        <v>14061222.142445132</v>
      </c>
      <c r="BX33" s="513">
        <f t="shared" si="8"/>
        <v>14061222.142445132</v>
      </c>
      <c r="BY33" s="513">
        <f t="shared" si="8"/>
        <v>14061222.142445132</v>
      </c>
      <c r="BZ33" s="513">
        <f t="shared" si="8"/>
        <v>14061222.142445132</v>
      </c>
      <c r="CA33" s="513">
        <f t="shared" si="8"/>
        <v>14061222.142445132</v>
      </c>
      <c r="CB33" s="513">
        <f t="shared" si="8"/>
        <v>14061222.142445132</v>
      </c>
      <c r="CC33" s="513">
        <f t="shared" si="8"/>
        <v>14061222.142445132</v>
      </c>
      <c r="CD33" s="513">
        <f t="shared" si="8"/>
        <v>14061222.142445132</v>
      </c>
      <c r="CE33" s="513">
        <f t="shared" si="8"/>
        <v>14061222.142445132</v>
      </c>
      <c r="CF33" s="513">
        <f t="shared" si="8"/>
        <v>14061222.142445132</v>
      </c>
      <c r="CG33" s="513">
        <f t="shared" si="8"/>
        <v>14061222.142445132</v>
      </c>
      <c r="CH33" s="513">
        <f t="shared" si="8"/>
        <v>14061222.142445132</v>
      </c>
      <c r="CI33" s="513">
        <f t="shared" si="8"/>
        <v>14061222.142445132</v>
      </c>
      <c r="CJ33" s="513">
        <f t="shared" si="8"/>
        <v>14061222.142445132</v>
      </c>
      <c r="CK33" s="513">
        <f t="shared" si="8"/>
        <v>14061222.142445132</v>
      </c>
      <c r="CL33" s="513">
        <f t="shared" si="8"/>
        <v>14061222.142445132</v>
      </c>
      <c r="CM33" s="513">
        <f t="shared" si="8"/>
        <v>14061222.142445132</v>
      </c>
      <c r="CN33" s="513">
        <f t="shared" si="8"/>
        <v>14061222.142445132</v>
      </c>
      <c r="CO33" s="513">
        <f t="shared" si="8"/>
        <v>14061222.142445132</v>
      </c>
      <c r="CP33" s="513">
        <f t="shared" si="8"/>
        <v>14061222.142445132</v>
      </c>
      <c r="CQ33" s="513">
        <f t="shared" si="8"/>
        <v>14061222.142445132</v>
      </c>
      <c r="CR33" s="513">
        <f t="shared" si="8"/>
        <v>14061222.142445132</v>
      </c>
      <c r="CS33" s="513">
        <f t="shared" si="8"/>
        <v>14061222.142445132</v>
      </c>
      <c r="CT33" s="513">
        <f t="shared" si="8"/>
        <v>14061222.142445132</v>
      </c>
      <c r="CU33" s="513">
        <f t="shared" si="8"/>
        <v>14061222.142445132</v>
      </c>
      <c r="CV33" s="513">
        <f t="shared" si="8"/>
        <v>14061222.142445132</v>
      </c>
      <c r="CW33" s="517">
        <f t="shared" si="8"/>
        <v>14061222.142445132</v>
      </c>
      <c r="CY33" s="491"/>
    </row>
    <row r="34" spans="1:103" x14ac:dyDescent="0.3">
      <c r="B34" s="825"/>
      <c r="CW34" s="26"/>
      <c r="CY34" s="491"/>
    </row>
    <row r="35" spans="1:103" x14ac:dyDescent="0.3">
      <c r="B35" s="825"/>
      <c r="CW35" s="26"/>
      <c r="CY35" s="491"/>
    </row>
    <row r="36" spans="1:103" x14ac:dyDescent="0.3">
      <c r="B36" s="825"/>
      <c r="C36" s="521" t="s">
        <v>474</v>
      </c>
      <c r="D36" s="522">
        <f>NPV(0.04,C33:AZ33)</f>
        <v>302065770.00000018</v>
      </c>
      <c r="CW36" s="26"/>
      <c r="CY36" s="491"/>
    </row>
    <row r="37" spans="1:103" x14ac:dyDescent="0.3">
      <c r="B37" s="825"/>
      <c r="C37" s="523" t="s">
        <v>478</v>
      </c>
      <c r="D37" s="524">
        <f>SUM('4| Development Program'!U107,'4| Development Program'!U114,'4| Development Program'!U121,'4| Development Program'!U128,'4| Development Program'!U135,'4| Development Program'!U142)</f>
        <v>302065770</v>
      </c>
      <c r="CW37" s="26"/>
      <c r="CY37" s="491"/>
    </row>
    <row r="38" spans="1:103" x14ac:dyDescent="0.3">
      <c r="B38" s="826"/>
      <c r="C38" s="525" t="s">
        <v>476</v>
      </c>
      <c r="D38" s="524">
        <f>D36-D37</f>
        <v>0</v>
      </c>
      <c r="E38" s="14"/>
      <c r="F38" s="14"/>
      <c r="G38" s="14"/>
      <c r="H38" s="14"/>
      <c r="I38" s="14"/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14"/>
      <c r="V38" s="14"/>
      <c r="W38" s="14"/>
      <c r="X38" s="14"/>
      <c r="Y38" s="14"/>
      <c r="Z38" s="14"/>
      <c r="AA38" s="14"/>
      <c r="AB38" s="14"/>
      <c r="AC38" s="14"/>
      <c r="AD38" s="14"/>
      <c r="AE38" s="14"/>
      <c r="AF38" s="14"/>
      <c r="AG38" s="14"/>
      <c r="AH38" s="14"/>
      <c r="AI38" s="14"/>
      <c r="AJ38" s="14"/>
      <c r="AK38" s="14"/>
      <c r="AL38" s="14"/>
      <c r="AM38" s="14"/>
      <c r="AN38" s="14"/>
      <c r="AO38" s="14"/>
      <c r="AP38" s="14"/>
      <c r="AQ38" s="14"/>
      <c r="AR38" s="14"/>
      <c r="AS38" s="14"/>
      <c r="AT38" s="14"/>
      <c r="AU38" s="14"/>
      <c r="AV38" s="14"/>
      <c r="AW38" s="14"/>
      <c r="AX38" s="14"/>
      <c r="AY38" s="14"/>
      <c r="AZ38" s="14"/>
      <c r="BA38" s="14"/>
      <c r="BB38" s="14"/>
      <c r="BC38" s="14"/>
      <c r="BD38" s="14"/>
      <c r="BE38" s="14"/>
      <c r="BF38" s="14"/>
      <c r="BG38" s="14"/>
      <c r="BH38" s="14"/>
      <c r="BI38" s="14"/>
      <c r="BJ38" s="14"/>
      <c r="BK38" s="14"/>
      <c r="BL38" s="14"/>
      <c r="BM38" s="14"/>
      <c r="BN38" s="14"/>
      <c r="BO38" s="14"/>
      <c r="BP38" s="14"/>
      <c r="BQ38" s="14"/>
      <c r="BR38" s="14"/>
      <c r="BS38" s="14"/>
      <c r="BT38" s="14"/>
      <c r="BU38" s="14"/>
      <c r="BV38" s="14"/>
      <c r="BW38" s="14"/>
      <c r="BX38" s="14"/>
      <c r="BY38" s="14"/>
      <c r="BZ38" s="14"/>
      <c r="CA38" s="14"/>
      <c r="CB38" s="14"/>
      <c r="CC38" s="14"/>
      <c r="CD38" s="14"/>
      <c r="CE38" s="14"/>
      <c r="CF38" s="14"/>
      <c r="CG38" s="14"/>
      <c r="CH38" s="14"/>
      <c r="CI38" s="14"/>
      <c r="CJ38" s="14"/>
      <c r="CK38" s="14"/>
      <c r="CL38" s="14"/>
      <c r="CM38" s="14"/>
      <c r="CN38" s="14"/>
      <c r="CO38" s="14"/>
      <c r="CP38" s="14"/>
      <c r="CQ38" s="14"/>
      <c r="CR38" s="14"/>
      <c r="CS38" s="14"/>
      <c r="CT38" s="14"/>
      <c r="CU38" s="14"/>
      <c r="CV38" s="14"/>
      <c r="CW38" s="15"/>
      <c r="CY38" s="491"/>
    </row>
    <row r="39" spans="1:103" x14ac:dyDescent="0.3">
      <c r="CY39" s="491"/>
    </row>
    <row r="40" spans="1:103" x14ac:dyDescent="0.3">
      <c r="CY40" s="491"/>
    </row>
    <row r="41" spans="1:103" ht="10.5" customHeight="1" x14ac:dyDescent="0.3">
      <c r="A41" s="491"/>
      <c r="B41" s="491"/>
      <c r="C41" s="491"/>
      <c r="D41" s="491"/>
      <c r="E41" s="491"/>
      <c r="F41" s="491"/>
      <c r="G41" s="491"/>
      <c r="H41" s="491"/>
      <c r="I41" s="491"/>
      <c r="J41" s="491"/>
      <c r="K41" s="491"/>
      <c r="L41" s="491"/>
      <c r="M41" s="491"/>
      <c r="N41" s="491"/>
      <c r="O41" s="491"/>
      <c r="P41" s="491"/>
      <c r="Q41" s="491"/>
      <c r="R41" s="491"/>
      <c r="S41" s="491"/>
      <c r="T41" s="491"/>
      <c r="U41" s="491"/>
      <c r="V41" s="491"/>
      <c r="W41" s="491"/>
      <c r="X41" s="491"/>
      <c r="Y41" s="491"/>
      <c r="Z41" s="491"/>
      <c r="AA41" s="491"/>
      <c r="AB41" s="491"/>
      <c r="AC41" s="491"/>
      <c r="AD41" s="491"/>
      <c r="AE41" s="491"/>
      <c r="AF41" s="491"/>
      <c r="AG41" s="491"/>
      <c r="AH41" s="491"/>
      <c r="AI41" s="491"/>
      <c r="AJ41" s="491"/>
      <c r="AK41" s="491"/>
      <c r="AL41" s="491"/>
      <c r="AM41" s="491"/>
      <c r="AN41" s="491"/>
      <c r="AO41" s="491"/>
      <c r="AP41" s="491"/>
      <c r="AQ41" s="491"/>
      <c r="AR41" s="491"/>
      <c r="AS41" s="491"/>
      <c r="AT41" s="491"/>
      <c r="AU41" s="491"/>
      <c r="AV41" s="491"/>
      <c r="AW41" s="491"/>
      <c r="AX41" s="491"/>
      <c r="AY41" s="491"/>
      <c r="AZ41" s="491"/>
      <c r="BA41" s="491"/>
      <c r="BB41" s="491"/>
      <c r="BC41" s="491"/>
      <c r="BD41" s="491"/>
      <c r="BE41" s="491"/>
      <c r="BF41" s="491"/>
      <c r="BG41" s="491"/>
      <c r="BH41" s="491"/>
      <c r="BI41" s="491"/>
      <c r="BJ41" s="491"/>
      <c r="BK41" s="491"/>
      <c r="BL41" s="491"/>
      <c r="BM41" s="491"/>
      <c r="BN41" s="491"/>
      <c r="BO41" s="491"/>
      <c r="BP41" s="491"/>
      <c r="BQ41" s="491"/>
      <c r="BR41" s="491"/>
      <c r="BS41" s="491"/>
      <c r="BT41" s="491"/>
      <c r="BU41" s="491"/>
      <c r="BV41" s="491"/>
      <c r="BW41" s="491"/>
      <c r="BX41" s="491"/>
      <c r="BY41" s="491"/>
      <c r="BZ41" s="491"/>
      <c r="CA41" s="491"/>
      <c r="CB41" s="491"/>
      <c r="CC41" s="491"/>
      <c r="CD41" s="491"/>
      <c r="CE41" s="491"/>
      <c r="CF41" s="491"/>
      <c r="CG41" s="491"/>
      <c r="CH41" s="491"/>
      <c r="CI41" s="491"/>
      <c r="CJ41" s="491"/>
      <c r="CK41" s="491"/>
      <c r="CL41" s="491"/>
      <c r="CM41" s="491"/>
      <c r="CN41" s="491"/>
      <c r="CO41" s="491"/>
      <c r="CP41" s="491"/>
      <c r="CQ41" s="491"/>
      <c r="CR41" s="491"/>
      <c r="CS41" s="491"/>
      <c r="CT41" s="491"/>
      <c r="CU41" s="491"/>
      <c r="CV41" s="491"/>
      <c r="CW41" s="491"/>
      <c r="CX41" s="491"/>
      <c r="CY41" s="491"/>
    </row>
  </sheetData>
  <mergeCells count="3">
    <mergeCell ref="B7:B15"/>
    <mergeCell ref="B18:B26"/>
    <mergeCell ref="B29:B38"/>
  </mergeCells>
  <phoneticPr fontId="40" type="noConversion"/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410406a6-f538-45dc-9e4b-76e93e292afa" xsi:nil="true"/>
    <lcf76f155ced4ddcb4097134ff3c332f xmlns="4ddf63aa-7013-4d42-be75-c34c6d481f35">
      <Terms xmlns="http://schemas.microsoft.com/office/infopath/2007/PartnerControls"/>
    </lcf76f155ced4ddcb4097134ff3c332f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5B51CF6051FA8746BE54D02C347ABC4E" ma:contentTypeVersion="12" ma:contentTypeDescription="Create a new document." ma:contentTypeScope="" ma:versionID="71418fb933efc820fab67cbe2b4a88a6">
  <xsd:schema xmlns:xsd="http://www.w3.org/2001/XMLSchema" xmlns:xs="http://www.w3.org/2001/XMLSchema" xmlns:p="http://schemas.microsoft.com/office/2006/metadata/properties" xmlns:ns2="4ddf63aa-7013-4d42-be75-c34c6d481f35" xmlns:ns3="410406a6-f538-45dc-9e4b-76e93e292afa" targetNamespace="http://schemas.microsoft.com/office/2006/metadata/properties" ma:root="true" ma:fieldsID="9b5d7d8602a77f10fb72b0008210ef59" ns2:_="" ns3:_="">
    <xsd:import namespace="4ddf63aa-7013-4d42-be75-c34c6d481f35"/>
    <xsd:import namespace="410406a6-f538-45dc-9e4b-76e93e292afa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bjectDetectorVersions" minOccurs="0"/>
                <xsd:element ref="ns2:MediaServiceDateTaken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ddf63aa-7013-4d42-be75-c34c6d481f3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DateTaken" ma:index="1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4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6" nillable="true" ma:taxonomy="true" ma:internalName="lcf76f155ced4ddcb4097134ff3c332f" ma:taxonomyFieldName="MediaServiceImageTags" ma:displayName="Image Tags" ma:readOnly="false" ma:fieldId="{5cf76f15-5ced-4ddc-b409-7134ff3c332f}" ma:taxonomyMulti="true" ma:sspId="ec2506c3-735d-4e70-aa79-204d06275b9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8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SearchProperties" ma:index="19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10406a6-f538-45dc-9e4b-76e93e292afa" elementFormDefault="qualified">
    <xsd:import namespace="http://schemas.microsoft.com/office/2006/documentManagement/types"/>
    <xsd:import namespace="http://schemas.microsoft.com/office/infopath/2007/PartnerControls"/>
    <xsd:element name="TaxCatchAll" ma:index="17" nillable="true" ma:displayName="Taxonomy Catch All Column" ma:hidden="true" ma:list="{d1e953ae-d9b2-4c24-a1e5-07d80acff1ca}" ma:internalName="TaxCatchAll" ma:showField="CatchAllData" ma:web="410406a6-f538-45dc-9e4b-76e93e292afa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DB253FB2-91CA-4C17-A568-D6977F4C9510}">
  <ds:schemaRefs>
    <ds:schemaRef ds:uri="http://schemas.microsoft.com/office/2006/metadata/properties"/>
    <ds:schemaRef ds:uri="http://schemas.microsoft.com/office/infopath/2007/PartnerControls"/>
    <ds:schemaRef ds:uri="410406a6-f538-45dc-9e4b-76e93e292afa"/>
    <ds:schemaRef ds:uri="4ddf63aa-7013-4d42-be75-c34c6d481f35"/>
  </ds:schemaRefs>
</ds:datastoreItem>
</file>

<file path=customXml/itemProps2.xml><?xml version="1.0" encoding="utf-8"?>
<ds:datastoreItem xmlns:ds="http://schemas.openxmlformats.org/officeDocument/2006/customXml" ds:itemID="{F19FC3E9-91C0-4804-8BEA-1CEE64F71C4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ddf63aa-7013-4d42-be75-c34c6d481f35"/>
    <ds:schemaRef ds:uri="410406a6-f538-45dc-9e4b-76e93e292afa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F75DA239-AA24-4236-86C5-0F9B5A12C5C9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16</vt:i4>
      </vt:variant>
      <vt:variant>
        <vt:lpstr>Named Ranges</vt:lpstr>
      </vt:variant>
      <vt:variant>
        <vt:i4>4</vt:i4>
      </vt:variant>
    </vt:vector>
  </HeadingPairs>
  <TitlesOfParts>
    <vt:vector size="20" baseType="lpstr">
      <vt:lpstr>1| Market Research</vt:lpstr>
      <vt:lpstr>2| Assumptions</vt:lpstr>
      <vt:lpstr>A Financial</vt:lpstr>
      <vt:lpstr>3| Building Mix</vt:lpstr>
      <vt:lpstr>4| Development Program</vt:lpstr>
      <vt:lpstr>4a| Phasing Timeline</vt:lpstr>
      <vt:lpstr>4b| Development Summary Stats</vt:lpstr>
      <vt:lpstr>5| Demolitions &amp; Land</vt:lpstr>
      <vt:lpstr>5b| Land Lease Calculations</vt:lpstr>
      <vt:lpstr>6a| Phase 1 Financial</vt:lpstr>
      <vt:lpstr>6b| Phase 1 Draw</vt:lpstr>
      <vt:lpstr>7a| Phase 2 Financial</vt:lpstr>
      <vt:lpstr>7b| Phase 2 Draw</vt:lpstr>
      <vt:lpstr>8a| Phase 3 Financial</vt:lpstr>
      <vt:lpstr>8b| Phase 3 Draw</vt:lpstr>
      <vt:lpstr>9| All Phases Draw</vt:lpstr>
      <vt:lpstr>'6a| Phase 1 Financial'!Print_Area</vt:lpstr>
      <vt:lpstr>'7a| Phase 2 Financial'!Print_Area</vt:lpstr>
      <vt:lpstr>'8a| Phase 3 Financial'!Print_Area</vt:lpstr>
      <vt:lpstr>'A Financial'!Print_Area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Arthur Miranda</dc:creator>
  <cp:keywords/>
  <dc:description/>
  <cp:lastModifiedBy>Noah Stogner</cp:lastModifiedBy>
  <cp:revision/>
  <dcterms:created xsi:type="dcterms:W3CDTF">2024-01-12T19:25:07Z</dcterms:created>
  <dcterms:modified xsi:type="dcterms:W3CDTF">2024-01-23T05:51:12Z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0x0101005B51CF6051FA8746BE54D02C347ABC4E</vt:lpwstr>
  </property>
  <property fmtid="{D5CDD505-2E9C-101B-9397-08002B2CF9AE}" pid="3" name="MediaServiceImageTags">
    <vt:lpwstr/>
  </property>
</Properties>
</file>