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4.xml" ContentType="application/vnd.openxmlformats-officedocument.drawing+xml"/>
  <Override PartName="/xl/comments6.xml" ContentType="application/vnd.openxmlformats-officedocument.spreadsheetml.comments+xml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leahc\OneDrive\Desktop\"/>
    </mc:Choice>
  </mc:AlternateContent>
  <xr:revisionPtr revIDLastSave="0" documentId="8_{DE6AF1C7-C6C6-433B-8DD0-AEA28CCB4A7A}" xr6:coauthVersionLast="47" xr6:coauthVersionMax="47" xr10:uidLastSave="{00000000-0000-0000-0000-000000000000}"/>
  <bookViews>
    <workbookView xWindow="-98" yWindow="-98" windowWidth="19396" windowHeight="11475" tabRatio="1000" xr2:uid="{00000000-000D-0000-FFFF-FFFF00000000}"/>
  </bookViews>
  <sheets>
    <sheet name="Assumptions" sheetId="142" r:id="rId1"/>
    <sheet name="Development Program" sheetId="140" r:id="rId2"/>
    <sheet name="Market Research" sheetId="141" r:id="rId3"/>
    <sheet name="Phase 1a Financial" sheetId="149" r:id="rId4"/>
    <sheet name="Phase 1b Financial" sheetId="152" r:id="rId5"/>
    <sheet name="Phase 1a Financial DRAW" sheetId="105" r:id="rId6"/>
    <sheet name="Phase 1b DRAW" sheetId="162" r:id="rId7"/>
    <sheet name="Phase 2a Financial" sheetId="150" r:id="rId8"/>
    <sheet name="Phase 2b Financial" sheetId="169" r:id="rId9"/>
    <sheet name="Phase 2a Draw" sheetId="154" r:id="rId10"/>
    <sheet name="Phase 2b Draw" sheetId="155" r:id="rId11"/>
    <sheet name="Phase 3 Financial" sheetId="153" r:id="rId12"/>
    <sheet name="Phase 3 Draw" sheetId="156" r:id="rId13"/>
    <sheet name="All Components Draw" sheetId="159" r:id="rId14"/>
    <sheet name="Types of Development" sheetId="163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__a1" hidden="1">{"Assump",#N/A,TRUE,"Proforma";"first",#N/A,TRUE,"Proforma";"second",#N/A,TRUE,"Proforma";"lease1",#N/A,TRUE,"Proforma";"lease2",#N/A,TRUE,"Proforma"}</definedName>
    <definedName name="__a1" hidden="1">{"Assump",#N/A,TRUE,"Proforma";"first",#N/A,TRUE,"Proforma";"second",#N/A,TRUE,"Proforma";"lease1",#N/A,TRUE,"Proforma";"lease2",#N/A,TRUE,"Proforma"}</definedName>
    <definedName name="_Fill" localSheetId="1" hidden="1">[1]A!#REF!</definedName>
    <definedName name="_Fill" localSheetId="3" hidden="1">[1]A!#REF!</definedName>
    <definedName name="_Fill" localSheetId="4" hidden="1">[1]A!#REF!</definedName>
    <definedName name="_Fill" localSheetId="7" hidden="1">[1]A!#REF!</definedName>
    <definedName name="_Fill" localSheetId="8" hidden="1">[1]A!#REF!</definedName>
    <definedName name="_Fill" localSheetId="11" hidden="1">[1]A!#REF!</definedName>
    <definedName name="_Fill" hidden="1">[1]A!#REF!</definedName>
    <definedName name="_Key1" localSheetId="1" hidden="1">'[2]H-INPUT'!#REF!</definedName>
    <definedName name="_Key1" localSheetId="3" hidden="1">'[2]H-INPUT'!#REF!</definedName>
    <definedName name="_Key1" localSheetId="4" hidden="1">'[2]H-INPUT'!#REF!</definedName>
    <definedName name="_Key1" localSheetId="7" hidden="1">'[2]H-INPUT'!#REF!</definedName>
    <definedName name="_Key1" localSheetId="8" hidden="1">'[2]H-INPUT'!#REF!</definedName>
    <definedName name="_Key1" localSheetId="11" hidden="1">'[2]H-INPUT'!#REF!</definedName>
    <definedName name="_Key1" hidden="1">'[2]H-INPUT'!#REF!</definedName>
    <definedName name="_Key2" localSheetId="1" hidden="1">#REF!</definedName>
    <definedName name="_Key2" localSheetId="3" hidden="1">#REF!</definedName>
    <definedName name="_Key2" localSheetId="4" hidden="1">#REF!</definedName>
    <definedName name="_Key2" localSheetId="7" hidden="1">#REF!</definedName>
    <definedName name="_Key2" localSheetId="8" hidden="1">#REF!</definedName>
    <definedName name="_Key2" localSheetId="11" hidden="1">#REF!</definedName>
    <definedName name="_Key2" hidden="1">#REF!</definedName>
    <definedName name="_Order1" hidden="1">255</definedName>
    <definedName name="_Order2" hidden="1">255</definedName>
    <definedName name="_Sort" localSheetId="1" hidden="1">#REF!</definedName>
    <definedName name="_Sort" localSheetId="3" hidden="1">#REF!</definedName>
    <definedName name="_Sort" localSheetId="4" hidden="1">#REF!</definedName>
    <definedName name="_Sort" localSheetId="7" hidden="1">#REF!</definedName>
    <definedName name="_Sort" localSheetId="8" hidden="1">#REF!</definedName>
    <definedName name="_Sort" localSheetId="11" hidden="1">#REF!</definedName>
    <definedName name="_Sort" hidden="1">#REF!</definedName>
    <definedName name="_Table1_In1" localSheetId="1" hidden="1">#REF!</definedName>
    <definedName name="_Table1_In1" localSheetId="3" hidden="1">#REF!</definedName>
    <definedName name="_Table1_In1" localSheetId="4" hidden="1">#REF!</definedName>
    <definedName name="_Table1_In1" localSheetId="7" hidden="1">#REF!</definedName>
    <definedName name="_Table1_In1" localSheetId="8" hidden="1">#REF!</definedName>
    <definedName name="_Table1_In1" localSheetId="11" hidden="1">#REF!</definedName>
    <definedName name="_Table1_In1" hidden="1">#REF!</definedName>
    <definedName name="_Table1_Out" localSheetId="1" hidden="1">#REF!</definedName>
    <definedName name="_Table1_Out" localSheetId="3" hidden="1">#REF!</definedName>
    <definedName name="_Table1_Out" localSheetId="4" hidden="1">#REF!</definedName>
    <definedName name="_Table1_Out" localSheetId="7" hidden="1">#REF!</definedName>
    <definedName name="_Table1_Out" localSheetId="8" hidden="1">#REF!</definedName>
    <definedName name="_Table1_Out" localSheetId="11" hidden="1">#REF!</definedName>
    <definedName name="_Table1_Out" hidden="1">#REF!</definedName>
    <definedName name="_Table2_Out" localSheetId="1" hidden="1">[3]General!#REF!</definedName>
    <definedName name="_Table2_Out" localSheetId="3" hidden="1">[3]General!#REF!</definedName>
    <definedName name="_Table2_Out" localSheetId="4" hidden="1">[3]General!#REF!</definedName>
    <definedName name="_Table2_Out" localSheetId="7" hidden="1">[3]General!#REF!</definedName>
    <definedName name="_Table2_Out" localSheetId="8" hidden="1">[3]General!#REF!</definedName>
    <definedName name="_Table2_Out" localSheetId="11" hidden="1">[3]General!#REF!</definedName>
    <definedName name="_Table2_Out" hidden="1">[3]General!#REF!</definedName>
    <definedName name="_x1" hidden="1">{#N/A,#N/A,FALSE,"WATCHDSC";#N/A,#N/A,FALSE,"2LOSSMOD";#N/A,#N/A,FALSE,"2LOSS";#N/A,#N/A,FALSE,"DSC";#N/A,#N/A,FALSE,"OPERAT";#N/A,#N/A,FALSE,"ADJUST";#N/A,#N/A,FALSE,"LEASE EXPIRE"}</definedName>
    <definedName name="_x2" hidden="1">{#N/A,#N/A,FALSE,"WATCHDSC";#N/A,#N/A,FALSE,"2LOSSMOD";#N/A,#N/A,FALSE,"2LOSS";#N/A,#N/A,FALSE,"DSC";#N/A,#N/A,FALSE,"OPERAT";#N/A,#N/A,FALSE,"ADJUST";#N/A,#N/A,FALSE,"LEASE EXPIRE"}</definedName>
    <definedName name="_x3" hidden="1">{#N/A,#N/A,FALSE,"WATCHDSC";#N/A,#N/A,FALSE,"2LOSSMOD";#N/A,#N/A,FALSE,"2LOSS";#N/A,#N/A,FALSE,"DSC";#N/A,#N/A,FALSE,"OPERAT";#N/A,#N/A,FALSE,"ADJUST";#N/A,#N/A,FALSE,"LEASE EXPIRE"}</definedName>
    <definedName name="a" hidden="1">{"Assump",#N/A,TRUE,"Proforma";"first",#N/A,TRUE,"Proforma";"second",#N/A,TRUE,"Proforma";"lease1",#N/A,TRUE,"Proforma";"lease2",#N/A,TRUE,"Proforma"}</definedName>
    <definedName name="aa" hidden="1">{#N/A,#N/A,FALSE,"Exec Sum";#N/A,#N/A,FALSE,"Rent Rate Comp";#N/A,#N/A,FALSE,"Rate, NPV Comp";#N/A,#N/A,FALSE,"Opt A NNN";#N/A,#N/A,FALSE,"15-yr Opt. A Sum";#N/A,#N/A,FALSE,"15-yr Opt A Other Costs";#N/A,#N/A,FALSE,"10-yr Opt. A Sum";#N/A,#N/A,FALSE,"10-yr Opt A Other Costs";#N/A,#N/A,FALSE,"NPV Calc"}</definedName>
    <definedName name="AADSFD" localSheetId="1">[4]Frontsheet!#REF!</definedName>
    <definedName name="AADSFD" localSheetId="3">[4]Frontsheet!#REF!</definedName>
    <definedName name="AADSFD" localSheetId="4">[4]Frontsheet!#REF!</definedName>
    <definedName name="AADSFD" localSheetId="7">[4]Frontsheet!#REF!</definedName>
    <definedName name="AADSFD" localSheetId="8">[4]Frontsheet!#REF!</definedName>
    <definedName name="AADSFD" localSheetId="11">[4]Frontsheet!#REF!</definedName>
    <definedName name="AADSFD">[4]Frontsheet!#REF!</definedName>
    <definedName name="ac" localSheetId="1">[4]Frontsheet!#REF!</definedName>
    <definedName name="ac" localSheetId="3">[4]Frontsheet!#REF!</definedName>
    <definedName name="ac" localSheetId="4">[4]Frontsheet!#REF!</definedName>
    <definedName name="ac" localSheetId="7">[4]Frontsheet!#REF!</definedName>
    <definedName name="ac" localSheetId="8">[4]Frontsheet!#REF!</definedName>
    <definedName name="ac" localSheetId="11">[4]Frontsheet!#REF!</definedName>
    <definedName name="ac">[4]Frontsheet!#REF!</definedName>
    <definedName name="alt" localSheetId="1">[4]Frontsheet!#REF!</definedName>
    <definedName name="alt" localSheetId="3">[4]Frontsheet!#REF!</definedName>
    <definedName name="alt" localSheetId="4">[4]Frontsheet!#REF!</definedName>
    <definedName name="alt" localSheetId="7">[4]Frontsheet!#REF!</definedName>
    <definedName name="alt" localSheetId="8">[4]Frontsheet!#REF!</definedName>
    <definedName name="alt" localSheetId="11">[4]Frontsheet!#REF!</definedName>
    <definedName name="alt">[4]Frontsheet!#REF!</definedName>
    <definedName name="anscount" hidden="1">1</definedName>
    <definedName name="ASA" localSheetId="1">[4]Frontsheet!#REF!</definedName>
    <definedName name="ASA" localSheetId="3">[4]Frontsheet!#REF!</definedName>
    <definedName name="ASA" localSheetId="4">[4]Frontsheet!#REF!</definedName>
    <definedName name="ASA" localSheetId="7">[4]Frontsheet!#REF!</definedName>
    <definedName name="ASA" localSheetId="8">[4]Frontsheet!#REF!</definedName>
    <definedName name="ASA" localSheetId="11">[4]Frontsheet!#REF!</definedName>
    <definedName name="ASA">[4]Frontsheet!#REF!</definedName>
    <definedName name="aw" localSheetId="1">[4]Frontsheet!#REF!</definedName>
    <definedName name="aw" localSheetId="3">[4]Frontsheet!#REF!</definedName>
    <definedName name="aw" localSheetId="4">[4]Frontsheet!#REF!</definedName>
    <definedName name="aw" localSheetId="7">[4]Frontsheet!#REF!</definedName>
    <definedName name="aw" localSheetId="8">[4]Frontsheet!#REF!</definedName>
    <definedName name="aw" localSheetId="11">[4]Frontsheet!#REF!</definedName>
    <definedName name="aw">[4]Frontsheet!#REF!</definedName>
    <definedName name="b" hidden="1">{"Assump",#N/A,TRUE,"Proforma";"first",#N/A,TRUE,"Proforma";"second",#N/A,TRUE,"Proforma";"lease1",#N/A,TRUE,"Proforma";"lease2",#N/A,TRUE,"Proforma"}</definedName>
    <definedName name="Body">'[5]Equity Investor Sheet 2538'!$A$7:$J$18</definedName>
    <definedName name="costcode">'[6]Pursuit_Expenses by cost code'!$A$5:$F$155</definedName>
    <definedName name="cs" localSheetId="1">[4]Frontsheet!#REF!</definedName>
    <definedName name="cs" localSheetId="3">[4]Frontsheet!#REF!</definedName>
    <definedName name="cs" localSheetId="4">[4]Frontsheet!#REF!</definedName>
    <definedName name="cs" localSheetId="7">[4]Frontsheet!#REF!</definedName>
    <definedName name="cs" localSheetId="8">[4]Frontsheet!#REF!</definedName>
    <definedName name="cs" localSheetId="11">[4]Frontsheet!#REF!</definedName>
    <definedName name="cs">[4]Frontsheet!#REF!</definedName>
    <definedName name="ct" localSheetId="1">[4]Frontsheet!#REF!</definedName>
    <definedName name="ct" localSheetId="3">[4]Frontsheet!#REF!</definedName>
    <definedName name="ct" localSheetId="4">[4]Frontsheet!#REF!</definedName>
    <definedName name="ct" localSheetId="7">[4]Frontsheet!#REF!</definedName>
    <definedName name="ct" localSheetId="8">[4]Frontsheet!#REF!</definedName>
    <definedName name="ct" localSheetId="11">[4]Frontsheet!#REF!</definedName>
    <definedName name="ct">[4]Frontsheet!#REF!</definedName>
    <definedName name="ddgfeerew" localSheetId="1">[4]Frontsheet!#REF!</definedName>
    <definedName name="ddgfeerew" localSheetId="3">[4]Frontsheet!#REF!</definedName>
    <definedName name="ddgfeerew" localSheetId="4">[4]Frontsheet!#REF!</definedName>
    <definedName name="ddgfeerew" localSheetId="7">[4]Frontsheet!#REF!</definedName>
    <definedName name="ddgfeerew" localSheetId="8">[4]Frontsheet!#REF!</definedName>
    <definedName name="ddgfeerew" localSheetId="11">[4]Frontsheet!#REF!</definedName>
    <definedName name="ddgfeerew">[4]Frontsheet!#REF!</definedName>
    <definedName name="dflt1">'[7]Customize Your Invoice'!$E$22</definedName>
    <definedName name="dflt5">'[7]Customize Your Invoice'!$E$27</definedName>
    <definedName name="dflt6">'[7]Customize Your Invoice'!$D$28</definedName>
    <definedName name="dfsdf" localSheetId="1">[4]Frontsheet!#REF!</definedName>
    <definedName name="dfsdf" localSheetId="3">[4]Frontsheet!#REF!</definedName>
    <definedName name="dfsdf" localSheetId="4">[4]Frontsheet!#REF!</definedName>
    <definedName name="dfsdf" localSheetId="7">[4]Frontsheet!#REF!</definedName>
    <definedName name="dfsdf" localSheetId="8">[4]Frontsheet!#REF!</definedName>
    <definedName name="dfsdf" localSheetId="11">[4]Frontsheet!#REF!</definedName>
    <definedName name="dfsdf">[4]Frontsheet!#REF!</definedName>
    <definedName name="dw" localSheetId="1">[4]Frontsheet!#REF!</definedName>
    <definedName name="dw" localSheetId="3">[4]Frontsheet!#REF!</definedName>
    <definedName name="dw" localSheetId="4">[4]Frontsheet!#REF!</definedName>
    <definedName name="dw" localSheetId="7">[4]Frontsheet!#REF!</definedName>
    <definedName name="dw" localSheetId="8">[4]Frontsheet!#REF!</definedName>
    <definedName name="dw" localSheetId="11">[4]Frontsheet!#REF!</definedName>
    <definedName name="dw">[4]Frontsheet!#REF!</definedName>
    <definedName name="ee" hidden="1">{"Assump",#N/A,TRUE,"Proforma";"first",#N/A,TRUE,"Proforma";"second",#N/A,TRUE,"Proforma";"lease1",#N/A,TRUE,"Proforma";"lease2",#N/A,TRUE,"Proforma"}</definedName>
    <definedName name="el" localSheetId="1">[4]Frontsheet!#REF!</definedName>
    <definedName name="el" localSheetId="3">[4]Frontsheet!#REF!</definedName>
    <definedName name="el" localSheetId="4">[4]Frontsheet!#REF!</definedName>
    <definedName name="el" localSheetId="7">[4]Frontsheet!#REF!</definedName>
    <definedName name="el" localSheetId="8">[4]Frontsheet!#REF!</definedName>
    <definedName name="el" localSheetId="11">[4]Frontsheet!#REF!</definedName>
    <definedName name="el">[4]Frontsheet!#REF!</definedName>
    <definedName name="ellen" hidden="1">{#N/A,#N/A,FALSE,"WATCHDSC";#N/A,#N/A,FALSE,"2LOSSMOD";#N/A,#N/A,FALSE,"2LOSS";#N/A,#N/A,FALSE,"DSC";#N/A,#N/A,FALSE,"OPERAT";#N/A,#N/A,FALSE,"ADJUST";#N/A,#N/A,FALSE,"LEASE EXPIRE"}</definedName>
    <definedName name="erasdf" hidden="1">{"Assump",#N/A,TRUE,"Proforma";"first",#N/A,TRUE,"Proforma";"second",#N/A,TRUE,"Proforma";"lease1",#N/A,TRUE,"Proforma";"lease2",#N/A,TRUE,"Proforma"}</definedName>
    <definedName name="EW" localSheetId="1">[4]Frontsheet!#REF!</definedName>
    <definedName name="EW" localSheetId="3">[4]Frontsheet!#REF!</definedName>
    <definedName name="EW" localSheetId="4">[4]Frontsheet!#REF!</definedName>
    <definedName name="EW" localSheetId="7">[4]Frontsheet!#REF!</definedName>
    <definedName name="EW" localSheetId="8">[4]Frontsheet!#REF!</definedName>
    <definedName name="EW" localSheetId="11">[4]Frontsheet!#REF!</definedName>
    <definedName name="EW">[4]Frontsheet!#REF!</definedName>
    <definedName name="f" localSheetId="1">[4]Frontsheet!#REF!</definedName>
    <definedName name="f" localSheetId="3">[4]Frontsheet!#REF!</definedName>
    <definedName name="f" localSheetId="4">[4]Frontsheet!#REF!</definedName>
    <definedName name="f" localSheetId="7">[4]Frontsheet!#REF!</definedName>
    <definedName name="f" localSheetId="8">[4]Frontsheet!#REF!</definedName>
    <definedName name="f" localSheetId="11">[4]Frontsheet!#REF!</definedName>
    <definedName name="f">[4]Frontsheet!#REF!</definedName>
    <definedName name="fe" localSheetId="1">[4]Frontsheet!#REF!</definedName>
    <definedName name="fe" localSheetId="3">[4]Frontsheet!#REF!</definedName>
    <definedName name="fe" localSheetId="4">[4]Frontsheet!#REF!</definedName>
    <definedName name="fe" localSheetId="7">[4]Frontsheet!#REF!</definedName>
    <definedName name="fe" localSheetId="8">[4]Frontsheet!#REF!</definedName>
    <definedName name="fe" localSheetId="11">[4]Frontsheet!#REF!</definedName>
    <definedName name="fe">[4]Frontsheet!#REF!</definedName>
    <definedName name="FFFFF" localSheetId="1">[4]Frontsheet!#REF!</definedName>
    <definedName name="FFFFF" localSheetId="3">[4]Frontsheet!#REF!</definedName>
    <definedName name="FFFFF" localSheetId="4">[4]Frontsheet!#REF!</definedName>
    <definedName name="FFFFF" localSheetId="7">[4]Frontsheet!#REF!</definedName>
    <definedName name="FFFFF" localSheetId="8">[4]Frontsheet!#REF!</definedName>
    <definedName name="FFFFF" localSheetId="11">[4]Frontsheet!#REF!</definedName>
    <definedName name="FFFFF">[4]Frontsheet!#REF!</definedName>
    <definedName name="FJHJ" localSheetId="1">[4]Frontsheet!#REF!</definedName>
    <definedName name="FJHJ" localSheetId="3">[4]Frontsheet!#REF!</definedName>
    <definedName name="FJHJ" localSheetId="4">[4]Frontsheet!#REF!</definedName>
    <definedName name="FJHJ" localSheetId="7">[4]Frontsheet!#REF!</definedName>
    <definedName name="FJHJ" localSheetId="8">[4]Frontsheet!#REF!</definedName>
    <definedName name="FJHJ" localSheetId="11">[4]Frontsheet!#REF!</definedName>
    <definedName name="FJHJ">[4]Frontsheet!#REF!</definedName>
    <definedName name="fo" localSheetId="1">#REF!</definedName>
    <definedName name="fo" localSheetId="3">#REF!</definedName>
    <definedName name="fo" localSheetId="4">#REF!</definedName>
    <definedName name="fo" localSheetId="7">#REF!</definedName>
    <definedName name="fo" localSheetId="8">#REF!</definedName>
    <definedName name="fo" localSheetId="11">#REF!</definedName>
    <definedName name="fo">#REF!</definedName>
    <definedName name="FORM" localSheetId="1">#REF!</definedName>
    <definedName name="FORM" localSheetId="3">#REF!</definedName>
    <definedName name="FORM" localSheetId="4">#REF!</definedName>
    <definedName name="FORM" localSheetId="7">#REF!</definedName>
    <definedName name="FORM" localSheetId="8">#REF!</definedName>
    <definedName name="FORM" localSheetId="11">#REF!</definedName>
    <definedName name="FORM">#REF!</definedName>
    <definedName name="FURYUR" localSheetId="1">[4]Frontsheet!#REF!</definedName>
    <definedName name="FURYUR" localSheetId="3">[4]Frontsheet!#REF!</definedName>
    <definedName name="FURYUR" localSheetId="4">[4]Frontsheet!#REF!</definedName>
    <definedName name="FURYUR" localSheetId="7">[4]Frontsheet!#REF!</definedName>
    <definedName name="FURYUR" localSheetId="8">[4]Frontsheet!#REF!</definedName>
    <definedName name="FURYUR" localSheetId="11">[4]Frontsheet!#REF!</definedName>
    <definedName name="FURYUR">[4]Frontsheet!#REF!</definedName>
    <definedName name="gl" localSheetId="1">[4]Frontsheet!#REF!</definedName>
    <definedName name="gl" localSheetId="3">[4]Frontsheet!#REF!</definedName>
    <definedName name="gl" localSheetId="4">[4]Frontsheet!#REF!</definedName>
    <definedName name="gl" localSheetId="7">[4]Frontsheet!#REF!</definedName>
    <definedName name="gl" localSheetId="8">[4]Frontsheet!#REF!</definedName>
    <definedName name="gl" localSheetId="11">[4]Frontsheet!#REF!</definedName>
    <definedName name="gl">[4]Frontsheet!#REF!</definedName>
    <definedName name="h" localSheetId="1">[4]Frontsheet!#REF!</definedName>
    <definedName name="h" localSheetId="3">[4]Frontsheet!#REF!</definedName>
    <definedName name="h" localSheetId="4">[4]Frontsheet!#REF!</definedName>
    <definedName name="h" localSheetId="7">[4]Frontsheet!#REF!</definedName>
    <definedName name="h" localSheetId="8">[4]Frontsheet!#REF!</definedName>
    <definedName name="h" localSheetId="11">[4]Frontsheet!#REF!</definedName>
    <definedName name="h">[4]Frontsheet!#REF!</definedName>
    <definedName name="hjkhjlkgg" localSheetId="1">[4]Frontsheet!#REF!</definedName>
    <definedName name="hjkhjlkgg" localSheetId="3">[4]Frontsheet!#REF!</definedName>
    <definedName name="hjkhjlkgg" localSheetId="4">[4]Frontsheet!#REF!</definedName>
    <definedName name="hjkhjlkgg" localSheetId="7">[4]Frontsheet!#REF!</definedName>
    <definedName name="hjkhjlkgg" localSheetId="8">[4]Frontsheet!#REF!</definedName>
    <definedName name="hjkhjlkgg" localSheetId="11">[4]Frontsheet!#REF!</definedName>
    <definedName name="hjkhjlkgg">[4]Frontsheet!#REF!</definedName>
    <definedName name="jkjkl" localSheetId="1">[4]Frontsheet!#REF!</definedName>
    <definedName name="jkjkl" localSheetId="3">[4]Frontsheet!#REF!</definedName>
    <definedName name="jkjkl" localSheetId="4">[4]Frontsheet!#REF!</definedName>
    <definedName name="jkjkl" localSheetId="7">[4]Frontsheet!#REF!</definedName>
    <definedName name="jkjkl" localSheetId="8">[4]Frontsheet!#REF!</definedName>
    <definedName name="jkjkl" localSheetId="11">[4]Frontsheet!#REF!</definedName>
    <definedName name="jkjkl">[4]Frontsheet!#REF!</definedName>
    <definedName name="kb" localSheetId="1">[4]Frontsheet!#REF!</definedName>
    <definedName name="kb" localSheetId="3">[4]Frontsheet!#REF!</definedName>
    <definedName name="kb" localSheetId="4">[4]Frontsheet!#REF!</definedName>
    <definedName name="kb" localSheetId="7">[4]Frontsheet!#REF!</definedName>
    <definedName name="kb" localSheetId="8">[4]Frontsheet!#REF!</definedName>
    <definedName name="kb" localSheetId="11">[4]Frontsheet!#REF!</definedName>
    <definedName name="kb">[4]Frontsheet!#REF!</definedName>
    <definedName name="ke" localSheetId="1">[4]Frontsheet!#REF!</definedName>
    <definedName name="ke" localSheetId="3">[4]Frontsheet!#REF!</definedName>
    <definedName name="ke" localSheetId="4">[4]Frontsheet!#REF!</definedName>
    <definedName name="ke" localSheetId="7">[4]Frontsheet!#REF!</definedName>
    <definedName name="ke" localSheetId="8">[4]Frontsheet!#REF!</definedName>
    <definedName name="ke" localSheetId="11">[4]Frontsheet!#REF!</definedName>
    <definedName name="ke">[4]Frontsheet!#REF!</definedName>
    <definedName name="lk" localSheetId="1">[4]Frontsheet!#REF!</definedName>
    <definedName name="lk" localSheetId="3">[4]Frontsheet!#REF!</definedName>
    <definedName name="lk" localSheetId="4">[4]Frontsheet!#REF!</definedName>
    <definedName name="lk" localSheetId="7">[4]Frontsheet!#REF!</definedName>
    <definedName name="lk" localSheetId="8">[4]Frontsheet!#REF!</definedName>
    <definedName name="lk" localSheetId="11">[4]Frontsheet!#REF!</definedName>
    <definedName name="lk">[4]Frontsheet!#REF!</definedName>
    <definedName name="memo_description">[6]Lists!$D$4:$D$10</definedName>
    <definedName name="ml" localSheetId="1">[4]Frontsheet!#REF!</definedName>
    <definedName name="ml" localSheetId="3">[4]Frontsheet!#REF!</definedName>
    <definedName name="ml" localSheetId="4">[4]Frontsheet!#REF!</definedName>
    <definedName name="ml" localSheetId="7">[4]Frontsheet!#REF!</definedName>
    <definedName name="ml" localSheetId="8">[4]Frontsheet!#REF!</definedName>
    <definedName name="ml" localSheetId="11">[4]Frontsheet!#REF!</definedName>
    <definedName name="ml">[4]Frontsheet!#REF!</definedName>
    <definedName name="mw" localSheetId="1">[4]Frontsheet!#REF!</definedName>
    <definedName name="mw" localSheetId="3">[4]Frontsheet!#REF!</definedName>
    <definedName name="mw" localSheetId="4">[4]Frontsheet!#REF!</definedName>
    <definedName name="mw" localSheetId="7">[4]Frontsheet!#REF!</definedName>
    <definedName name="mw" localSheetId="8">[4]Frontsheet!#REF!</definedName>
    <definedName name="mw" localSheetId="11">[4]Frontsheet!#REF!</definedName>
    <definedName name="mw">[4]Frontsheet!#REF!</definedName>
    <definedName name="NEWDRAW" localSheetId="1">#REF!</definedName>
    <definedName name="NEWDRAW" localSheetId="3">#REF!</definedName>
    <definedName name="NEWDRAW" localSheetId="4">#REF!</definedName>
    <definedName name="NEWDRAW" localSheetId="7">#REF!</definedName>
    <definedName name="NEWDRAW" localSheetId="8">#REF!</definedName>
    <definedName name="NEWDRAW" localSheetId="11">#REF!</definedName>
    <definedName name="NEWDRAW">#REF!</definedName>
    <definedName name="NvsEndTime">36465.4707604167</definedName>
    <definedName name="os" localSheetId="1">[4]Frontsheet!#REF!</definedName>
    <definedName name="os" localSheetId="3">[4]Frontsheet!#REF!</definedName>
    <definedName name="os" localSheetId="4">[4]Frontsheet!#REF!</definedName>
    <definedName name="os" localSheetId="7">[4]Frontsheet!#REF!</definedName>
    <definedName name="os" localSheetId="8">[4]Frontsheet!#REF!</definedName>
    <definedName name="os" localSheetId="11">[4]Frontsheet!#REF!</definedName>
    <definedName name="os">[4]Frontsheet!#REF!</definedName>
    <definedName name="p" localSheetId="1">[4]Frontsheet!#REF!</definedName>
    <definedName name="p" localSheetId="3">[4]Frontsheet!#REF!</definedName>
    <definedName name="p" localSheetId="4">[4]Frontsheet!#REF!</definedName>
    <definedName name="p" localSheetId="7">[4]Frontsheet!#REF!</definedName>
    <definedName name="p" localSheetId="8">[4]Frontsheet!#REF!</definedName>
    <definedName name="p" localSheetId="11">[4]Frontsheet!#REF!</definedName>
    <definedName name="p">[4]Frontsheet!#REF!</definedName>
    <definedName name="pa" localSheetId="1">[4]Frontsheet!#REF!</definedName>
    <definedName name="pa" localSheetId="3">[4]Frontsheet!#REF!</definedName>
    <definedName name="pa" localSheetId="4">[4]Frontsheet!#REF!</definedName>
    <definedName name="pa" localSheetId="7">[4]Frontsheet!#REF!</definedName>
    <definedName name="pa" localSheetId="8">[4]Frontsheet!#REF!</definedName>
    <definedName name="pa" localSheetId="11">[4]Frontsheet!#REF!</definedName>
    <definedName name="pa">[4]Frontsheet!#REF!</definedName>
    <definedName name="PD" localSheetId="1">#REF!</definedName>
    <definedName name="PD" localSheetId="3">#REF!</definedName>
    <definedName name="PD" localSheetId="4">#REF!</definedName>
    <definedName name="PD" localSheetId="7">#REF!</definedName>
    <definedName name="PD" localSheetId="8">#REF!</definedName>
    <definedName name="PD" localSheetId="11">#REF!</definedName>
    <definedName name="PD">#REF!</definedName>
    <definedName name="pipeline_status">[6]Lists!$F$4:$F$8</definedName>
    <definedName name="pp" localSheetId="1">[4]Frontsheet!#REF!</definedName>
    <definedName name="pp" localSheetId="3">[4]Frontsheet!#REF!</definedName>
    <definedName name="pp" localSheetId="4">[4]Frontsheet!#REF!</definedName>
    <definedName name="pp" localSheetId="7">[4]Frontsheet!#REF!</definedName>
    <definedName name="pp" localSheetId="8">[4]Frontsheet!#REF!</definedName>
    <definedName name="pp" localSheetId="11">[4]Frontsheet!#REF!</definedName>
    <definedName name="pp">[4]Frontsheet!#REF!</definedName>
    <definedName name="_xlnm.Print_Area" localSheetId="1">'Development Program'!$A$1:$AE$86</definedName>
    <definedName name="_xlnm.Print_Area" localSheetId="3">'Phase 1a Financial'!$A$1:$E$148</definedName>
    <definedName name="_xlnm.Print_Area" localSheetId="5">'Phase 1a Financial DRAW'!$A$1:$BZ$52</definedName>
    <definedName name="_xlnm.Print_Area" localSheetId="4">'Phase 1b Financial'!$A$1:$E$99</definedName>
    <definedName name="_xlnm.Print_Area" localSheetId="7">'Phase 2a Financial'!$A$1:$E$134</definedName>
    <definedName name="_xlnm.Print_Area" localSheetId="8">'Phase 2b Financial'!$A$1:$E$100</definedName>
    <definedName name="_xlnm.Print_Area" localSheetId="11">'Phase 3 Financial'!$A$1:$E$109</definedName>
    <definedName name="_xlnm.Print_Area">#REF!</definedName>
    <definedName name="print_area2" localSheetId="1">#REF!</definedName>
    <definedName name="print_area2" localSheetId="3">#REF!</definedName>
    <definedName name="print_area2" localSheetId="4">#REF!</definedName>
    <definedName name="print_area2" localSheetId="7">#REF!</definedName>
    <definedName name="print_area2" localSheetId="8">#REF!</definedName>
    <definedName name="print_area2" localSheetId="11">#REF!</definedName>
    <definedName name="print_area2">#REF!</definedName>
    <definedName name="print_area3" localSheetId="1">#REF!</definedName>
    <definedName name="print_area3" localSheetId="3">#REF!</definedName>
    <definedName name="print_area3" localSheetId="4">#REF!</definedName>
    <definedName name="print_area3" localSheetId="7">#REF!</definedName>
    <definedName name="print_area3" localSheetId="8">#REF!</definedName>
    <definedName name="print_area3" localSheetId="11">#REF!</definedName>
    <definedName name="print_area3">#REF!</definedName>
    <definedName name="print_area4" localSheetId="1">#REF!</definedName>
    <definedName name="print_area4" localSheetId="3">#REF!</definedName>
    <definedName name="print_area4" localSheetId="4">#REF!</definedName>
    <definedName name="print_area4" localSheetId="7">#REF!</definedName>
    <definedName name="print_area4" localSheetId="8">#REF!</definedName>
    <definedName name="print_area4" localSheetId="11">#REF!</definedName>
    <definedName name="print_area4">#REF!</definedName>
    <definedName name="_xlnm.Print_Titles">#N/A</definedName>
    <definedName name="PROFORMA" localSheetId="1">#REF!</definedName>
    <definedName name="PROFORMA" localSheetId="3">#REF!</definedName>
    <definedName name="PROFORMA" localSheetId="4">#REF!</definedName>
    <definedName name="PROFORMA" localSheetId="7">#REF!</definedName>
    <definedName name="PROFORMA" localSheetId="8">#REF!</definedName>
    <definedName name="PROFORMA" localSheetId="11">#REF!</definedName>
    <definedName name="PROFORMA">#REF!</definedName>
    <definedName name="Promote_dev_1">[6]Input!$E$330</definedName>
    <definedName name="Property_Types">'[8]Deal Assumptions'!$G$345:$Z$345</definedName>
    <definedName name="pt" localSheetId="1">[4]Frontsheet!#REF!</definedName>
    <definedName name="pt" localSheetId="3">[4]Frontsheet!#REF!</definedName>
    <definedName name="pt" localSheetId="4">[4]Frontsheet!#REF!</definedName>
    <definedName name="pt" localSheetId="7">[4]Frontsheet!#REF!</definedName>
    <definedName name="pt" localSheetId="8">[4]Frontsheet!#REF!</definedName>
    <definedName name="pt" localSheetId="11">[4]Frontsheet!#REF!</definedName>
    <definedName name="pt">[4]Frontsheet!#REF!</definedName>
    <definedName name="qq" localSheetId="1">#REF!</definedName>
    <definedName name="qq" localSheetId="3">#REF!</definedName>
    <definedName name="qq" localSheetId="4">#REF!</definedName>
    <definedName name="qq" localSheetId="7">#REF!</definedName>
    <definedName name="qq" localSheetId="8">#REF!</definedName>
    <definedName name="qq" localSheetId="11">#REF!</definedName>
    <definedName name="qq">#REF!</definedName>
    <definedName name="report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rf" localSheetId="1">[4]Frontsheet!#REF!</definedName>
    <definedName name="rf" localSheetId="3">[4]Frontsheet!#REF!</definedName>
    <definedName name="rf" localSheetId="4">[4]Frontsheet!#REF!</definedName>
    <definedName name="rf" localSheetId="7">[4]Frontsheet!#REF!</definedName>
    <definedName name="rf" localSheetId="8">[4]Frontsheet!#REF!</definedName>
    <definedName name="rf" localSheetId="11">[4]Frontsheet!#REF!</definedName>
    <definedName name="rf">[4]Frontsheet!#REF!</definedName>
    <definedName name="S_U" localSheetId="1">#REF!</definedName>
    <definedName name="S_U" localSheetId="3">#REF!</definedName>
    <definedName name="S_U" localSheetId="4">#REF!</definedName>
    <definedName name="S_U" localSheetId="7">#REF!</definedName>
    <definedName name="S_U" localSheetId="8">#REF!</definedName>
    <definedName name="S_U" localSheetId="11">#REF!</definedName>
    <definedName name="S_U">#REF!</definedName>
    <definedName name="Sample1" localSheetId="1">[9]Template!#REF!</definedName>
    <definedName name="Sample1" localSheetId="3">[9]Template!#REF!</definedName>
    <definedName name="Sample1" localSheetId="4">[9]Template!#REF!</definedName>
    <definedName name="Sample1" localSheetId="7">[9]Template!#REF!</definedName>
    <definedName name="Sample1" localSheetId="8">[9]Template!#REF!</definedName>
    <definedName name="Sample1" localSheetId="11">[9]Template!#REF!</definedName>
    <definedName name="Sample1">[9]Template!#REF!</definedName>
    <definedName name="sample2" localSheetId="1">[10]Template!#REF!</definedName>
    <definedName name="sample2" localSheetId="3">[10]Template!#REF!</definedName>
    <definedName name="sample2" localSheetId="4">[10]Template!#REF!</definedName>
    <definedName name="sample2" localSheetId="7">[10]Template!#REF!</definedName>
    <definedName name="sample2" localSheetId="8">[10]Template!#REF!</definedName>
    <definedName name="sample2" localSheetId="11">[10]Template!#REF!</definedName>
    <definedName name="sample2">[10]Template!#REF!</definedName>
    <definedName name="sample3" localSheetId="1">[10]Template!#REF!</definedName>
    <definedName name="sample3" localSheetId="3">[10]Template!#REF!</definedName>
    <definedName name="sample3" localSheetId="4">[10]Template!#REF!</definedName>
    <definedName name="sample3" localSheetId="7">[10]Template!#REF!</definedName>
    <definedName name="sample3" localSheetId="8">[10]Template!#REF!</definedName>
    <definedName name="sample3" localSheetId="11">[10]Template!#REF!</definedName>
    <definedName name="sample3">[10]Template!#REF!</definedName>
    <definedName name="sdf" hidden="1">{"Assump",#N/A,TRUE,"Proforma";"first",#N/A,TRUE,"Proforma";"second",#N/A,TRUE,"Proforma";"lease1",#N/A,TRUE,"Proforma";"lease2",#N/A,TRUE,"Proforma"}</definedName>
    <definedName name="sdfgsfgdsfg" localSheetId="1">[4]Frontsheet!#REF!</definedName>
    <definedName name="sdfgsfgdsfg" localSheetId="3">[4]Frontsheet!#REF!</definedName>
    <definedName name="sdfgsfgdsfg" localSheetId="4">[4]Frontsheet!#REF!</definedName>
    <definedName name="sdfgsfgdsfg" localSheetId="7">[4]Frontsheet!#REF!</definedName>
    <definedName name="sdfgsfgdsfg" localSheetId="8">[4]Frontsheet!#REF!</definedName>
    <definedName name="sdfgsfgdsfg" localSheetId="11">[4]Frontsheet!#REF!</definedName>
    <definedName name="sdfgsfgdsfg">[4]Frontsheet!#REF!</definedName>
    <definedName name="SF">'[11]One Pager - Assumptions'!$H$31</definedName>
    <definedName name="sg" localSheetId="1">[4]Frontsheet!#REF!</definedName>
    <definedName name="sg" localSheetId="3">[4]Frontsheet!#REF!</definedName>
    <definedName name="sg" localSheetId="4">[4]Frontsheet!#REF!</definedName>
    <definedName name="sg" localSheetId="7">[4]Frontsheet!#REF!</definedName>
    <definedName name="sg" localSheetId="8">[4]Frontsheet!#REF!</definedName>
    <definedName name="sg" localSheetId="11">[4]Frontsheet!#REF!</definedName>
    <definedName name="sg">[4]Frontsheet!#REF!</definedName>
    <definedName name="si" localSheetId="1">[4]Frontsheet!#REF!</definedName>
    <definedName name="si" localSheetId="3">[4]Frontsheet!#REF!</definedName>
    <definedName name="si" localSheetId="4">[4]Frontsheet!#REF!</definedName>
    <definedName name="si" localSheetId="7">[4]Frontsheet!#REF!</definedName>
    <definedName name="si" localSheetId="8">[4]Frontsheet!#REF!</definedName>
    <definedName name="si" localSheetId="11">[4]Frontsheet!#REF!</definedName>
    <definedName name="si">[4]Frontsheet!#REF!</definedName>
    <definedName name="tp" localSheetId="1">[4]Frontsheet!#REF!</definedName>
    <definedName name="tp" localSheetId="3">[4]Frontsheet!#REF!</definedName>
    <definedName name="tp" localSheetId="4">[4]Frontsheet!#REF!</definedName>
    <definedName name="tp" localSheetId="7">[4]Frontsheet!#REF!</definedName>
    <definedName name="tp" localSheetId="8">[4]Frontsheet!#REF!</definedName>
    <definedName name="tp" localSheetId="11">[4]Frontsheet!#REF!</definedName>
    <definedName name="tp">[4]Frontsheet!#REF!</definedName>
    <definedName name="Trended_hard_cost">[6]Input!$K$47</definedName>
    <definedName name="trended_partner_contributions" localSheetId="1">'[6]Trended Cash Flow'!#REF!</definedName>
    <definedName name="trended_partner_contributions" localSheetId="3">'[6]Trended Cash Flow'!#REF!</definedName>
    <definedName name="trended_partner_contributions" localSheetId="4">'[6]Trended Cash Flow'!#REF!</definedName>
    <definedName name="trended_partner_contributions" localSheetId="7">'[6]Trended Cash Flow'!#REF!</definedName>
    <definedName name="trended_partner_contributions" localSheetId="8">'[6]Trended Cash Flow'!#REF!</definedName>
    <definedName name="trended_partner_contributions" localSheetId="11">'[6]Trended Cash Flow'!#REF!</definedName>
    <definedName name="trended_partner_contributions">'[6]Trended Cash Flow'!#REF!</definedName>
    <definedName name="TT" localSheetId="1">[4]Frontsheet!#REF!</definedName>
    <definedName name="TT" localSheetId="3">[4]Frontsheet!#REF!</definedName>
    <definedName name="TT" localSheetId="4">[4]Frontsheet!#REF!</definedName>
    <definedName name="TT" localSheetId="7">[4]Frontsheet!#REF!</definedName>
    <definedName name="TT" localSheetId="8">[4]Frontsheet!#REF!</definedName>
    <definedName name="TT" localSheetId="11">[4]Frontsheet!#REF!</definedName>
    <definedName name="TT">[4]Frontsheet!#REF!</definedName>
    <definedName name="units">'[12]Equity Investor Sheet 2538'!$G$132</definedName>
    <definedName name="untrended_dates">'[6]Untrended Cash Flow'!$E$12:$BL$12</definedName>
    <definedName name="untrended_partner_contributions">'[6]Untrended Cash Flow'!$E$154:$BL$154</definedName>
    <definedName name="vital5">'[7]Customize Your Invoice'!$E$15</definedName>
    <definedName name="wetadf" hidden="1">{"Assump",#N/A,TRUE,"Proforma";"first",#N/A,TRUE,"Proforma";"second",#N/A,TRUE,"Proforma";"lease1",#N/A,TRUE,"Proforma";"lease2",#N/A,TRUE,"Proforma"}</definedName>
    <definedName name="wrn.BlackWhite." hidden="1">{#N/A,#N/A,FALSE,"NNN sum";#N/A,#N/A,FALSE,"10-yr Opt. A Sum";#N/A,#N/A,FALSE,"10-yr Opt A Other Costs";#N/A,#N/A,FALSE,"Purchase Sum";#N/A,#N/A,FALSE,"Purchase Other Costs"}</definedName>
    <definedName name="wrn.Complete._.Review." hidden="1">{#N/A,#N/A,FALSE,"Occ and Rate";#N/A,#N/A,FALSE,"PF Input";#N/A,#N/A,FALSE,"Capital Input";#N/A,#N/A,FALSE,"Proforma Five Yr";#N/A,#N/A,FALSE,"Calculations";#N/A,#N/A,FALSE,"Transaction Summary-DTW"}</definedName>
    <definedName name="wrn.cssa." hidden="1">{#N/A,#N/A,FALSE,"WATCHDSC";#N/A,#N/A,FALSE,"2LOSSMOD";#N/A,#N/A,FALSE,"2LOSS";#N/A,#N/A,FALSE,"DSC";#N/A,#N/A,FALSE,"OPERAT";#N/A,#N/A,FALSE,"ADJUST";#N/A,#N/A,FALSE,"LEASE EXPIRE"}</definedName>
    <definedName name="wrn.data." hidden="1">{"data",#N/A,FALSE,"INPUT"}</definedName>
    <definedName name="wrn.GSA._.PRINT." hidden="1">{#N/A,#N/A,FALSE,"DEV COSTS";#N/A,#N/A,FALSE,"10-YR C. F."}</definedName>
    <definedName name="wrn.Investment._.Review." hidden="1">{#N/A,#N/A,FALSE,"Proforma Five Yr";#N/A,#N/A,FALSE,"Capital Input";#N/A,#N/A,FALSE,"Calculations";#N/A,#N/A,FALSE,"Transaction Summary-DTW"}</definedName>
    <definedName name="wrn.MODEL.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wrn.Operations._.Review." hidden="1">{#N/A,#N/A,FALSE,"Proforma Five Yr";#N/A,#N/A,FALSE,"Occ and Rate";#N/A,#N/A,FALSE,"PF Input";#N/A,#N/A,FALSE,"Hotcomps"}</definedName>
    <definedName name="wrn.Phase._.I." hidden="1">{#N/A,#N/A,FALSE,"Transaction Summary-DTW";#N/A,#N/A,FALSE,"Proforma Five Yr";#N/A,#N/A,FALSE,"Occ and Rate"}</definedName>
    <definedName name="wrn.print." hidden="1">{"Assump",#N/A,TRUE,"Proforma";"first",#N/A,TRUE,"Proforma";"second",#N/A,TRUE,"Proforma";"lease1",#N/A,TRUE,"Proforma";"lease2",#N/A,TRUE,"Proforma"}</definedName>
    <definedName name="wrn.Proforma._.Review." hidden="1">{#N/A,#N/A,FALSE,"Occ and Rate";#N/A,#N/A,FALSE,"PF Input";#N/A,#N/A,FALSE,"Proforma Five Yr";#N/A,#N/A,FALSE,"Hotcomps"}</definedName>
    <definedName name="wrn.Report.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wrn.Total." hidden="1">{#N/A,#N/A,FALSE,"Exec Sum";#N/A,#N/A,FALSE,"Rent Rate Comp";#N/A,#N/A,FALSE,"Rate, NPV Comp";#N/A,#N/A,FALSE,"Opt A NNN";#N/A,#N/A,FALSE,"15-yr Opt. A Sum";#N/A,#N/A,FALSE,"15-yr Opt A Other Costs";#N/A,#N/A,FALSE,"10-yr Opt. A Sum";#N/A,#N/A,FALSE,"10-yr Opt A Other Costs";#N/A,#N/A,FALSE,"NPV Calc"}</definedName>
    <definedName name="wrn.TOTAL._.SHEETS." hidden="1">{#N/A,#N/A,FALSE,"DEV COSTS";#N/A,#N/A,FALSE,"10-YR C. F."}</definedName>
    <definedName name="wrn.WeeklyStatus." hidden="1">{#N/A,#N/A,FALSE,"StatusReport"}</definedName>
    <definedName name="wrn.YTD.Clsngs.Subdiv.Dte." hidden="1">{"Smry.sbtl.subdiv.clsdte",#N/A,FALSE,"97clsngs.612"}</definedName>
    <definedName name="x" hidden="1">{#N/A,#N/A,FALSE,"WATCHDSC";#N/A,#N/A,FALSE,"2LOSSMOD";#N/A,#N/A,FALSE,"2LOSS";#N/A,#N/A,FALSE,"DSC";#N/A,#N/A,FALSE,"OPERAT";#N/A,#N/A,FALSE,"ADJUST";#N/A,#N/A,FALSE,"LEASE EXPIRE"}</definedName>
  </definedNames>
  <calcPr calcId="191028"/>
  <fileRecoveryPr autoRecover="0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G36" i="156" l="1"/>
  <c r="AH36" i="156"/>
  <c r="AI36" i="156"/>
  <c r="AK36" i="156"/>
  <c r="AL36" i="156"/>
  <c r="AB24" i="140"/>
  <c r="B72" i="140"/>
  <c r="Q25" i="140"/>
  <c r="B98" i="150"/>
  <c r="B97" i="150"/>
  <c r="B96" i="150"/>
  <c r="B95" i="150"/>
  <c r="B134" i="150"/>
  <c r="C124" i="149"/>
  <c r="B126" i="149"/>
  <c r="B165" i="149"/>
  <c r="B125" i="149" s="1"/>
  <c r="Y19" i="140"/>
  <c r="Q14" i="140" s="1"/>
  <c r="V20" i="140"/>
  <c r="Q7" i="140" s="1"/>
  <c r="Q26" i="140"/>
  <c r="Q16" i="140"/>
  <c r="Q22" i="140"/>
  <c r="B55" i="149"/>
  <c r="D55" i="149" s="1"/>
  <c r="W23" i="159"/>
  <c r="X23" i="159"/>
  <c r="Y23" i="159"/>
  <c r="Z23" i="159"/>
  <c r="AA23" i="159"/>
  <c r="AB23" i="159"/>
  <c r="AC23" i="159"/>
  <c r="AD23" i="159"/>
  <c r="AE23" i="159"/>
  <c r="AF23" i="159"/>
  <c r="AG23" i="159"/>
  <c r="AH23" i="159"/>
  <c r="AI23" i="159"/>
  <c r="AJ23" i="159"/>
  <c r="AK23" i="159"/>
  <c r="AL23" i="159"/>
  <c r="AM23" i="159"/>
  <c r="AN23" i="159"/>
  <c r="AO23" i="159"/>
  <c r="AP23" i="159"/>
  <c r="AQ23" i="159"/>
  <c r="AR23" i="159"/>
  <c r="AS23" i="159"/>
  <c r="AT23" i="159"/>
  <c r="AU23" i="159"/>
  <c r="B33" i="155"/>
  <c r="AF41" i="155"/>
  <c r="AG41" i="155"/>
  <c r="AH41" i="155"/>
  <c r="AI41" i="155"/>
  <c r="AJ41" i="155"/>
  <c r="AK41" i="155"/>
  <c r="AL41" i="155"/>
  <c r="AC41" i="155"/>
  <c r="AD41" i="155"/>
  <c r="AE41" i="155"/>
  <c r="C96" i="149"/>
  <c r="B10" i="169"/>
  <c r="B73" i="140"/>
  <c r="C72" i="140" s="1"/>
  <c r="A6" i="155"/>
  <c r="A7" i="155"/>
  <c r="A8" i="155"/>
  <c r="A9" i="155"/>
  <c r="A10" i="155"/>
  <c r="A11" i="155"/>
  <c r="A12" i="155"/>
  <c r="A13" i="155"/>
  <c r="A14" i="155"/>
  <c r="A15" i="155"/>
  <c r="A16" i="155"/>
  <c r="A17" i="155"/>
  <c r="A18" i="155"/>
  <c r="A19" i="155"/>
  <c r="A20" i="155"/>
  <c r="A21" i="155"/>
  <c r="A22" i="155"/>
  <c r="A23" i="155"/>
  <c r="A24" i="155"/>
  <c r="A25" i="155"/>
  <c r="A5" i="155"/>
  <c r="AC34" i="159"/>
  <c r="AD34" i="159"/>
  <c r="AE34" i="159"/>
  <c r="AF34" i="159"/>
  <c r="AG34" i="159"/>
  <c r="AH34" i="159"/>
  <c r="AI34" i="159"/>
  <c r="AJ34" i="159"/>
  <c r="AK34" i="159"/>
  <c r="AL34" i="159"/>
  <c r="AM34" i="159"/>
  <c r="AN34" i="159"/>
  <c r="AO34" i="159"/>
  <c r="AP34" i="159"/>
  <c r="AQ34" i="159"/>
  <c r="AR34" i="159"/>
  <c r="AS34" i="159"/>
  <c r="AT34" i="159"/>
  <c r="AU34" i="159"/>
  <c r="W19" i="159"/>
  <c r="X19" i="159"/>
  <c r="Y19" i="159"/>
  <c r="Z19" i="159"/>
  <c r="AA19" i="159"/>
  <c r="AB19" i="159"/>
  <c r="AC19" i="159"/>
  <c r="AD19" i="159"/>
  <c r="AE19" i="159"/>
  <c r="AF19" i="159"/>
  <c r="AG19" i="159"/>
  <c r="AH19" i="159"/>
  <c r="AI19" i="159"/>
  <c r="AJ19" i="159"/>
  <c r="AK19" i="159"/>
  <c r="AL19" i="159"/>
  <c r="AM19" i="159"/>
  <c r="AN19" i="159"/>
  <c r="AO19" i="159"/>
  <c r="AP19" i="159"/>
  <c r="AQ19" i="159"/>
  <c r="AR19" i="159"/>
  <c r="AS19" i="159"/>
  <c r="AT19" i="159"/>
  <c r="AU19" i="159"/>
  <c r="D33" i="159"/>
  <c r="E33" i="159" s="1"/>
  <c r="F33" i="159" s="1"/>
  <c r="G33" i="159" s="1"/>
  <c r="H33" i="159" s="1"/>
  <c r="I33" i="159" s="1"/>
  <c r="J33" i="159" s="1"/>
  <c r="K33" i="159" s="1"/>
  <c r="L33" i="159" s="1"/>
  <c r="M33" i="159" s="1"/>
  <c r="N33" i="159" s="1"/>
  <c r="O33" i="159" s="1"/>
  <c r="P33" i="159" s="1"/>
  <c r="Q33" i="159" s="1"/>
  <c r="R33" i="159" s="1"/>
  <c r="S33" i="159" s="1"/>
  <c r="T33" i="159" s="1"/>
  <c r="U33" i="159" s="1"/>
  <c r="V33" i="159" s="1"/>
  <c r="W33" i="159" s="1"/>
  <c r="X33" i="159" s="1"/>
  <c r="Y33" i="159" s="1"/>
  <c r="Z33" i="159" s="1"/>
  <c r="AA33" i="159" s="1"/>
  <c r="AB33" i="159" s="1"/>
  <c r="AC33" i="159" s="1"/>
  <c r="AD33" i="159" s="1"/>
  <c r="AE33" i="159" s="1"/>
  <c r="AF33" i="159" s="1"/>
  <c r="AG33" i="159" s="1"/>
  <c r="AH33" i="159" s="1"/>
  <c r="AI33" i="159" s="1"/>
  <c r="AJ33" i="159" s="1"/>
  <c r="AK33" i="159" s="1"/>
  <c r="AL33" i="159" s="1"/>
  <c r="AM33" i="159" s="1"/>
  <c r="AN33" i="159" s="1"/>
  <c r="AO33" i="159" s="1"/>
  <c r="AP33" i="159" s="1"/>
  <c r="AQ33" i="159" s="1"/>
  <c r="AR33" i="159" s="1"/>
  <c r="AS33" i="159" s="1"/>
  <c r="AT33" i="159" s="1"/>
  <c r="AU33" i="159" s="1"/>
  <c r="D18" i="159"/>
  <c r="E18" i="159" s="1"/>
  <c r="F18" i="159" s="1"/>
  <c r="G18" i="159" s="1"/>
  <c r="H18" i="159" s="1"/>
  <c r="I18" i="159" s="1"/>
  <c r="J18" i="159" s="1"/>
  <c r="K18" i="159" s="1"/>
  <c r="L18" i="159" s="1"/>
  <c r="M18" i="159" s="1"/>
  <c r="N18" i="159" s="1"/>
  <c r="O18" i="159" s="1"/>
  <c r="P18" i="159" s="1"/>
  <c r="Q18" i="159" s="1"/>
  <c r="R18" i="159" s="1"/>
  <c r="S18" i="159" s="1"/>
  <c r="T18" i="159" s="1"/>
  <c r="U18" i="159" s="1"/>
  <c r="V18" i="159" s="1"/>
  <c r="W18" i="159" s="1"/>
  <c r="X18" i="159" s="1"/>
  <c r="Y18" i="159" s="1"/>
  <c r="Z18" i="159" s="1"/>
  <c r="AA18" i="159" s="1"/>
  <c r="AB18" i="159" s="1"/>
  <c r="AC18" i="159" s="1"/>
  <c r="AD18" i="159" s="1"/>
  <c r="AE18" i="159" s="1"/>
  <c r="AF18" i="159" s="1"/>
  <c r="AG18" i="159" s="1"/>
  <c r="AH18" i="159" s="1"/>
  <c r="AI18" i="159" s="1"/>
  <c r="AJ18" i="159" s="1"/>
  <c r="AK18" i="159" s="1"/>
  <c r="AL18" i="159" s="1"/>
  <c r="AM18" i="159" s="1"/>
  <c r="AN18" i="159" s="1"/>
  <c r="AO18" i="159" s="1"/>
  <c r="AP18" i="159" s="1"/>
  <c r="AQ18" i="159" s="1"/>
  <c r="AR18" i="159" s="1"/>
  <c r="AS18" i="159" s="1"/>
  <c r="AT18" i="159" s="1"/>
  <c r="AU18" i="159" s="1"/>
  <c r="AS4" i="159"/>
  <c r="AT4" i="159"/>
  <c r="AU4" i="159"/>
  <c r="C87" i="153"/>
  <c r="C83" i="153"/>
  <c r="I6" i="140"/>
  <c r="I13" i="140" s="1"/>
  <c r="B6" i="153"/>
  <c r="Q23" i="140"/>
  <c r="Q8" i="140"/>
  <c r="Q15" i="140"/>
  <c r="B41" i="140"/>
  <c r="C71" i="140" l="1"/>
  <c r="Q24" i="140" l="1"/>
  <c r="H23" i="140" l="1"/>
  <c r="H30" i="140" s="1"/>
  <c r="J23" i="140"/>
  <c r="J22" i="140"/>
  <c r="B16" i="153"/>
  <c r="E6" i="153"/>
  <c r="B7" i="153"/>
  <c r="G22" i="140" l="1"/>
  <c r="G30" i="140" s="1"/>
  <c r="C84" i="153"/>
  <c r="J30" i="140"/>
  <c r="C8" i="153"/>
  <c r="B11" i="153" l="1"/>
  <c r="B10" i="153"/>
  <c r="C85" i="153" s="1"/>
  <c r="B13" i="153"/>
  <c r="B14" i="153"/>
  <c r="E14" i="153" s="1"/>
  <c r="E13" i="153" l="1"/>
  <c r="C88" i="153"/>
  <c r="E11" i="153"/>
  <c r="C86" i="153"/>
  <c r="C12" i="153"/>
  <c r="E10" i="153"/>
  <c r="C15" i="153"/>
  <c r="B8" i="155"/>
  <c r="B9" i="155"/>
  <c r="B12" i="155"/>
  <c r="B13" i="155"/>
  <c r="B19" i="155"/>
  <c r="B20" i="155"/>
  <c r="B21" i="155"/>
  <c r="B22" i="155"/>
  <c r="B23" i="155"/>
  <c r="B24" i="155"/>
  <c r="B25" i="155"/>
  <c r="B8" i="154"/>
  <c r="B86" i="152"/>
  <c r="K22" i="140"/>
  <c r="B22" i="153"/>
  <c r="E7" i="153"/>
  <c r="D40" i="153"/>
  <c r="D21" i="140"/>
  <c r="B29" i="153" s="1"/>
  <c r="D15" i="140"/>
  <c r="K15" i="140"/>
  <c r="K14" i="140"/>
  <c r="J16" i="140"/>
  <c r="I14" i="140"/>
  <c r="H14" i="140"/>
  <c r="H16" i="140"/>
  <c r="B67" i="149"/>
  <c r="C16" i="153" l="1"/>
  <c r="AD24" i="155"/>
  <c r="T24" i="155"/>
  <c r="X24" i="155"/>
  <c r="Y24" i="155"/>
  <c r="Z24" i="155"/>
  <c r="AA24" i="155"/>
  <c r="AB24" i="155"/>
  <c r="AC24" i="155"/>
  <c r="AE24" i="155"/>
  <c r="I20" i="140"/>
  <c r="B77" i="140"/>
  <c r="E8" i="153"/>
  <c r="H20" i="140"/>
  <c r="E15" i="153"/>
  <c r="K30" i="140"/>
  <c r="C98" i="150" l="1"/>
  <c r="K9" i="140"/>
  <c r="K8" i="140"/>
  <c r="K7" i="140"/>
  <c r="D81" i="149"/>
  <c r="D42" i="149"/>
  <c r="J8" i="140"/>
  <c r="B67" i="140" s="1"/>
  <c r="H8" i="140"/>
  <c r="B66" i="140" s="1"/>
  <c r="H6" i="140"/>
  <c r="B76" i="140" s="1"/>
  <c r="E42" i="140"/>
  <c r="C42" i="140" s="1"/>
  <c r="E41" i="140"/>
  <c r="C41" i="140" s="1"/>
  <c r="E37" i="140"/>
  <c r="C37" i="140" s="1"/>
  <c r="F38" i="140"/>
  <c r="C38" i="140" s="1"/>
  <c r="F40" i="140"/>
  <c r="E40" i="140"/>
  <c r="D40" i="140"/>
  <c r="D39" i="140"/>
  <c r="C39" i="140" s="1"/>
  <c r="E36" i="140"/>
  <c r="D35" i="140"/>
  <c r="C35" i="140" s="1"/>
  <c r="D33" i="150"/>
  <c r="B17" i="150"/>
  <c r="B18" i="150"/>
  <c r="B19" i="150"/>
  <c r="B16" i="150"/>
  <c r="B11" i="150"/>
  <c r="E11" i="150" s="1"/>
  <c r="B12" i="150"/>
  <c r="E12" i="150" s="1"/>
  <c r="B13" i="150"/>
  <c r="E13" i="150" s="1"/>
  <c r="B10" i="150"/>
  <c r="B8" i="169"/>
  <c r="B9" i="169"/>
  <c r="B7" i="169"/>
  <c r="Q17" i="140"/>
  <c r="B8" i="152"/>
  <c r="B7" i="152"/>
  <c r="H13" i="140" l="1"/>
  <c r="B45" i="140"/>
  <c r="C36" i="140"/>
  <c r="C40" i="140"/>
  <c r="F45" i="140"/>
  <c r="C57" i="153" s="1"/>
  <c r="E45" i="140"/>
  <c r="C69" i="150" s="1"/>
  <c r="D45" i="140"/>
  <c r="C98" i="149" s="1"/>
  <c r="C14" i="150"/>
  <c r="E10" i="150"/>
  <c r="E14" i="150" s="1"/>
  <c r="H31" i="140" l="1"/>
  <c r="B82" i="140" s="1"/>
  <c r="B8" i="149"/>
  <c r="B9" i="149"/>
  <c r="B10" i="149"/>
  <c r="B7" i="149"/>
  <c r="D41" i="149"/>
  <c r="C15" i="169" l="1"/>
  <c r="E13" i="169"/>
  <c r="E6" i="169"/>
  <c r="C10" i="169"/>
  <c r="E5" i="169"/>
  <c r="A66" i="169"/>
  <c r="A67" i="169" s="1"/>
  <c r="C41" i="169"/>
  <c r="B11" i="155" s="1"/>
  <c r="B36" i="169"/>
  <c r="C36" i="169" s="1"/>
  <c r="B6" i="155" s="1"/>
  <c r="B35" i="169"/>
  <c r="B25" i="169"/>
  <c r="B23" i="169"/>
  <c r="B22" i="169"/>
  <c r="B21" i="169"/>
  <c r="B15" i="169"/>
  <c r="J14" i="140" s="1"/>
  <c r="B78" i="140" s="1"/>
  <c r="E14" i="169"/>
  <c r="E12" i="169"/>
  <c r="D1" i="169"/>
  <c r="C62" i="169" s="1"/>
  <c r="E7" i="150"/>
  <c r="V104" i="140"/>
  <c r="V106" i="140" s="1"/>
  <c r="D21" i="153"/>
  <c r="D22" i="153" s="1"/>
  <c r="C14" i="152"/>
  <c r="V102" i="140"/>
  <c r="V95" i="140"/>
  <c r="V97" i="140" s="1"/>
  <c r="E183" i="149"/>
  <c r="B51" i="153"/>
  <c r="C20" i="150"/>
  <c r="E6" i="150"/>
  <c r="E5" i="150"/>
  <c r="B7" i="150"/>
  <c r="H83" i="142"/>
  <c r="H84" i="142" s="1"/>
  <c r="H88" i="142" s="1"/>
  <c r="H89" i="142" s="1"/>
  <c r="I83" i="142"/>
  <c r="I84" i="142" s="1"/>
  <c r="J83" i="142"/>
  <c r="J84" i="142" s="1"/>
  <c r="G83" i="142"/>
  <c r="G84" i="142" s="1"/>
  <c r="J87" i="142"/>
  <c r="I87" i="142"/>
  <c r="H87" i="142"/>
  <c r="G87" i="142"/>
  <c r="J85" i="142"/>
  <c r="I85" i="142"/>
  <c r="H85" i="142"/>
  <c r="G85" i="142"/>
  <c r="Z104" i="140"/>
  <c r="Z106" i="140"/>
  <c r="Z108" i="140"/>
  <c r="Z110" i="140"/>
  <c r="B6" i="150"/>
  <c r="B5" i="150"/>
  <c r="Q6" i="155" l="1"/>
  <c r="P6" i="155"/>
  <c r="R6" i="155"/>
  <c r="K6" i="155"/>
  <c r="AB6" i="155"/>
  <c r="V6" i="155"/>
  <c r="M6" i="155"/>
  <c r="W6" i="155"/>
  <c r="J6" i="155"/>
  <c r="L6" i="155"/>
  <c r="U6" i="155"/>
  <c r="H6" i="155"/>
  <c r="Y6" i="155"/>
  <c r="Z6" i="155"/>
  <c r="AA6" i="155"/>
  <c r="T6" i="155"/>
  <c r="N6" i="155"/>
  <c r="X6" i="155"/>
  <c r="O6" i="155"/>
  <c r="I6" i="155"/>
  <c r="S6" i="155"/>
  <c r="B79" i="140"/>
  <c r="C78" i="140" s="1"/>
  <c r="J20" i="140"/>
  <c r="J13" i="140"/>
  <c r="B30" i="150"/>
  <c r="K16" i="140"/>
  <c r="D48" i="149"/>
  <c r="E8" i="150"/>
  <c r="C33" i="169"/>
  <c r="C16" i="169"/>
  <c r="E9" i="169"/>
  <c r="E8" i="169"/>
  <c r="E7" i="169"/>
  <c r="B16" i="169"/>
  <c r="B62" i="140" s="1"/>
  <c r="E15" i="169"/>
  <c r="C70" i="169"/>
  <c r="J88" i="142"/>
  <c r="J89" i="142" s="1"/>
  <c r="J90" i="142" s="1"/>
  <c r="J91" i="142" s="1"/>
  <c r="I88" i="142"/>
  <c r="I89" i="142" s="1"/>
  <c r="I90" i="142" s="1"/>
  <c r="I91" i="142" s="1"/>
  <c r="G88" i="142"/>
  <c r="G89" i="142" s="1"/>
  <c r="G90" i="142" s="1"/>
  <c r="G91" i="142" s="1"/>
  <c r="C8" i="150"/>
  <c r="C21" i="150" s="1"/>
  <c r="B8" i="150"/>
  <c r="H90" i="142"/>
  <c r="H91" i="142" s="1"/>
  <c r="Z111" i="140"/>
  <c r="B11" i="105"/>
  <c r="E5" i="152"/>
  <c r="B56" i="149"/>
  <c r="C11" i="142"/>
  <c r="D53" i="149"/>
  <c r="D52" i="149"/>
  <c r="B26" i="149"/>
  <c r="E26" i="149" s="1"/>
  <c r="B27" i="149"/>
  <c r="E27" i="149" s="1"/>
  <c r="B25" i="149"/>
  <c r="B21" i="149"/>
  <c r="B22" i="149"/>
  <c r="E22" i="149" s="1"/>
  <c r="B20" i="149"/>
  <c r="B14" i="149"/>
  <c r="B15" i="149"/>
  <c r="B16" i="149"/>
  <c r="B13" i="149"/>
  <c r="C77" i="140" l="1"/>
  <c r="C76" i="140"/>
  <c r="J31" i="140"/>
  <c r="B84" i="140" s="1"/>
  <c r="C17" i="149"/>
  <c r="K6" i="140"/>
  <c r="D42" i="169"/>
  <c r="G16" i="140"/>
  <c r="G14" i="140"/>
  <c r="B21" i="150"/>
  <c r="B49" i="149"/>
  <c r="D36" i="169"/>
  <c r="D39" i="169"/>
  <c r="C48" i="169"/>
  <c r="D52" i="169"/>
  <c r="D49" i="169"/>
  <c r="D54" i="169"/>
  <c r="D55" i="169"/>
  <c r="D53" i="169"/>
  <c r="D41" i="169"/>
  <c r="D43" i="169"/>
  <c r="D51" i="169"/>
  <c r="D50" i="169"/>
  <c r="C40" i="169"/>
  <c r="B57" i="149"/>
  <c r="C23" i="149"/>
  <c r="C28" i="149"/>
  <c r="G15" i="140" l="1"/>
  <c r="B61" i="140"/>
  <c r="B63" i="140" s="1"/>
  <c r="C62" i="140" s="1"/>
  <c r="G20" i="140"/>
  <c r="D48" i="169"/>
  <c r="B18" i="155"/>
  <c r="D40" i="169"/>
  <c r="B10" i="155"/>
  <c r="H15" i="140"/>
  <c r="I15" i="140"/>
  <c r="J15" i="140"/>
  <c r="J17" i="140"/>
  <c r="H17" i="140"/>
  <c r="C10" i="152"/>
  <c r="B24" i="169"/>
  <c r="B26" i="169" s="1"/>
  <c r="B27" i="169" s="1"/>
  <c r="C17" i="169"/>
  <c r="C35" i="169"/>
  <c r="B5" i="155" s="1"/>
  <c r="E10" i="169"/>
  <c r="E16" i="169" s="1"/>
  <c r="C61" i="140" l="1"/>
  <c r="I5" i="155"/>
  <c r="Y5" i="155"/>
  <c r="J5" i="155"/>
  <c r="Z5" i="155"/>
  <c r="K5" i="155"/>
  <c r="AA5" i="155"/>
  <c r="L5" i="155"/>
  <c r="AB5" i="155"/>
  <c r="W5" i="155"/>
  <c r="M5" i="155"/>
  <c r="N5" i="155"/>
  <c r="O5" i="155"/>
  <c r="U5" i="155"/>
  <c r="P5" i="155"/>
  <c r="Q5" i="155"/>
  <c r="R5" i="155"/>
  <c r="S5" i="155"/>
  <c r="T5" i="155"/>
  <c r="V5" i="155"/>
  <c r="X5" i="155"/>
  <c r="D30" i="169"/>
  <c r="D17" i="169"/>
  <c r="C37" i="169"/>
  <c r="D35" i="169"/>
  <c r="D37" i="169" l="1"/>
  <c r="B7" i="155"/>
  <c r="C44" i="169"/>
  <c r="C46" i="169"/>
  <c r="D31" i="169"/>
  <c r="D32" i="169" s="1"/>
  <c r="C30" i="169"/>
  <c r="B30" i="169"/>
  <c r="D46" i="169" l="1"/>
  <c r="B16" i="155"/>
  <c r="D44" i="169"/>
  <c r="B14" i="155"/>
  <c r="D47" i="169"/>
  <c r="B17" i="155"/>
  <c r="C45" i="169"/>
  <c r="B72" i="169"/>
  <c r="B59" i="169"/>
  <c r="D45" i="169" l="1"/>
  <c r="B15" i="155"/>
  <c r="C56" i="169"/>
  <c r="B79" i="169"/>
  <c r="B73" i="169"/>
  <c r="B74" i="169" s="1"/>
  <c r="B60" i="169" l="1"/>
  <c r="B66" i="169"/>
  <c r="B31" i="155" s="1"/>
  <c r="B32" i="155" s="1"/>
  <c r="B58" i="169"/>
  <c r="D56" i="169"/>
  <c r="B67" i="169"/>
  <c r="B30" i="155" s="1"/>
  <c r="B80" i="169"/>
  <c r="AS41" i="155" l="1"/>
  <c r="AS38" i="159" s="1"/>
  <c r="AT41" i="155"/>
  <c r="AT38" i="159" s="1"/>
  <c r="AU41" i="155"/>
  <c r="AU38" i="159" s="1"/>
  <c r="B64" i="169"/>
  <c r="B65" i="169" s="1"/>
  <c r="C65" i="169" s="1"/>
  <c r="B27" i="155"/>
  <c r="B40" i="155" s="1"/>
  <c r="B76" i="169"/>
  <c r="C67" i="169"/>
  <c r="G54" i="169"/>
  <c r="C66" i="169"/>
  <c r="B68" i="169"/>
  <c r="G53" i="169"/>
  <c r="B75" i="169"/>
  <c r="B35" i="155" s="1"/>
  <c r="C64" i="169" l="1"/>
  <c r="B77" i="169"/>
  <c r="B84" i="169" s="1"/>
  <c r="C68" i="169"/>
  <c r="H143" i="149" l="1"/>
  <c r="B93" i="149" l="1"/>
  <c r="C33" i="149"/>
  <c r="E21" i="149"/>
  <c r="B44" i="149"/>
  <c r="E25" i="149"/>
  <c r="E28" i="149" s="1"/>
  <c r="D30" i="149"/>
  <c r="E30" i="149" s="1"/>
  <c r="C95" i="149"/>
  <c r="B33" i="149"/>
  <c r="D31" i="149"/>
  <c r="E31" i="149" s="1"/>
  <c r="D32" i="149"/>
  <c r="E32" i="149" s="1"/>
  <c r="D46" i="149"/>
  <c r="D47" i="149"/>
  <c r="G10" i="140" l="1"/>
  <c r="B34" i="149"/>
  <c r="C97" i="149" s="1"/>
  <c r="E33" i="149"/>
  <c r="D74" i="149" s="1"/>
  <c r="E20" i="149"/>
  <c r="E23" i="149" s="1"/>
  <c r="D49" i="149" l="1"/>
  <c r="H54" i="142"/>
  <c r="I54" i="142"/>
  <c r="J54" i="142"/>
  <c r="G54" i="142"/>
  <c r="B52" i="153"/>
  <c r="B23" i="153"/>
  <c r="B34" i="150"/>
  <c r="K17" i="140" s="1"/>
  <c r="D32" i="150"/>
  <c r="B14" i="152"/>
  <c r="D43" i="149"/>
  <c r="D2" i="153"/>
  <c r="D31" i="140"/>
  <c r="H6" i="149"/>
  <c r="K20" i="140" l="1"/>
  <c r="I31" i="140"/>
  <c r="B83" i="140" s="1"/>
  <c r="B85" i="140" s="1"/>
  <c r="B35" i="150"/>
  <c r="B15" i="152"/>
  <c r="G8" i="140" s="1"/>
  <c r="C51" i="153" l="1"/>
  <c r="C47" i="152"/>
  <c r="C40" i="153" l="1"/>
  <c r="I7" i="140"/>
  <c r="C45" i="140"/>
  <c r="D27" i="150" l="1"/>
  <c r="D28" i="150"/>
  <c r="D29" i="150"/>
  <c r="D34" i="150"/>
  <c r="E16" i="150"/>
  <c r="E17" i="150"/>
  <c r="E18" i="150"/>
  <c r="E19" i="150"/>
  <c r="B64" i="150"/>
  <c r="D26" i="150"/>
  <c r="B20" i="152"/>
  <c r="E8" i="152"/>
  <c r="E9" i="152"/>
  <c r="C11" i="149"/>
  <c r="C92" i="149" s="1"/>
  <c r="C40" i="149"/>
  <c r="D40" i="149" s="1"/>
  <c r="D44" i="149" s="1"/>
  <c r="B35" i="152"/>
  <c r="B34" i="152"/>
  <c r="D54" i="149"/>
  <c r="C59" i="149"/>
  <c r="D30" i="150" l="1"/>
  <c r="D35" i="150" s="1"/>
  <c r="C34" i="149"/>
  <c r="E20" i="150"/>
  <c r="E21" i="150" s="1"/>
  <c r="D23" i="153"/>
  <c r="C15" i="152"/>
  <c r="E7" i="152"/>
  <c r="D56" i="149"/>
  <c r="C94" i="149" l="1"/>
  <c r="C101" i="149" s="1"/>
  <c r="C34" i="152"/>
  <c r="D57" i="149"/>
  <c r="C16" i="152"/>
  <c r="C103" i="149" l="1"/>
  <c r="J78" i="142"/>
  <c r="I78" i="142"/>
  <c r="H78" i="142"/>
  <c r="G78" i="142"/>
  <c r="J76" i="142"/>
  <c r="I76" i="142"/>
  <c r="H76" i="142"/>
  <c r="G76" i="142"/>
  <c r="J74" i="142"/>
  <c r="J75" i="142" s="1"/>
  <c r="I74" i="142"/>
  <c r="I75" i="142" s="1"/>
  <c r="H74" i="142"/>
  <c r="H75" i="142" s="1"/>
  <c r="G74" i="142"/>
  <c r="G75" i="142" s="1"/>
  <c r="J68" i="142"/>
  <c r="I68" i="142"/>
  <c r="H68" i="142"/>
  <c r="G68" i="142"/>
  <c r="J66" i="142"/>
  <c r="I66" i="142"/>
  <c r="H66" i="142"/>
  <c r="G66" i="142"/>
  <c r="J64" i="142"/>
  <c r="J65" i="142" s="1"/>
  <c r="I64" i="142"/>
  <c r="I65" i="142" s="1"/>
  <c r="H64" i="142"/>
  <c r="H65" i="142" s="1"/>
  <c r="G64" i="142"/>
  <c r="G65" i="142" s="1"/>
  <c r="J58" i="142"/>
  <c r="I58" i="142"/>
  <c r="H58" i="142"/>
  <c r="G58" i="142"/>
  <c r="J56" i="142"/>
  <c r="I56" i="142"/>
  <c r="H56" i="142"/>
  <c r="G56" i="142"/>
  <c r="J55" i="142"/>
  <c r="I55" i="142"/>
  <c r="H55" i="142"/>
  <c r="G55" i="142"/>
  <c r="E53" i="142"/>
  <c r="D53" i="142"/>
  <c r="C53" i="142"/>
  <c r="B53" i="142"/>
  <c r="C17" i="142"/>
  <c r="C14" i="142"/>
  <c r="B60" i="142" l="1"/>
  <c r="B61" i="142" s="1"/>
  <c r="B66" i="142"/>
  <c r="B54" i="142"/>
  <c r="C66" i="142"/>
  <c r="C60" i="142"/>
  <c r="C54" i="142"/>
  <c r="C55" i="142" s="1"/>
  <c r="C57" i="142" s="1"/>
  <c r="C58" i="142" s="1"/>
  <c r="D66" i="142"/>
  <c r="D67" i="142" s="1"/>
  <c r="D69" i="142" s="1"/>
  <c r="D70" i="142" s="1"/>
  <c r="D60" i="142"/>
  <c r="D61" i="142" s="1"/>
  <c r="D63" i="142" s="1"/>
  <c r="D64" i="142" s="1"/>
  <c r="E15" i="149" s="1"/>
  <c r="D54" i="142"/>
  <c r="D55" i="142" s="1"/>
  <c r="D57" i="142" s="1"/>
  <c r="D58" i="142" s="1"/>
  <c r="E60" i="142"/>
  <c r="E61" i="142" s="1"/>
  <c r="E63" i="142" s="1"/>
  <c r="E64" i="142" s="1"/>
  <c r="E16" i="149" s="1"/>
  <c r="E66" i="142"/>
  <c r="E67" i="142" s="1"/>
  <c r="E69" i="142" s="1"/>
  <c r="E70" i="142" s="1"/>
  <c r="E54" i="142"/>
  <c r="E55" i="142" s="1"/>
  <c r="E57" i="142" s="1"/>
  <c r="E58" i="142" s="1"/>
  <c r="I79" i="142"/>
  <c r="I80" i="142" s="1"/>
  <c r="I81" i="142" s="1"/>
  <c r="I82" i="142" s="1"/>
  <c r="G79" i="142"/>
  <c r="G80" i="142" s="1"/>
  <c r="G81" i="142" s="1"/>
  <c r="G82" i="142" s="1"/>
  <c r="H79" i="142"/>
  <c r="H80" i="142" s="1"/>
  <c r="H81" i="142" s="1"/>
  <c r="H82" i="142" s="1"/>
  <c r="J79" i="142"/>
  <c r="J80" i="142" s="1"/>
  <c r="J81" i="142" s="1"/>
  <c r="J82" i="142" s="1"/>
  <c r="C72" i="142"/>
  <c r="C73" i="142" s="1"/>
  <c r="C75" i="142" s="1"/>
  <c r="C76" i="142" s="1"/>
  <c r="B67" i="142"/>
  <c r="B69" i="142" s="1"/>
  <c r="B70" i="142" s="1"/>
  <c r="B72" i="142"/>
  <c r="B73" i="142" s="1"/>
  <c r="B75" i="142" s="1"/>
  <c r="B76" i="142" s="1"/>
  <c r="D72" i="142"/>
  <c r="D73" i="142" s="1"/>
  <c r="D75" i="142" s="1"/>
  <c r="D76" i="142" s="1"/>
  <c r="E72" i="142"/>
  <c r="E73" i="142" s="1"/>
  <c r="E75" i="142" s="1"/>
  <c r="E76" i="142" s="1"/>
  <c r="G69" i="142"/>
  <c r="G70" i="142" s="1"/>
  <c r="G71" i="142" s="1"/>
  <c r="G72" i="142" s="1"/>
  <c r="B55" i="142"/>
  <c r="B57" i="142" s="1"/>
  <c r="B58" i="142" s="1"/>
  <c r="H69" i="142"/>
  <c r="H70" i="142" s="1"/>
  <c r="H71" i="142" s="1"/>
  <c r="H72" i="142" s="1"/>
  <c r="E9" i="149"/>
  <c r="I69" i="142"/>
  <c r="I70" i="142" s="1"/>
  <c r="I71" i="142" s="1"/>
  <c r="I72" i="142" s="1"/>
  <c r="J69" i="142"/>
  <c r="J70" i="142" s="1"/>
  <c r="J71" i="142" s="1"/>
  <c r="J72" i="142" s="1"/>
  <c r="G59" i="142"/>
  <c r="G60" i="142" s="1"/>
  <c r="B63" i="142"/>
  <c r="B64" i="142" s="1"/>
  <c r="H59" i="142"/>
  <c r="H60" i="142" s="1"/>
  <c r="E10" i="149"/>
  <c r="E7" i="149"/>
  <c r="I59" i="142"/>
  <c r="I60" i="142" s="1"/>
  <c r="I61" i="142" s="1"/>
  <c r="I62" i="142" s="1"/>
  <c r="E8" i="149"/>
  <c r="J59" i="142"/>
  <c r="J60" i="142" s="1"/>
  <c r="J61" i="142" s="1"/>
  <c r="J62" i="142" s="1"/>
  <c r="C67" i="142"/>
  <c r="C69" i="142" s="1"/>
  <c r="C70" i="142" s="1"/>
  <c r="C61" i="142"/>
  <c r="C63" i="142" s="1"/>
  <c r="C64" i="142" s="1"/>
  <c r="AV8" i="155"/>
  <c r="AV8" i="156"/>
  <c r="AV12" i="154"/>
  <c r="AV21" i="154"/>
  <c r="AV22" i="154"/>
  <c r="AV8" i="105"/>
  <c r="D1" i="152"/>
  <c r="A1" i="155"/>
  <c r="C90" i="150"/>
  <c r="D1" i="150"/>
  <c r="B40" i="150" s="1"/>
  <c r="D2" i="149"/>
  <c r="B62" i="149" s="1"/>
  <c r="E11" i="149" l="1"/>
  <c r="E14" i="149"/>
  <c r="E13" i="149"/>
  <c r="E13" i="152"/>
  <c r="E12" i="152"/>
  <c r="E14" i="152" s="1"/>
  <c r="H61" i="142"/>
  <c r="H62" i="142" s="1"/>
  <c r="G61" i="142"/>
  <c r="G62" i="142" s="1"/>
  <c r="C92" i="153"/>
  <c r="C78" i="153"/>
  <c r="C34" i="153"/>
  <c r="B28" i="153"/>
  <c r="C49" i="153"/>
  <c r="A1" i="156"/>
  <c r="C32" i="152"/>
  <c r="C69" i="152"/>
  <c r="C61" i="152"/>
  <c r="B21" i="152"/>
  <c r="C102" i="150"/>
  <c r="C46" i="150"/>
  <c r="C61" i="150"/>
  <c r="A1" i="154"/>
  <c r="C130" i="149"/>
  <c r="C119" i="149"/>
  <c r="B66" i="149"/>
  <c r="C90" i="149"/>
  <c r="C72" i="149"/>
  <c r="AX8" i="162"/>
  <c r="B24" i="154"/>
  <c r="U24" i="154" s="1"/>
  <c r="B19" i="154"/>
  <c r="Z19" i="154" s="1"/>
  <c r="B25" i="154"/>
  <c r="N25" i="154" s="1"/>
  <c r="B17" i="154"/>
  <c r="J4" i="154"/>
  <c r="AV8" i="154"/>
  <c r="B9" i="154"/>
  <c r="H9" i="154" s="1"/>
  <c r="F4" i="154"/>
  <c r="G4" i="154"/>
  <c r="B23" i="105"/>
  <c r="D23" i="105" s="1"/>
  <c r="F4" i="105"/>
  <c r="G4" i="105" s="1"/>
  <c r="AV4" i="105" s="1"/>
  <c r="B9" i="105"/>
  <c r="I9" i="105" s="1"/>
  <c r="AV9" i="105" s="1"/>
  <c r="B25" i="105"/>
  <c r="L25" i="105" s="1"/>
  <c r="B24" i="105"/>
  <c r="N24" i="105" s="1"/>
  <c r="E6" i="152"/>
  <c r="E10" i="152" s="1"/>
  <c r="C35" i="152"/>
  <c r="B6" i="162" s="1"/>
  <c r="C6" i="162" s="1"/>
  <c r="A65" i="152"/>
  <c r="A66" i="152" s="1"/>
  <c r="B63" i="150"/>
  <c r="C63" i="150" s="1"/>
  <c r="B11" i="156"/>
  <c r="AW11" i="156" s="1"/>
  <c r="B109" i="153"/>
  <c r="B52" i="150"/>
  <c r="B120" i="150"/>
  <c r="B19" i="105"/>
  <c r="T19" i="105" s="1"/>
  <c r="B11" i="162"/>
  <c r="AW11" i="162" s="1"/>
  <c r="AX11" i="162" s="1"/>
  <c r="B24" i="162"/>
  <c r="Q24" i="162" s="1"/>
  <c r="D3" i="105"/>
  <c r="E3" i="105" s="1"/>
  <c r="F3" i="105" s="1"/>
  <c r="G3" i="105" s="1"/>
  <c r="H3" i="105" s="1"/>
  <c r="I3" i="105" s="1"/>
  <c r="J3" i="105" s="1"/>
  <c r="K3" i="105" s="1"/>
  <c r="L3" i="105" s="1"/>
  <c r="M3" i="105" s="1"/>
  <c r="N3" i="105" s="1"/>
  <c r="O3" i="105" s="1"/>
  <c r="P3" i="105" s="1"/>
  <c r="Q3" i="105" s="1"/>
  <c r="R3" i="105" s="1"/>
  <c r="S3" i="105" s="1"/>
  <c r="T3" i="105" s="1"/>
  <c r="U3" i="105" s="1"/>
  <c r="V3" i="105" s="1"/>
  <c r="W3" i="105" s="1"/>
  <c r="X3" i="105" s="1"/>
  <c r="Y3" i="105" s="1"/>
  <c r="Z3" i="105" s="1"/>
  <c r="AA3" i="105" s="1"/>
  <c r="AB3" i="105" s="1"/>
  <c r="AC3" i="105" s="1"/>
  <c r="AD3" i="105" s="1"/>
  <c r="AE3" i="105" s="1"/>
  <c r="AF3" i="105" s="1"/>
  <c r="AG3" i="105" s="1"/>
  <c r="AH3" i="105" s="1"/>
  <c r="AI3" i="105" s="1"/>
  <c r="AJ3" i="105" s="1"/>
  <c r="AK3" i="105" s="1"/>
  <c r="AL3" i="105" s="1"/>
  <c r="AM3" i="105" s="1"/>
  <c r="AN3" i="105" s="1"/>
  <c r="AO3" i="105" s="1"/>
  <c r="AP3" i="105" s="1"/>
  <c r="AQ3" i="105" s="1"/>
  <c r="AR3" i="105" s="1"/>
  <c r="AS3" i="105" s="1"/>
  <c r="AT3" i="105" s="1"/>
  <c r="AU3" i="105" s="1"/>
  <c r="P12" i="155"/>
  <c r="V12" i="155"/>
  <c r="S12" i="155"/>
  <c r="Q12" i="155"/>
  <c r="L12" i="155"/>
  <c r="K12" i="155"/>
  <c r="Q13" i="155"/>
  <c r="AV13" i="155" s="1"/>
  <c r="V21" i="155"/>
  <c r="B20" i="162"/>
  <c r="AW20" i="162" s="1"/>
  <c r="AX20" i="162" s="1"/>
  <c r="D3" i="159"/>
  <c r="E3" i="159" s="1"/>
  <c r="F3" i="159" s="1"/>
  <c r="G3" i="159" s="1"/>
  <c r="H3" i="159" s="1"/>
  <c r="I3" i="159" s="1"/>
  <c r="J3" i="159" s="1"/>
  <c r="K3" i="159" s="1"/>
  <c r="L3" i="159" s="1"/>
  <c r="M3" i="159" s="1"/>
  <c r="N3" i="159" s="1"/>
  <c r="O3" i="159" s="1"/>
  <c r="P3" i="159" s="1"/>
  <c r="Q3" i="159" s="1"/>
  <c r="R3" i="159" s="1"/>
  <c r="S3" i="159" s="1"/>
  <c r="T3" i="159" s="1"/>
  <c r="U3" i="159" s="1"/>
  <c r="V3" i="159" s="1"/>
  <c r="W3" i="159" s="1"/>
  <c r="X3" i="159" s="1"/>
  <c r="Y3" i="159" s="1"/>
  <c r="Z3" i="159" s="1"/>
  <c r="AA3" i="159" s="1"/>
  <c r="AB3" i="159" s="1"/>
  <c r="AC3" i="159" s="1"/>
  <c r="AD3" i="159" s="1"/>
  <c r="AE3" i="159" s="1"/>
  <c r="AF3" i="159" s="1"/>
  <c r="AG3" i="159" s="1"/>
  <c r="AH3" i="159" s="1"/>
  <c r="AI3" i="159" s="1"/>
  <c r="AJ3" i="159" s="1"/>
  <c r="AK3" i="159" s="1"/>
  <c r="AL3" i="159" s="1"/>
  <c r="AM3" i="159" s="1"/>
  <c r="D3" i="154"/>
  <c r="E3" i="154" s="1"/>
  <c r="F3" i="154" s="1"/>
  <c r="G3" i="154" s="1"/>
  <c r="H3" i="154" s="1"/>
  <c r="I3" i="154" s="1"/>
  <c r="J3" i="154" s="1"/>
  <c r="K3" i="154" s="1"/>
  <c r="L3" i="154" s="1"/>
  <c r="M3" i="154" s="1"/>
  <c r="N3" i="154" s="1"/>
  <c r="O3" i="154" s="1"/>
  <c r="P3" i="154" s="1"/>
  <c r="Q3" i="154" s="1"/>
  <c r="R3" i="154" s="1"/>
  <c r="S3" i="154" s="1"/>
  <c r="T3" i="154" s="1"/>
  <c r="U3" i="154" s="1"/>
  <c r="V3" i="154" s="1"/>
  <c r="W3" i="154" s="1"/>
  <c r="X3" i="154" s="1"/>
  <c r="Y3" i="154" s="1"/>
  <c r="Z3" i="154" s="1"/>
  <c r="AA3" i="154" s="1"/>
  <c r="AB3" i="154" s="1"/>
  <c r="AC3" i="154" s="1"/>
  <c r="AD3" i="154" s="1"/>
  <c r="AE3" i="154" s="1"/>
  <c r="AF3" i="154" s="1"/>
  <c r="AG3" i="154" s="1"/>
  <c r="AH3" i="154" s="1"/>
  <c r="AI3" i="154" s="1"/>
  <c r="AJ3" i="154" s="1"/>
  <c r="AK3" i="154" s="1"/>
  <c r="AL3" i="154" s="1"/>
  <c r="AM3" i="154" s="1"/>
  <c r="AN3" i="154" s="1"/>
  <c r="AO3" i="154" s="1"/>
  <c r="AP3" i="154" s="1"/>
  <c r="AQ3" i="154" s="1"/>
  <c r="AR3" i="154" s="1"/>
  <c r="AS3" i="154" s="1"/>
  <c r="AT3" i="154" s="1"/>
  <c r="AU3" i="154" s="1"/>
  <c r="D3" i="155"/>
  <c r="E3" i="155" s="1"/>
  <c r="F3" i="155" s="1"/>
  <c r="G3" i="155" s="1"/>
  <c r="H3" i="155" s="1"/>
  <c r="I3" i="155" s="1"/>
  <c r="J3" i="155" s="1"/>
  <c r="K3" i="155" s="1"/>
  <c r="L3" i="155" s="1"/>
  <c r="M3" i="155" s="1"/>
  <c r="N3" i="155" s="1"/>
  <c r="O3" i="155" s="1"/>
  <c r="P3" i="155" s="1"/>
  <c r="Q3" i="155" s="1"/>
  <c r="R3" i="155" s="1"/>
  <c r="S3" i="155" s="1"/>
  <c r="T3" i="155" s="1"/>
  <c r="U3" i="155" s="1"/>
  <c r="V3" i="155" s="1"/>
  <c r="W3" i="155" s="1"/>
  <c r="X3" i="155" s="1"/>
  <c r="Y3" i="155" s="1"/>
  <c r="Z3" i="155" s="1"/>
  <c r="AA3" i="155" s="1"/>
  <c r="AB3" i="155" s="1"/>
  <c r="AC3" i="155" s="1"/>
  <c r="AD3" i="155" s="1"/>
  <c r="AE3" i="155" s="1"/>
  <c r="AF3" i="155" s="1"/>
  <c r="AG3" i="155" s="1"/>
  <c r="AH3" i="155" s="1"/>
  <c r="AI3" i="155" s="1"/>
  <c r="AJ3" i="155" s="1"/>
  <c r="AK3" i="155" s="1"/>
  <c r="AL3" i="155" s="1"/>
  <c r="AM3" i="155" s="1"/>
  <c r="AN3" i="155" s="1"/>
  <c r="AO3" i="155" s="1"/>
  <c r="AP3" i="155" s="1"/>
  <c r="AQ3" i="155" s="1"/>
  <c r="AR3" i="155" s="1"/>
  <c r="AS3" i="155" s="1"/>
  <c r="AT3" i="155" s="1"/>
  <c r="AU3" i="155" s="1"/>
  <c r="F1" i="155"/>
  <c r="E1" i="155"/>
  <c r="D1" i="155"/>
  <c r="C1" i="155"/>
  <c r="D3" i="156"/>
  <c r="E3" i="156" s="1"/>
  <c r="F3" i="156" s="1"/>
  <c r="G3" i="156" s="1"/>
  <c r="H3" i="156" s="1"/>
  <c r="I3" i="156" s="1"/>
  <c r="J3" i="156" s="1"/>
  <c r="K3" i="156" s="1"/>
  <c r="L3" i="156" s="1"/>
  <c r="M3" i="156" s="1"/>
  <c r="N3" i="156" s="1"/>
  <c r="O3" i="156" s="1"/>
  <c r="P3" i="156" s="1"/>
  <c r="Q3" i="156" s="1"/>
  <c r="R3" i="156" s="1"/>
  <c r="S3" i="156" s="1"/>
  <c r="T3" i="156" s="1"/>
  <c r="U3" i="156" s="1"/>
  <c r="V3" i="156" s="1"/>
  <c r="W3" i="156" s="1"/>
  <c r="X3" i="156" s="1"/>
  <c r="Y3" i="156" s="1"/>
  <c r="Z3" i="156" s="1"/>
  <c r="AA3" i="156" s="1"/>
  <c r="AB3" i="156" s="1"/>
  <c r="AC3" i="156" s="1"/>
  <c r="AD3" i="156" s="1"/>
  <c r="AE3" i="156" s="1"/>
  <c r="AF3" i="156" s="1"/>
  <c r="AG3" i="156" s="1"/>
  <c r="AH3" i="156" s="1"/>
  <c r="AI3" i="156" s="1"/>
  <c r="AJ3" i="156" s="1"/>
  <c r="AK3" i="156" s="1"/>
  <c r="AL3" i="156" s="1"/>
  <c r="AM3" i="156" s="1"/>
  <c r="AN3" i="156" s="1"/>
  <c r="AO3" i="156" s="1"/>
  <c r="AP3" i="156" s="1"/>
  <c r="AQ3" i="156" s="1"/>
  <c r="AR3" i="156" s="1"/>
  <c r="AS3" i="156" s="1"/>
  <c r="AT3" i="156" s="1"/>
  <c r="AU3" i="156" s="1"/>
  <c r="F1" i="156"/>
  <c r="E1" i="156"/>
  <c r="D1" i="156"/>
  <c r="C1" i="156"/>
  <c r="D3" i="162"/>
  <c r="E3" i="162" s="1"/>
  <c r="F3" i="162" s="1"/>
  <c r="G3" i="162" s="1"/>
  <c r="H3" i="162" s="1"/>
  <c r="I3" i="162" s="1"/>
  <c r="J3" i="162" s="1"/>
  <c r="K3" i="162" s="1"/>
  <c r="L3" i="162" s="1"/>
  <c r="M3" i="162" s="1"/>
  <c r="N3" i="162" s="1"/>
  <c r="O3" i="162" s="1"/>
  <c r="P3" i="162" s="1"/>
  <c r="Q3" i="162" s="1"/>
  <c r="R3" i="162" s="1"/>
  <c r="S3" i="162" s="1"/>
  <c r="T3" i="162" s="1"/>
  <c r="U3" i="162" s="1"/>
  <c r="V3" i="162" s="1"/>
  <c r="W3" i="162" s="1"/>
  <c r="X3" i="162" s="1"/>
  <c r="Y3" i="162" s="1"/>
  <c r="Z3" i="162" s="1"/>
  <c r="AA3" i="162" s="1"/>
  <c r="AB3" i="162" s="1"/>
  <c r="AC3" i="162" s="1"/>
  <c r="AD3" i="162" s="1"/>
  <c r="AE3" i="162" s="1"/>
  <c r="AF3" i="162" s="1"/>
  <c r="AG3" i="162" s="1"/>
  <c r="AH3" i="162" s="1"/>
  <c r="AI3" i="162" s="1"/>
  <c r="AJ3" i="162" s="1"/>
  <c r="AK3" i="162" s="1"/>
  <c r="AL3" i="162" s="1"/>
  <c r="AM3" i="162" s="1"/>
  <c r="AN3" i="162" s="1"/>
  <c r="AO3" i="162" s="1"/>
  <c r="AP3" i="162" s="1"/>
  <c r="AQ3" i="162" s="1"/>
  <c r="AR3" i="162" s="1"/>
  <c r="AS3" i="162" s="1"/>
  <c r="AT3" i="162" s="1"/>
  <c r="AU3" i="162" s="1"/>
  <c r="F1" i="162"/>
  <c r="E1" i="162"/>
  <c r="D1" i="162"/>
  <c r="C1" i="162"/>
  <c r="F1" i="154"/>
  <c r="E1" i="154"/>
  <c r="D1" i="154"/>
  <c r="C1" i="154"/>
  <c r="F1" i="105"/>
  <c r="E1" i="105"/>
  <c r="D1" i="105"/>
  <c r="C1" i="105"/>
  <c r="AW8" i="155"/>
  <c r="AX8" i="155" s="1"/>
  <c r="B8" i="156"/>
  <c r="AW8" i="156" s="1"/>
  <c r="AX8" i="156" s="1"/>
  <c r="A8" i="156"/>
  <c r="B8" i="162"/>
  <c r="A8" i="162"/>
  <c r="A8" i="154"/>
  <c r="B8" i="105"/>
  <c r="AW8" i="105" s="1"/>
  <c r="AX8" i="105" s="1"/>
  <c r="A8" i="105"/>
  <c r="B25" i="162"/>
  <c r="M25" i="162" s="1"/>
  <c r="A25" i="162"/>
  <c r="A24" i="162"/>
  <c r="A23" i="162"/>
  <c r="B22" i="162"/>
  <c r="AW22" i="162" s="1"/>
  <c r="AX22" i="162" s="1"/>
  <c r="AV22" i="162"/>
  <c r="A22" i="162"/>
  <c r="B21" i="162"/>
  <c r="AW21" i="162" s="1"/>
  <c r="AX21" i="162" s="1"/>
  <c r="A21" i="162"/>
  <c r="A20" i="162"/>
  <c r="B19" i="162"/>
  <c r="AW19" i="162" s="1"/>
  <c r="A19" i="162"/>
  <c r="A18" i="162"/>
  <c r="B17" i="162"/>
  <c r="N17" i="162" s="1"/>
  <c r="A17" i="162"/>
  <c r="A16" i="162"/>
  <c r="A15" i="162"/>
  <c r="A14" i="162"/>
  <c r="A13" i="162"/>
  <c r="B12" i="162"/>
  <c r="I12" i="162" s="1"/>
  <c r="A12" i="162"/>
  <c r="A11" i="162"/>
  <c r="A10" i="162"/>
  <c r="B9" i="162"/>
  <c r="E9" i="162" s="1"/>
  <c r="A9" i="162"/>
  <c r="A7" i="162"/>
  <c r="A6" i="162"/>
  <c r="A5" i="162"/>
  <c r="A26" i="162"/>
  <c r="AV11" i="162"/>
  <c r="F4" i="162"/>
  <c r="G4" i="162" s="1"/>
  <c r="W25" i="155"/>
  <c r="AB19" i="155"/>
  <c r="AW17" i="155"/>
  <c r="R12" i="155"/>
  <c r="Q9" i="155"/>
  <c r="AV9" i="155" s="1"/>
  <c r="AW18" i="155"/>
  <c r="F17" i="155"/>
  <c r="AV21" i="162"/>
  <c r="X21" i="155"/>
  <c r="B25" i="156"/>
  <c r="AE25" i="156" s="1"/>
  <c r="A25" i="156"/>
  <c r="B24" i="156"/>
  <c r="A24" i="156"/>
  <c r="B23" i="156"/>
  <c r="AW23" i="156" s="1"/>
  <c r="A23" i="156"/>
  <c r="A22" i="156"/>
  <c r="A21" i="156"/>
  <c r="A20" i="156"/>
  <c r="B19" i="156"/>
  <c r="AI19" i="156" s="1"/>
  <c r="A19" i="156"/>
  <c r="A18" i="156"/>
  <c r="B17" i="156"/>
  <c r="AW17" i="156" s="1"/>
  <c r="A17" i="156"/>
  <c r="A16" i="156"/>
  <c r="A15" i="156"/>
  <c r="A14" i="156"/>
  <c r="B13" i="156"/>
  <c r="L13" i="156" s="1"/>
  <c r="AV13" i="156" s="1"/>
  <c r="A13" i="156"/>
  <c r="B12" i="156"/>
  <c r="O12" i="156" s="1"/>
  <c r="A12" i="156"/>
  <c r="A11" i="156"/>
  <c r="A10" i="156"/>
  <c r="B9" i="156"/>
  <c r="AW9" i="156" s="1"/>
  <c r="A9" i="156"/>
  <c r="A7" i="156"/>
  <c r="A6" i="156"/>
  <c r="A5" i="156"/>
  <c r="A26" i="156"/>
  <c r="F4" i="156"/>
  <c r="AW23" i="155"/>
  <c r="AW13" i="155"/>
  <c r="AW12" i="155"/>
  <c r="A26" i="155"/>
  <c r="Q23" i="155"/>
  <c r="F4" i="155"/>
  <c r="AV4" i="155" s="1"/>
  <c r="A25" i="154"/>
  <c r="A24" i="154"/>
  <c r="A23" i="154"/>
  <c r="A22" i="154"/>
  <c r="A21" i="154"/>
  <c r="A20" i="154"/>
  <c r="A19" i="154"/>
  <c r="A18" i="154"/>
  <c r="A17" i="154"/>
  <c r="A16" i="154"/>
  <c r="A15" i="154"/>
  <c r="A14" i="154"/>
  <c r="A13" i="154"/>
  <c r="B12" i="154"/>
  <c r="AW12" i="154" s="1"/>
  <c r="AX12" i="154" s="1"/>
  <c r="A12" i="154"/>
  <c r="A11" i="154"/>
  <c r="A10" i="154"/>
  <c r="A9" i="154"/>
  <c r="A7" i="154"/>
  <c r="A6" i="154"/>
  <c r="A5" i="154"/>
  <c r="A26" i="154"/>
  <c r="A33" i="153"/>
  <c r="B27" i="153"/>
  <c r="B31" i="153" s="1"/>
  <c r="B24" i="152"/>
  <c r="B22" i="152"/>
  <c r="AV11" i="156"/>
  <c r="AV10" i="156"/>
  <c r="B33" i="162"/>
  <c r="C23" i="155"/>
  <c r="AW25" i="155"/>
  <c r="G4" i="155"/>
  <c r="G6" i="155" s="1"/>
  <c r="AV9" i="156"/>
  <c r="G4" i="156"/>
  <c r="D23" i="155"/>
  <c r="AV23" i="155" s="1"/>
  <c r="AV11" i="155"/>
  <c r="AW24" i="155"/>
  <c r="AV20" i="162"/>
  <c r="A26" i="105"/>
  <c r="A25" i="105"/>
  <c r="A24" i="105"/>
  <c r="A23" i="105"/>
  <c r="A22" i="105"/>
  <c r="A21" i="105"/>
  <c r="A20" i="105"/>
  <c r="A19" i="105"/>
  <c r="A18" i="105"/>
  <c r="A17" i="105"/>
  <c r="A16" i="105"/>
  <c r="A15" i="105"/>
  <c r="A14" i="105"/>
  <c r="A13" i="105"/>
  <c r="B12" i="105"/>
  <c r="AW12" i="105" s="1"/>
  <c r="A12" i="105"/>
  <c r="A11" i="105"/>
  <c r="A10" i="105"/>
  <c r="A9" i="105"/>
  <c r="A7" i="105"/>
  <c r="A6" i="105"/>
  <c r="A5" i="105"/>
  <c r="B41" i="150"/>
  <c r="B39" i="150"/>
  <c r="B43" i="150" s="1"/>
  <c r="C79" i="150"/>
  <c r="B148" i="149"/>
  <c r="B65" i="149"/>
  <c r="AW10" i="155"/>
  <c r="Q10" i="155"/>
  <c r="AV10" i="155" s="1"/>
  <c r="AV17" i="156"/>
  <c r="B33" i="154"/>
  <c r="B33" i="156"/>
  <c r="AG4" i="159"/>
  <c r="AH4" i="159"/>
  <c r="AI4" i="159"/>
  <c r="AK4" i="159"/>
  <c r="AL4" i="159"/>
  <c r="AN36" i="156"/>
  <c r="AN4" i="159" s="1"/>
  <c r="AO36" i="156"/>
  <c r="AO4" i="159" s="1"/>
  <c r="AP36" i="156"/>
  <c r="AP4" i="159" s="1"/>
  <c r="AQ36" i="156"/>
  <c r="AQ4" i="159" s="1"/>
  <c r="AR36" i="156"/>
  <c r="AR4" i="159" s="1"/>
  <c r="B33" i="105"/>
  <c r="AV12" i="105"/>
  <c r="AB24" i="156" l="1"/>
  <c r="AW24" i="156"/>
  <c r="AV4" i="154"/>
  <c r="AP3" i="159"/>
  <c r="AQ3" i="159" s="1"/>
  <c r="AR3" i="159" s="1"/>
  <c r="AS3" i="159" s="1"/>
  <c r="AT3" i="159" s="1"/>
  <c r="AU3" i="159" s="1"/>
  <c r="AN3" i="159"/>
  <c r="AO3" i="159" s="1"/>
  <c r="AX9" i="156"/>
  <c r="AX23" i="155"/>
  <c r="E17" i="149"/>
  <c r="E34" i="149" s="1"/>
  <c r="AW25" i="156"/>
  <c r="AX10" i="155"/>
  <c r="D52" i="150"/>
  <c r="P23" i="156"/>
  <c r="D23" i="156"/>
  <c r="C23" i="156"/>
  <c r="C93" i="149"/>
  <c r="B6" i="105" s="1"/>
  <c r="D6" i="105" s="1"/>
  <c r="B69" i="149"/>
  <c r="AW19" i="105"/>
  <c r="E15" i="152"/>
  <c r="D16" i="152" s="1"/>
  <c r="AX17" i="156"/>
  <c r="A37" i="153"/>
  <c r="B30" i="153"/>
  <c r="B32" i="153" s="1"/>
  <c r="B33" i="153" s="1"/>
  <c r="D58" i="153"/>
  <c r="D70" i="153"/>
  <c r="D65" i="153"/>
  <c r="AW9" i="154"/>
  <c r="AW23" i="105"/>
  <c r="D53" i="152"/>
  <c r="C52" i="153"/>
  <c r="C64" i="153"/>
  <c r="D59" i="153"/>
  <c r="D55" i="153"/>
  <c r="D71" i="153"/>
  <c r="C67" i="153"/>
  <c r="T25" i="156"/>
  <c r="AH25" i="156"/>
  <c r="AW13" i="156"/>
  <c r="AX13" i="156" s="1"/>
  <c r="D69" i="153"/>
  <c r="AE24" i="156"/>
  <c r="AM24" i="156"/>
  <c r="D57" i="153"/>
  <c r="C56" i="153"/>
  <c r="AF24" i="156"/>
  <c r="R12" i="156"/>
  <c r="S12" i="156"/>
  <c r="D63" i="153"/>
  <c r="S25" i="156"/>
  <c r="C64" i="150"/>
  <c r="AW25" i="154"/>
  <c r="A49" i="150"/>
  <c r="AW17" i="154"/>
  <c r="K25" i="154"/>
  <c r="AV9" i="154"/>
  <c r="C35" i="150"/>
  <c r="O24" i="154"/>
  <c r="S24" i="154"/>
  <c r="AW24" i="154"/>
  <c r="Y19" i="154"/>
  <c r="AV19" i="154" s="1"/>
  <c r="B21" i="154"/>
  <c r="AW21" i="154" s="1"/>
  <c r="AX21" i="154" s="1"/>
  <c r="AW19" i="154"/>
  <c r="V25" i="154"/>
  <c r="W24" i="154"/>
  <c r="AW6" i="162"/>
  <c r="S6" i="162"/>
  <c r="S25" i="105"/>
  <c r="R6" i="162"/>
  <c r="M6" i="162"/>
  <c r="B5" i="162"/>
  <c r="R24" i="162"/>
  <c r="N24" i="162"/>
  <c r="G12" i="162"/>
  <c r="S24" i="162"/>
  <c r="L6" i="162"/>
  <c r="F12" i="162"/>
  <c r="K6" i="162"/>
  <c r="AW24" i="162"/>
  <c r="I9" i="162"/>
  <c r="AV9" i="162" s="1"/>
  <c r="AW25" i="162"/>
  <c r="AW9" i="162"/>
  <c r="AW17" i="162"/>
  <c r="AW12" i="162"/>
  <c r="H17" i="162"/>
  <c r="P24" i="162"/>
  <c r="P25" i="162"/>
  <c r="O24" i="162"/>
  <c r="I6" i="162"/>
  <c r="E6" i="162"/>
  <c r="Q6" i="162"/>
  <c r="P6" i="162"/>
  <c r="N6" i="162"/>
  <c r="D41" i="152"/>
  <c r="D51" i="152"/>
  <c r="D54" i="152"/>
  <c r="D50" i="152"/>
  <c r="D40" i="152"/>
  <c r="C39" i="152"/>
  <c r="C42" i="152" s="1"/>
  <c r="B13" i="162" s="1"/>
  <c r="I13" i="162" s="1"/>
  <c r="AV13" i="162" s="1"/>
  <c r="D35" i="152"/>
  <c r="D48" i="152"/>
  <c r="B23" i="152"/>
  <c r="B25" i="152" s="1"/>
  <c r="B26" i="152" s="1"/>
  <c r="D49" i="152"/>
  <c r="D38" i="152"/>
  <c r="D46" i="152"/>
  <c r="Q24" i="105"/>
  <c r="AW24" i="105"/>
  <c r="C23" i="153"/>
  <c r="C17" i="153"/>
  <c r="AX13" i="155"/>
  <c r="W21" i="155"/>
  <c r="AV21" i="155" s="1"/>
  <c r="T12" i="155"/>
  <c r="AW21" i="155"/>
  <c r="U12" i="155"/>
  <c r="AW9" i="155"/>
  <c r="AX9" i="155" s="1"/>
  <c r="X25" i="155"/>
  <c r="N12" i="155"/>
  <c r="N17" i="155"/>
  <c r="Q25" i="155"/>
  <c r="M12" i="155"/>
  <c r="R18" i="155"/>
  <c r="J17" i="155"/>
  <c r="R25" i="155"/>
  <c r="O12" i="155"/>
  <c r="Z17" i="155"/>
  <c r="S25" i="155"/>
  <c r="Q18" i="155"/>
  <c r="V17" i="155"/>
  <c r="T25" i="155"/>
  <c r="R17" i="155"/>
  <c r="U25" i="155"/>
  <c r="AA19" i="155"/>
  <c r="V25" i="155"/>
  <c r="AW19" i="155"/>
  <c r="Z19" i="155"/>
  <c r="AW12" i="156"/>
  <c r="AW19" i="156"/>
  <c r="P12" i="156"/>
  <c r="Q25" i="156"/>
  <c r="AF25" i="156"/>
  <c r="AC24" i="156"/>
  <c r="Q12" i="156"/>
  <c r="R25" i="156"/>
  <c r="AG25" i="156"/>
  <c r="AD24" i="156"/>
  <c r="AX11" i="156"/>
  <c r="T12" i="156"/>
  <c r="U25" i="156"/>
  <c r="AI24" i="156"/>
  <c r="AG24" i="156"/>
  <c r="AH19" i="156"/>
  <c r="AV19" i="156" s="1"/>
  <c r="Y25" i="156"/>
  <c r="AJ24" i="156"/>
  <c r="H4" i="156"/>
  <c r="Z25" i="156"/>
  <c r="AK24" i="156"/>
  <c r="I12" i="156"/>
  <c r="AA25" i="156"/>
  <c r="AL24" i="156"/>
  <c r="J12" i="156"/>
  <c r="AB25" i="156"/>
  <c r="AH24" i="156"/>
  <c r="K12" i="156"/>
  <c r="AC25" i="156"/>
  <c r="Z24" i="156"/>
  <c r="L12" i="156"/>
  <c r="AD25" i="156"/>
  <c r="AA24" i="156"/>
  <c r="AI25" i="156"/>
  <c r="H4" i="162"/>
  <c r="G6" i="162"/>
  <c r="AV4" i="162"/>
  <c r="J12" i="162"/>
  <c r="N25" i="162"/>
  <c r="L25" i="162"/>
  <c r="O25" i="162"/>
  <c r="F6" i="162"/>
  <c r="D6" i="162"/>
  <c r="Q17" i="162"/>
  <c r="R25" i="162"/>
  <c r="O6" i="162"/>
  <c r="J6" i="162"/>
  <c r="H6" i="162"/>
  <c r="Q19" i="162"/>
  <c r="S25" i="162"/>
  <c r="P19" i="162"/>
  <c r="I25" i="162"/>
  <c r="J25" i="162"/>
  <c r="Q25" i="162"/>
  <c r="K25" i="162"/>
  <c r="AW8" i="154"/>
  <c r="AX8" i="154" s="1"/>
  <c r="Q24" i="154"/>
  <c r="T24" i="154"/>
  <c r="P25" i="154"/>
  <c r="S25" i="154"/>
  <c r="U25" i="154"/>
  <c r="M25" i="154"/>
  <c r="R25" i="154"/>
  <c r="V24" i="154"/>
  <c r="X24" i="154"/>
  <c r="O25" i="154"/>
  <c r="P24" i="154"/>
  <c r="Y24" i="154"/>
  <c r="L25" i="154"/>
  <c r="Q25" i="154"/>
  <c r="T25" i="154"/>
  <c r="R24" i="154"/>
  <c r="AX12" i="105"/>
  <c r="S24" i="105"/>
  <c r="M25" i="105"/>
  <c r="O25" i="105"/>
  <c r="AW25" i="105"/>
  <c r="O24" i="105"/>
  <c r="P25" i="105"/>
  <c r="K25" i="105"/>
  <c r="P24" i="105"/>
  <c r="T25" i="105"/>
  <c r="J25" i="105"/>
  <c r="T24" i="105"/>
  <c r="Q25" i="105"/>
  <c r="I25" i="105"/>
  <c r="R25" i="105"/>
  <c r="N25" i="105"/>
  <c r="R24" i="105"/>
  <c r="U24" i="105"/>
  <c r="C23" i="105"/>
  <c r="I23" i="105"/>
  <c r="S19" i="105"/>
  <c r="AV19" i="105" s="1"/>
  <c r="B11" i="154"/>
  <c r="AW9" i="105"/>
  <c r="M5" i="162" l="1"/>
  <c r="N5" i="162"/>
  <c r="O5" i="162"/>
  <c r="P5" i="162"/>
  <c r="Q5" i="162"/>
  <c r="R5" i="162"/>
  <c r="S5" i="162"/>
  <c r="T5" i="162"/>
  <c r="J5" i="162"/>
  <c r="K5" i="162"/>
  <c r="L5" i="162"/>
  <c r="AV23" i="156"/>
  <c r="AX23" i="156" s="1"/>
  <c r="AV24" i="156"/>
  <c r="AX24" i="156" s="1"/>
  <c r="AV12" i="155"/>
  <c r="AX12" i="155" s="1"/>
  <c r="AX19" i="105"/>
  <c r="X18" i="155"/>
  <c r="AV17" i="155"/>
  <c r="AX17" i="155" s="1"/>
  <c r="AW13" i="162"/>
  <c r="AX13" i="162" s="1"/>
  <c r="D42" i="152"/>
  <c r="F6" i="155"/>
  <c r="AX9" i="154"/>
  <c r="C6" i="155"/>
  <c r="D6" i="155"/>
  <c r="AW6" i="155"/>
  <c r="E6" i="155"/>
  <c r="D5" i="155"/>
  <c r="F7" i="155"/>
  <c r="F5" i="155"/>
  <c r="C5" i="155"/>
  <c r="H5" i="155"/>
  <c r="E5" i="155"/>
  <c r="AW5" i="155"/>
  <c r="G5" i="155"/>
  <c r="B6" i="156"/>
  <c r="D52" i="153"/>
  <c r="D64" i="153"/>
  <c r="B18" i="156"/>
  <c r="D67" i="153"/>
  <c r="B21" i="156"/>
  <c r="AW21" i="156" s="1"/>
  <c r="B6" i="154"/>
  <c r="D37" i="153"/>
  <c r="C68" i="153"/>
  <c r="D68" i="153" s="1"/>
  <c r="AX19" i="156"/>
  <c r="D56" i="153"/>
  <c r="B10" i="156"/>
  <c r="AW10" i="156" s="1"/>
  <c r="AX10" i="156" s="1"/>
  <c r="AX19" i="154"/>
  <c r="AV17" i="154"/>
  <c r="AX17" i="154" s="1"/>
  <c r="AV25" i="154"/>
  <c r="AX25" i="154" s="1"/>
  <c r="AV24" i="154"/>
  <c r="AX24" i="154" s="1"/>
  <c r="D49" i="150"/>
  <c r="C80" i="150"/>
  <c r="AV24" i="162"/>
  <c r="AX24" i="162" s="1"/>
  <c r="AV12" i="162"/>
  <c r="AX12" i="162" s="1"/>
  <c r="AV17" i="162"/>
  <c r="AX17" i="162" s="1"/>
  <c r="C5" i="162"/>
  <c r="F5" i="162"/>
  <c r="AW5" i="162"/>
  <c r="D34" i="152"/>
  <c r="C36" i="152"/>
  <c r="C43" i="152" s="1"/>
  <c r="AX9" i="162"/>
  <c r="AV6" i="162"/>
  <c r="AX6" i="162" s="1"/>
  <c r="D29" i="152"/>
  <c r="C29" i="152" s="1"/>
  <c r="AV19" i="162"/>
  <c r="AX19" i="162" s="1"/>
  <c r="H5" i="162"/>
  <c r="D5" i="162"/>
  <c r="G5" i="162"/>
  <c r="AW6" i="105"/>
  <c r="U6" i="105"/>
  <c r="O6" i="105"/>
  <c r="T6" i="105"/>
  <c r="R6" i="105"/>
  <c r="N6" i="105"/>
  <c r="J6" i="105"/>
  <c r="S6" i="105"/>
  <c r="Q6" i="105"/>
  <c r="L6" i="105"/>
  <c r="P6" i="105"/>
  <c r="M6" i="105"/>
  <c r="E6" i="105"/>
  <c r="C6" i="105"/>
  <c r="G6" i="105"/>
  <c r="H6" i="105"/>
  <c r="K6" i="105"/>
  <c r="I6" i="105"/>
  <c r="V6" i="105"/>
  <c r="F6" i="105"/>
  <c r="D39" i="152"/>
  <c r="B10" i="162"/>
  <c r="E5" i="162"/>
  <c r="I5" i="162"/>
  <c r="B18" i="162"/>
  <c r="D47" i="152"/>
  <c r="B5" i="156"/>
  <c r="C53" i="153"/>
  <c r="C60" i="153" s="1"/>
  <c r="C61" i="153" s="1"/>
  <c r="D51" i="153"/>
  <c r="AX21" i="155"/>
  <c r="AV19" i="155"/>
  <c r="AX19" i="155" s="1"/>
  <c r="AV24" i="155"/>
  <c r="AX24" i="155" s="1"/>
  <c r="AV18" i="155"/>
  <c r="AX18" i="155" s="1"/>
  <c r="AV25" i="155"/>
  <c r="AX25" i="155" s="1"/>
  <c r="AV12" i="156"/>
  <c r="AX12" i="156" s="1"/>
  <c r="I4" i="156"/>
  <c r="AV25" i="156"/>
  <c r="AX25" i="156" s="1"/>
  <c r="AV25" i="162"/>
  <c r="AX25" i="162" s="1"/>
  <c r="AV24" i="105"/>
  <c r="AX24" i="105" s="1"/>
  <c r="AX9" i="105"/>
  <c r="AV25" i="105"/>
  <c r="AX25" i="105" s="1"/>
  <c r="AV23" i="105"/>
  <c r="AX23" i="105" s="1"/>
  <c r="AW11" i="155"/>
  <c r="AX11" i="155" s="1"/>
  <c r="S11" i="105"/>
  <c r="R11" i="105"/>
  <c r="AW11" i="105"/>
  <c r="S11" i="154"/>
  <c r="T11" i="154"/>
  <c r="AW11" i="154"/>
  <c r="L6" i="154" l="1"/>
  <c r="AC6" i="154"/>
  <c r="AA6" i="154"/>
  <c r="V6" i="154"/>
  <c r="R6" i="154"/>
  <c r="S6" i="154"/>
  <c r="T6" i="154"/>
  <c r="Z6" i="154"/>
  <c r="U6" i="154"/>
  <c r="AB6" i="154"/>
  <c r="W6" i="154"/>
  <c r="X6" i="154"/>
  <c r="Y6" i="154"/>
  <c r="AG6" i="156"/>
  <c r="AI6" i="156"/>
  <c r="AL6" i="156"/>
  <c r="AH6" i="156"/>
  <c r="AE6" i="156"/>
  <c r="AK6" i="156"/>
  <c r="AJ6" i="156"/>
  <c r="AF6" i="156"/>
  <c r="AG5" i="156"/>
  <c r="AK5" i="156"/>
  <c r="AJ5" i="156"/>
  <c r="AF5" i="156"/>
  <c r="AE5" i="156"/>
  <c r="AI5" i="156"/>
  <c r="AL5" i="156"/>
  <c r="AH5" i="156"/>
  <c r="H5" i="156"/>
  <c r="AV11" i="105"/>
  <c r="AX11" i="105" s="1"/>
  <c r="Y7" i="155"/>
  <c r="K7" i="155"/>
  <c r="AW7" i="155"/>
  <c r="M7" i="155"/>
  <c r="AA7" i="155"/>
  <c r="T7" i="155"/>
  <c r="T14" i="155"/>
  <c r="J7" i="155"/>
  <c r="AB7" i="155"/>
  <c r="L7" i="155"/>
  <c r="W7" i="155"/>
  <c r="Q7" i="155"/>
  <c r="P7" i="155"/>
  <c r="H7" i="155"/>
  <c r="V7" i="155"/>
  <c r="U7" i="155"/>
  <c r="S7" i="155"/>
  <c r="X7" i="155"/>
  <c r="R7" i="155"/>
  <c r="N7" i="155"/>
  <c r="C7" i="155"/>
  <c r="Z7" i="155"/>
  <c r="D7" i="155"/>
  <c r="O7" i="155"/>
  <c r="E7" i="155"/>
  <c r="G7" i="155"/>
  <c r="AV6" i="155"/>
  <c r="AX6" i="155" s="1"/>
  <c r="U15" i="155"/>
  <c r="AV5" i="155"/>
  <c r="AX5" i="155" s="1"/>
  <c r="I7" i="155"/>
  <c r="C6" i="154"/>
  <c r="I6" i="154"/>
  <c r="B22" i="156"/>
  <c r="H6" i="154"/>
  <c r="D6" i="154"/>
  <c r="G6" i="154"/>
  <c r="E6" i="154"/>
  <c r="N6" i="154"/>
  <c r="AW6" i="154"/>
  <c r="J6" i="154"/>
  <c r="Q6" i="156"/>
  <c r="D6" i="156"/>
  <c r="S6" i="156"/>
  <c r="H6" i="156"/>
  <c r="X6" i="156"/>
  <c r="R6" i="156"/>
  <c r="Z6" i="156"/>
  <c r="AW6" i="156"/>
  <c r="G6" i="156"/>
  <c r="AD6" i="156"/>
  <c r="AC6" i="156"/>
  <c r="E6" i="156"/>
  <c r="AB6" i="156"/>
  <c r="U6" i="156"/>
  <c r="V6" i="156"/>
  <c r="AA6" i="156"/>
  <c r="C6" i="156"/>
  <c r="T6" i="156"/>
  <c r="Y6" i="156"/>
  <c r="W6" i="156"/>
  <c r="F6" i="156"/>
  <c r="M6" i="154"/>
  <c r="K6" i="154"/>
  <c r="F6" i="154"/>
  <c r="Q6" i="154"/>
  <c r="O6" i="154"/>
  <c r="P6" i="154"/>
  <c r="T18" i="156"/>
  <c r="Z18" i="156" s="1"/>
  <c r="AV18" i="156" s="1"/>
  <c r="AW18" i="156"/>
  <c r="AH21" i="156"/>
  <c r="AG21" i="156"/>
  <c r="AI21" i="156"/>
  <c r="AF21" i="156"/>
  <c r="AV21" i="156" s="1"/>
  <c r="AX21" i="156" s="1"/>
  <c r="C62" i="153"/>
  <c r="D62" i="153" s="1"/>
  <c r="B22" i="154"/>
  <c r="AW22" i="154" s="1"/>
  <c r="AX22" i="154" s="1"/>
  <c r="AV6" i="105"/>
  <c r="AX6" i="105" s="1"/>
  <c r="B29" i="152"/>
  <c r="B7" i="162"/>
  <c r="D36" i="152"/>
  <c r="D30" i="152"/>
  <c r="D31" i="152" s="1"/>
  <c r="B58" i="152" s="1"/>
  <c r="C45" i="152"/>
  <c r="D43" i="152"/>
  <c r="B14" i="162"/>
  <c r="I14" i="162" s="1"/>
  <c r="AV5" i="162"/>
  <c r="AX5" i="162" s="1"/>
  <c r="L18" i="162"/>
  <c r="AV18" i="162" s="1"/>
  <c r="AW18" i="162"/>
  <c r="AW10" i="162"/>
  <c r="I10" i="162"/>
  <c r="AV10" i="162" s="1"/>
  <c r="AV11" i="154"/>
  <c r="E16" i="155"/>
  <c r="D16" i="155"/>
  <c r="T16" i="155"/>
  <c r="AW16" i="155"/>
  <c r="F16" i="155"/>
  <c r="U16" i="155"/>
  <c r="Q16" i="155"/>
  <c r="W16" i="155"/>
  <c r="R16" i="155"/>
  <c r="X16" i="155"/>
  <c r="V16" i="155"/>
  <c r="C16" i="155"/>
  <c r="S16" i="155"/>
  <c r="G16" i="155"/>
  <c r="X22" i="155"/>
  <c r="Z22" i="155"/>
  <c r="Y22" i="155"/>
  <c r="AW22" i="155"/>
  <c r="B15" i="156"/>
  <c r="M15" i="156" s="1"/>
  <c r="D61" i="153"/>
  <c r="D60" i="153"/>
  <c r="B14" i="156"/>
  <c r="B7" i="156"/>
  <c r="D53" i="153"/>
  <c r="V5" i="156"/>
  <c r="R5" i="156"/>
  <c r="Q5" i="156"/>
  <c r="AB5" i="156"/>
  <c r="W5" i="156"/>
  <c r="S5" i="156"/>
  <c r="AC5" i="156"/>
  <c r="X5" i="156"/>
  <c r="AD5" i="156"/>
  <c r="T5" i="156"/>
  <c r="Y5" i="156"/>
  <c r="U5" i="156"/>
  <c r="Z5" i="156"/>
  <c r="AA5" i="156"/>
  <c r="AW5" i="156"/>
  <c r="G5" i="156"/>
  <c r="D5" i="156"/>
  <c r="C5" i="156"/>
  <c r="E5" i="156"/>
  <c r="F5" i="156"/>
  <c r="I5" i="156"/>
  <c r="J4" i="156"/>
  <c r="I6" i="156"/>
  <c r="H7" i="162" l="1"/>
  <c r="J7" i="162"/>
  <c r="K7" i="162"/>
  <c r="L7" i="162"/>
  <c r="M7" i="162"/>
  <c r="N7" i="162"/>
  <c r="O7" i="162"/>
  <c r="P7" i="162"/>
  <c r="Q7" i="162"/>
  <c r="R7" i="162"/>
  <c r="S7" i="162"/>
  <c r="T7" i="162"/>
  <c r="AG7" i="156"/>
  <c r="AF7" i="156"/>
  <c r="AE7" i="156"/>
  <c r="AI7" i="156"/>
  <c r="AK7" i="156"/>
  <c r="AJ7" i="156"/>
  <c r="AL7" i="156"/>
  <c r="AH7" i="156"/>
  <c r="AJ22" i="156"/>
  <c r="AW22" i="156"/>
  <c r="C44" i="152"/>
  <c r="L14" i="155"/>
  <c r="O14" i="155"/>
  <c r="I26" i="155" s="1"/>
  <c r="I41" i="155" s="1"/>
  <c r="Q14" i="155"/>
  <c r="N14" i="155"/>
  <c r="H26" i="155" s="1"/>
  <c r="H41" i="155" s="1"/>
  <c r="R14" i="155"/>
  <c r="M14" i="155"/>
  <c r="AW14" i="155"/>
  <c r="K14" i="155"/>
  <c r="P14" i="155"/>
  <c r="J26" i="155" s="1"/>
  <c r="J41" i="155" s="1"/>
  <c r="S14" i="155"/>
  <c r="T15" i="155"/>
  <c r="T26" i="155" s="1"/>
  <c r="T41" i="155" s="1"/>
  <c r="Q15" i="155"/>
  <c r="B26" i="155"/>
  <c r="B28" i="155" s="1"/>
  <c r="G15" i="155"/>
  <c r="E15" i="155"/>
  <c r="C15" i="155"/>
  <c r="C26" i="155" s="1"/>
  <c r="S15" i="155"/>
  <c r="D15" i="155"/>
  <c r="D26" i="155" s="1"/>
  <c r="D41" i="155" s="1"/>
  <c r="V15" i="155"/>
  <c r="V26" i="155" s="1"/>
  <c r="V41" i="155" s="1"/>
  <c r="W15" i="155"/>
  <c r="W26" i="155" s="1"/>
  <c r="W41" i="155" s="1"/>
  <c r="F15" i="155"/>
  <c r="AW15" i="155"/>
  <c r="X15" i="155"/>
  <c r="X26" i="155" s="1"/>
  <c r="X41" i="155" s="1"/>
  <c r="R15" i="155"/>
  <c r="AV7" i="155"/>
  <c r="AX7" i="155" s="1"/>
  <c r="AM22" i="156"/>
  <c r="AK22" i="156"/>
  <c r="AL22" i="156"/>
  <c r="B16" i="156"/>
  <c r="AB16" i="156" s="1"/>
  <c r="AV6" i="154"/>
  <c r="AX6" i="154" s="1"/>
  <c r="U26" i="155"/>
  <c r="U41" i="155" s="1"/>
  <c r="AX18" i="156"/>
  <c r="F14" i="162"/>
  <c r="K14" i="162"/>
  <c r="J14" i="162"/>
  <c r="I7" i="162"/>
  <c r="F7" i="162"/>
  <c r="G7" i="162"/>
  <c r="AW7" i="162"/>
  <c r="D7" i="162"/>
  <c r="AX18" i="162"/>
  <c r="C7" i="162"/>
  <c r="H14" i="162"/>
  <c r="H26" i="162" s="1"/>
  <c r="H41" i="162" s="1"/>
  <c r="B71" i="152"/>
  <c r="E14" i="162"/>
  <c r="L14" i="162"/>
  <c r="G14" i="162"/>
  <c r="AW14" i="162"/>
  <c r="E7" i="162"/>
  <c r="B16" i="162"/>
  <c r="D45" i="152"/>
  <c r="AX10" i="162"/>
  <c r="AV16" i="155"/>
  <c r="AX16" i="155" s="1"/>
  <c r="AV22" i="155"/>
  <c r="AX22" i="155" s="1"/>
  <c r="AB20" i="155"/>
  <c r="AB26" i="155" s="1"/>
  <c r="AB41" i="155" s="1"/>
  <c r="Z20" i="155"/>
  <c r="Z26" i="155" s="1"/>
  <c r="Z41" i="155" s="1"/>
  <c r="AA20" i="155"/>
  <c r="AA26" i="155" s="1"/>
  <c r="AA41" i="155" s="1"/>
  <c r="AW20" i="155"/>
  <c r="Y20" i="155"/>
  <c r="D7" i="156"/>
  <c r="Q7" i="156"/>
  <c r="AA7" i="156"/>
  <c r="V7" i="156"/>
  <c r="R7" i="156"/>
  <c r="AW7" i="156"/>
  <c r="AB7" i="156"/>
  <c r="T7" i="156"/>
  <c r="C7" i="156"/>
  <c r="W7" i="156"/>
  <c r="AD7" i="156"/>
  <c r="S7" i="156"/>
  <c r="AC7" i="156"/>
  <c r="X7" i="156"/>
  <c r="E7" i="156"/>
  <c r="Y7" i="156"/>
  <c r="U7" i="156"/>
  <c r="Z7" i="156"/>
  <c r="G7" i="156"/>
  <c r="H7" i="156"/>
  <c r="F7" i="156"/>
  <c r="L14" i="156"/>
  <c r="I14" i="156"/>
  <c r="V14" i="156"/>
  <c r="AW14" i="156"/>
  <c r="W14" i="156"/>
  <c r="J14" i="156"/>
  <c r="X14" i="156"/>
  <c r="P14" i="156"/>
  <c r="Q14" i="156"/>
  <c r="R14" i="156"/>
  <c r="U14" i="156"/>
  <c r="K14" i="156"/>
  <c r="O14" i="156"/>
  <c r="N14" i="156"/>
  <c r="T14" i="156"/>
  <c r="M14" i="156"/>
  <c r="S14" i="156"/>
  <c r="H14" i="156"/>
  <c r="I7" i="156"/>
  <c r="AE15" i="156"/>
  <c r="I15" i="156"/>
  <c r="AJ15" i="156"/>
  <c r="K15" i="156"/>
  <c r="AH15" i="156"/>
  <c r="AC15" i="156"/>
  <c r="V15" i="156"/>
  <c r="W15" i="156"/>
  <c r="Z15" i="156"/>
  <c r="U15" i="156"/>
  <c r="AF15" i="156"/>
  <c r="AI15" i="156"/>
  <c r="J15" i="156"/>
  <c r="X15" i="156"/>
  <c r="L15" i="156"/>
  <c r="AW15" i="156"/>
  <c r="G15" i="156"/>
  <c r="Y15" i="156"/>
  <c r="H15" i="156"/>
  <c r="AB15" i="156"/>
  <c r="AA15" i="156"/>
  <c r="AD15" i="156"/>
  <c r="AG15" i="156"/>
  <c r="J5" i="156"/>
  <c r="J6" i="156"/>
  <c r="K4" i="156"/>
  <c r="J7" i="156"/>
  <c r="N15" i="156"/>
  <c r="AX11" i="154"/>
  <c r="S26" i="155" l="1"/>
  <c r="S41" i="155" s="1"/>
  <c r="K26" i="155"/>
  <c r="K41" i="155" s="1"/>
  <c r="M26" i="155"/>
  <c r="M41" i="155" s="1"/>
  <c r="O16" i="162"/>
  <c r="P16" i="162"/>
  <c r="Q16" i="162"/>
  <c r="R16" i="162"/>
  <c r="S16" i="162"/>
  <c r="T16" i="162"/>
  <c r="J16" i="162"/>
  <c r="N16" i="162"/>
  <c r="K16" i="162"/>
  <c r="L16" i="162"/>
  <c r="M16" i="162"/>
  <c r="N26" i="155"/>
  <c r="N41" i="155" s="1"/>
  <c r="R26" i="155"/>
  <c r="R41" i="155" s="1"/>
  <c r="Q26" i="155"/>
  <c r="Q41" i="155" s="1"/>
  <c r="L26" i="155"/>
  <c r="L41" i="155" s="1"/>
  <c r="O26" i="155"/>
  <c r="O41" i="155" s="1"/>
  <c r="P26" i="155"/>
  <c r="P41" i="155" s="1"/>
  <c r="AV22" i="156"/>
  <c r="AX22" i="156" s="1"/>
  <c r="E26" i="155"/>
  <c r="E41" i="155" s="1"/>
  <c r="G26" i="155"/>
  <c r="G41" i="155" s="1"/>
  <c r="F26" i="155"/>
  <c r="F41" i="155" s="1"/>
  <c r="AV14" i="155"/>
  <c r="AX14" i="155" s="1"/>
  <c r="D44" i="152"/>
  <c r="B15" i="162"/>
  <c r="C55" i="152"/>
  <c r="B65" i="152" s="1"/>
  <c r="B85" i="152" s="1"/>
  <c r="Y16" i="156"/>
  <c r="AA16" i="156"/>
  <c r="AE16" i="156"/>
  <c r="H16" i="156"/>
  <c r="D26" i="156" s="1"/>
  <c r="D41" i="156" s="1"/>
  <c r="G16" i="156"/>
  <c r="C26" i="156" s="1"/>
  <c r="C29" i="156" s="1"/>
  <c r="AV15" i="155"/>
  <c r="AX15" i="155" s="1"/>
  <c r="K16" i="156"/>
  <c r="AH16" i="156"/>
  <c r="AG16" i="156"/>
  <c r="N16" i="156"/>
  <c r="J16" i="156"/>
  <c r="F26" i="156" s="1"/>
  <c r="F41" i="156" s="1"/>
  <c r="AC16" i="156"/>
  <c r="M16" i="156"/>
  <c r="I16" i="156"/>
  <c r="E26" i="156" s="1"/>
  <c r="E41" i="156" s="1"/>
  <c r="AW16" i="156"/>
  <c r="V16" i="156"/>
  <c r="AF16" i="156"/>
  <c r="AB26" i="156" s="1"/>
  <c r="AB41" i="156" s="1"/>
  <c r="X16" i="156"/>
  <c r="U16" i="156"/>
  <c r="AD16" i="156"/>
  <c r="L16" i="156"/>
  <c r="AI16" i="156"/>
  <c r="AJ16" i="156"/>
  <c r="Z16" i="156"/>
  <c r="W16" i="156"/>
  <c r="AV7" i="162"/>
  <c r="AX7" i="162" s="1"/>
  <c r="AV14" i="162"/>
  <c r="AX14" i="162" s="1"/>
  <c r="B78" i="152"/>
  <c r="B72" i="152"/>
  <c r="B73" i="152" s="1"/>
  <c r="B79" i="152" s="1"/>
  <c r="G16" i="162"/>
  <c r="I16" i="162"/>
  <c r="E16" i="162"/>
  <c r="D16" i="162"/>
  <c r="F16" i="162"/>
  <c r="C16" i="162"/>
  <c r="AW16" i="162"/>
  <c r="AV20" i="155"/>
  <c r="AX20" i="155" s="1"/>
  <c r="Y26" i="155"/>
  <c r="Y41" i="155" s="1"/>
  <c r="AW26" i="155"/>
  <c r="AV14" i="156"/>
  <c r="AX14" i="156" s="1"/>
  <c r="K6" i="156"/>
  <c r="L4" i="156"/>
  <c r="K7" i="156"/>
  <c r="O15" i="156"/>
  <c r="K5" i="156"/>
  <c r="O16" i="156"/>
  <c r="E15" i="105"/>
  <c r="T15" i="105"/>
  <c r="Q15" i="105"/>
  <c r="R15" i="105"/>
  <c r="L15" i="105"/>
  <c r="F15" i="105"/>
  <c r="M15" i="105"/>
  <c r="I15" i="105"/>
  <c r="O15" i="105"/>
  <c r="AW15" i="105"/>
  <c r="J15" i="105"/>
  <c r="S15" i="105"/>
  <c r="G15" i="105"/>
  <c r="K15" i="105"/>
  <c r="N15" i="105"/>
  <c r="P15" i="105"/>
  <c r="D15" i="105"/>
  <c r="C15" i="105"/>
  <c r="C29" i="155"/>
  <c r="C41" i="155"/>
  <c r="G26" i="156" l="1"/>
  <c r="G41" i="156" s="1"/>
  <c r="T15" i="162"/>
  <c r="I15" i="162"/>
  <c r="J15" i="162"/>
  <c r="K15" i="162"/>
  <c r="S15" i="162"/>
  <c r="S26" i="162" s="1"/>
  <c r="L15" i="162"/>
  <c r="L26" i="162" s="1"/>
  <c r="L41" i="162" s="1"/>
  <c r="M15" i="162"/>
  <c r="M26" i="162" s="1"/>
  <c r="M41" i="162" s="1"/>
  <c r="N15" i="162"/>
  <c r="N26" i="162" s="1"/>
  <c r="N41" i="162" s="1"/>
  <c r="O15" i="162"/>
  <c r="O26" i="162" s="1"/>
  <c r="O41" i="162" s="1"/>
  <c r="P15" i="162"/>
  <c r="P26" i="162" s="1"/>
  <c r="P41" i="162" s="1"/>
  <c r="Q15" i="162"/>
  <c r="Q26" i="162" s="1"/>
  <c r="Q41" i="162" s="1"/>
  <c r="R15" i="162"/>
  <c r="R26" i="162" s="1"/>
  <c r="R41" i="162" s="1"/>
  <c r="H26" i="156"/>
  <c r="H41" i="156" s="1"/>
  <c r="AA26" i="156"/>
  <c r="AA41" i="156" s="1"/>
  <c r="W26" i="156"/>
  <c r="W41" i="156" s="1"/>
  <c r="B41" i="155"/>
  <c r="B42" i="155" s="1"/>
  <c r="I26" i="156"/>
  <c r="I41" i="156" s="1"/>
  <c r="Z26" i="156"/>
  <c r="Z41" i="156" s="1"/>
  <c r="Y26" i="156"/>
  <c r="Y41" i="156" s="1"/>
  <c r="X26" i="156"/>
  <c r="X41" i="156" s="1"/>
  <c r="J26" i="156"/>
  <c r="J41" i="156" s="1"/>
  <c r="U26" i="156"/>
  <c r="U41" i="156" s="1"/>
  <c r="AC26" i="156"/>
  <c r="AC41" i="156" s="1"/>
  <c r="V26" i="156"/>
  <c r="V41" i="156" s="1"/>
  <c r="AD26" i="156"/>
  <c r="AD41" i="156" s="1"/>
  <c r="AE26" i="156"/>
  <c r="AE41" i="156" s="1"/>
  <c r="AF26" i="156"/>
  <c r="AF41" i="156" s="1"/>
  <c r="K26" i="162"/>
  <c r="K41" i="162" s="1"/>
  <c r="J26" i="162"/>
  <c r="J41" i="162" s="1"/>
  <c r="F15" i="162"/>
  <c r="F26" i="162" s="1"/>
  <c r="F41" i="162" s="1"/>
  <c r="G15" i="162"/>
  <c r="G26" i="162" s="1"/>
  <c r="G41" i="162" s="1"/>
  <c r="AW15" i="162"/>
  <c r="D15" i="162"/>
  <c r="E15" i="162"/>
  <c r="E26" i="162" s="1"/>
  <c r="E41" i="162" s="1"/>
  <c r="C15" i="162"/>
  <c r="AV26" i="155"/>
  <c r="AV16" i="162"/>
  <c r="C41" i="156"/>
  <c r="AB36" i="155"/>
  <c r="K26" i="156"/>
  <c r="K41" i="156" s="1"/>
  <c r="C30" i="156"/>
  <c r="C36" i="156"/>
  <c r="M4" i="156"/>
  <c r="L7" i="156"/>
  <c r="L5" i="156"/>
  <c r="P15" i="156"/>
  <c r="P16" i="156"/>
  <c r="L6" i="156"/>
  <c r="AV15" i="105"/>
  <c r="AX15" i="105" s="1"/>
  <c r="C30" i="155"/>
  <c r="D29" i="155" s="1"/>
  <c r="C36" i="155"/>
  <c r="AB34" i="159" l="1"/>
  <c r="D30" i="155"/>
  <c r="E29" i="155" s="1"/>
  <c r="E36" i="155" s="1"/>
  <c r="AV15" i="162"/>
  <c r="AX15" i="162" s="1"/>
  <c r="AX16" i="162"/>
  <c r="B43" i="155"/>
  <c r="M5" i="156"/>
  <c r="M7" i="156"/>
  <c r="Q15" i="156"/>
  <c r="N4" i="156"/>
  <c r="Q16" i="156"/>
  <c r="M6" i="156"/>
  <c r="L26" i="156"/>
  <c r="L41" i="156" s="1"/>
  <c r="D36" i="155"/>
  <c r="Q26" i="156" l="1"/>
  <c r="Q41" i="156" s="1"/>
  <c r="E30" i="155"/>
  <c r="F29" i="155" s="1"/>
  <c r="F36" i="155" s="1"/>
  <c r="N5" i="156"/>
  <c r="R16" i="156"/>
  <c r="N7" i="156"/>
  <c r="N6" i="156"/>
  <c r="R15" i="156"/>
  <c r="M26" i="156"/>
  <c r="M41" i="156" s="1"/>
  <c r="R26" i="156" l="1"/>
  <c r="R41" i="156" s="1"/>
  <c r="F30" i="155"/>
  <c r="G29" i="155" s="1"/>
  <c r="G30" i="155" s="1"/>
  <c r="H29" i="155" s="1"/>
  <c r="H36" i="155" s="1"/>
  <c r="O7" i="156"/>
  <c r="S16" i="156"/>
  <c r="S15" i="156"/>
  <c r="S26" i="156" s="1"/>
  <c r="S41" i="156" s="1"/>
  <c r="O5" i="156"/>
  <c r="O6" i="156"/>
  <c r="N26" i="156"/>
  <c r="N41" i="156" s="1"/>
  <c r="V36" i="105"/>
  <c r="V19" i="159" s="1"/>
  <c r="AV20" i="105"/>
  <c r="G36" i="155" l="1"/>
  <c r="O26" i="156"/>
  <c r="O41" i="156" s="1"/>
  <c r="H30" i="155"/>
  <c r="I29" i="155" s="1"/>
  <c r="I36" i="155" s="1"/>
  <c r="P5" i="156"/>
  <c r="AV5" i="156" s="1"/>
  <c r="P7" i="156"/>
  <c r="AV7" i="156" s="1"/>
  <c r="AX7" i="156" s="1"/>
  <c r="P6" i="156"/>
  <c r="AV6" i="156" s="1"/>
  <c r="AX6" i="156" s="1"/>
  <c r="T15" i="156"/>
  <c r="T16" i="156"/>
  <c r="AV16" i="156" s="1"/>
  <c r="AX16" i="156" s="1"/>
  <c r="AV4" i="156"/>
  <c r="T26" i="156" l="1"/>
  <c r="T41" i="156" s="1"/>
  <c r="I30" i="155"/>
  <c r="J29" i="155" s="1"/>
  <c r="J36" i="155" s="1"/>
  <c r="AX5" i="156"/>
  <c r="P26" i="156"/>
  <c r="P41" i="156" s="1"/>
  <c r="AV15" i="156"/>
  <c r="AX15" i="156" s="1"/>
  <c r="J30" i="155" l="1"/>
  <c r="K29" i="155" s="1"/>
  <c r="K36" i="155" s="1"/>
  <c r="K30" i="155" l="1"/>
  <c r="L29" i="155" s="1"/>
  <c r="L36" i="155" s="1"/>
  <c r="L30" i="155" l="1"/>
  <c r="M29" i="155" s="1"/>
  <c r="M36" i="155" s="1"/>
  <c r="M30" i="155" l="1"/>
  <c r="N29" i="155" s="1"/>
  <c r="N36" i="155" s="1"/>
  <c r="N30" i="155" l="1"/>
  <c r="O29" i="155" s="1"/>
  <c r="O36" i="155" s="1"/>
  <c r="O30" i="155" l="1"/>
  <c r="P29" i="155" s="1"/>
  <c r="P36" i="155" s="1"/>
  <c r="P30" i="155" l="1"/>
  <c r="Q29" i="155" s="1"/>
  <c r="Q36" i="155" s="1"/>
  <c r="Q30" i="155" l="1"/>
  <c r="R29" i="155" s="1"/>
  <c r="R36" i="155" s="1"/>
  <c r="R30" i="155" l="1"/>
  <c r="S29" i="155" s="1"/>
  <c r="S36" i="155" s="1"/>
  <c r="S30" i="155" l="1"/>
  <c r="T29" i="155" s="1"/>
  <c r="T30" i="155" s="1"/>
  <c r="U29" i="155" s="1"/>
  <c r="U36" i="155" s="1"/>
  <c r="U30" i="155" l="1"/>
  <c r="V29" i="155" s="1"/>
  <c r="V36" i="155" s="1"/>
  <c r="T36" i="155"/>
  <c r="V30" i="155" l="1"/>
  <c r="W29" i="155" s="1"/>
  <c r="W30" i="155" s="1"/>
  <c r="X29" i="155" s="1"/>
  <c r="W36" i="155" l="1"/>
  <c r="X36" i="155"/>
  <c r="X30" i="155"/>
  <c r="Y29" i="155" s="1"/>
  <c r="Y36" i="155" s="1"/>
  <c r="Y34" i="159" l="1"/>
  <c r="Y30" i="155"/>
  <c r="Z29" i="155" s="1"/>
  <c r="B38" i="105" l="1"/>
  <c r="Z36" i="155"/>
  <c r="Z30" i="155"/>
  <c r="AA29" i="155" s="1"/>
  <c r="AA36" i="155" s="1"/>
  <c r="AA34" i="159" l="1"/>
  <c r="Z34" i="159"/>
  <c r="AA30" i="155"/>
  <c r="AB29" i="155" s="1"/>
  <c r="B29" i="155" s="1"/>
  <c r="B145" i="149"/>
  <c r="B36" i="155"/>
  <c r="B37" i="155" s="1"/>
  <c r="B38" i="155" s="1"/>
  <c r="AB30" i="155" l="1"/>
  <c r="B85" i="169"/>
  <c r="B23" i="162" l="1"/>
  <c r="I23" i="162" s="1"/>
  <c r="I26" i="162" s="1"/>
  <c r="I41" i="162" s="1"/>
  <c r="B66" i="152"/>
  <c r="D52" i="152"/>
  <c r="B26" i="162" l="1"/>
  <c r="AW23" i="162"/>
  <c r="D23" i="162"/>
  <c r="D26" i="162" s="1"/>
  <c r="D41" i="162" s="1"/>
  <c r="B57" i="152"/>
  <c r="D55" i="152"/>
  <c r="B59" i="152"/>
  <c r="C66" i="152"/>
  <c r="B30" i="162"/>
  <c r="B75" i="152"/>
  <c r="AW26" i="162"/>
  <c r="C23" i="162"/>
  <c r="B63" i="152" l="1"/>
  <c r="B27" i="162" s="1"/>
  <c r="AV23" i="162"/>
  <c r="C26" i="162"/>
  <c r="G53" i="152"/>
  <c r="B74" i="152"/>
  <c r="G52" i="152"/>
  <c r="B31" i="162"/>
  <c r="B32" i="162" s="1"/>
  <c r="C65" i="152"/>
  <c r="C67" i="152" s="1"/>
  <c r="B67" i="152"/>
  <c r="C63" i="152" l="1"/>
  <c r="B64" i="152"/>
  <c r="C64" i="152" s="1"/>
  <c r="B40" i="162"/>
  <c r="S41" i="162" s="1"/>
  <c r="B28" i="162"/>
  <c r="B35" i="162"/>
  <c r="S36" i="162" s="1"/>
  <c r="B76" i="152"/>
  <c r="B83" i="152" s="1"/>
  <c r="C41" i="162"/>
  <c r="C29" i="162"/>
  <c r="AV26" i="162"/>
  <c r="AX23" i="162"/>
  <c r="C30" i="162" l="1"/>
  <c r="D29" i="162" s="1"/>
  <c r="D36" i="162" s="1"/>
  <c r="C36" i="162"/>
  <c r="B41" i="162"/>
  <c r="B42" i="162" s="1"/>
  <c r="B43" i="162" s="1"/>
  <c r="D30" i="162" l="1"/>
  <c r="E29" i="162" s="1"/>
  <c r="E36" i="162" s="1"/>
  <c r="E30" i="162" l="1"/>
  <c r="F29" i="162" s="1"/>
  <c r="F36" i="162" s="1"/>
  <c r="F30" i="162" l="1"/>
  <c r="G29" i="162" s="1"/>
  <c r="G36" i="162" s="1"/>
  <c r="G30" i="162" l="1"/>
  <c r="H29" i="162" s="1"/>
  <c r="H36" i="162" s="1"/>
  <c r="H30" i="162" l="1"/>
  <c r="I29" i="162" s="1"/>
  <c r="I36" i="162" l="1"/>
  <c r="I30" i="162"/>
  <c r="J29" i="162" s="1"/>
  <c r="J30" i="162" l="1"/>
  <c r="K29" i="162" s="1"/>
  <c r="K30" i="162" s="1"/>
  <c r="L29" i="162" s="1"/>
  <c r="L36" i="162" s="1"/>
  <c r="J36" i="162"/>
  <c r="K36" i="162" l="1"/>
  <c r="L30" i="162"/>
  <c r="M29" i="162" s="1"/>
  <c r="M30" i="162" l="1"/>
  <c r="N29" i="162" s="1"/>
  <c r="M36" i="162"/>
  <c r="N30" i="162" l="1"/>
  <c r="O29" i="162" s="1"/>
  <c r="N36" i="162"/>
  <c r="O36" i="162" l="1"/>
  <c r="O30" i="162"/>
  <c r="P29" i="162" s="1"/>
  <c r="P36" i="162" s="1"/>
  <c r="P30" i="162" l="1"/>
  <c r="Q29" i="162" s="1"/>
  <c r="Q36" i="162" l="1"/>
  <c r="Q30" i="162"/>
  <c r="R29" i="162" s="1"/>
  <c r="R36" i="162" l="1"/>
  <c r="R30" i="162"/>
  <c r="S29" i="162" s="1"/>
  <c r="S30" i="162" l="1"/>
  <c r="B29" i="162"/>
  <c r="B36" i="162"/>
  <c r="B37" i="162" s="1"/>
  <c r="B38" i="162" s="1"/>
  <c r="B84" i="152" s="1"/>
  <c r="H7" i="140" l="1"/>
  <c r="C105" i="149" l="1"/>
  <c r="G7" i="140"/>
  <c r="G13" i="140" s="1"/>
  <c r="D111" i="149"/>
  <c r="D98" i="149"/>
  <c r="D93" i="149"/>
  <c r="D110" i="149"/>
  <c r="D95" i="149"/>
  <c r="D106" i="149"/>
  <c r="D96" i="149"/>
  <c r="D99" i="149"/>
  <c r="D112" i="149"/>
  <c r="G31" i="140" l="1"/>
  <c r="H32" i="140" s="1"/>
  <c r="C82" i="140" s="1"/>
  <c r="D105" i="149"/>
  <c r="B18" i="105"/>
  <c r="AW18" i="105" s="1"/>
  <c r="I32" i="140"/>
  <c r="C83" i="140" s="1"/>
  <c r="J32" i="140"/>
  <c r="C84" i="140" s="1"/>
  <c r="D97" i="149"/>
  <c r="C100" i="149"/>
  <c r="H9" i="140"/>
  <c r="D76" i="149"/>
  <c r="C76" i="149" s="1"/>
  <c r="D35" i="149"/>
  <c r="J9" i="140"/>
  <c r="V90" i="140" s="1"/>
  <c r="B10" i="105"/>
  <c r="AW10" i="105" s="1"/>
  <c r="C35" i="149"/>
  <c r="C81" i="149"/>
  <c r="L18" i="105" l="1"/>
  <c r="B76" i="149"/>
  <c r="B13" i="105"/>
  <c r="D100" i="149"/>
  <c r="I10" i="105"/>
  <c r="AV10" i="105" s="1"/>
  <c r="AX10" i="105" s="1"/>
  <c r="V18" i="105"/>
  <c r="AV18" i="105" s="1"/>
  <c r="AX18" i="105" s="1"/>
  <c r="H13" i="105" l="1"/>
  <c r="AV13" i="105" s="1"/>
  <c r="AW13" i="105"/>
  <c r="D59" i="149"/>
  <c r="D60" i="149" s="1"/>
  <c r="D61" i="149" s="1"/>
  <c r="B60" i="149"/>
  <c r="B61" i="149" l="1"/>
  <c r="C108" i="149" s="1"/>
  <c r="AX13" i="105"/>
  <c r="K13" i="140"/>
  <c r="K31" i="140" s="1"/>
  <c r="D77" i="149"/>
  <c r="D78" i="149" s="1"/>
  <c r="C109" i="149"/>
  <c r="B5" i="105" l="1"/>
  <c r="D92" i="149"/>
  <c r="A77" i="149"/>
  <c r="B68" i="149"/>
  <c r="B70" i="149" s="1"/>
  <c r="B71" i="149" s="1"/>
  <c r="C61" i="149"/>
  <c r="D108" i="149"/>
  <c r="B21" i="105"/>
  <c r="D109" i="149"/>
  <c r="B22" i="105"/>
  <c r="D84" i="149"/>
  <c r="D87" i="149"/>
  <c r="D82" i="149"/>
  <c r="G5" i="105" l="1"/>
  <c r="S5" i="105"/>
  <c r="C5" i="105"/>
  <c r="M5" i="105"/>
  <c r="L5" i="105"/>
  <c r="AW5" i="105"/>
  <c r="K5" i="105"/>
  <c r="E5" i="105"/>
  <c r="F5" i="105"/>
  <c r="D5" i="105"/>
  <c r="R5" i="105"/>
  <c r="U5" i="105"/>
  <c r="O5" i="105"/>
  <c r="P5" i="105"/>
  <c r="N5" i="105"/>
  <c r="V5" i="105"/>
  <c r="T5" i="105"/>
  <c r="I5" i="105"/>
  <c r="J5" i="105"/>
  <c r="H5" i="105"/>
  <c r="Q5" i="105"/>
  <c r="B16" i="105"/>
  <c r="C87" i="149"/>
  <c r="C107" i="149"/>
  <c r="B87" i="149"/>
  <c r="AW22" i="105"/>
  <c r="U22" i="105"/>
  <c r="AV22" i="105" s="1"/>
  <c r="D101" i="149"/>
  <c r="B14" i="105"/>
  <c r="B82" i="149"/>
  <c r="D83" i="149"/>
  <c r="D85" i="149" s="1"/>
  <c r="D88" i="149" s="1"/>
  <c r="C82" i="149"/>
  <c r="AW21" i="105"/>
  <c r="S21" i="105"/>
  <c r="T21" i="105"/>
  <c r="C102" i="149"/>
  <c r="D102" i="149" s="1"/>
  <c r="B7" i="105"/>
  <c r="D94" i="149"/>
  <c r="AV5" i="105" l="1"/>
  <c r="AX5" i="105" s="1"/>
  <c r="D103" i="149"/>
  <c r="AX22" i="105"/>
  <c r="AW16" i="105"/>
  <c r="S16" i="105"/>
  <c r="E16" i="105"/>
  <c r="O16" i="105"/>
  <c r="N16" i="105"/>
  <c r="J16" i="105"/>
  <c r="D16" i="105"/>
  <c r="T16" i="105"/>
  <c r="R16" i="105"/>
  <c r="Q16" i="105"/>
  <c r="C16" i="105"/>
  <c r="I16" i="105"/>
  <c r="L16" i="105"/>
  <c r="K16" i="105"/>
  <c r="F16" i="105"/>
  <c r="P16" i="105"/>
  <c r="M16" i="105"/>
  <c r="G16" i="105"/>
  <c r="AV21" i="105"/>
  <c r="AX21" i="105" s="1"/>
  <c r="D107" i="149"/>
  <c r="B20" i="105"/>
  <c r="AW20" i="105" s="1"/>
  <c r="AX20" i="105" s="1"/>
  <c r="C85" i="149"/>
  <c r="B85" i="149"/>
  <c r="M14" i="105"/>
  <c r="F14" i="105"/>
  <c r="R14" i="105"/>
  <c r="N14" i="105"/>
  <c r="AW14" i="105"/>
  <c r="O14" i="105"/>
  <c r="S14" i="105"/>
  <c r="L14" i="105"/>
  <c r="I14" i="105"/>
  <c r="G14" i="105"/>
  <c r="E14" i="105"/>
  <c r="Q14" i="105"/>
  <c r="P14" i="105"/>
  <c r="H14" i="105"/>
  <c r="J14" i="105"/>
  <c r="K14" i="105"/>
  <c r="J7" i="105"/>
  <c r="H7" i="105"/>
  <c r="L7" i="105"/>
  <c r="C7" i="105"/>
  <c r="R7" i="105"/>
  <c r="P7" i="105"/>
  <c r="G7" i="105"/>
  <c r="U7" i="105"/>
  <c r="U26" i="105" s="1"/>
  <c r="U41" i="105" s="1"/>
  <c r="U23" i="159" s="1"/>
  <c r="M7" i="105"/>
  <c r="T7" i="105"/>
  <c r="AW7" i="105"/>
  <c r="I7" i="105"/>
  <c r="V7" i="105"/>
  <c r="V26" i="105" s="1"/>
  <c r="V41" i="105" s="1"/>
  <c r="V23" i="159" s="1"/>
  <c r="N7" i="105"/>
  <c r="F7" i="105"/>
  <c r="D7" i="105"/>
  <c r="Q7" i="105"/>
  <c r="S7" i="105"/>
  <c r="K7" i="105"/>
  <c r="O7" i="105"/>
  <c r="E7" i="105"/>
  <c r="E26" i="105" l="1"/>
  <c r="E41" i="105" s="1"/>
  <c r="E23" i="159" s="1"/>
  <c r="D89" i="149"/>
  <c r="L7" i="140" s="1"/>
  <c r="D26" i="105"/>
  <c r="D41" i="105" s="1"/>
  <c r="D23" i="159" s="1"/>
  <c r="R26" i="105"/>
  <c r="R41" i="105" s="1"/>
  <c r="R23" i="159" s="1"/>
  <c r="K26" i="105"/>
  <c r="K41" i="105" s="1"/>
  <c r="K23" i="159" s="1"/>
  <c r="S26" i="105"/>
  <c r="S41" i="105" s="1"/>
  <c r="S23" i="159" s="1"/>
  <c r="AV7" i="105"/>
  <c r="C26" i="105"/>
  <c r="O26" i="105"/>
  <c r="O41" i="105" s="1"/>
  <c r="O23" i="159" s="1"/>
  <c r="Q26" i="105"/>
  <c r="Q41" i="105" s="1"/>
  <c r="Q23" i="159" s="1"/>
  <c r="AV16" i="105"/>
  <c r="AX16" i="105" s="1"/>
  <c r="B88" i="149"/>
  <c r="F26" i="105"/>
  <c r="F41" i="105" s="1"/>
  <c r="F23" i="159" s="1"/>
  <c r="I26" i="105"/>
  <c r="I41" i="105" s="1"/>
  <c r="I23" i="159" s="1"/>
  <c r="AV14" i="105"/>
  <c r="AX14" i="105" s="1"/>
  <c r="M26" i="105"/>
  <c r="M41" i="105" s="1"/>
  <c r="M23" i="159" s="1"/>
  <c r="T26" i="105"/>
  <c r="T41" i="105" s="1"/>
  <c r="T23" i="159" s="1"/>
  <c r="G26" i="105"/>
  <c r="G41" i="105" s="1"/>
  <c r="G23" i="159" s="1"/>
  <c r="C41" i="105" l="1"/>
  <c r="C23" i="159" s="1"/>
  <c r="C29" i="105"/>
  <c r="B116" i="149"/>
  <c r="B132" i="149"/>
  <c r="AX7" i="105"/>
  <c r="B133" i="149" l="1"/>
  <c r="B134" i="149" s="1"/>
  <c r="B139" i="149"/>
  <c r="B17" i="105"/>
  <c r="D104" i="149"/>
  <c r="C113" i="149"/>
  <c r="C36" i="105"/>
  <c r="C30" i="105"/>
  <c r="C19" i="159" l="1"/>
  <c r="M7" i="140"/>
  <c r="B115" i="149"/>
  <c r="B140" i="149"/>
  <c r="AW17" i="105"/>
  <c r="J17" i="105"/>
  <c r="J26" i="105" s="1"/>
  <c r="J41" i="105" s="1"/>
  <c r="J23" i="159" s="1"/>
  <c r="H17" i="105"/>
  <c r="L17" i="105"/>
  <c r="L26" i="105" s="1"/>
  <c r="L41" i="105" s="1"/>
  <c r="L23" i="159" s="1"/>
  <c r="N17" i="105"/>
  <c r="N26" i="105" s="1"/>
  <c r="N41" i="105" s="1"/>
  <c r="N23" i="159" s="1"/>
  <c r="P17" i="105"/>
  <c r="P26" i="105" s="1"/>
  <c r="P41" i="105" s="1"/>
  <c r="P23" i="159" s="1"/>
  <c r="B26" i="105"/>
  <c r="D113" i="149"/>
  <c r="B123" i="149"/>
  <c r="B127" i="149" s="1"/>
  <c r="B117" i="149"/>
  <c r="B128" i="149" l="1"/>
  <c r="P7" i="140"/>
  <c r="F111" i="149"/>
  <c r="O7" i="140"/>
  <c r="V85" i="140"/>
  <c r="AV17" i="105"/>
  <c r="AV26" i="105" s="1"/>
  <c r="H26" i="105"/>
  <c r="H41" i="105" s="1"/>
  <c r="H23" i="159" s="1"/>
  <c r="B23" i="159" s="1"/>
  <c r="B24" i="159" s="1"/>
  <c r="AW26" i="105"/>
  <c r="C123" i="149"/>
  <c r="F110" i="149"/>
  <c r="B31" i="105"/>
  <c r="B32" i="105" s="1"/>
  <c r="B135" i="149"/>
  <c r="B147" i="149"/>
  <c r="B121" i="149"/>
  <c r="B122" i="149" s="1"/>
  <c r="V84" i="140"/>
  <c r="B124" i="149" l="1"/>
  <c r="V87" i="140"/>
  <c r="AX17" i="105"/>
  <c r="C121" i="149"/>
  <c r="B27" i="105"/>
  <c r="B28" i="105" s="1"/>
  <c r="C122" i="149"/>
  <c r="B41" i="105"/>
  <c r="B42" i="105" s="1"/>
  <c r="B43" i="105" s="1"/>
  <c r="Q6" i="140" l="1"/>
  <c r="B146" i="149"/>
  <c r="Q31" i="140" l="1"/>
  <c r="N7" i="140"/>
  <c r="V88" i="140"/>
  <c r="V89" i="140" s="1"/>
  <c r="V93" i="140" s="1"/>
  <c r="V91" i="140" l="1"/>
  <c r="D48" i="150"/>
  <c r="D64" i="150"/>
  <c r="C22" i="150"/>
  <c r="B42" i="150"/>
  <c r="C52" i="150"/>
  <c r="D67" i="150"/>
  <c r="D80" i="150"/>
  <c r="D66" i="150"/>
  <c r="D83" i="150"/>
  <c r="D69" i="150"/>
  <c r="D71" i="150"/>
  <c r="D77" i="150"/>
  <c r="D75" i="150"/>
  <c r="D79" i="150"/>
  <c r="D82" i="150"/>
  <c r="D70" i="150"/>
  <c r="C68" i="150"/>
  <c r="C71" i="150" s="1"/>
  <c r="B13" i="154" s="1"/>
  <c r="D22" i="150"/>
  <c r="C76" i="150"/>
  <c r="B44" i="150" l="1"/>
  <c r="B45" i="150" s="1"/>
  <c r="AW13" i="154"/>
  <c r="O13" i="154"/>
  <c r="AV13" i="154" s="1"/>
  <c r="AX13" i="154" s="1"/>
  <c r="D50" i="150"/>
  <c r="B48" i="150"/>
  <c r="C48" i="150"/>
  <c r="D63" i="150"/>
  <c r="B5" i="154"/>
  <c r="C65" i="150"/>
  <c r="C74" i="150" s="1"/>
  <c r="B10" i="154"/>
  <c r="D68" i="150"/>
  <c r="D76" i="150"/>
  <c r="B18" i="154"/>
  <c r="AC5" i="154" l="1"/>
  <c r="X5" i="154"/>
  <c r="R5" i="154"/>
  <c r="S5" i="154"/>
  <c r="T5" i="154"/>
  <c r="U5" i="154"/>
  <c r="V5" i="154"/>
  <c r="W5" i="154"/>
  <c r="Y5" i="154"/>
  <c r="Z5" i="154"/>
  <c r="AA5" i="154"/>
  <c r="AB5" i="154"/>
  <c r="Q10" i="154"/>
  <c r="AV10" i="154" s="1"/>
  <c r="AW10" i="154"/>
  <c r="D74" i="150"/>
  <c r="B16" i="154"/>
  <c r="C72" i="150"/>
  <c r="AW5" i="154"/>
  <c r="D5" i="154"/>
  <c r="J5" i="154"/>
  <c r="P5" i="154"/>
  <c r="H5" i="154"/>
  <c r="K5" i="154"/>
  <c r="Q5" i="154"/>
  <c r="O5" i="154"/>
  <c r="N5" i="154"/>
  <c r="F5" i="154"/>
  <c r="I5" i="154"/>
  <c r="G5" i="154"/>
  <c r="E5" i="154"/>
  <c r="L5" i="154"/>
  <c r="C5" i="154"/>
  <c r="M5" i="154"/>
  <c r="O18" i="154"/>
  <c r="AW18" i="154"/>
  <c r="D65" i="150"/>
  <c r="B7" i="154"/>
  <c r="D53" i="150"/>
  <c r="D58" i="150"/>
  <c r="D55" i="150"/>
  <c r="S16" i="154" l="1"/>
  <c r="T16" i="154"/>
  <c r="U16" i="154"/>
  <c r="V16" i="154"/>
  <c r="W16" i="154"/>
  <c r="AC16" i="154"/>
  <c r="X16" i="154"/>
  <c r="Y16" i="154"/>
  <c r="Z16" i="154"/>
  <c r="AA16" i="154"/>
  <c r="AB16" i="154"/>
  <c r="Q16" i="154"/>
  <c r="R16" i="154"/>
  <c r="V7" i="154"/>
  <c r="W7" i="154"/>
  <c r="X7" i="154"/>
  <c r="Y7" i="154"/>
  <c r="Z7" i="154"/>
  <c r="AA7" i="154"/>
  <c r="AB7" i="154"/>
  <c r="AC7" i="154"/>
  <c r="U7" i="154"/>
  <c r="R7" i="154"/>
  <c r="S7" i="154"/>
  <c r="T7" i="154"/>
  <c r="AX10" i="154"/>
  <c r="AV5" i="154"/>
  <c r="AX5" i="154" s="1"/>
  <c r="B14" i="154"/>
  <c r="D72" i="150"/>
  <c r="AW16" i="154"/>
  <c r="D16" i="154"/>
  <c r="G16" i="154"/>
  <c r="F16" i="154"/>
  <c r="C16" i="154"/>
  <c r="E16" i="154"/>
  <c r="C78" i="150"/>
  <c r="C58" i="150"/>
  <c r="B58" i="150"/>
  <c r="C53" i="150"/>
  <c r="B53" i="150"/>
  <c r="D54" i="150"/>
  <c r="D56" i="150" s="1"/>
  <c r="D59" i="150" s="1"/>
  <c r="D7" i="154"/>
  <c r="I7" i="154"/>
  <c r="H7" i="154"/>
  <c r="J7" i="154"/>
  <c r="C7" i="154"/>
  <c r="K7" i="154"/>
  <c r="P7" i="154"/>
  <c r="AW7" i="154"/>
  <c r="O7" i="154"/>
  <c r="M7" i="154"/>
  <c r="G7" i="154"/>
  <c r="Q7" i="154"/>
  <c r="E7" i="154"/>
  <c r="N7" i="154"/>
  <c r="F7" i="154"/>
  <c r="L7" i="154"/>
  <c r="V18" i="154"/>
  <c r="AV18" i="154" s="1"/>
  <c r="AX18" i="154" s="1"/>
  <c r="C73" i="150"/>
  <c r="B56" i="150" l="1"/>
  <c r="C56" i="150"/>
  <c r="D73" i="150"/>
  <c r="B15" i="154"/>
  <c r="D78" i="150"/>
  <c r="B20" i="154"/>
  <c r="AV7" i="154"/>
  <c r="AX7" i="154" s="1"/>
  <c r="AV16" i="154"/>
  <c r="AX16" i="154" s="1"/>
  <c r="Q14" i="154"/>
  <c r="V14" i="154"/>
  <c r="Y14" i="154"/>
  <c r="P14" i="154"/>
  <c r="J26" i="154" s="1"/>
  <c r="J41" i="154" s="1"/>
  <c r="J38" i="159" s="1"/>
  <c r="AW14" i="154"/>
  <c r="K14" i="154"/>
  <c r="N14" i="154"/>
  <c r="H26" i="154" s="1"/>
  <c r="H41" i="154" s="1"/>
  <c r="H38" i="159" s="1"/>
  <c r="W14" i="154"/>
  <c r="L14" i="154"/>
  <c r="R14" i="154"/>
  <c r="O14" i="154"/>
  <c r="I26" i="154" s="1"/>
  <c r="I41" i="154" s="1"/>
  <c r="I38" i="159" s="1"/>
  <c r="S14" i="154"/>
  <c r="M14" i="154"/>
  <c r="T14" i="154"/>
  <c r="X14" i="154"/>
  <c r="U14" i="154"/>
  <c r="U15" i="154" l="1"/>
  <c r="V15" i="154"/>
  <c r="W15" i="154"/>
  <c r="W26" i="154" s="1"/>
  <c r="W41" i="154" s="1"/>
  <c r="W38" i="159" s="1"/>
  <c r="X15" i="154"/>
  <c r="X26" i="154" s="1"/>
  <c r="S15" i="154"/>
  <c r="S26" i="154" s="1"/>
  <c r="S41" i="154" s="1"/>
  <c r="S38" i="159" s="1"/>
  <c r="Y15" i="154"/>
  <c r="Z15" i="154"/>
  <c r="AA15" i="154"/>
  <c r="AB15" i="154"/>
  <c r="AC15" i="154"/>
  <c r="Q15" i="154"/>
  <c r="Q26" i="154" s="1"/>
  <c r="Q41" i="154" s="1"/>
  <c r="Q38" i="159" s="1"/>
  <c r="R15" i="154"/>
  <c r="R26" i="154" s="1"/>
  <c r="R41" i="154" s="1"/>
  <c r="R38" i="159" s="1"/>
  <c r="T15" i="154"/>
  <c r="T26" i="154" s="1"/>
  <c r="T41" i="154" s="1"/>
  <c r="T38" i="159" s="1"/>
  <c r="H8" i="159"/>
  <c r="J8" i="159"/>
  <c r="I8" i="159"/>
  <c r="E15" i="154"/>
  <c r="E26" i="154" s="1"/>
  <c r="E41" i="154" s="1"/>
  <c r="E38" i="159" s="1"/>
  <c r="G15" i="154"/>
  <c r="G26" i="154" s="1"/>
  <c r="G41" i="154" s="1"/>
  <c r="G38" i="159" s="1"/>
  <c r="F15" i="154"/>
  <c r="F26" i="154" s="1"/>
  <c r="F41" i="154" s="1"/>
  <c r="F38" i="159" s="1"/>
  <c r="AW15" i="154"/>
  <c r="M26" i="154"/>
  <c r="M41" i="154" s="1"/>
  <c r="M38" i="159" s="1"/>
  <c r="L26" i="154"/>
  <c r="L41" i="154" s="1"/>
  <c r="L38" i="159" s="1"/>
  <c r="P26" i="154"/>
  <c r="P41" i="154" s="1"/>
  <c r="P38" i="159" s="1"/>
  <c r="O26" i="154"/>
  <c r="O41" i="154" s="1"/>
  <c r="O38" i="159" s="1"/>
  <c r="N26" i="154"/>
  <c r="N41" i="154" s="1"/>
  <c r="N38" i="159" s="1"/>
  <c r="B59" i="150"/>
  <c r="D60" i="150"/>
  <c r="L14" i="140" s="1"/>
  <c r="AV14" i="154"/>
  <c r="AX14" i="154" s="1"/>
  <c r="AW20" i="154"/>
  <c r="Z20" i="154"/>
  <c r="Y20" i="154"/>
  <c r="W8" i="159" l="1"/>
  <c r="F8" i="159"/>
  <c r="E8" i="159"/>
  <c r="G8" i="159"/>
  <c r="T8" i="159"/>
  <c r="S8" i="159"/>
  <c r="R8" i="159"/>
  <c r="Q8" i="159"/>
  <c r="P8" i="159"/>
  <c r="M8" i="159"/>
  <c r="N8" i="159"/>
  <c r="L8" i="159"/>
  <c r="O8" i="159"/>
  <c r="AV20" i="154"/>
  <c r="AX20" i="154" s="1"/>
  <c r="V26" i="154"/>
  <c r="V41" i="154" s="1"/>
  <c r="V38" i="159" s="1"/>
  <c r="U26" i="154"/>
  <c r="U41" i="154" s="1"/>
  <c r="U38" i="159" s="1"/>
  <c r="B104" i="150"/>
  <c r="B87" i="150"/>
  <c r="AV15" i="154"/>
  <c r="AX15" i="154" s="1"/>
  <c r="U8" i="159" l="1"/>
  <c r="V8" i="159"/>
  <c r="B111" i="150"/>
  <c r="B105" i="150"/>
  <c r="B106" i="150" s="1"/>
  <c r="B112" i="150" l="1"/>
  <c r="B30" i="105" l="1"/>
  <c r="D29" i="105" s="1"/>
  <c r="B136" i="149" l="1"/>
  <c r="C127" i="149"/>
  <c r="C128" i="149" s="1"/>
  <c r="D30" i="105"/>
  <c r="E29" i="105" s="1"/>
  <c r="E36" i="105" s="1"/>
  <c r="D36" i="105"/>
  <c r="A127" i="149"/>
  <c r="B137" i="149" l="1"/>
  <c r="B144" i="149" s="1"/>
  <c r="D19" i="159"/>
  <c r="E19" i="159"/>
  <c r="E30" i="105"/>
  <c r="F29" i="105" s="1"/>
  <c r="F36" i="105" l="1"/>
  <c r="F30" i="105"/>
  <c r="G29" i="105" s="1"/>
  <c r="F19" i="159" l="1"/>
  <c r="G36" i="105"/>
  <c r="G30" i="105"/>
  <c r="H29" i="105" s="1"/>
  <c r="H36" i="105" s="1"/>
  <c r="H19" i="159" l="1"/>
  <c r="G19" i="159"/>
  <c r="H30" i="105"/>
  <c r="I29" i="105" s="1"/>
  <c r="I36" i="105" s="1"/>
  <c r="I19" i="159" s="1"/>
  <c r="I30" i="105" l="1"/>
  <c r="J29" i="105" s="1"/>
  <c r="J36" i="105" s="1"/>
  <c r="J19" i="159" s="1"/>
  <c r="J30" i="105" l="1"/>
  <c r="K29" i="105" s="1"/>
  <c r="K36" i="105" s="1"/>
  <c r="K19" i="159" s="1"/>
  <c r="K30" i="105" l="1"/>
  <c r="L29" i="105" s="1"/>
  <c r="L36" i="105" s="1"/>
  <c r="L19" i="159" s="1"/>
  <c r="L30" i="105" l="1"/>
  <c r="M29" i="105" s="1"/>
  <c r="M36" i="105" s="1"/>
  <c r="M19" i="159" s="1"/>
  <c r="M30" i="105" l="1"/>
  <c r="N29" i="105" s="1"/>
  <c r="N36" i="105" s="1"/>
  <c r="N19" i="159" s="1"/>
  <c r="N30" i="105" l="1"/>
  <c r="O29" i="105" s="1"/>
  <c r="O36" i="105" s="1"/>
  <c r="O19" i="159" s="1"/>
  <c r="O30" i="105" l="1"/>
  <c r="P29" i="105" s="1"/>
  <c r="P36" i="105" s="1"/>
  <c r="P19" i="159" s="1"/>
  <c r="P30" i="105" l="1"/>
  <c r="Q29" i="105" s="1"/>
  <c r="Q36" i="105" s="1"/>
  <c r="Q19" i="159" s="1"/>
  <c r="Q30" i="105" l="1"/>
  <c r="R29" i="105" s="1"/>
  <c r="R36" i="105" s="1"/>
  <c r="R19" i="159" s="1"/>
  <c r="R30" i="105" l="1"/>
  <c r="S29" i="105" s="1"/>
  <c r="S36" i="105" s="1"/>
  <c r="S19" i="159" s="1"/>
  <c r="S30" i="105" l="1"/>
  <c r="T29" i="105" s="1"/>
  <c r="T36" i="105" s="1"/>
  <c r="T19" i="159" s="1"/>
  <c r="T30" i="105" l="1"/>
  <c r="U29" i="105" s="1"/>
  <c r="U36" i="105" s="1"/>
  <c r="U19" i="159" s="1"/>
  <c r="B19" i="159" s="1"/>
  <c r="B20" i="159" s="1"/>
  <c r="B21" i="159" s="1"/>
  <c r="S8" i="140" s="1"/>
  <c r="U30" i="105" l="1"/>
  <c r="V29" i="105" s="1"/>
  <c r="B29" i="105" s="1"/>
  <c r="V30" i="105" l="1"/>
  <c r="B23" i="154"/>
  <c r="C23" i="154" s="1"/>
  <c r="C26" i="154" s="1"/>
  <c r="D81" i="150"/>
  <c r="C84" i="150"/>
  <c r="B94" i="150" l="1"/>
  <c r="B99" i="150" s="1"/>
  <c r="B88" i="150"/>
  <c r="P14" i="140" s="1"/>
  <c r="M14" i="140"/>
  <c r="B85" i="150"/>
  <c r="D84" i="150"/>
  <c r="B86" i="150"/>
  <c r="C29" i="154"/>
  <c r="C41" i="154"/>
  <c r="B26" i="154"/>
  <c r="AW23" i="154"/>
  <c r="D23" i="154"/>
  <c r="D26" i="154" s="1"/>
  <c r="D41" i="154" s="1"/>
  <c r="D38" i="159" s="1"/>
  <c r="K23" i="154"/>
  <c r="K26" i="154" s="1"/>
  <c r="K41" i="154" s="1"/>
  <c r="K38" i="159" s="1"/>
  <c r="C38" i="159" l="1"/>
  <c r="B25" i="159"/>
  <c r="C8" i="159"/>
  <c r="D8" i="159"/>
  <c r="K8" i="159"/>
  <c r="B92" i="150"/>
  <c r="C92" i="150" s="1"/>
  <c r="C94" i="150"/>
  <c r="O14" i="140"/>
  <c r="B119" i="150"/>
  <c r="B107" i="150"/>
  <c r="F81" i="150"/>
  <c r="F82" i="150"/>
  <c r="B31" i="154"/>
  <c r="B32" i="154" s="1"/>
  <c r="AW26" i="154"/>
  <c r="AV23" i="154"/>
  <c r="AV26" i="154" s="1"/>
  <c r="C30" i="154"/>
  <c r="C36" i="154"/>
  <c r="C34" i="159" l="1"/>
  <c r="C4" i="159"/>
  <c r="B27" i="154"/>
  <c r="B40" i="154" s="1"/>
  <c r="X41" i="154" s="1"/>
  <c r="X38" i="159" s="1"/>
  <c r="B93" i="150"/>
  <c r="C93" i="150" s="1"/>
  <c r="B100" i="150"/>
  <c r="A99" i="150" s="1"/>
  <c r="B35" i="154"/>
  <c r="X36" i="154" s="1"/>
  <c r="X34" i="159" s="1"/>
  <c r="AX23" i="154"/>
  <c r="N14" i="140"/>
  <c r="X8" i="159" l="1"/>
  <c r="B28" i="154"/>
  <c r="B30" i="154"/>
  <c r="B108" i="150"/>
  <c r="B109" i="150" s="1"/>
  <c r="B116" i="150" s="1"/>
  <c r="C99" i="150"/>
  <c r="C100" i="150" s="1"/>
  <c r="D29" i="154" l="1"/>
  <c r="AJ41" i="154"/>
  <c r="AJ38" i="159" s="1"/>
  <c r="AD41" i="154"/>
  <c r="AD38" i="159" s="1"/>
  <c r="AQ41" i="154"/>
  <c r="AQ38" i="159" s="1"/>
  <c r="AE41" i="154"/>
  <c r="AE38" i="159" s="1"/>
  <c r="AG41" i="154"/>
  <c r="AG38" i="159" s="1"/>
  <c r="AF41" i="154"/>
  <c r="AF38" i="159" s="1"/>
  <c r="AA41" i="154"/>
  <c r="AA38" i="159" s="1"/>
  <c r="AH41" i="154"/>
  <c r="AH38" i="159" s="1"/>
  <c r="AN41" i="154"/>
  <c r="AN38" i="159" s="1"/>
  <c r="Y41" i="154"/>
  <c r="Y38" i="159" s="1"/>
  <c r="AP41" i="154"/>
  <c r="AP38" i="159" s="1"/>
  <c r="AM41" i="154"/>
  <c r="AM38" i="159" s="1"/>
  <c r="AB41" i="154"/>
  <c r="AB38" i="159" s="1"/>
  <c r="AO41" i="154"/>
  <c r="AO38" i="159" s="1"/>
  <c r="Z41" i="154"/>
  <c r="Z38" i="159" s="1"/>
  <c r="AL41" i="154"/>
  <c r="AL38" i="159" s="1"/>
  <c r="AK41" i="154"/>
  <c r="AK38" i="159" s="1"/>
  <c r="AC41" i="154"/>
  <c r="AC38" i="159" s="1"/>
  <c r="AI41" i="154"/>
  <c r="AI38" i="159" s="1"/>
  <c r="AR41" i="154"/>
  <c r="AR38" i="159" s="1"/>
  <c r="AB8" i="159" l="1"/>
  <c r="AE8" i="159"/>
  <c r="Y8" i="159"/>
  <c r="AC8" i="159"/>
  <c r="AD8" i="159"/>
  <c r="AF8" i="159"/>
  <c r="Z8" i="159"/>
  <c r="AA8" i="159"/>
  <c r="B41" i="154"/>
  <c r="B42" i="154" s="1"/>
  <c r="B43" i="154" s="1"/>
  <c r="B118" i="150" s="1"/>
  <c r="D36" i="154"/>
  <c r="D30" i="154"/>
  <c r="E29" i="154" s="1"/>
  <c r="E36" i="154" s="1"/>
  <c r="B38" i="159" l="1"/>
  <c r="B39" i="159" s="1"/>
  <c r="B40" i="159" s="1"/>
  <c r="E34" i="159"/>
  <c r="D34" i="159"/>
  <c r="E30" i="154"/>
  <c r="F29" i="154" s="1"/>
  <c r="F30" i="154" l="1"/>
  <c r="G29" i="154" s="1"/>
  <c r="G36" i="154" s="1"/>
  <c r="F36" i="154"/>
  <c r="F34" i="159" l="1"/>
  <c r="G34" i="159"/>
  <c r="G30" i="154"/>
  <c r="H29" i="154" s="1"/>
  <c r="H36" i="154" l="1"/>
  <c r="H30" i="154"/>
  <c r="I29" i="154" s="1"/>
  <c r="H34" i="159" l="1"/>
  <c r="I36" i="154"/>
  <c r="I30" i="154"/>
  <c r="J29" i="154" s="1"/>
  <c r="J36" i="154" s="1"/>
  <c r="J34" i="159" l="1"/>
  <c r="I34" i="159"/>
  <c r="J30" i="154"/>
  <c r="K29" i="154" s="1"/>
  <c r="K36" i="154" l="1"/>
  <c r="K30" i="154"/>
  <c r="L29" i="154" s="1"/>
  <c r="L36" i="154" s="1"/>
  <c r="L34" i="159" l="1"/>
  <c r="K34" i="159"/>
  <c r="L30" i="154"/>
  <c r="M29" i="154" s="1"/>
  <c r="M36" i="154" l="1"/>
  <c r="M30" i="154"/>
  <c r="N29" i="154" s="1"/>
  <c r="M34" i="159" l="1"/>
  <c r="N36" i="154"/>
  <c r="N30" i="154"/>
  <c r="O29" i="154" s="1"/>
  <c r="O36" i="154" s="1"/>
  <c r="N34" i="159" l="1"/>
  <c r="O34" i="159"/>
  <c r="O30" i="154"/>
  <c r="P29" i="154" s="1"/>
  <c r="P36" i="154" l="1"/>
  <c r="P30" i="154"/>
  <c r="Q29" i="154" s="1"/>
  <c r="Q36" i="154" s="1"/>
  <c r="Q34" i="159" l="1"/>
  <c r="P34" i="159"/>
  <c r="Q30" i="154"/>
  <c r="R29" i="154" s="1"/>
  <c r="R36" i="154" s="1"/>
  <c r="R34" i="159" l="1"/>
  <c r="R30" i="154"/>
  <c r="S29" i="154" s="1"/>
  <c r="S36" i="154" s="1"/>
  <c r="S34" i="159" l="1"/>
  <c r="S30" i="154"/>
  <c r="T29" i="154" s="1"/>
  <c r="T36" i="154" l="1"/>
  <c r="T30" i="154"/>
  <c r="U29" i="154" s="1"/>
  <c r="U36" i="154" s="1"/>
  <c r="U34" i="159" l="1"/>
  <c r="T34" i="159"/>
  <c r="U30" i="154"/>
  <c r="V29" i="154" s="1"/>
  <c r="V36" i="154" l="1"/>
  <c r="V30" i="154"/>
  <c r="W29" i="154" s="1"/>
  <c r="W36" i="154" s="1"/>
  <c r="W34" i="159" l="1"/>
  <c r="V34" i="159"/>
  <c r="B36" i="154"/>
  <c r="B37" i="154" s="1"/>
  <c r="B38" i="154" s="1"/>
  <c r="B117" i="150" s="1"/>
  <c r="W30" i="154"/>
  <c r="X29" i="154" s="1"/>
  <c r="B34" i="159" l="1"/>
  <c r="B35" i="159" s="1"/>
  <c r="B36" i="159" s="1"/>
  <c r="S16" i="140" s="1"/>
  <c r="B29" i="154"/>
  <c r="X30" i="154"/>
  <c r="E12" i="153"/>
  <c r="E16" i="153" s="1"/>
  <c r="D17" i="153" l="1"/>
  <c r="D36" i="153"/>
  <c r="D38" i="153" l="1"/>
  <c r="C36" i="153"/>
  <c r="B36" i="153"/>
  <c r="D41" i="153" l="1"/>
  <c r="D43" i="153"/>
  <c r="D46" i="153"/>
  <c r="C66" i="153" l="1"/>
  <c r="B46" i="153"/>
  <c r="C46" i="153"/>
  <c r="D42" i="153"/>
  <c r="D44" i="153" s="1"/>
  <c r="D47" i="153" s="1"/>
  <c r="C41" i="153"/>
  <c r="B41" i="153"/>
  <c r="B44" i="153" l="1"/>
  <c r="C44" i="153"/>
  <c r="D66" i="153"/>
  <c r="C72" i="153"/>
  <c r="B20" i="156"/>
  <c r="AW20" i="156" s="1"/>
  <c r="B82" i="153" l="1"/>
  <c r="B89" i="153" s="1"/>
  <c r="AJ20" i="156"/>
  <c r="AM20" i="156"/>
  <c r="AM26" i="156" s="1"/>
  <c r="AL20" i="156"/>
  <c r="AL26" i="156" s="1"/>
  <c r="AW26" i="156"/>
  <c r="B26" i="156"/>
  <c r="AK20" i="156"/>
  <c r="AK26" i="156" s="1"/>
  <c r="M21" i="140"/>
  <c r="M31" i="140" s="1"/>
  <c r="D72" i="153"/>
  <c r="B47" i="153"/>
  <c r="B73" i="153"/>
  <c r="D48" i="153"/>
  <c r="B90" i="153" l="1"/>
  <c r="F69" i="153"/>
  <c r="F70" i="153"/>
  <c r="AH26" i="156"/>
  <c r="AI26" i="156"/>
  <c r="AJ26" i="156"/>
  <c r="AV20" i="156"/>
  <c r="AX20" i="156" s="1"/>
  <c r="B97" i="153"/>
  <c r="L21" i="140"/>
  <c r="L31" i="140" s="1"/>
  <c r="B74" i="153"/>
  <c r="B76" i="153"/>
  <c r="P21" i="140" s="1"/>
  <c r="B75" i="153"/>
  <c r="B94" i="153"/>
  <c r="AG26" i="156"/>
  <c r="AG41" i="156" l="1"/>
  <c r="AG8" i="159" s="1"/>
  <c r="AI41" i="156"/>
  <c r="AI8" i="159" s="1"/>
  <c r="AH41" i="156"/>
  <c r="AH8" i="159" s="1"/>
  <c r="B98" i="153"/>
  <c r="R31" i="140"/>
  <c r="P31" i="140"/>
  <c r="AV26" i="156"/>
  <c r="B101" i="153"/>
  <c r="B95" i="153"/>
  <c r="B96" i="153" s="1"/>
  <c r="B80" i="153"/>
  <c r="B27" i="156" l="1"/>
  <c r="B28" i="156" s="1"/>
  <c r="B81" i="153"/>
  <c r="B102" i="153"/>
  <c r="B40" i="156" l="1"/>
  <c r="AJ41" i="156" l="1"/>
  <c r="AJ8" i="159" s="1"/>
  <c r="O21" i="140"/>
  <c r="O31" i="140" s="1"/>
  <c r="C82" i="153"/>
  <c r="B31" i="156"/>
  <c r="B35" i="156" s="1"/>
  <c r="AM36" i="156" s="1"/>
  <c r="B108" i="153"/>
  <c r="AM4" i="159" l="1"/>
  <c r="B32" i="156"/>
  <c r="AJ4" i="159"/>
  <c r="B99" i="153"/>
  <c r="B106" i="153" s="1"/>
  <c r="B30" i="156"/>
  <c r="AR41" i="156" s="1"/>
  <c r="AR8" i="159" s="1"/>
  <c r="C89" i="153"/>
  <c r="C90" i="153" s="1"/>
  <c r="N21" i="140"/>
  <c r="N31" i="140" s="1"/>
  <c r="A89" i="153"/>
  <c r="AO41" i="156" l="1"/>
  <c r="AO8" i="159" s="1"/>
  <c r="AT41" i="156"/>
  <c r="AT8" i="159" s="1"/>
  <c r="AU41" i="156"/>
  <c r="AU8" i="159" s="1"/>
  <c r="AN41" i="156"/>
  <c r="AN8" i="159" s="1"/>
  <c r="D29" i="156"/>
  <c r="D36" i="156" s="1"/>
  <c r="AS41" i="156"/>
  <c r="AS8" i="159" s="1"/>
  <c r="AP41" i="156"/>
  <c r="AP8" i="159" s="1"/>
  <c r="AQ41" i="156"/>
  <c r="AQ8" i="159" s="1"/>
  <c r="D4" i="159" l="1"/>
  <c r="D30" i="156"/>
  <c r="E29" i="156" s="1"/>
  <c r="E30" i="156" l="1"/>
  <c r="F29" i="156" s="1"/>
  <c r="E36" i="156"/>
  <c r="E4" i="159"/>
  <c r="F30" i="156"/>
  <c r="G29" i="156" s="1"/>
  <c r="G36" i="156" l="1"/>
  <c r="G4" i="159" s="1"/>
  <c r="F36" i="156"/>
  <c r="F4" i="159" s="1"/>
  <c r="G30" i="156"/>
  <c r="H29" i="156" s="1"/>
  <c r="H36" i="156" l="1"/>
  <c r="H4" i="159" s="1"/>
  <c r="H30" i="156"/>
  <c r="I29" i="156" s="1"/>
  <c r="I36" i="156" l="1"/>
  <c r="I4" i="159" s="1"/>
  <c r="I30" i="156"/>
  <c r="J29" i="156" s="1"/>
  <c r="J36" i="156" l="1"/>
  <c r="J4" i="159" s="1"/>
  <c r="J30" i="156"/>
  <c r="K29" i="156" s="1"/>
  <c r="K36" i="156" s="1"/>
  <c r="K4" i="159" l="1"/>
  <c r="K30" i="156"/>
  <c r="L29" i="156" s="1"/>
  <c r="L36" i="156" s="1"/>
  <c r="L4" i="159" l="1"/>
  <c r="L30" i="156"/>
  <c r="M29" i="156" s="1"/>
  <c r="M36" i="156" s="1"/>
  <c r="M4" i="159" l="1"/>
  <c r="M30" i="156"/>
  <c r="N29" i="156" s="1"/>
  <c r="N36" i="156" s="1"/>
  <c r="N4" i="159" l="1"/>
  <c r="N30" i="156"/>
  <c r="O29" i="156" s="1"/>
  <c r="O36" i="156" l="1"/>
  <c r="O4" i="159" s="1"/>
  <c r="O30" i="156"/>
  <c r="P29" i="156" s="1"/>
  <c r="P36" i="156" s="1"/>
  <c r="P4" i="159" l="1"/>
  <c r="P30" i="156"/>
  <c r="Q29" i="156" s="1"/>
  <c r="Q36" i="156" s="1"/>
  <c r="Q4" i="159" l="1"/>
  <c r="Q30" i="156"/>
  <c r="R29" i="156" s="1"/>
  <c r="R36" i="156" l="1"/>
  <c r="R4" i="159" s="1"/>
  <c r="R30" i="156"/>
  <c r="S29" i="156" s="1"/>
  <c r="S36" i="156" s="1"/>
  <c r="S4" i="159" l="1"/>
  <c r="S30" i="156"/>
  <c r="T29" i="156" s="1"/>
  <c r="T36" i="156" s="1"/>
  <c r="T4" i="159" l="1"/>
  <c r="T30" i="156"/>
  <c r="U29" i="156" s="1"/>
  <c r="U36" i="156" s="1"/>
  <c r="U4" i="159" l="1"/>
  <c r="U30" i="156"/>
  <c r="V29" i="156" s="1"/>
  <c r="V36" i="156" s="1"/>
  <c r="V4" i="159" l="1"/>
  <c r="V30" i="156"/>
  <c r="W29" i="156" s="1"/>
  <c r="W36" i="156" s="1"/>
  <c r="W4" i="159" l="1"/>
  <c r="W30" i="156"/>
  <c r="X29" i="156" s="1"/>
  <c r="X36" i="156" s="1"/>
  <c r="X4" i="159" l="1"/>
  <c r="X30" i="156"/>
  <c r="Y29" i="156" s="1"/>
  <c r="Y36" i="156" l="1"/>
  <c r="Y4" i="159" s="1"/>
  <c r="Y30" i="156"/>
  <c r="Z29" i="156" s="1"/>
  <c r="Z36" i="156" l="1"/>
  <c r="Z4" i="159" s="1"/>
  <c r="Z30" i="156"/>
  <c r="AA29" i="156" s="1"/>
  <c r="AA36" i="156" l="1"/>
  <c r="AA4" i="159" s="1"/>
  <c r="AA30" i="156"/>
  <c r="AB29" i="156" s="1"/>
  <c r="AB36" i="156" s="1"/>
  <c r="AB4" i="159" l="1"/>
  <c r="AB30" i="156"/>
  <c r="AC29" i="156" s="1"/>
  <c r="AC36" i="156" l="1"/>
  <c r="AC4" i="159" s="1"/>
  <c r="AC30" i="156"/>
  <c r="AD29" i="156" s="1"/>
  <c r="AD36" i="156" s="1"/>
  <c r="AD4" i="159" l="1"/>
  <c r="AD30" i="156"/>
  <c r="AE29" i="156" s="1"/>
  <c r="AE36" i="156" s="1"/>
  <c r="AE4" i="159" l="1"/>
  <c r="AE30" i="156"/>
  <c r="AF29" i="156" s="1"/>
  <c r="AF36" i="156" s="1"/>
  <c r="AK30" i="156" l="1"/>
  <c r="AK41" i="156" s="1"/>
  <c r="AL30" i="156"/>
  <c r="AL41" i="156" s="1"/>
  <c r="AM30" i="156"/>
  <c r="AF4" i="159"/>
  <c r="B4" i="159" s="1"/>
  <c r="B5" i="159" s="1"/>
  <c r="B6" i="159" s="1"/>
  <c r="S31" i="140" s="1"/>
  <c r="AL8" i="159"/>
  <c r="AF30" i="156"/>
  <c r="AI30" i="156"/>
  <c r="AG30" i="156"/>
  <c r="B29" i="156"/>
  <c r="AJ30" i="156"/>
  <c r="AH30" i="156"/>
  <c r="B36" i="156"/>
  <c r="B37" i="156" s="1"/>
  <c r="AM41" i="156" l="1"/>
  <c r="AM8" i="159" s="1"/>
  <c r="AK8" i="159"/>
  <c r="B41" i="156"/>
  <c r="B42" i="156" s="1"/>
  <c r="B43" i="156" s="1"/>
  <c r="B38" i="156"/>
  <c r="B8" i="159" l="1"/>
  <c r="B9" i="159" s="1"/>
  <c r="B10" i="159" s="1"/>
  <c r="B107" i="153"/>
  <c r="S24" i="140" s="1"/>
  <c r="C67" i="140" l="1"/>
  <c r="B68" i="140"/>
  <c r="C66" i="14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tc={86F8A2CE-E08B-49E4-A15C-C12A325B7294}</author>
    <author>tc={07B9C628-9432-473B-A4E0-09ADEA403112}</author>
    <author>tc={F3F80A3F-A6B0-48A5-A14B-81DDA769F300}</author>
    <author>tc={8A2D7B21-BFB9-4AA2-93E9-6C2CFA9B3685}</author>
    <author>tc={5F1FE6C2-D84A-4138-8B29-D5E5E47377BB}</author>
    <author>tc={9E466622-795D-4893-9BD6-3551217D4E51}</author>
    <author>tc={B4CD5F68-F9A7-4963-B189-E5E16FBE39C6}</author>
    <author>tc={112DB1A2-8887-417D-A97F-F309BE5CE8B5}</author>
    <author>tc={2F008947-B267-4FDA-BA90-AA81CFA35209}</author>
  </authors>
  <commentList>
    <comment ref="A95" authorId="0" shapeId="0" xr:uid="{86F8A2CE-E08B-49E4-A15C-C12A325B7294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https://www.seattle.gov/documents/Departments/Housing/PropertyManagers/IncomeRentLimits/2023_Income_Rent_Limits_Rental.pdf
Reply:
    https://www.seattle.gov/documents/Departments/Housing/PropertyManagers/IncomeRentLimits/2023_Income_Rent_Limits_Rental.pdf</t>
      </text>
    </comment>
    <comment ref="A111" authorId="1" shapeId="0" xr:uid="{07B9C628-9432-473B-A4E0-09ADEA403112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https://www.huduser.gov/portal/datasets/home-datasets/files/HOME_IncomeLmts_State_WA_2023.pdf</t>
      </text>
    </comment>
    <comment ref="A116" authorId="2" shapeId="0" xr:uid="{F3F80A3F-A6B0-48A5-A14B-81DDA769F300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https://www.huduser.gov/portal/datasets/home-datasets/files/HOME_RentLimits_State_WA_2023.pdf</t>
      </text>
    </comment>
    <comment ref="A152" authorId="3" shapeId="0" xr:uid="{8A2D7B21-BFB9-4AA2-93E9-6C2CFA9B3685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https://deptofcommerce.app.box.com/s/3cjb32ig15x4fntzb1t7qdwpxu868rns</t>
      </text>
    </comment>
    <comment ref="A171" authorId="4" shapeId="0" xr:uid="{5F1FE6C2-D84A-4138-8B29-D5E5E47377BB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https://deptofcommerce.box.com/s/sxe8ml6qkrj1p1c4qkkbcq86ow8wxr9s</t>
      </text>
    </comment>
    <comment ref="A183" authorId="5" shapeId="0" xr:uid="{9E466622-795D-4893-9BD6-3551217D4E51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https://www.hudexchange.info/programs/section-108/section-108-program-eligibility-requirements/#section-108-rates-and-fees</t>
      </text>
    </comment>
    <comment ref="A184" authorId="6" shapeId="0" xr:uid="{B4CD5F68-F9A7-4963-B189-E5E16FBE39C6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https://www.hudexchange.info/resource/5811/section-108-government-guaranteed-participation-certificates-series-2019-a-offering-circular/</t>
      </text>
    </comment>
    <comment ref="A195" authorId="7" shapeId="0" xr:uid="{112DB1A2-8887-417D-A97F-F309BE5CE8B5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https://www.hud.gov/program_offices/comm_planning/cdbg/entitlement-program</t>
      </text>
    </comment>
    <comment ref="A208" authorId="8" shapeId="0" xr:uid="{2F008947-B267-4FDA-BA90-AA81CFA35209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https://housing.seattle.gov/seattle-housing-levy-signed/#sthash.1cndSDNi.dpbs
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tc={748F02D8-898E-4E71-8993-DE77FD561708}</author>
    <author>tc={67D3A3E7-8D80-4DDF-ADDA-64A1D1C3FB8D}</author>
  </authors>
  <commentList>
    <comment ref="A5" authorId="0" shapeId="0" xr:uid="{748F02D8-898E-4E71-8993-DE77FD561708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Each component is a tab
</t>
      </text>
    </comment>
    <comment ref="U17" authorId="1" shapeId="0" xr:uid="{67D3A3E7-8D80-4DDF-ADDA-64A1D1C3FB8D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Will help offset costs for buyers of 80% AMI or below for home ownership
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tc={0E1539EA-F04E-4BA4-BD25-FECBFA0055A4}</author>
    <author>tc={206EDF69-1CBD-4F6C-BDD3-5364156901BA}</author>
  </authors>
  <commentList>
    <comment ref="V7" authorId="0" shapeId="0" xr:uid="{0E1539EA-F04E-4BA4-BD25-FECBFA0055A4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Used 4&amp;5 Star
</t>
      </text>
    </comment>
    <comment ref="V13" authorId="1" shapeId="0" xr:uid="{206EDF69-1CBD-4F6C-BDD3-5364156901BA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Can we use the projected for when we phase office? 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tc={248EA966-DB2C-45A6-A304-304645876C50}</author>
    <author>Microsoft Office User</author>
    <author>tc={C596F202-8F2A-43E9-A4A5-E62B8656BD31}</author>
    <author>tc={A12E7A37-3CCA-49A6-9582-07F8AD327D5C}</author>
  </authors>
  <commentList>
    <comment ref="D29" authorId="0" shapeId="0" xr:uid="{248EA966-DB2C-45A6-A304-304645876C50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Based off Co-Star Projections
</t>
      </text>
    </comment>
    <comment ref="A133" authorId="1" shapeId="0" xr:uid="{3C4A0471-2B2B-4A1B-8A74-9D0C743D7552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4"/>
            <color indexed="81"/>
            <rFont val="Calibri"/>
            <family val="2"/>
          </rPr>
          <t xml:space="preserve">
Need to confirm transfer taxes and brokerage commissions combined are 3% or less</t>
        </r>
      </text>
    </comment>
    <comment ref="G139" authorId="2" shapeId="0" xr:uid="{C596F202-8F2A-43E9-A4A5-E62B8656BD31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https://www.seattle.gov/city-light/energy/electrification/transportation-electrification/multifamily-ev-charging</t>
      </text>
    </comment>
    <comment ref="A162" authorId="3" shapeId="0" xr:uid="{A12E7A37-3CCA-49A6-9582-07F8AD327D5C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Will help offset costs for buyers of 80% AMI or below for home ownership
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72" authorId="0" shapeId="0" xr:uid="{7A5C414E-B734-4BF7-8511-47B8062B5959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4"/>
            <color indexed="81"/>
            <rFont val="Calibri"/>
            <family val="2"/>
          </rPr>
          <t xml:space="preserve">
Need to confirm transfer taxes and brokerage commissions combined are 3% or less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105" authorId="0" shapeId="0" xr:uid="{9F712155-0D05-4677-939E-4CF5DA04AA15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4"/>
            <color indexed="81"/>
            <rFont val="Calibri"/>
            <family val="2"/>
          </rPr>
          <t xml:space="preserve">
Need to confirm transfer taxes and brokerage commissions combined are 3% or less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73" authorId="0" shapeId="0" xr:uid="{264F8AED-C765-4141-AEAC-AE8973838D8A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4"/>
            <color indexed="81"/>
            <rFont val="Calibri"/>
            <family val="2"/>
          </rPr>
          <t xml:space="preserve">
Need to confirm transfer taxes and brokerage commissions combined are 3% or less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95" authorId="0" shapeId="0" xr:uid="{9EFAD23C-7748-40FB-9A53-A8209E220521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4"/>
            <color indexed="81"/>
            <rFont val="Calibri"/>
            <family val="2"/>
          </rPr>
          <t xml:space="preserve">
Need to confirm transfer taxes and brokerage commissions combined are 3% or less</t>
        </r>
      </text>
    </comment>
  </commentList>
</comments>
</file>

<file path=xl/sharedStrings.xml><?xml version="1.0" encoding="utf-8"?>
<sst xmlns="http://schemas.openxmlformats.org/spreadsheetml/2006/main" count="1402" uniqueCount="583">
  <si>
    <t>Construction Costs Research</t>
  </si>
  <si>
    <t>Key Takeaways</t>
  </si>
  <si>
    <t>Source: Cummings</t>
  </si>
  <si>
    <t>Multifamily</t>
  </si>
  <si>
    <t>Office</t>
  </si>
  <si>
    <t>Retail</t>
  </si>
  <si>
    <t>San Francisco</t>
  </si>
  <si>
    <t>Los Angeles</t>
  </si>
  <si>
    <t>Sacramento</t>
  </si>
  <si>
    <t>Market Multifamily Rent PSF</t>
  </si>
  <si>
    <t>Development Costs</t>
  </si>
  <si>
    <t>High</t>
  </si>
  <si>
    <t>Low</t>
  </si>
  <si>
    <t>Market Studio Rent (per Unit)</t>
  </si>
  <si>
    <t>Rent Growth</t>
  </si>
  <si>
    <t>Hard costs</t>
  </si>
  <si>
    <t>RESIDENTIAL</t>
  </si>
  <si>
    <t>Market 1BR Rent (per Unit)</t>
  </si>
  <si>
    <t>Apartment/Condominium-Mid Rise</t>
  </si>
  <si>
    <t>Market 2BR Rent (per Unit)</t>
  </si>
  <si>
    <t>Demolition</t>
  </si>
  <si>
    <t>COMMERCIAL / OFFICE</t>
  </si>
  <si>
    <t>Market 3BR Rent (per Unit)</t>
  </si>
  <si>
    <t>Cap Rates</t>
  </si>
  <si>
    <t>Street Improvement</t>
  </si>
  <si>
    <t>Mid-Rise</t>
  </si>
  <si>
    <t>For Rent</t>
  </si>
  <si>
    <t>High rise, gross</t>
  </si>
  <si>
    <t>High Rise</t>
  </si>
  <si>
    <t>Affordable</t>
  </si>
  <si>
    <t>Wood frame, gross</t>
  </si>
  <si>
    <t>RETAIL</t>
  </si>
  <si>
    <t>SRO</t>
  </si>
  <si>
    <t>Neighborhood Strip Center</t>
  </si>
  <si>
    <t>Before TI</t>
  </si>
  <si>
    <t>PUBLIC / COMMUNITY FACILITIES</t>
  </si>
  <si>
    <t>Bridge by itself</t>
  </si>
  <si>
    <t>Gov't Adminstrative Buildings</t>
  </si>
  <si>
    <t>Bridge amenities</t>
  </si>
  <si>
    <t>Museum/Performing Arts</t>
  </si>
  <si>
    <t>PARKING STRUCTURES</t>
  </si>
  <si>
    <t>Below Grade-Multi-Level</t>
  </si>
  <si>
    <t>Above Grade-Multi-Level</t>
  </si>
  <si>
    <t>Mulitfamily Rent, Vacancy, and Cap Rates</t>
  </si>
  <si>
    <t>Source: Costar - Downtown Oakland</t>
  </si>
  <si>
    <t>Source: California Department of Housing and Community Development</t>
  </si>
  <si>
    <t>AMI %</t>
  </si>
  <si>
    <t>SRO*</t>
  </si>
  <si>
    <t>Studio</t>
  </si>
  <si>
    <t>1BR</t>
  </si>
  <si>
    <t>2BR</t>
  </si>
  <si>
    <t>3BR</t>
  </si>
  <si>
    <t>Extremely Low (Goal 15%)</t>
  </si>
  <si>
    <t>Extremely Low</t>
  </si>
  <si>
    <t>Very Low (Goal 15%)</t>
  </si>
  <si>
    <t>Very Low</t>
  </si>
  <si>
    <t>Low Income (Goal 30%)</t>
  </si>
  <si>
    <t>Office Rent, Vacancy, and Cap Rates</t>
  </si>
  <si>
    <t>Retail Rent, Vacancy, and Cap Rates</t>
  </si>
  <si>
    <t>Rents, Sales prices, NOI and cap rates</t>
  </si>
  <si>
    <t>Market Rate Housing Rents and Sales Prices</t>
  </si>
  <si>
    <t>Rent per SF(NNN)</t>
  </si>
  <si>
    <t>Exit Assumptions</t>
  </si>
  <si>
    <t>Rents/Month</t>
  </si>
  <si>
    <t>Sale Prices/SF</t>
  </si>
  <si>
    <t>Class A Office</t>
  </si>
  <si>
    <t>Cap Rate</t>
  </si>
  <si>
    <t>Average Size in SF</t>
  </si>
  <si>
    <t>Ground Foor office &amp; retail</t>
  </si>
  <si>
    <t>Affordable Rental</t>
  </si>
  <si>
    <t>Rent or Price PSF</t>
  </si>
  <si>
    <t>Nonprofit Office</t>
  </si>
  <si>
    <t>Market Rate Rental</t>
  </si>
  <si>
    <t>Artists Studios</t>
  </si>
  <si>
    <t>Ground floor retail</t>
  </si>
  <si>
    <t>Parking</t>
  </si>
  <si>
    <t>Traditional retail</t>
  </si>
  <si>
    <t>Sale Costs</t>
  </si>
  <si>
    <t>NOI Calculation</t>
  </si>
  <si>
    <t>Additional Mixed use revenues after parking</t>
  </si>
  <si>
    <t>Leverage Assumptions</t>
  </si>
  <si>
    <t>Suburban retail office</t>
  </si>
  <si>
    <t>Debt percentage</t>
  </si>
  <si>
    <t>Mixed Use Expense Estimate</t>
  </si>
  <si>
    <t>Residential mixed use</t>
  </si>
  <si>
    <t>High Rise Residential</t>
  </si>
  <si>
    <t>Project Cost Estimating parameters</t>
  </si>
  <si>
    <t>Parking Mix</t>
  </si>
  <si>
    <t>Type</t>
  </si>
  <si>
    <t>Basis</t>
  </si>
  <si>
    <t xml:space="preserve">   Parking Ratio Requirements</t>
  </si>
  <si>
    <t>Type V Hard Costs for Construction</t>
  </si>
  <si>
    <t xml:space="preserve">     Residential</t>
  </si>
  <si>
    <t>Type III Hard Costs for Construction</t>
  </si>
  <si>
    <t xml:space="preserve">     Retail/Office</t>
  </si>
  <si>
    <t>1 space per 1,000 sf</t>
  </si>
  <si>
    <t>Type I Hard Costs for Construcion</t>
  </si>
  <si>
    <t>Underground, Structure and Surface</t>
  </si>
  <si>
    <t>Parking Costs</t>
  </si>
  <si>
    <t>See Parking Mix table</t>
  </si>
  <si>
    <t xml:space="preserve">    SF per space(including circulation)</t>
  </si>
  <si>
    <t>Hard Cost Contingency</t>
  </si>
  <si>
    <t xml:space="preserve">    $/space </t>
  </si>
  <si>
    <t>Municipal Fees and Allowances</t>
  </si>
  <si>
    <t>What does the jurisdiction charge?</t>
  </si>
  <si>
    <t xml:space="preserve">  Surface Parking</t>
  </si>
  <si>
    <t>Share of Infrastructure</t>
  </si>
  <si>
    <t>Estimated allocation from FPC</t>
  </si>
  <si>
    <t>Lifts</t>
  </si>
  <si>
    <t>Legal</t>
  </si>
  <si>
    <t>Estimate</t>
  </si>
  <si>
    <t>Land Closing Costs/commissions</t>
  </si>
  <si>
    <t xml:space="preserve">    $/space</t>
  </si>
  <si>
    <t xml:space="preserve">Design </t>
  </si>
  <si>
    <t>Monthly Rent / Space</t>
  </si>
  <si>
    <t>Developer Fee</t>
  </si>
  <si>
    <t xml:space="preserve">    Unbundled rent/space</t>
  </si>
  <si>
    <t>Construction Management Fee</t>
  </si>
  <si>
    <t xml:space="preserve">     Public garage</t>
  </si>
  <si>
    <t>Taxes during construction</t>
  </si>
  <si>
    <t>Insurance</t>
  </si>
  <si>
    <t>Marketing, FFE and Preleasing</t>
  </si>
  <si>
    <t>Operating Deficit</t>
  </si>
  <si>
    <t>Commercial Tenant Improvements</t>
  </si>
  <si>
    <t>Retail and office brokerage</t>
  </si>
  <si>
    <t>Construction Loan Origination</t>
  </si>
  <si>
    <t>Construction Interest</t>
  </si>
  <si>
    <t>Affordable Purchase Prices by income and family size</t>
  </si>
  <si>
    <t>Household size</t>
  </si>
  <si>
    <t>Low Income: 50% of median</t>
  </si>
  <si>
    <t>30% spent on Housing</t>
  </si>
  <si>
    <t>35% spent on Housing</t>
  </si>
  <si>
    <t xml:space="preserve">  less Utility Allowance</t>
  </si>
  <si>
    <t>Remainder for Rent</t>
  </si>
  <si>
    <t xml:space="preserve">  less Property Insurance</t>
  </si>
  <si>
    <t>Monthly</t>
  </si>
  <si>
    <t xml:space="preserve">  less Property Taxes @ 1.4%</t>
  </si>
  <si>
    <t>Remainder for Mortgage</t>
  </si>
  <si>
    <t>TOTAL AFFORDABLE PRICE</t>
  </si>
  <si>
    <t>Moderate Income: 100% of median</t>
  </si>
  <si>
    <t>Moderate Income: 120% of median</t>
  </si>
  <si>
    <t>Development Program</t>
  </si>
  <si>
    <t>Development Component</t>
  </si>
  <si>
    <t>Location of Development Component</t>
  </si>
  <si>
    <t>Area in SF</t>
  </si>
  <si>
    <t>Land Use</t>
  </si>
  <si>
    <t>Value</t>
  </si>
  <si>
    <t>Total Project Costs</t>
  </si>
  <si>
    <t>Equity</t>
  </si>
  <si>
    <t>Debt</t>
  </si>
  <si>
    <t>Leveraged IRR</t>
  </si>
  <si>
    <t>TOTALS</t>
  </si>
  <si>
    <t>Infrastructure Allocation</t>
  </si>
  <si>
    <t>Item</t>
  </si>
  <si>
    <t>Total Cost</t>
  </si>
  <si>
    <t>TOTAL</t>
  </si>
  <si>
    <t>Schedule</t>
  </si>
  <si>
    <t>Pre-Development</t>
  </si>
  <si>
    <t>Construction</t>
  </si>
  <si>
    <t>Close-out</t>
  </si>
  <si>
    <t>1/1/28 to 6/30/28</t>
  </si>
  <si>
    <t>Development types</t>
  </si>
  <si>
    <t>Configuration</t>
  </si>
  <si>
    <t>Building type</t>
  </si>
  <si>
    <t>Commercial included?</t>
  </si>
  <si>
    <t>Label</t>
  </si>
  <si>
    <t>Return on Cost requirement</t>
  </si>
  <si>
    <t>Typical Construction period</t>
  </si>
  <si>
    <r>
      <rPr>
        <b/>
        <sz val="11"/>
        <color theme="1"/>
        <rFont val="Arial"/>
        <family val="2"/>
      </rPr>
      <t>Rental</t>
    </r>
    <r>
      <rPr>
        <sz val="11"/>
        <color theme="1"/>
        <rFont val="Arial"/>
        <family val="2"/>
      </rPr>
      <t>: Residential Market Rate/Mixed use</t>
    </r>
  </si>
  <si>
    <t>Type III  6 stories</t>
  </si>
  <si>
    <t>Includes Retail and/or office components</t>
  </si>
  <si>
    <t>RES-Market-MU-Rental</t>
  </si>
  <si>
    <t>3 years</t>
  </si>
  <si>
    <r>
      <rPr>
        <b/>
        <sz val="11"/>
        <color theme="1"/>
        <rFont val="Arial"/>
        <family val="2"/>
      </rPr>
      <t>Rental</t>
    </r>
    <r>
      <rPr>
        <sz val="11"/>
        <color theme="1"/>
        <rFont val="Arial"/>
        <family val="2"/>
      </rPr>
      <t>: Retail/office stand alone</t>
    </r>
  </si>
  <si>
    <t>Type V--1 to 2 stories</t>
  </si>
  <si>
    <t>May include Retail and/or office components</t>
  </si>
  <si>
    <t>Suburban retail/office</t>
  </si>
  <si>
    <t>2 years</t>
  </si>
  <si>
    <r>
      <rPr>
        <b/>
        <sz val="11"/>
        <color theme="1"/>
        <rFont val="Arial"/>
        <family val="2"/>
      </rPr>
      <t>Rental</t>
    </r>
    <r>
      <rPr>
        <sz val="11"/>
        <color theme="1"/>
        <rFont val="Arial"/>
        <family val="2"/>
      </rPr>
      <t>: Office stand alone</t>
    </r>
  </si>
  <si>
    <t>Type 5-up to 4 stories  Type III up to 6 stories   Type I--up to 30 stories</t>
  </si>
  <si>
    <t>May include Retail</t>
  </si>
  <si>
    <r>
      <rPr>
        <b/>
        <sz val="11"/>
        <color theme="1"/>
        <rFont val="Arial"/>
        <family val="2"/>
      </rPr>
      <t>Rental</t>
    </r>
    <r>
      <rPr>
        <sz val="11"/>
        <color theme="1"/>
        <rFont val="Arial"/>
        <family val="2"/>
      </rPr>
      <t>: Residential Market Rate</t>
    </r>
  </si>
  <si>
    <t>RES-Market-Rental</t>
  </si>
  <si>
    <t>20% to 30% depending on building type</t>
  </si>
  <si>
    <t>2 years to 3 years</t>
  </si>
  <si>
    <r>
      <rPr>
        <b/>
        <sz val="11"/>
        <color theme="1"/>
        <rFont val="Arial"/>
        <family val="2"/>
      </rPr>
      <t>For Sale</t>
    </r>
    <r>
      <rPr>
        <sz val="11"/>
        <color theme="1"/>
        <rFont val="Arial"/>
        <family val="2"/>
      </rPr>
      <t>: Residential Market Rate</t>
    </r>
  </si>
  <si>
    <t>Type V--low density  Type I-high density</t>
  </si>
  <si>
    <t>RES-Market-Sale</t>
  </si>
  <si>
    <r>
      <rPr>
        <b/>
        <sz val="11"/>
        <color theme="1"/>
        <rFont val="Arial"/>
        <family val="2"/>
      </rPr>
      <t>Rental</t>
    </r>
    <r>
      <rPr>
        <sz val="11"/>
        <color theme="1"/>
        <rFont val="Arial"/>
        <family val="2"/>
      </rPr>
      <t>: Residential Affordable Mixed use</t>
    </r>
  </si>
  <si>
    <t>RES-AFF-MU</t>
  </si>
  <si>
    <r>
      <rPr>
        <b/>
        <sz val="11"/>
        <color theme="1"/>
        <rFont val="Arial"/>
        <family val="2"/>
      </rPr>
      <t>For Sale</t>
    </r>
    <r>
      <rPr>
        <sz val="11"/>
        <color theme="1"/>
        <rFont val="Arial"/>
        <family val="2"/>
      </rPr>
      <t>: Residential Affordable</t>
    </r>
  </si>
  <si>
    <t>RES-AFF</t>
  </si>
  <si>
    <r>
      <t>Hotel: Lodging</t>
    </r>
    <r>
      <rPr>
        <sz val="11"/>
        <color theme="1"/>
        <rFont val="Arial"/>
        <family val="2"/>
      </rPr>
      <t xml:space="preserve"> and amenity income</t>
    </r>
  </si>
  <si>
    <t>Type I-high density</t>
  </si>
  <si>
    <t>HOTEL</t>
  </si>
  <si>
    <r>
      <t xml:space="preserve">Industrial Park:  </t>
    </r>
    <r>
      <rPr>
        <sz val="11"/>
        <color theme="1"/>
        <rFont val="Arial"/>
        <family val="2"/>
      </rPr>
      <t>Warehouse and manufacturing</t>
    </r>
  </si>
  <si>
    <t>Type V or III</t>
  </si>
  <si>
    <t>May include office components</t>
  </si>
  <si>
    <t>Industrial</t>
  </si>
  <si>
    <t>20% or 30% depending on building height</t>
  </si>
  <si>
    <t>DEVELOPMENT PLAN</t>
  </si>
  <si>
    <t>Quick Rent Adjuster</t>
  </si>
  <si>
    <t>For Rent Residential</t>
  </si>
  <si>
    <t># of Units</t>
  </si>
  <si>
    <t>Net Rentable Square Feet (NRSF)</t>
  </si>
  <si>
    <t>$/SF/Mo.</t>
  </si>
  <si>
    <t>Total Annual</t>
  </si>
  <si>
    <t>Totals:</t>
  </si>
  <si>
    <t>Averages:</t>
  </si>
  <si>
    <t>COMMERCIAL SPACE</t>
  </si>
  <si>
    <t>Square Feet</t>
  </si>
  <si>
    <t>NNN Rent</t>
  </si>
  <si>
    <t>Total Commercial</t>
  </si>
  <si>
    <t>PARKING</t>
  </si>
  <si>
    <t>Residential</t>
  </si>
  <si>
    <t>Commercial</t>
  </si>
  <si>
    <t>Total Parking</t>
  </si>
  <si>
    <t>Fit to Parcel (Layout Calculator)</t>
  </si>
  <si>
    <t>Total Land area</t>
  </si>
  <si>
    <t>Total Leasable SF (residential +commercial)</t>
  </si>
  <si>
    <t>NET OPERATING INCOME</t>
  </si>
  <si>
    <t>INCOME</t>
  </si>
  <si>
    <t>Per Unit</t>
  </si>
  <si>
    <t>$/SF Res</t>
  </si>
  <si>
    <t>Un-Trended</t>
  </si>
  <si>
    <t>Gross Residential Rental Income</t>
  </si>
  <si>
    <t>Commercial RENT</t>
  </si>
  <si>
    <t>Gross Income</t>
  </si>
  <si>
    <t>Other Income</t>
  </si>
  <si>
    <t>$/unit</t>
  </si>
  <si>
    <t>$/SF</t>
  </si>
  <si>
    <t>Parking Income-residential only</t>
  </si>
  <si>
    <t>Additional Income</t>
  </si>
  <si>
    <t>Total Other Income</t>
  </si>
  <si>
    <t>Effective Gross Income</t>
  </si>
  <si>
    <t>EXPENSES</t>
  </si>
  <si>
    <t>Per SF</t>
  </si>
  <si>
    <t>Total Operating Expenses</t>
  </si>
  <si>
    <t>Net Operating Income</t>
  </si>
  <si>
    <t>TOTAL PROJECT VALUE</t>
  </si>
  <si>
    <t>Market Cap Rate=</t>
  </si>
  <si>
    <t>PROJECT COSTS</t>
  </si>
  <si>
    <t>BASIS</t>
  </si>
  <si>
    <t xml:space="preserve">   Budget     </t>
  </si>
  <si>
    <t>Hard Costs for Construction</t>
  </si>
  <si>
    <t>Parking stalls</t>
  </si>
  <si>
    <t>LAND</t>
  </si>
  <si>
    <t>Land cost</t>
  </si>
  <si>
    <t>Infrastructure allocation</t>
  </si>
  <si>
    <t>Parcel allocation</t>
  </si>
  <si>
    <t>Taxes</t>
  </si>
  <si>
    <t>Retail Tenant Improvements</t>
  </si>
  <si>
    <t>Retail brokerage</t>
  </si>
  <si>
    <t>Apply % to estimated Debt to avoid circular reference</t>
  </si>
  <si>
    <t>Additional Contingency</t>
  </si>
  <si>
    <t>Total Project Cost</t>
  </si>
  <si>
    <t>Yield on cost</t>
  </si>
  <si>
    <t>Return on cost</t>
  </si>
  <si>
    <t>Negative indicates shortfall</t>
  </si>
  <si>
    <t>FINANCING</t>
  </si>
  <si>
    <t>Total</t>
  </si>
  <si>
    <t>Gap Funding reduction</t>
  </si>
  <si>
    <t>Private financing Amount</t>
  </si>
  <si>
    <t>Total Sources</t>
  </si>
  <si>
    <t>SALES ANALYSIS</t>
  </si>
  <si>
    <t>Untrended</t>
  </si>
  <si>
    <t>Gross Sales Proceeds</t>
  </si>
  <si>
    <t>Net Sales Proceeds</t>
  </si>
  <si>
    <t>LESS: Construction Debt</t>
  </si>
  <si>
    <t>LESS: Investor Equity</t>
  </si>
  <si>
    <t>Net Profit</t>
  </si>
  <si>
    <t>Sales Price per Unit</t>
  </si>
  <si>
    <t>Gross Price</t>
  </si>
  <si>
    <t>Net Price</t>
  </si>
  <si>
    <t>YIELD INDICATORS</t>
  </si>
  <si>
    <t>Equity multiple</t>
  </si>
  <si>
    <t>Leveraged Project IRR</t>
  </si>
  <si>
    <t>UnLeveraged Project IRR</t>
  </si>
  <si>
    <t>Debt Yield</t>
  </si>
  <si>
    <t>Exit Cap Rate</t>
  </si>
  <si>
    <t>Schedule----&gt;</t>
  </si>
  <si>
    <t>Duration----&gt;</t>
  </si>
  <si>
    <t>Predevelopment ends</t>
  </si>
  <si>
    <t>Construction begins</t>
  </si>
  <si>
    <t>Construction ends</t>
  </si>
  <si>
    <t>Close-out begins</t>
  </si>
  <si>
    <t>Close-out ends</t>
  </si>
  <si>
    <t>&lt;---- columns to unhide for longer development period</t>
  </si>
  <si>
    <t>TOTAL EXPENDED</t>
  </si>
  <si>
    <t>TOTAL COST</t>
  </si>
  <si>
    <t>Hard Cost Draw Percentage</t>
  </si>
  <si>
    <t>difference</t>
  </si>
  <si>
    <t>Gap Funding</t>
  </si>
  <si>
    <t>Net Total Private Financing</t>
  </si>
  <si>
    <t>Equity DRAW</t>
  </si>
  <si>
    <t>TOTAL Equity</t>
  </si>
  <si>
    <t>Permanent loan debt</t>
  </si>
  <si>
    <t>Total annual debt service</t>
  </si>
  <si>
    <t>Operating cash flow during closeout</t>
  </si>
  <si>
    <t>Leveraged</t>
  </si>
  <si>
    <t>Net Proceeds from Sale after debt repayment</t>
  </si>
  <si>
    <t>Leveraged Quarterly cash flow</t>
  </si>
  <si>
    <t>Leveraged QUARTERLY IRR</t>
  </si>
  <si>
    <t>Leveraged Annual IRR</t>
  </si>
  <si>
    <t>Unleveraged</t>
  </si>
  <si>
    <t>Total Net proceeds from Sale+GAP FUNDING</t>
  </si>
  <si>
    <t>UNLeveraged QUARTERLY TOTAL Cash flow</t>
  </si>
  <si>
    <t>UNLeveraged QUARTERLY IRR</t>
  </si>
  <si>
    <t>UNLeveraged Annual IRR</t>
  </si>
  <si>
    <t>Parking Income-residential</t>
  </si>
  <si>
    <t>Estimate of residual value</t>
  </si>
  <si>
    <t>Apply percentage to estimated Debt to avoid circular reference</t>
  </si>
  <si>
    <t>Demolition ends</t>
  </si>
  <si>
    <t>Construction Ends</t>
  </si>
  <si>
    <t>Closeout begins</t>
  </si>
  <si>
    <t>Closeout ends</t>
  </si>
  <si>
    <t>Leveraged QUARTERLY cash flow</t>
  </si>
  <si>
    <t>Unit Size</t>
  </si>
  <si>
    <t>Price/SF</t>
  </si>
  <si>
    <t>Total Sales Value</t>
  </si>
  <si>
    <t>Guest Parking</t>
  </si>
  <si>
    <t>Total Sales SF (residential +commercial)</t>
  </si>
  <si>
    <t>Sales Income</t>
  </si>
  <si>
    <t>Total Sales</t>
  </si>
  <si>
    <t>Net interest during closeout</t>
  </si>
  <si>
    <t>NA</t>
  </si>
  <si>
    <t>Leveraged Quarterly IRR</t>
  </si>
  <si>
    <t>NRSF</t>
  </si>
  <si>
    <t>PROJECT COST</t>
  </si>
  <si>
    <t>End Pre-Development</t>
  </si>
  <si>
    <t>Begin Construction</t>
  </si>
  <si>
    <t>End Construction</t>
  </si>
  <si>
    <t>Begin Closeout</t>
  </si>
  <si>
    <t>End Closeout</t>
  </si>
  <si>
    <t>Permanent loan debt (based on private capital net of gap funding)</t>
  </si>
  <si>
    <t>Total annual debt service @4.5%</t>
  </si>
  <si>
    <t>End Pre-development</t>
  </si>
  <si>
    <t>Average Room Rate</t>
  </si>
  <si>
    <t>Gross guest room income</t>
  </si>
  <si>
    <t>ALL Draw-all parcels</t>
  </si>
  <si>
    <t>Quarter----&gt;</t>
  </si>
  <si>
    <t>UNLeveraged Quarterly TOTAL Cash flow</t>
  </si>
  <si>
    <t>UNLeveraged Quarterly IRR</t>
  </si>
  <si>
    <t>01/1/25 to 12/31/25</t>
  </si>
  <si>
    <t>Average Rent</t>
  </si>
  <si>
    <t xml:space="preserve">Office Rents PSF </t>
  </si>
  <si>
    <t xml:space="preserve">Neighborhood Retail Rents PSF </t>
  </si>
  <si>
    <t>Vacancy Downtown Seattle</t>
  </si>
  <si>
    <t>Market Absorption (SF)</t>
  </si>
  <si>
    <t>Source: RSS Means</t>
  </si>
  <si>
    <t>Seattle</t>
  </si>
  <si>
    <t>Source: Costar - Downtown Seattle</t>
  </si>
  <si>
    <t>2023 Median Income</t>
  </si>
  <si>
    <t>Phase 1</t>
  </si>
  <si>
    <t>P1</t>
  </si>
  <si>
    <t>Hotel Occupancy, ADR, Cap Rates</t>
  </si>
  <si>
    <t>Parcel</t>
  </si>
  <si>
    <t>P8</t>
  </si>
  <si>
    <t>Renovation Hard Costs for Construction</t>
  </si>
  <si>
    <t>Luxury</t>
  </si>
  <si>
    <t>Yes</t>
  </si>
  <si>
    <t>Adjusted Eligible Basis</t>
  </si>
  <si>
    <t xml:space="preserve"> Type I-high density</t>
  </si>
  <si>
    <t>Pent house</t>
  </si>
  <si>
    <t>Residental Parking</t>
  </si>
  <si>
    <t>P3</t>
  </si>
  <si>
    <t>P9</t>
  </si>
  <si>
    <t>Land Cost</t>
  </si>
  <si>
    <t>Total Residential Units</t>
  </si>
  <si>
    <t>Total Commercial SF</t>
  </si>
  <si>
    <t>Gross GAP</t>
  </si>
  <si>
    <t>Gap Funding Source</t>
  </si>
  <si>
    <t>1/1/26 to 3/30/26</t>
  </si>
  <si>
    <t>4/1/26 to 3/30/29</t>
  </si>
  <si>
    <t>4/1/29 to 10/30/29</t>
  </si>
  <si>
    <t>Phase 2</t>
  </si>
  <si>
    <t>7/1/28 to 6/30/31</t>
  </si>
  <si>
    <t>7/1/31 to 2/31/32</t>
  </si>
  <si>
    <t>Phase 3</t>
  </si>
  <si>
    <t xml:space="preserve">
RES-Market-Rental
RES-AFF-MU</t>
  </si>
  <si>
    <t>RES-Market-Rental
RES-AFF-MU</t>
  </si>
  <si>
    <t>1 space per unit</t>
  </si>
  <si>
    <t>Extremely Low Income: 30% of median</t>
  </si>
  <si>
    <t>Moderate Income: 80% of median</t>
  </si>
  <si>
    <t>Low Income: 80% of median</t>
  </si>
  <si>
    <t>Market Rate Units</t>
  </si>
  <si>
    <t>Total Market Rate</t>
  </si>
  <si>
    <t>Market Rate</t>
  </si>
  <si>
    <t>Total Affordable Rate</t>
  </si>
  <si>
    <t>Units</t>
  </si>
  <si>
    <t>RES-Market-Sale
RES-Market-Rental
RES-AFF-MU
Hotel</t>
  </si>
  <si>
    <t>Affordable Rate</t>
  </si>
  <si>
    <t>Student Housing Rate</t>
  </si>
  <si>
    <t>Total Student Housing Rate</t>
  </si>
  <si>
    <t>2 bedroom 100% AMI</t>
  </si>
  <si>
    <t>Total Office Rate</t>
  </si>
  <si>
    <t>Total Retail Rate</t>
  </si>
  <si>
    <t>Total TPH</t>
  </si>
  <si>
    <t>Total Senior Housing</t>
  </si>
  <si>
    <t>Residential/Guest</t>
  </si>
  <si>
    <t>Parking Commercial only</t>
  </si>
  <si>
    <t xml:space="preserve">  Structured Parking</t>
  </si>
  <si>
    <t>Condos for sale</t>
  </si>
  <si>
    <t>Total Moderate Rate</t>
  </si>
  <si>
    <t>Total Office</t>
  </si>
  <si>
    <t>Total Hotel Rate</t>
  </si>
  <si>
    <t>Hotel Rate</t>
  </si>
  <si>
    <t>Hotel Guest Parking Income</t>
  </si>
  <si>
    <t>Moderate Units</t>
  </si>
  <si>
    <t>Demolition?</t>
  </si>
  <si>
    <t>No</t>
  </si>
  <si>
    <t>Demolition Up to 3 stories</t>
  </si>
  <si>
    <t>Demolition 3 to 9 stories</t>
  </si>
  <si>
    <t>Demolition 9 and Up</t>
  </si>
  <si>
    <t>New Development</t>
  </si>
  <si>
    <t>Renovations</t>
  </si>
  <si>
    <t>Inelgible Items</t>
  </si>
  <si>
    <t>Qualified Basis</t>
  </si>
  <si>
    <t>Credit Amount Per Year</t>
  </si>
  <si>
    <t>Over 10 Years</t>
  </si>
  <si>
    <t>Total Equity</t>
  </si>
  <si>
    <t>Affordable Units</t>
  </si>
  <si>
    <t>Current 9% Rate</t>
  </si>
  <si>
    <t>Federal Historic Tax Credit</t>
  </si>
  <si>
    <t>Seattle City Light – Multifamily EV Charging Program</t>
  </si>
  <si>
    <t>Shared/Unallocated Parking at Affordable Housing Properties</t>
  </si>
  <si>
    <t>Shared/Unallocated Parking at Condominiums or Market-Rate Properties</t>
  </si>
  <si>
    <t>Level 2 Chargers</t>
  </si>
  <si>
    <t>Total Development Costs</t>
  </si>
  <si>
    <t>Total Rehabilitatioin Tax Credit</t>
  </si>
  <si>
    <t>Rehabilitation Tax Credit %</t>
  </si>
  <si>
    <t>Less Rehabilitation Credit</t>
  </si>
  <si>
    <t>Financing</t>
  </si>
  <si>
    <t>Total Units</t>
  </si>
  <si>
    <t>Penthouse</t>
  </si>
  <si>
    <t>Quick Price Adjuster</t>
  </si>
  <si>
    <t>total</t>
  </si>
  <si>
    <t>Project Eligible %</t>
  </si>
  <si>
    <t>LITHC Tax Credit</t>
  </si>
  <si>
    <t>Tax Credit Factor</t>
  </si>
  <si>
    <t>Washington's National Housing Trust Fund Program</t>
  </si>
  <si>
    <t>UD Section 202, Section 811, RAD, Choice Neighborhoods, or United States</t>
  </si>
  <si>
    <t>Department of Agriculture Rural Development (USDA-RD)</t>
  </si>
  <si>
    <t>Seattle-Bellevue, WA HUD Metro FMR Area</t>
  </si>
  <si>
    <t>1 Person</t>
  </si>
  <si>
    <t>2 Person</t>
  </si>
  <si>
    <t>3 Person</t>
  </si>
  <si>
    <t>4 Person</t>
  </si>
  <si>
    <t>30% Limitis - Extremely Low Income (ELI)</t>
  </si>
  <si>
    <t>50% Limits - Very Low Income (VLI)</t>
  </si>
  <si>
    <t xml:space="preserve">60% Limits - </t>
  </si>
  <si>
    <t>2023 Adjusted HOME Income Limits - Housing Trust Fund</t>
  </si>
  <si>
    <t>Rent Limits</t>
  </si>
  <si>
    <t>30% Rent Limits</t>
  </si>
  <si>
    <t>Efficency</t>
  </si>
  <si>
    <t>80% Limits - Low Income</t>
  </si>
  <si>
    <t>30% Limts</t>
  </si>
  <si>
    <t>Efficiency</t>
  </si>
  <si>
    <t>2023 National Housing Trust Fund Income Limits</t>
  </si>
  <si>
    <t>Seattle-Bellevue, WA HMFA</t>
  </si>
  <si>
    <t>$/Mo/Bed</t>
  </si>
  <si>
    <t>$/Unit</t>
  </si>
  <si>
    <t>Eligible 2 Bedroom</t>
  </si>
  <si>
    <t>Eligible 1 Bedroom</t>
  </si>
  <si>
    <t>Eligible Efficieny Bedroom</t>
  </si>
  <si>
    <t>Eligible 3 Bedroom</t>
  </si>
  <si>
    <t>Stormwater Retention Pond</t>
  </si>
  <si>
    <t>Pedestrian Bridge</t>
  </si>
  <si>
    <t>Solar Panels</t>
  </si>
  <si>
    <t xml:space="preserve">Pedestrian Stairs - Harbor View Hospital </t>
  </si>
  <si>
    <t>Pedestrian Stairs - Senior care/medical</t>
  </si>
  <si>
    <t>Landscaping</t>
  </si>
  <si>
    <t>LIHTC Affordable Rents--by income and family size</t>
  </si>
  <si>
    <t>The MFTE program requires 20% or 25% of the apartments in a building participating in MFTE to be affordable</t>
  </si>
  <si>
    <t>Seattle MFTE - Max Rent Including Basic Utilites</t>
  </si>
  <si>
    <t>no property taxes</t>
  </si>
  <si>
    <t>Moderate Income: 60% of median</t>
  </si>
  <si>
    <t>Square Foot</t>
  </si>
  <si>
    <t>Low Income: 60% of median</t>
  </si>
  <si>
    <t>CBDG</t>
  </si>
  <si>
    <t>Land Acqusition</t>
  </si>
  <si>
    <t>MAX</t>
  </si>
  <si>
    <t>WA LITHC Tax Credit</t>
  </si>
  <si>
    <t>Allocation Unit Grant</t>
  </si>
  <si>
    <t>Total Equiy</t>
  </si>
  <si>
    <t>Over 10 Year</t>
  </si>
  <si>
    <t>Moderate/Affordable Rate</t>
  </si>
  <si>
    <t>2 bedroom 120% AMI</t>
  </si>
  <si>
    <t xml:space="preserve">Behavioral Health Facilities Program - Intensive Behavioral Health Treatment Facilities </t>
  </si>
  <si>
    <t>Eligible Funds</t>
  </si>
  <si>
    <t>Max Limit per Applicant</t>
  </si>
  <si>
    <t>2 Bedroom 80% AMI</t>
  </si>
  <si>
    <t>1 bedroom 80% AMI</t>
  </si>
  <si>
    <t>Healthcare (Medical Center)</t>
  </si>
  <si>
    <t>Flex Office</t>
  </si>
  <si>
    <t>Healthcare (Medical Office)</t>
  </si>
  <si>
    <t>Community (Wellness Center/School)</t>
  </si>
  <si>
    <t>Community (Organizations Office)</t>
  </si>
  <si>
    <t>Community (Wellness Practitioners Office)</t>
  </si>
  <si>
    <t>Retail (Food Hall)</t>
  </si>
  <si>
    <t>Healthcare (Health Clinic)</t>
  </si>
  <si>
    <t>Community (Daycare)</t>
  </si>
  <si>
    <t>Community (Recreational Center)</t>
  </si>
  <si>
    <t>Retail (Ground)</t>
  </si>
  <si>
    <t>Cost per sf</t>
  </si>
  <si>
    <t>EV Charging Infrastructure</t>
  </si>
  <si>
    <t>Community (Community Center)</t>
  </si>
  <si>
    <t>Retail (Grocery Store)</t>
  </si>
  <si>
    <t>Retail (Brewery/Arcade)</t>
  </si>
  <si>
    <t>Community (Hotel Exhibition Art/Concert Hall)</t>
  </si>
  <si>
    <t>Community (Makers Space)</t>
  </si>
  <si>
    <t>Existing in Yesler - 8297sq</t>
  </si>
  <si>
    <t>P4</t>
  </si>
  <si>
    <t>P5</t>
  </si>
  <si>
    <t>0942001115</t>
  </si>
  <si>
    <t>0942001140</t>
  </si>
  <si>
    <t>0942001120</t>
  </si>
  <si>
    <t>Ground Lease</t>
  </si>
  <si>
    <t>Demolition Begins</t>
  </si>
  <si>
    <t>Demolition Ends</t>
  </si>
  <si>
    <t>No (vacant)</t>
  </si>
  <si>
    <t>Up to 3 stories     $250,000 flat cost</t>
  </si>
  <si>
    <t>3 to 9 stories        $500,000</t>
  </si>
  <si>
    <t>9 and up               $1,000,000</t>
  </si>
  <si>
    <t>P10</t>
  </si>
  <si>
    <t>Institutional (Innovation Center w/ Flex Office)</t>
  </si>
  <si>
    <t>P6/P7/P9</t>
  </si>
  <si>
    <t>Permanent Housing</t>
  </si>
  <si>
    <t>LOW HOME RENT LIMIT - 50% AMI</t>
  </si>
  <si>
    <t>Healthcare (Intensive Behavioral Health Treatment Facility/Mental Health Clinic)</t>
  </si>
  <si>
    <t>01/1/27 to 12/31/27</t>
  </si>
  <si>
    <t>HOME Investment Partnerships Program</t>
  </si>
  <si>
    <t>HIGH HOME RENT LIMIT - 65% AMI</t>
  </si>
  <si>
    <t>HOME Investment</t>
  </si>
  <si>
    <t xml:space="preserve">Amazon National Housing Fund </t>
  </si>
  <si>
    <t>Grant Per Unit</t>
  </si>
  <si>
    <t>Qualified Units</t>
  </si>
  <si>
    <t>Max Grant</t>
  </si>
  <si>
    <t>WA National Housing Fund</t>
  </si>
  <si>
    <t>Total Grant</t>
  </si>
  <si>
    <t>Seattle Levy Fund</t>
  </si>
  <si>
    <t>Eligible Units</t>
  </si>
  <si>
    <t>Max per Applicant</t>
  </si>
  <si>
    <t>Comprehensive Neighborhood Plan for designing park and art</t>
  </si>
  <si>
    <t>Senior Care Center/Housing</t>
  </si>
  <si>
    <t>TIF Proceeds</t>
  </si>
  <si>
    <t>EV Charging Stations (per unit)</t>
  </si>
  <si>
    <t>Grant per EV plug</t>
  </si>
  <si>
    <t>Max Plugs</t>
  </si>
  <si>
    <t>Qualified Plugs</t>
  </si>
  <si>
    <t xml:space="preserve">Behavioral Health Facilities Program </t>
  </si>
  <si>
    <t>Post GAP Funding</t>
  </si>
  <si>
    <t>01/1/27 to 12/31/29</t>
  </si>
  <si>
    <t>1/1/30 to 3/31/33</t>
  </si>
  <si>
    <t>4/1/33 to 2/31/34</t>
  </si>
  <si>
    <t>$450 per SF net leasable for NW; $300 per Sf net leasable for Renovations</t>
  </si>
  <si>
    <t>Phase 1 Consolidated</t>
  </si>
  <si>
    <t>Phase 2 Consolidated</t>
  </si>
  <si>
    <t>Phase 1b</t>
  </si>
  <si>
    <t>Phase 1a</t>
  </si>
  <si>
    <t>None</t>
  </si>
  <si>
    <t>Pre-development starts</t>
  </si>
  <si>
    <t xml:space="preserve">No </t>
  </si>
  <si>
    <t>Rental</t>
  </si>
  <si>
    <t>For Sale</t>
  </si>
  <si>
    <t>Rental ONLY (not including student housing)</t>
  </si>
  <si>
    <t>Rental with student housing</t>
  </si>
  <si>
    <t>Housing Overall</t>
  </si>
  <si>
    <t>Overall</t>
  </si>
  <si>
    <t>Market</t>
  </si>
  <si>
    <t>Moderate</t>
  </si>
  <si>
    <t>Begin Pre-development</t>
  </si>
  <si>
    <t>Demolition Start</t>
  </si>
  <si>
    <t>End Demolition</t>
  </si>
  <si>
    <t>Start Construction</t>
  </si>
  <si>
    <t>Begin Pre-Development</t>
  </si>
  <si>
    <t>Total Unis</t>
  </si>
  <si>
    <t>Choice Neighborhoods Planning Grant</t>
  </si>
  <si>
    <t xml:space="preserve"> Washington State Department of Ecology  Electric Vehicle (EV) Charging Station Grant</t>
  </si>
  <si>
    <t>Amazon National Housing Fund</t>
  </si>
  <si>
    <t>HUD LITHC Tax Credit</t>
  </si>
  <si>
    <t>Underground Grade Parking</t>
  </si>
  <si>
    <t>Team #2024-13927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</si>
</sst>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2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;[Red]\-&quot;$&quot;#,##0"/>
    <numFmt numFmtId="165" formatCode="&quot;$&quot;#,##0.00"/>
    <numFmt numFmtId="166" formatCode="&quot;$&quot;#,##0"/>
    <numFmt numFmtId="167" formatCode="0.0%"/>
    <numFmt numFmtId="168" formatCode="_(* #,##0_);_(* \(#,##0\);_(* &quot;-&quot;??_);_(@_)"/>
    <numFmt numFmtId="169" formatCode="_(&quot;$&quot;* #,##0_);_(&quot;$&quot;* \(#,##0\);_(&quot;$&quot;* &quot;-&quot;??_);_(@_)"/>
    <numFmt numFmtId="170" formatCode="#,##0.0"/>
    <numFmt numFmtId="171" formatCode="0.0"/>
    <numFmt numFmtId="172" formatCode="[$-409]mmm\-yy;@"/>
    <numFmt numFmtId="173" formatCode="&quot;LESS:&quot;\ #%\ \ &quot;Selling Costs&quot;"/>
    <numFmt numFmtId="174" formatCode="&quot;LESS:&quot;\ #%\ &quot;Vacancy&quot;"/>
    <numFmt numFmtId="175" formatCode="&quot;Density=&quot;#\ &quot;Units/Acre&quot;"/>
    <numFmt numFmtId="176" formatCode="##,###&quot; SF&quot;"/>
    <numFmt numFmtId="177" formatCode="###&quot; SF&quot;"/>
    <numFmt numFmtId="178" formatCode="&quot;Studio---&quot;#%"/>
    <numFmt numFmtId="179" formatCode="###\ &quot;Units&quot;"/>
    <numFmt numFmtId="180" formatCode="##%\ \ \ &quot;Debt&quot;"/>
    <numFmt numFmtId="181" formatCode="##%\ \ \ &quot;Equity&quot;"/>
    <numFmt numFmtId="182" formatCode="#.##%\ "/>
    <numFmt numFmtId="183" formatCode="&quot;$&quot;#,##0;\(&quot;$&quot;#,##0\)"/>
    <numFmt numFmtId="184" formatCode="&quot;$&quot;#,##0.0;\(&quot;$&quot;#,##0.0\)"/>
    <numFmt numFmtId="185" formatCode="&quot;$&quot;#,##0.00;\(&quot;$&quot;#,##0.00\)"/>
    <numFmt numFmtId="186" formatCode="0.0_)\%;\(0.0\)\%;0.0_)\%;@_)_%"/>
    <numFmt numFmtId="187" formatCode="#,##0.0_)_%;\(#,##0.0\)_%;0.0_)_%;@_)_%"/>
    <numFmt numFmtId="188" formatCode="#,##0.0_);\(#,##0.0\);#,##0.0_);@_)"/>
    <numFmt numFmtId="189" formatCode="#,##0.0_);\(#,##0.0\)"/>
    <numFmt numFmtId="190" formatCode="&quot;$&quot;_(#,##0.00_);&quot;$&quot;\(#,##0.00\);&quot;$&quot;_(0.00_);@_)"/>
    <numFmt numFmtId="191" formatCode="&quot;$&quot;_(#,##0.00_);&quot;$&quot;\(#,##0.00\)"/>
    <numFmt numFmtId="192" formatCode="&quot;\&quot;_(#,##0.00_);&quot;\&quot;\(#,##0.00\)"/>
    <numFmt numFmtId="193" formatCode="#,##0.00_);\(#,##0.00\);0.00_);@_)"/>
    <numFmt numFmtId="194" formatCode="\€_(#,##0.00_);\€\(#,##0.00\);\€_(0.00_);@_)"/>
    <numFmt numFmtId="195" formatCode="#,##0_)\x;\(#,##0\)\x;0_)\x;@_)_x"/>
    <numFmt numFmtId="196" formatCode="#,##0.0_)\x;\(#,##0.0\)\x"/>
    <numFmt numFmtId="197" formatCode="#,##0_)_x;\(#,##0\)_x;0_)_x;@_)_x"/>
    <numFmt numFmtId="198" formatCode="m/d/yy\ h:mm\ AM/PM"/>
    <numFmt numFmtId="199" formatCode="#,##0.0_)_x;\(#,##0.0\)_x"/>
    <numFmt numFmtId="200" formatCode="0.0_)\%;\(0.0\)\%"/>
    <numFmt numFmtId="201" formatCode="mmmm\ d\,\ yyyy"/>
    <numFmt numFmtId="202" formatCode="#,##0.0_)_%;\(#,##0.0\)_%"/>
    <numFmt numFmtId="203" formatCode="General_)"/>
    <numFmt numFmtId="204" formatCode="0.0\ \x"/>
    <numFmt numFmtId="205" formatCode="&quot;$&quot;#,##0.000_);\(&quot;$&quot;#,##0.000\)"/>
    <numFmt numFmtId="206" formatCode="m\-d\-yy"/>
    <numFmt numFmtId="207" formatCode="#,##0_);\(#,##0\);&quot;- &quot;"/>
    <numFmt numFmtId="208" formatCode="0.0%;\(0.0%\);&quot;- &quot;"/>
    <numFmt numFmtId="209" formatCode="mm/dd/yy_)"/>
    <numFmt numFmtId="210" formatCode="#,##0;\-#,##0;&quot;-&quot;"/>
    <numFmt numFmtId="211" formatCode="#,##0.00;\(#,##0.00"/>
    <numFmt numFmtId="212" formatCode="d\ mmm\ yy"/>
    <numFmt numFmtId="213" formatCode="#,##0.0_);[Red]\(#,##0.0\)"/>
    <numFmt numFmtId="214" formatCode="_(* #,##0.0_);_(* \(#,##0.0\);_(* &quot;-&quot;?_);_(@_)"/>
    <numFmt numFmtId="215" formatCode="#,##0_%_);\(#,##0\)_%;**;@_%_)"/>
    <numFmt numFmtId="216" formatCode="#,##0_%_);\(#,##0\)_%;#,##0_%_);@_%_)"/>
    <numFmt numFmtId="217" formatCode="&quot;$&quot;#,##0\ ;\(&quot;$&quot;#,##0\)"/>
    <numFmt numFmtId="218" formatCode="&quot;$&quot;#,##0.0\ ;\(&quot;$&quot;#,##0.0\)"/>
    <numFmt numFmtId="219" formatCode="0.00\x"/>
    <numFmt numFmtId="220" formatCode="m/d/yyyy\ \ h:mm\ AM/PM"/>
    <numFmt numFmtId="221" formatCode="#,##0;\(#,##0\)"/>
    <numFmt numFmtId="222" formatCode="#,##0.0;\(#,##0.0\)"/>
    <numFmt numFmtId="223" formatCode="\ #,##0.0_);\(#,##0.0\);\-\ \ ??"/>
    <numFmt numFmtId="224" formatCode="&quot;$&quot;#,##0.0_);\(&quot;$&quot;#,##0.0\)"/>
    <numFmt numFmtId="225" formatCode="&quot;$&quot;#,##0.0"/>
    <numFmt numFmtId="226" formatCode="_-* #,##0.00\ [$€-1]_-;\-* #,##0.00\ [$€-1]_-;_-* &quot;-&quot;??\ [$€-1]_-"/>
    <numFmt numFmtId="227" formatCode="00"/>
    <numFmt numFmtId="228" formatCode=";;;"/>
    <numFmt numFmtId="229" formatCode="0.00_)"/>
    <numFmt numFmtId="230" formatCode="mm/yyyy"/>
    <numFmt numFmtId="231" formatCode="&quot;Standard&quot;_);;&quot;Reverse&quot;_)"/>
    <numFmt numFmtId="232" formatCode="_-* #,##0_-;\-* #,##0_-;_-* &quot;-&quot;_-;_-@_-"/>
    <numFmt numFmtId="233" formatCode="_-* #,##0.00_-;\-* #,##0.00_-;_-* &quot;-&quot;??_-;_-@_-"/>
    <numFmt numFmtId="234" formatCode="#,##0.00&quot; F&quot;_);\(#,##0.00&quot; F&quot;\)"/>
    <numFmt numFmtId="235" formatCode="#,##0&quot; $&quot;;\-#,##0&quot; $&quot;"/>
    <numFmt numFmtId="236" formatCode="_-* #,##0\ _F_-;\-* #,##0\ _F_-;_-* &quot;-&quot;\ _F_-;_-@_-"/>
    <numFmt numFmtId="237" formatCode="_-* #,##0.00\ &quot;F&quot;_-;\-* #,##0.00\ &quot;F&quot;_-;_-* &quot;-&quot;??\ &quot;F&quot;_-;_-@_-"/>
    <numFmt numFmtId="238" formatCode="_-* #,##0\ &quot;Esc.&quot;_-;\-* #,##0\ &quot;Esc.&quot;_-;_-* &quot;-&quot;\ &quot;Esc.&quot;_-;_-@_-"/>
    <numFmt numFmtId="239" formatCode="#,##0.00&quot;$&quot;;[Red]\-#,##0.00&quot;$&quot;"/>
    <numFmt numFmtId="240" formatCode="#,##0&quot; F&quot;_);[Red]\(#,##0&quot; F&quot;\)"/>
    <numFmt numFmtId="241" formatCode="#,##0.00&quot; F&quot;_);[Red]\(#,##0.00&quot; F&quot;\)"/>
    <numFmt numFmtId="242" formatCode="_-* #,##0\ &quot;F&quot;_-;\-* #,##0\ &quot;F&quot;_-;_-* &quot;-&quot;\ &quot;F&quot;_-;_-@_-"/>
    <numFmt numFmtId="243" formatCode="0.0_x_);\(0.0\)_x"/>
    <numFmt numFmtId="244" formatCode="0.0\x_);\(0.0\x\)"/>
    <numFmt numFmtId="245" formatCode="0.0\x_)_);&quot;NM&quot;_x_)_);0.0\x_)_);@_%_)"/>
    <numFmt numFmtId="246" formatCode="_(* #,##0.0000_);_(* \(#,##0.0000\);_(* &quot;-&quot;??_);_(@_)"/>
    <numFmt numFmtId="247" formatCode="0.0%;\(0.0%\)"/>
    <numFmt numFmtId="248" formatCode="#,##0_ "/>
    <numFmt numFmtId="249" formatCode="&quot;$&quot;#,##0.00_);\(&quot;$&quot;#,##0.00\);\-\ ??"/>
    <numFmt numFmtId="250" formatCode="[&lt;=9999999]###\-####;\(###\)\ ###\-####"/>
    <numFmt numFmtId="251" formatCode="#,##0.0\%_);\(#,##0.0\%\);#,##0.0\%_);@_%_)"/>
    <numFmt numFmtId="252" formatCode="#,##0.0_x\);\(#,##0.0\)"/>
    <numFmt numFmtId="253" formatCode="_(&quot;$&quot;* #,##0.0000000000000_);_(&quot;$&quot;* \(#,##0.0000000000000\);_(&quot;$&quot;* &quot;-&quot;??_);_(@_)"/>
    <numFmt numFmtId="254" formatCode="_-* #,##0\ _E_s_c_._-;\-* #,##0\ _E_s_c_._-;_-* &quot;-&quot;\ _E_s_c_._-;_-@_-"/>
    <numFmt numFmtId="255" formatCode="_(&quot;$&quot;* #,##0.000_);_(&quot;$&quot;* \(#,##0.000\);_(&quot;$&quot;* &quot;-&quot;??_);_(@_)"/>
    <numFmt numFmtId="256" formatCode="_-&quot;L.&quot;\ * #,##0_-;\-&quot;L.&quot;\ * #,##0_-;_-&quot;L.&quot;\ * &quot;-&quot;_-;_-@_-"/>
    <numFmt numFmtId="257" formatCode="_-&quot;L.&quot;\ * #,##0.00_-;\-&quot;L.&quot;\ * #,##0.00_-;_-&quot;L.&quot;\ * &quot;-&quot;??_-;_-@_-"/>
    <numFmt numFmtId="258" formatCode="0\ \ ;\(0\)\ \ \ "/>
    <numFmt numFmtId="259" formatCode="&quot;Yes&quot;;;&quot;No&quot;"/>
    <numFmt numFmtId="260" formatCode="#,###\ &quot;SF Retail Income&quot;"/>
    <numFmt numFmtId="261" formatCode="##%\ &quot;of GMP costs&quot;"/>
    <numFmt numFmtId="262" formatCode="&quot;$&quot;##,###\ &quot;per unit&quot;"/>
    <numFmt numFmtId="263" formatCode="##%\ &quot;of total hard costs&quot;"/>
    <numFmt numFmtId="264" formatCode="&quot;$&quot;###\ &quot;per SF of retail&quot;"/>
    <numFmt numFmtId="265" formatCode="##.00%\ &quot;of loan amount&quot;"/>
    <numFmt numFmtId="266" formatCode="&quot;Residual land value at&quot;\ ##%\ &quot;ROC&quot;"/>
    <numFmt numFmtId="267" formatCode="&quot;$&quot;###\ &quot;per SF net leasable&quot;"/>
    <numFmt numFmtId="268" formatCode="#\ &quot;Months of OPEX&quot;"/>
    <numFmt numFmtId="269" formatCode="#.#%\ &quot;of soft costs&quot;"/>
    <numFmt numFmtId="270" formatCode="#%\ &quot;on a five year term&quot;"/>
    <numFmt numFmtId="271" formatCode="##%\ &quot;of Project Budget&quot;"/>
    <numFmt numFmtId="272" formatCode="&quot;$&quot;##,###\ &quot;per stall&quot;"/>
    <numFmt numFmtId="273" formatCode="&quot;Gap at&quot;\ ##%"/>
    <numFmt numFmtId="274" formatCode="###.#&quot;x&quot;"/>
    <numFmt numFmtId="275" formatCode="##.0%\ &quot;of gross revenue&quot;"/>
    <numFmt numFmtId="276" formatCode="##%\ &quot;of loan amount&quot;"/>
    <numFmt numFmtId="277" formatCode="&quot;Net Affordable Mortage at&quot;\ ##%"/>
    <numFmt numFmtId="278" formatCode="&quot;plus Down Payment of&quot;\ ##%"/>
    <numFmt numFmtId="279" formatCode="&quot;Building footprint at&quot;\ ##\ &quot;stories&quot;"/>
    <numFmt numFmtId="280" formatCode="&quot;Building area at&quot;\ ##%\ &quot;circulation&quot;"/>
    <numFmt numFmtId="281" formatCode="&quot;Parking area at&quot;\ ###\ &quot;sf per stall&quot;"/>
    <numFmt numFmtId="282" formatCode="#,###\ &quot;SF&quot;"/>
    <numFmt numFmtId="283" formatCode="&quot;Fee/unit=&quot;&quot;$&quot;##,###"/>
    <numFmt numFmtId="284" formatCode="&quot;Retail&quot;\ #,###\ &quot;SF&quot;"/>
    <numFmt numFmtId="285" formatCode="&quot;Guest parking at&quot;\ ###\ &quot;sf per stall&quot;"/>
    <numFmt numFmtId="286" formatCode="&quot;$&quot;###\ &quot;per SF net lease or sale&quot;"/>
    <numFmt numFmtId="287" formatCode="&quot;$&quot;###\ &quot;per SF net sale&quot;"/>
    <numFmt numFmtId="288" formatCode="##\ &quot;Units&quot;"/>
    <numFmt numFmtId="289" formatCode="###\ &quot;SF&quot;"/>
    <numFmt numFmtId="290" formatCode="#,###\ &quot;Units&quot;"/>
    <numFmt numFmtId="291" formatCode="m/d/yy;@"/>
    <numFmt numFmtId="292" formatCode="&quot;Feasible Project Costs at&quot;\ ##%\ &quot;ROC&quot;"/>
    <numFmt numFmtId="293" formatCode="&quot;Monthly Revenues at&quot;\ ##%\ &quot;occupancy&quot;"/>
    <numFmt numFmtId="294" formatCode="&quot;1 bedroom unit at&quot;\ ###\ &quot;SF&quot;"/>
    <numFmt numFmtId="295" formatCode="&quot;2 bedroom unit at&quot;\ ###\ &quot;SF&quot;"/>
    <numFmt numFmtId="296" formatCode="&quot;3 bedroom unit at&quot;\ ###\ &quot;SF&quot;"/>
    <numFmt numFmtId="297" formatCode="#,###\ &quot;SF Retail/Dining/Event Income&quot;"/>
    <numFmt numFmtId="298" formatCode="&quot;parking fee per day&quot;\ \ &quot;$&quot;###"/>
    <numFmt numFmtId="299" formatCode="&quot;usage percent&quot;\ \ ###%"/>
    <numFmt numFmtId="300" formatCode="##\ &quot;For Sale Units&quot;"/>
    <numFmt numFmtId="301" formatCode="###\ &quot;Rental Units&quot;"/>
    <numFmt numFmtId="302" formatCode="###\ &quot;Hotel Units&quot;"/>
    <numFmt numFmtId="303" formatCode="###\ &quot;Total Units&quot;"/>
    <numFmt numFmtId="304" formatCode="##\ &quot;Student Housing Units&quot;"/>
    <numFmt numFmtId="305" formatCode="&quot;Recreational Center&quot;\ #,###\ &quot;SF&quot;"/>
    <numFmt numFmtId="306" formatCode="###\ &quot;Transitional Permament Housing Units&quot;"/>
    <numFmt numFmtId="307" formatCode="##\ &quot;Senior Housing Units&quot;"/>
    <numFmt numFmtId="308" formatCode="#,###\ &quot;SF Commercial Income&quot;"/>
    <numFmt numFmtId="309" formatCode="&quot;$&quot;##,###\ &quot;flat cost&quot;"/>
    <numFmt numFmtId="310" formatCode="###\ &quot;For Sale Units&quot;"/>
    <numFmt numFmtId="311" formatCode="&quot;1 Bedroom---&quot;#%"/>
    <numFmt numFmtId="312" formatCode="&quot;2 Bedroom---&quot;#%"/>
    <numFmt numFmtId="313" formatCode="&quot;3 Bedroom---&quot;#%"/>
    <numFmt numFmtId="314" formatCode="&quot;Luxury---&quot;#%"/>
    <numFmt numFmtId="315" formatCode="&quot;Penthouse---&quot;#.00%"/>
    <numFmt numFmtId="316" formatCode="###\ &quot;Roommate Beds&quot;"/>
    <numFmt numFmtId="317" formatCode="###\ &quot;Single Beds&quot;"/>
    <numFmt numFmtId="318" formatCode="###\ &quot;Single Micro Beds&quot;"/>
    <numFmt numFmtId="319" formatCode="&quot;Community&quot;\ #,###\ &quot;SF&quot;"/>
    <numFmt numFmtId="320" formatCode="&quot;Flex Office&quot;\ #,###\ &quot;SF&quot;"/>
    <numFmt numFmtId="321" formatCode="&quot;Healthcare&quot;\ #,###\ &quot;SF&quot;"/>
    <numFmt numFmtId="322" formatCode="&quot;$&quot;#,##0.0000_);\(&quot;$&quot;#,##0.0000\)"/>
    <numFmt numFmtId="323" formatCode="&quot;Institutional w/ Flex Office&quot;\ #,###\ &quot;SF&quot;"/>
    <numFmt numFmtId="324" formatCode="###\ &quot;Permament Housing Units&quot;"/>
    <numFmt numFmtId="325" formatCode="&quot;HUD LIHTC Credit:&quot;\ &quot;$&quot;##,###\ "/>
    <numFmt numFmtId="326" formatCode="&quot;Amazon National Housing Fund:&quot;\ &quot;$&quot;##,###\ "/>
    <numFmt numFmtId="327" formatCode="&quot;Washington State Department of Ecology  Electric Vehicle (EV) Charging Station Grants:&quot;\ &quot;$&quot;##,###\ "/>
    <numFmt numFmtId="328" formatCode="&quot;Federal Historic Credit:&quot;\ &quot;$&quot;##,###\ "/>
    <numFmt numFmtId="329" formatCode="&quot;Choice Neighborhoods Planning Grants:&quot;\ &quot;$&quot;##,###\ "/>
    <numFmt numFmtId="330" formatCode="&quot;WA LIHTC Credit:&quot;\ &quot;$&quot;##,###"/>
    <numFmt numFmtId="331" formatCode="&quot;HOME Investment:&quot;\ &quot;$&quot;#,###"/>
    <numFmt numFmtId="332" formatCode="&quot;Behavioral Health Facilities Program:&quot;\ &quot;$&quot;##,###"/>
    <numFmt numFmtId="333" formatCode="&quot;WA National Housing Fund:&quot;\ &quot;$&quot;##,###"/>
    <numFmt numFmtId="334" formatCode="&quot;TIF Proceeds:&quot;\ &quot;$&quot;##,###\ "/>
    <numFmt numFmtId="335" formatCode="&quot;Seattle Levy Fund:&quot;\ &quot;$&quot;##,###\ "/>
    <numFmt numFmtId="336" formatCode="###\ &quot;Total Units (not including hotel)&quot;"/>
    <numFmt numFmtId="337" formatCode="#,###\ &quot;Units (not including hotel)&quot;"/>
  </numFmts>
  <fonts count="225"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Times New Roman"/>
      <family val="2"/>
    </font>
    <font>
      <sz val="12"/>
      <color theme="1"/>
      <name val="Times New Roman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2"/>
      <name val="Arial"/>
      <family val="2"/>
    </font>
    <font>
      <b/>
      <sz val="8"/>
      <name val="Times New Roman"/>
      <family val="1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sz val="12"/>
      <name val="Arial MT"/>
    </font>
    <font>
      <b/>
      <sz val="18"/>
      <name val="Times New Roman"/>
      <family val="1"/>
    </font>
    <font>
      <b/>
      <sz val="16"/>
      <name val="Times New Roman"/>
      <family val="1"/>
    </font>
    <font>
      <b/>
      <sz val="14"/>
      <name val="Times New Roman"/>
      <family val="1"/>
    </font>
    <font>
      <u/>
      <sz val="11"/>
      <color theme="11"/>
      <name val="Calibri"/>
      <family val="2"/>
      <scheme val="minor"/>
    </font>
    <font>
      <b/>
      <sz val="10"/>
      <name val="Arial"/>
      <family val="2"/>
    </font>
    <font>
      <sz val="10"/>
      <color indexed="8"/>
      <name val="Arial"/>
      <family val="2"/>
    </font>
    <font>
      <sz val="8"/>
      <name val="Times New Roman"/>
      <family val="1"/>
    </font>
    <font>
      <sz val="11"/>
      <name val="ＭＳ Ｐゴシック"/>
      <charset val="128"/>
    </font>
    <font>
      <sz val="8"/>
      <name val="Palatino"/>
      <family val="1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color indexed="8"/>
      <name val="Palatino"/>
      <family val="1"/>
    </font>
    <font>
      <b/>
      <sz val="12"/>
      <name val="Helv"/>
    </font>
    <font>
      <b/>
      <i/>
      <sz val="10"/>
      <name val="Helv"/>
      <family val="2"/>
    </font>
    <font>
      <b/>
      <sz val="8"/>
      <name val="Helv"/>
      <family val="2"/>
    </font>
    <font>
      <sz val="7"/>
      <color indexed="12"/>
      <name val="Times New Roman"/>
      <family val="1"/>
    </font>
    <font>
      <sz val="9"/>
      <name val="Tahoma"/>
      <family val="2"/>
    </font>
    <font>
      <sz val="8"/>
      <name val="Times"/>
      <family val="1"/>
    </font>
    <font>
      <sz val="9"/>
      <color indexed="8"/>
      <name val="Times New Roman"/>
      <family val="1"/>
    </font>
    <font>
      <sz val="8"/>
      <color indexed="12"/>
      <name val="Tms Rmn"/>
    </font>
    <font>
      <sz val="10"/>
      <color indexed="12"/>
      <name val="Times New Roman"/>
      <family val="1"/>
    </font>
    <font>
      <sz val="12"/>
      <name val="Tms Rmn"/>
      <family val="1"/>
    </font>
    <font>
      <b/>
      <sz val="12"/>
      <name val="SWISS"/>
    </font>
    <font>
      <b/>
      <i/>
      <sz val="10"/>
      <color indexed="30"/>
      <name val="Comic Sans MS"/>
      <family val="4"/>
    </font>
    <font>
      <sz val="8"/>
      <color indexed="30"/>
      <name val="Comic Sans MS"/>
      <family val="4"/>
    </font>
    <font>
      <b/>
      <sz val="8"/>
      <color indexed="30"/>
      <name val="Comic Sans MS"/>
      <family val="4"/>
    </font>
    <font>
      <sz val="10"/>
      <color indexed="30"/>
      <name val="Comic Sans MS"/>
      <family val="4"/>
    </font>
    <font>
      <sz val="8"/>
      <name val="Helvetica-Narrow"/>
    </font>
    <font>
      <u val="singleAccounting"/>
      <sz val="10"/>
      <name val="Arial"/>
      <family val="2"/>
    </font>
    <font>
      <sz val="12"/>
      <name val="±¼¸²Ã¼"/>
      <family val="3"/>
      <charset val="129"/>
    </font>
    <font>
      <sz val="9"/>
      <color indexed="8"/>
      <name val="Helvetica-Narrow"/>
    </font>
    <font>
      <sz val="8"/>
      <color indexed="13"/>
      <name val="Helvetica-Narrow"/>
    </font>
    <font>
      <b/>
      <sz val="7"/>
      <name val="Helvetica-Narrow"/>
      <family val="2"/>
    </font>
    <font>
      <b/>
      <sz val="7"/>
      <name val="GillSans"/>
    </font>
    <font>
      <b/>
      <sz val="9"/>
      <name val="Tahoma"/>
      <family val="2"/>
    </font>
    <font>
      <sz val="12"/>
      <color indexed="24"/>
      <name val="Arial"/>
      <family val="2"/>
    </font>
    <font>
      <sz val="10"/>
      <name val="Helv"/>
    </font>
    <font>
      <sz val="12"/>
      <name val="Helv"/>
    </font>
    <font>
      <b/>
      <sz val="24"/>
      <name val="Courier New"/>
      <family val="3"/>
    </font>
    <font>
      <b/>
      <sz val="10"/>
      <color indexed="30"/>
      <name val="Comic Sans MS"/>
      <family val="4"/>
    </font>
    <font>
      <sz val="12"/>
      <color indexed="30"/>
      <name val="Comic Sans MS"/>
      <family val="4"/>
    </font>
    <font>
      <sz val="10"/>
      <name val="MS Serif"/>
      <family val="1"/>
    </font>
    <font>
      <sz val="10"/>
      <name val="Courier"/>
      <family val="3"/>
    </font>
    <font>
      <sz val="10"/>
      <name val="Book Antiqua"/>
      <family val="1"/>
    </font>
    <font>
      <sz val="10"/>
      <name val="Times New Roman Special G1"/>
    </font>
    <font>
      <sz val="10"/>
      <color indexed="24"/>
      <name val="Arial"/>
      <family val="2"/>
    </font>
    <font>
      <sz val="9"/>
      <name val="Times New Roman"/>
      <family val="1"/>
    </font>
    <font>
      <u/>
      <sz val="8"/>
      <color indexed="12"/>
      <name val="Times New Roman"/>
      <family val="1"/>
    </font>
    <font>
      <sz val="9"/>
      <name val="Arial"/>
      <family val="2"/>
    </font>
    <font>
      <sz val="8"/>
      <color indexed="12"/>
      <name val="Times New Roman"/>
      <family val="1"/>
    </font>
    <font>
      <u val="doubleAccounting"/>
      <sz val="10"/>
      <name val="Arial"/>
      <family val="2"/>
    </font>
    <font>
      <sz val="14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Times New Roman"/>
      <family val="1"/>
    </font>
    <font>
      <i/>
      <sz val="9"/>
      <name val="Times New Roman"/>
      <family val="1"/>
    </font>
    <font>
      <i/>
      <sz val="10"/>
      <name val="Times New Roman"/>
      <family val="1"/>
    </font>
    <font>
      <i/>
      <sz val="9"/>
      <color indexed="8"/>
      <name val="Times New Roman"/>
      <family val="1"/>
    </font>
    <font>
      <b/>
      <sz val="9"/>
      <name val="Times New Roman"/>
      <family val="1"/>
    </font>
    <font>
      <sz val="22"/>
      <name val="Times New Roman"/>
      <family val="1"/>
    </font>
    <font>
      <b/>
      <i/>
      <sz val="8"/>
      <color indexed="12"/>
      <name val="Arial"/>
      <family val="2"/>
    </font>
    <font>
      <sz val="10"/>
      <color indexed="16"/>
      <name val="MS Serif"/>
      <family val="1"/>
    </font>
    <font>
      <sz val="7"/>
      <name val="Palatino"/>
      <family val="1"/>
    </font>
    <font>
      <sz val="9"/>
      <name val="CharterITC BT"/>
      <family val="1"/>
    </font>
    <font>
      <b/>
      <sz val="10"/>
      <name val="Tahoma"/>
      <family val="2"/>
    </font>
    <font>
      <sz val="8"/>
      <name val="Arial"/>
      <family val="2"/>
    </font>
    <font>
      <b/>
      <sz val="12"/>
      <color indexed="9"/>
      <name val="Tms Rmn"/>
    </font>
    <font>
      <u/>
      <sz val="12"/>
      <name val="Tahoma"/>
      <family val="2"/>
    </font>
    <font>
      <i/>
      <u/>
      <sz val="11"/>
      <name val="Tahoma"/>
      <family val="2"/>
    </font>
    <font>
      <u/>
      <sz val="11"/>
      <name val="Tahoma"/>
      <family val="2"/>
    </font>
    <font>
      <i/>
      <u/>
      <sz val="10"/>
      <name val="Tahoma"/>
      <family val="2"/>
    </font>
    <font>
      <u/>
      <sz val="10"/>
      <name val="Tahoma"/>
      <family val="2"/>
    </font>
    <font>
      <i/>
      <u/>
      <sz val="9"/>
      <name val="Tahoma"/>
      <family val="2"/>
    </font>
    <font>
      <u/>
      <sz val="9"/>
      <name val="Tahoma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b/>
      <i/>
      <sz val="22"/>
      <name val="Times New Roman"/>
      <family val="1"/>
    </font>
    <font>
      <b/>
      <sz val="8"/>
      <name val="MS Sans Serif"/>
      <family val="2"/>
    </font>
    <font>
      <b/>
      <sz val="24"/>
      <name val="Geneva"/>
    </font>
    <font>
      <b/>
      <u/>
      <sz val="8"/>
      <name val="Arial"/>
      <family val="2"/>
    </font>
    <font>
      <sz val="10"/>
      <color indexed="12"/>
      <name val="Arial"/>
      <family val="2"/>
    </font>
    <font>
      <i/>
      <sz val="10"/>
      <name val="Arial"/>
      <family val="2"/>
    </font>
    <font>
      <sz val="10"/>
      <color indexed="16"/>
      <name val="MS Sans Serif"/>
      <family val="2"/>
    </font>
    <font>
      <sz val="10"/>
      <name val="Geneva"/>
    </font>
    <font>
      <sz val="14"/>
      <name val="Architecture"/>
      <family val="2"/>
    </font>
    <font>
      <sz val="7"/>
      <name val="Small Fonts"/>
      <family val="2"/>
    </font>
    <font>
      <sz val="11"/>
      <name val="明朝"/>
      <family val="1"/>
      <charset val="128"/>
    </font>
    <font>
      <sz val="10"/>
      <name val="Palatino"/>
      <family val="1"/>
    </font>
    <font>
      <sz val="10"/>
      <name val="ＭＳ Ｐゴシック"/>
      <family val="3"/>
      <charset val="128"/>
    </font>
    <font>
      <sz val="11"/>
      <name val="Times New Roman"/>
      <family val="1"/>
    </font>
    <font>
      <sz val="11"/>
      <name val="‚l‚r –¾’©"/>
      <family val="3"/>
      <charset val="128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26"/>
      <name val="Times New Roman"/>
      <family val="1"/>
    </font>
    <font>
      <sz val="10"/>
      <color indexed="16"/>
      <name val="Helvetica-Black"/>
    </font>
    <font>
      <b/>
      <sz val="14"/>
      <color indexed="12"/>
      <name val="Arial"/>
      <family val="2"/>
    </font>
    <font>
      <sz val="22"/>
      <name val="UBSHeadline"/>
      <family val="1"/>
    </font>
    <font>
      <sz val="10"/>
      <name val="Tms Rmn"/>
      <family val="1"/>
    </font>
    <font>
      <sz val="10"/>
      <name val="MS Sans Serif"/>
      <family val="2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sz val="10"/>
      <name val="GillSans Light"/>
    </font>
    <font>
      <sz val="9.5"/>
      <color indexed="23"/>
      <name val="Helvetica-Black"/>
    </font>
    <font>
      <b/>
      <sz val="16"/>
      <color indexed="16"/>
      <name val="Arial"/>
      <family val="2"/>
    </font>
    <font>
      <sz val="8"/>
      <name val="MS Sans Serif"/>
      <family val="2"/>
    </font>
    <font>
      <sz val="10"/>
      <color indexed="14"/>
      <name val="Century Schoolbook"/>
      <family val="1"/>
    </font>
    <font>
      <b/>
      <sz val="11"/>
      <name val="Helv"/>
    </font>
    <font>
      <b/>
      <u/>
      <sz val="10"/>
      <name val="Tahoma"/>
      <family val="2"/>
    </font>
    <font>
      <b/>
      <sz val="9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name val="Arial"/>
      <family val="2"/>
    </font>
    <font>
      <b/>
      <sz val="7"/>
      <name val="Arial"/>
      <family val="2"/>
    </font>
    <font>
      <sz val="9"/>
      <name val="Helvetica-Black"/>
    </font>
    <font>
      <sz val="9"/>
      <name val="Palatino"/>
      <family val="1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1"/>
      <name val="Tahoma"/>
      <family val="2"/>
    </font>
    <font>
      <u/>
      <sz val="8"/>
      <name val="Times New Roman"/>
      <family val="1"/>
    </font>
    <font>
      <b/>
      <sz val="12"/>
      <name val="CG Times (W1)"/>
      <family val="1"/>
    </font>
    <font>
      <b/>
      <i/>
      <sz val="12"/>
      <name val="CG Times (W1)"/>
      <family val="1"/>
    </font>
    <font>
      <b/>
      <i/>
      <sz val="24"/>
      <name val="Arial"/>
      <family val="2"/>
    </font>
    <font>
      <sz val="12"/>
      <name val="Tahoma"/>
      <family val="2"/>
    </font>
    <font>
      <i/>
      <sz val="11"/>
      <name val="Tahoma"/>
      <family val="2"/>
    </font>
    <font>
      <sz val="11"/>
      <name val="Tahoma"/>
      <family val="2"/>
    </font>
    <font>
      <i/>
      <sz val="10"/>
      <name val="Tahoma"/>
      <family val="2"/>
    </font>
    <font>
      <sz val="10"/>
      <name val="Tahoma"/>
      <family val="2"/>
    </font>
    <font>
      <i/>
      <sz val="9"/>
      <name val="Tahoma"/>
      <family val="2"/>
    </font>
    <font>
      <b/>
      <sz val="10"/>
      <color indexed="30"/>
      <name val="Arial"/>
      <family val="2"/>
    </font>
    <font>
      <b/>
      <sz val="7"/>
      <color indexed="12"/>
      <name val="Arial"/>
      <family val="2"/>
    </font>
    <font>
      <u/>
      <sz val="8"/>
      <color indexed="8"/>
      <name val="Arial"/>
      <family val="2"/>
    </font>
    <font>
      <sz val="8"/>
      <color indexed="12"/>
      <name val="Arial"/>
      <family val="2"/>
    </font>
    <font>
      <sz val="10"/>
      <color indexed="9"/>
      <name val="Tms Rmn"/>
    </font>
    <font>
      <sz val="7"/>
      <name val="Times New Roman"/>
      <family val="1"/>
    </font>
    <font>
      <b/>
      <i/>
      <sz val="8"/>
      <name val="Helv"/>
    </font>
    <font>
      <sz val="10"/>
      <name val="ＭＳ 明朝"/>
      <family val="1"/>
      <charset val="128"/>
    </font>
    <font>
      <sz val="9"/>
      <color indexed="8"/>
      <name val="ＭＳ Ｐゴシック"/>
      <family val="3"/>
      <charset val="128"/>
    </font>
    <font>
      <b/>
      <sz val="10"/>
      <color indexed="81"/>
      <name val="Calibri"/>
      <family val="2"/>
    </font>
    <font>
      <sz val="14"/>
      <color indexed="81"/>
      <name val="Calibri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3"/>
      <color theme="1"/>
      <name val="Arial"/>
      <family val="2"/>
    </font>
    <font>
      <b/>
      <sz val="12"/>
      <color theme="0"/>
      <name val="Calibri"/>
      <family val="2"/>
      <scheme val="minor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2"/>
      <color rgb="FF00B0F0"/>
      <name val="Calibri"/>
      <family val="2"/>
      <scheme val="minor"/>
    </font>
    <font>
      <b/>
      <sz val="12"/>
      <color rgb="FF4C4C4C"/>
      <name val="Calibri"/>
      <family val="2"/>
      <scheme val="minor"/>
    </font>
    <font>
      <sz val="12"/>
      <color rgb="FF4C4C4C"/>
      <name val="Calibri"/>
      <family val="2"/>
      <scheme val="minor"/>
    </font>
    <font>
      <sz val="12"/>
      <color theme="1"/>
      <name val="PT Sans Narrow"/>
      <family val="2"/>
      <charset val="204"/>
    </font>
    <font>
      <sz val="12"/>
      <color rgb="FF4C4C4C"/>
      <name val="PT Sans Narrow"/>
      <family val="2"/>
      <charset val="204"/>
    </font>
    <font>
      <b/>
      <sz val="12"/>
      <color rgb="FFC61225"/>
      <name val="PT Sans Narrow"/>
      <family val="2"/>
      <charset val="204"/>
    </font>
    <font>
      <b/>
      <sz val="12"/>
      <color rgb="FF4C4C4C"/>
      <name val="PT Sans Narrow"/>
      <family val="2"/>
      <charset val="204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rgb="FF0432FF"/>
      <name val="Arial"/>
      <family val="2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0"/>
      <name val="Arial"/>
      <family val="2"/>
    </font>
    <font>
      <b/>
      <sz val="10"/>
      <color rgb="FFFFFF00"/>
      <name val="Arial"/>
      <family val="2"/>
    </font>
    <font>
      <b/>
      <sz val="10"/>
      <color rgb="FF0070C0"/>
      <name val="Arial"/>
      <family val="2"/>
    </font>
    <font>
      <sz val="10"/>
      <color theme="9" tint="-0.249977111117893"/>
      <name val="Arial"/>
      <family val="2"/>
    </font>
    <font>
      <sz val="11"/>
      <color rgb="FF00B0F0"/>
      <name val="Arial"/>
      <family val="2"/>
    </font>
    <font>
      <sz val="10"/>
      <color rgb="FF00B0F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sz val="10"/>
      <color theme="4"/>
      <name val="Arial"/>
      <family val="2"/>
    </font>
    <font>
      <b/>
      <sz val="12"/>
      <color rgb="FFFF0000"/>
      <name val="Calibri"/>
      <family val="2"/>
      <scheme val="minor"/>
    </font>
    <font>
      <b/>
      <sz val="10"/>
      <color rgb="FF00B0F0"/>
      <name val="Arial"/>
      <family val="2"/>
    </font>
    <font>
      <b/>
      <sz val="9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rgb="FF00B0F0"/>
      <name val="Arial"/>
      <family val="2"/>
    </font>
    <font>
      <b/>
      <sz val="12"/>
      <color theme="0"/>
      <name val="Arial"/>
      <family val="2"/>
    </font>
    <font>
      <sz val="11"/>
      <color rgb="FF00B0F0"/>
      <name val="Calibri"/>
      <family val="2"/>
      <scheme val="minor"/>
    </font>
    <font>
      <u/>
      <sz val="10"/>
      <color theme="1"/>
      <name val="Arial"/>
      <family val="2"/>
    </font>
    <font>
      <sz val="10"/>
      <color rgb="FF0432FF"/>
      <name val="Arial"/>
      <family val="2"/>
    </font>
    <font>
      <sz val="6"/>
      <color rgb="FF000000"/>
      <name val="Aptos"/>
      <family val="2"/>
    </font>
    <font>
      <b/>
      <sz val="11"/>
      <color theme="0"/>
      <name val="Arial"/>
      <family val="2"/>
    </font>
    <font>
      <sz val="11"/>
      <color rgb="FF008000"/>
      <name val="Arial"/>
      <family val="2"/>
    </font>
    <font>
      <sz val="11"/>
      <color rgb="FF0000CC"/>
      <name val="Arial"/>
      <family val="2"/>
    </font>
    <font>
      <sz val="11"/>
      <color rgb="FF0000FF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i/>
      <sz val="10"/>
      <color theme="1"/>
      <name val="Arial"/>
      <family val="2"/>
    </font>
    <font>
      <b/>
      <sz val="12"/>
      <color rgb="FF008000"/>
      <name val="Arial"/>
      <family val="2"/>
    </font>
    <font>
      <sz val="12"/>
      <color rgb="FF0000FF"/>
      <name val="Arial"/>
      <family val="2"/>
    </font>
    <font>
      <sz val="12"/>
      <color rgb="FF0000CC"/>
      <name val="Arial"/>
      <family val="2"/>
    </font>
    <font>
      <sz val="12"/>
      <color theme="0"/>
      <name val="Arial"/>
      <family val="2"/>
    </font>
    <font>
      <sz val="12"/>
      <color rgb="FF0432FF"/>
      <name val="Arial"/>
      <family val="2"/>
    </font>
    <font>
      <u/>
      <sz val="12"/>
      <color theme="1"/>
      <name val="Arial"/>
      <family val="2"/>
    </font>
    <font>
      <b/>
      <u/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2"/>
      <color rgb="FF000000"/>
      <name val="Aptos"/>
      <family val="2"/>
    </font>
    <font>
      <b/>
      <i/>
      <sz val="12"/>
      <color theme="1"/>
      <name val="Arial"/>
      <family val="2"/>
    </font>
    <font>
      <u/>
      <sz val="11"/>
      <color theme="1"/>
      <name val="Arial"/>
      <family val="2"/>
    </font>
    <font>
      <i/>
      <sz val="12"/>
      <color theme="1"/>
      <name val="Arial"/>
      <family val="2"/>
    </font>
    <font>
      <b/>
      <sz val="12"/>
      <color rgb="FF0432FF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3"/>
      </patternFill>
    </fill>
    <fill>
      <patternFill patternType="solid">
        <fgColor indexed="44"/>
        <bgColor indexed="64"/>
      </patternFill>
    </fill>
    <fill>
      <patternFill patternType="lightGray">
        <fgColor indexed="15"/>
      </patternFill>
    </fill>
    <fill>
      <patternFill patternType="solid">
        <fgColor indexed="2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10"/>
      </patternFill>
    </fill>
    <fill>
      <patternFill patternType="solid">
        <fgColor indexed="22"/>
        <bgColor indexed="22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6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C6EFCE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826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16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/>
      <top/>
      <bottom style="hair">
        <color auto="1"/>
      </bottom>
      <diagonal/>
    </border>
    <border>
      <left/>
      <right/>
      <top style="thick">
        <color indexed="30"/>
      </top>
      <bottom/>
      <diagonal/>
    </border>
    <border>
      <left style="thin">
        <color indexed="30"/>
      </left>
      <right style="thin">
        <color indexed="30"/>
      </right>
      <top/>
      <bottom style="double">
        <color indexed="30"/>
      </bottom>
      <diagonal/>
    </border>
    <border>
      <left/>
      <right/>
      <top/>
      <bottom style="thin">
        <color indexed="30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ck">
        <color indexed="30"/>
      </bottom>
      <diagonal/>
    </border>
    <border>
      <left style="thin">
        <color indexed="30"/>
      </left>
      <right style="thin">
        <color indexed="30"/>
      </right>
      <top/>
      <bottom style="thin">
        <color indexed="30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30"/>
      </left>
      <right/>
      <top/>
      <bottom/>
      <diagonal/>
    </border>
    <border>
      <left style="thin">
        <color indexed="30"/>
      </left>
      <right style="thin">
        <color indexed="30"/>
      </right>
      <top/>
      <bottom/>
      <diagonal/>
    </border>
    <border>
      <left/>
      <right/>
      <top/>
      <bottom style="dotted">
        <color auto="1"/>
      </bottom>
      <diagonal/>
    </border>
    <border>
      <left/>
      <right/>
      <top/>
      <bottom style="medium">
        <color indexed="63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thin">
        <color indexed="23"/>
      </bottom>
      <diagonal/>
    </border>
    <border>
      <left/>
      <right/>
      <top style="thick">
        <color indexed="17"/>
      </top>
      <bottom/>
      <diagonal/>
    </border>
    <border>
      <left/>
      <right/>
      <top/>
      <bottom style="thick">
        <color indexed="18"/>
      </bottom>
      <diagonal/>
    </border>
    <border>
      <left/>
      <right/>
      <top/>
      <bottom style="thin">
        <color indexed="18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/>
      <top/>
      <bottom style="hair">
        <color indexed="22"/>
      </bottom>
      <diagonal/>
    </border>
    <border>
      <left/>
      <right/>
      <top/>
      <bottom style="thick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30"/>
      </left>
      <right/>
      <top/>
      <bottom style="thin">
        <color indexed="30"/>
      </bottom>
      <diagonal/>
    </border>
    <border>
      <left/>
      <right style="thin">
        <color indexed="30"/>
      </right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indexed="30"/>
      </left>
      <right style="thin">
        <color indexed="30"/>
      </right>
      <top style="thick">
        <color indexed="30"/>
      </top>
      <bottom style="thick">
        <color indexed="30"/>
      </bottom>
      <diagonal/>
    </border>
    <border>
      <left/>
      <right/>
      <top style="thin">
        <color auto="1"/>
      </top>
      <bottom style="hair">
        <color indexed="22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/>
      <bottom style="medium">
        <color indexed="4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thick">
        <color theme="4" tint="0.3999755851924192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auto="1"/>
      </bottom>
      <diagonal/>
    </border>
    <border>
      <left/>
      <right/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1362">
    <xf numFmtId="0" fontId="0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7" fillId="0" borderId="0"/>
    <xf numFmtId="43" fontId="15" fillId="0" borderId="0" applyFont="0" applyFill="0" applyBorder="0" applyAlignment="0" applyProtection="0"/>
    <xf numFmtId="0" fontId="18" fillId="0" borderId="0"/>
    <xf numFmtId="9" fontId="1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3" fontId="25" fillId="0" borderId="0">
      <alignment horizontal="right"/>
    </xf>
    <xf numFmtId="184" fontId="25" fillId="0" borderId="0">
      <alignment horizontal="right"/>
    </xf>
    <xf numFmtId="185" fontId="25" fillId="0" borderId="0">
      <alignment horizontal="right"/>
    </xf>
    <xf numFmtId="186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26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26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26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27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2" fontId="26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2" fontId="26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67" fontId="27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2" fontId="26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26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26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39" fontId="26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15" fillId="12" borderId="0" applyNumberFormat="0" applyFont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67" fontId="27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67" fontId="27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26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26" fillId="0" borderId="0" applyFont="0" applyFill="0" applyBorder="0" applyAlignment="0" applyProtection="0"/>
    <xf numFmtId="195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7" fontId="15" fillId="0" borderId="0" applyFont="0" applyFill="0" applyBorder="0" applyProtection="0">
      <alignment horizontal="right"/>
    </xf>
    <xf numFmtId="198" fontId="27" fillId="0" borderId="0" applyFont="0" applyFill="0" applyBorder="0" applyAlignment="0" applyProtection="0"/>
    <xf numFmtId="197" fontId="15" fillId="0" borderId="0" applyFont="0" applyFill="0" applyBorder="0" applyProtection="0">
      <alignment horizontal="right"/>
    </xf>
    <xf numFmtId="198" fontId="27" fillId="0" borderId="0" applyFont="0" applyFill="0" applyBorder="0" applyAlignment="0" applyProtection="0"/>
    <xf numFmtId="197" fontId="15" fillId="0" borderId="0" applyFont="0" applyFill="0" applyBorder="0" applyProtection="0">
      <alignment horizontal="right"/>
    </xf>
    <xf numFmtId="197" fontId="15" fillId="0" borderId="0" applyFont="0" applyFill="0" applyBorder="0" applyProtection="0">
      <alignment horizontal="right"/>
    </xf>
    <xf numFmtId="199" fontId="26" fillId="0" borderId="0" applyFont="0" applyFill="0" applyBorder="0" applyAlignment="0" applyProtection="0"/>
    <xf numFmtId="197" fontId="15" fillId="0" borderId="0" applyFont="0" applyFill="0" applyBorder="0" applyProtection="0">
      <alignment horizontal="right"/>
    </xf>
    <xf numFmtId="199" fontId="26" fillId="0" borderId="0" applyFont="0" applyFill="0" applyBorder="0" applyAlignment="0" applyProtection="0"/>
    <xf numFmtId="197" fontId="15" fillId="0" borderId="0" applyFont="0" applyFill="0" applyBorder="0" applyProtection="0">
      <alignment horizontal="right"/>
    </xf>
    <xf numFmtId="199" fontId="26" fillId="0" borderId="0" applyFont="0" applyFill="0" applyBorder="0" applyAlignment="0" applyProtection="0"/>
    <xf numFmtId="200" fontId="26" fillId="0" borderId="0" applyFont="0" applyFill="0" applyBorder="0" applyAlignment="0" applyProtection="0"/>
    <xf numFmtId="201" fontId="27" fillId="0" borderId="0" applyFont="0" applyFill="0" applyBorder="0" applyAlignment="0" applyProtection="0"/>
    <xf numFmtId="201" fontId="27" fillId="0" borderId="0" applyFont="0" applyFill="0" applyBorder="0" applyAlignment="0" applyProtection="0"/>
    <xf numFmtId="202" fontId="26" fillId="0" borderId="0" applyFont="0" applyFill="0" applyBorder="0" applyAlignment="0" applyProtection="0"/>
    <xf numFmtId="203" fontId="27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29" fillId="0" borderId="0" applyNumberFormat="0" applyFill="0" applyBorder="0" applyProtection="0">
      <alignment vertical="top"/>
    </xf>
    <xf numFmtId="0" fontId="30" fillId="0" borderId="16" applyNumberFormat="0" applyFill="0" applyAlignment="0" applyProtection="0"/>
    <xf numFmtId="0" fontId="31" fillId="0" borderId="17" applyNumberFormat="0" applyFill="0" applyProtection="0">
      <alignment horizontal="center"/>
    </xf>
    <xf numFmtId="0" fontId="31" fillId="0" borderId="0" applyNumberFormat="0" applyFill="0" applyBorder="0" applyProtection="0">
      <alignment horizontal="left"/>
    </xf>
    <xf numFmtId="0" fontId="32" fillId="0" borderId="0" applyNumberFormat="0" applyFill="0" applyBorder="0" applyProtection="0">
      <alignment horizontal="centerContinuous"/>
    </xf>
    <xf numFmtId="204" fontId="33" fillId="0" borderId="0">
      <alignment horizontal="left"/>
      <protection locked="0"/>
    </xf>
    <xf numFmtId="38" fontId="9" fillId="0" borderId="18"/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0" fontId="34" fillId="0" borderId="0">
      <alignment horizontal="center"/>
    </xf>
    <xf numFmtId="39" fontId="34" fillId="0" borderId="0">
      <alignment horizontal="center"/>
    </xf>
    <xf numFmtId="39" fontId="34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0" fontId="35" fillId="0" borderId="0">
      <alignment horizontal="center"/>
    </xf>
    <xf numFmtId="39" fontId="36" fillId="0" borderId="0">
      <alignment horizontal="center"/>
    </xf>
    <xf numFmtId="205" fontId="37" fillId="0" borderId="0">
      <protection locked="0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39" fontId="36" fillId="0" borderId="0">
      <alignment horizontal="center"/>
    </xf>
    <xf numFmtId="14" fontId="38" fillId="0" borderId="0"/>
    <xf numFmtId="206" fontId="23" fillId="13" borderId="19">
      <alignment horizontal="center" vertical="center"/>
    </xf>
    <xf numFmtId="0" fontId="39" fillId="0" borderId="0"/>
    <xf numFmtId="37" fontId="21" fillId="0" borderId="0" applyFont="0" applyAlignment="0">
      <alignment horizontal="centerContinuous" vertical="top"/>
    </xf>
    <xf numFmtId="0" fontId="25" fillId="0" borderId="0">
      <alignment horizontal="center" wrapText="1"/>
      <protection locked="0"/>
    </xf>
    <xf numFmtId="0" fontId="15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207" fontId="15" fillId="0" borderId="0" applyFont="0" applyFill="0" applyBorder="0" applyAlignment="0"/>
    <xf numFmtId="208" fontId="40" fillId="0" borderId="0" applyFont="0" applyFill="0" applyBorder="0" applyAlignment="0">
      <alignment horizontal="right"/>
    </xf>
    <xf numFmtId="0" fontId="41" fillId="0" borderId="0" applyNumberFormat="0" applyFill="0" applyBorder="0" applyAlignment="0" applyProtection="0"/>
    <xf numFmtId="0" fontId="37" fillId="0" borderId="0">
      <protection locked="0"/>
    </xf>
    <xf numFmtId="209" fontId="37" fillId="0" borderId="0">
      <alignment horizontal="right"/>
      <protection locked="0"/>
    </xf>
    <xf numFmtId="7" fontId="42" fillId="0" borderId="0">
      <alignment horizontal="right"/>
      <protection locked="0"/>
    </xf>
    <xf numFmtId="203" fontId="37" fillId="0" borderId="0">
      <alignment horizontal="right"/>
      <protection locked="0"/>
    </xf>
    <xf numFmtId="0" fontId="43" fillId="0" borderId="0" applyNumberFormat="0" applyFill="0" applyBorder="0" applyAlignment="0" applyProtection="0"/>
    <xf numFmtId="0" fontId="44" fillId="0" borderId="0"/>
    <xf numFmtId="0" fontId="45" fillId="0" borderId="20"/>
    <xf numFmtId="0" fontId="46" fillId="13" borderId="21" applyAlignment="0">
      <alignment horizontal="center"/>
    </xf>
    <xf numFmtId="0" fontId="47" fillId="0" borderId="22"/>
    <xf numFmtId="0" fontId="25" fillId="0" borderId="23" applyNumberFormat="0" applyFont="0" applyFill="0" applyAlignment="0" applyProtection="0"/>
    <xf numFmtId="203" fontId="15" fillId="0" borderId="24" applyNumberFormat="0" applyFill="0" applyAlignment="0" applyProtection="0"/>
    <xf numFmtId="0" fontId="48" fillId="0" borderId="25"/>
    <xf numFmtId="0" fontId="48" fillId="0" borderId="26"/>
    <xf numFmtId="0" fontId="49" fillId="0" borderId="0"/>
    <xf numFmtId="0" fontId="50" fillId="0" borderId="0" applyFont="0" applyFill="0" applyBorder="0" applyAlignment="0" applyProtection="0"/>
    <xf numFmtId="0" fontId="51" fillId="0" borderId="0"/>
    <xf numFmtId="210" fontId="24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211" fontId="52" fillId="0" borderId="11" applyFill="0" applyBorder="0" applyAlignment="0" applyProtection="0">
      <alignment horizontal="right"/>
    </xf>
    <xf numFmtId="212" fontId="53" fillId="0" borderId="0" applyFont="0" applyFill="0"/>
    <xf numFmtId="39" fontId="25" fillId="14" borderId="0" applyNumberFormat="0" applyFont="0" applyBorder="0" applyAlignment="0"/>
    <xf numFmtId="213" fontId="15" fillId="0" borderId="0" applyFill="0" applyBorder="0" applyProtection="0"/>
    <xf numFmtId="0" fontId="11" fillId="0" borderId="12" applyNumberFormat="0" applyFont="0" applyFill="0" applyProtection="0">
      <alignment horizontal="centerContinuous" vertical="center"/>
    </xf>
    <xf numFmtId="0" fontId="54" fillId="0" borderId="27" applyNumberFormat="0" applyFill="0" applyProtection="0">
      <alignment horizontal="center" vertical="center"/>
    </xf>
    <xf numFmtId="0" fontId="55" fillId="0" borderId="28" applyNumberFormat="0" applyFill="0" applyBorder="0" applyProtection="0">
      <alignment horizontal="right" vertical="center"/>
    </xf>
    <xf numFmtId="0" fontId="11" fillId="0" borderId="0" applyNumberFormat="0" applyFill="0" applyBorder="0" applyProtection="0">
      <alignment horizontal="center" vertical="center"/>
    </xf>
    <xf numFmtId="0" fontId="56" fillId="13" borderId="0" applyNumberFormat="0">
      <alignment horizontal="center"/>
    </xf>
    <xf numFmtId="0" fontId="15" fillId="0" borderId="0" applyFont="0" applyFill="0" applyBorder="0" applyAlignment="0" applyProtection="0"/>
    <xf numFmtId="214" fontId="15" fillId="0" borderId="0" applyFont="0" applyFill="0" applyBorder="0" applyAlignment="0" applyProtection="0"/>
    <xf numFmtId="0" fontId="27" fillId="0" borderId="0" applyFont="0" applyFill="0" applyBorder="0" applyAlignment="0" applyProtection="0">
      <alignment horizontal="right"/>
    </xf>
    <xf numFmtId="215" fontId="2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3" fontId="57" fillId="0" borderId="0" applyFont="0" applyFill="0" applyBorder="0" applyAlignment="0" applyProtection="0"/>
    <xf numFmtId="0" fontId="58" fillId="0" borderId="0"/>
    <xf numFmtId="0" fontId="59" fillId="0" borderId="0"/>
    <xf numFmtId="3" fontId="60" fillId="0" borderId="0" applyFill="0" applyBorder="0" applyAlignment="0" applyProtection="0"/>
    <xf numFmtId="0" fontId="58" fillId="0" borderId="0"/>
    <xf numFmtId="41" fontId="46" fillId="0" borderId="29">
      <alignment horizontal="center"/>
      <protection locked="0" hidden="1"/>
    </xf>
    <xf numFmtId="41" fontId="46" fillId="0" borderId="30">
      <alignment horizontal="center"/>
      <protection locked="0"/>
    </xf>
    <xf numFmtId="41" fontId="61" fillId="0" borderId="20">
      <protection hidden="1"/>
    </xf>
    <xf numFmtId="41" fontId="62" fillId="0" borderId="20"/>
    <xf numFmtId="41" fontId="46" fillId="0" borderId="20">
      <alignment horizontal="right"/>
    </xf>
    <xf numFmtId="0" fontId="63" fillId="0" borderId="0" applyNumberFormat="0" applyAlignment="0">
      <alignment horizontal="left"/>
    </xf>
    <xf numFmtId="0" fontId="64" fillId="0" borderId="0" applyNumberFormat="0" applyAlignment="0"/>
    <xf numFmtId="0" fontId="59" fillId="0" borderId="0"/>
    <xf numFmtId="0" fontId="58" fillId="0" borderId="0"/>
    <xf numFmtId="0" fontId="15" fillId="0" borderId="0" applyFont="0" applyFill="0" applyBorder="0" applyAlignment="0" applyProtection="0"/>
    <xf numFmtId="8" fontId="65" fillId="0" borderId="0" applyBorder="0"/>
    <xf numFmtId="0" fontId="27" fillId="0" borderId="0" applyFont="0" applyFill="0" applyBorder="0" applyAlignment="0" applyProtection="0">
      <alignment horizontal="right"/>
    </xf>
    <xf numFmtId="44" fontId="6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217" fontId="67" fillId="0" borderId="0" applyFont="0" applyFill="0" applyBorder="0" applyAlignment="0" applyProtection="0"/>
    <xf numFmtId="218" fontId="68" fillId="0" borderId="0"/>
    <xf numFmtId="44" fontId="61" fillId="0" borderId="20">
      <alignment horizontal="center"/>
      <protection hidden="1"/>
    </xf>
    <xf numFmtId="39" fontId="38" fillId="0" borderId="0">
      <alignment horizontal="right"/>
    </xf>
    <xf numFmtId="14" fontId="46" fillId="0" borderId="30">
      <alignment horizontal="center"/>
    </xf>
    <xf numFmtId="0" fontId="27" fillId="0" borderId="0" applyFont="0" applyFill="0" applyBorder="0" applyAlignment="0" applyProtection="0"/>
    <xf numFmtId="219" fontId="15" fillId="0" borderId="0">
      <alignment horizontal="right"/>
    </xf>
    <xf numFmtId="14" fontId="24" fillId="0" borderId="0" applyFill="0" applyBorder="0" applyAlignment="0"/>
    <xf numFmtId="14" fontId="25" fillId="0" borderId="0">
      <alignment horizontal="right"/>
    </xf>
    <xf numFmtId="14" fontId="69" fillId="0" borderId="0">
      <alignment horizontal="right"/>
      <protection locked="0"/>
    </xf>
    <xf numFmtId="220" fontId="70" fillId="0" borderId="0" applyFill="0" applyProtection="0">
      <alignment vertical="center"/>
    </xf>
    <xf numFmtId="221" fontId="25" fillId="0" borderId="0">
      <alignment horizontal="right"/>
    </xf>
    <xf numFmtId="222" fontId="25" fillId="0" borderId="0">
      <alignment horizontal="right"/>
    </xf>
    <xf numFmtId="223" fontId="15" fillId="0" borderId="0">
      <alignment horizontal="right"/>
    </xf>
    <xf numFmtId="8" fontId="15" fillId="0" borderId="0" applyFill="0" applyBorder="0" applyProtection="0"/>
    <xf numFmtId="224" fontId="25" fillId="0" borderId="0"/>
    <xf numFmtId="224" fontId="71" fillId="0" borderId="0">
      <protection locked="0"/>
    </xf>
    <xf numFmtId="7" fontId="25" fillId="0" borderId="0"/>
    <xf numFmtId="0" fontId="27" fillId="0" borderId="31" applyNumberFormat="0" applyFont="0" applyFill="0" applyAlignment="0" applyProtection="0"/>
    <xf numFmtId="42" fontId="72" fillId="0" borderId="0" applyFill="0" applyBorder="0" applyAlignment="0" applyProtection="0"/>
    <xf numFmtId="171" fontId="9" fillId="15" borderId="0">
      <alignment vertical="center"/>
    </xf>
    <xf numFmtId="171" fontId="10" fillId="0" borderId="0">
      <alignment vertical="center"/>
    </xf>
    <xf numFmtId="171" fontId="10" fillId="0" borderId="0">
      <alignment vertical="center"/>
    </xf>
    <xf numFmtId="171" fontId="73" fillId="16" borderId="32" applyNumberFormat="0" applyAlignment="0">
      <alignment horizontal="center" vertical="center"/>
    </xf>
    <xf numFmtId="171" fontId="74" fillId="16" borderId="0">
      <alignment horizontal="center" vertical="center"/>
    </xf>
    <xf numFmtId="14" fontId="9" fillId="16" borderId="0">
      <alignment horizontal="center" vertical="center"/>
    </xf>
    <xf numFmtId="17" fontId="68" fillId="16" borderId="0">
      <alignment horizontal="center" vertical="center"/>
    </xf>
    <xf numFmtId="171" fontId="16" fillId="0" borderId="0">
      <alignment vertical="center"/>
    </xf>
    <xf numFmtId="171" fontId="75" fillId="16" borderId="0">
      <alignment vertical="center"/>
    </xf>
    <xf numFmtId="171" fontId="76" fillId="16" borderId="0">
      <alignment vertical="center"/>
    </xf>
    <xf numFmtId="167" fontId="77" fillId="16" borderId="33">
      <alignment vertical="center"/>
    </xf>
    <xf numFmtId="0" fontId="9" fillId="16" borderId="33">
      <alignment vertical="center"/>
    </xf>
    <xf numFmtId="37" fontId="68" fillId="16" borderId="0">
      <alignment horizontal="left" vertical="center"/>
    </xf>
    <xf numFmtId="171" fontId="68" fillId="16" borderId="0">
      <alignment horizontal="center" vertical="center"/>
    </xf>
    <xf numFmtId="225" fontId="40" fillId="16" borderId="0">
      <alignment horizontal="right" vertical="center"/>
    </xf>
    <xf numFmtId="165" fontId="40" fillId="16" borderId="0">
      <alignment horizontal="right" vertical="center"/>
    </xf>
    <xf numFmtId="167" fontId="78" fillId="16" borderId="0">
      <alignment horizontal="right" vertical="center"/>
    </xf>
    <xf numFmtId="167" fontId="78" fillId="16" borderId="9">
      <alignment horizontal="right" vertical="center"/>
    </xf>
    <xf numFmtId="165" fontId="79" fillId="16" borderId="33">
      <alignment horizontal="right" vertical="center"/>
    </xf>
    <xf numFmtId="170" fontId="30" fillId="16" borderId="0">
      <alignment horizontal="right" vertical="center"/>
    </xf>
    <xf numFmtId="4" fontId="40" fillId="16" borderId="0">
      <alignment horizontal="right" vertical="center"/>
    </xf>
    <xf numFmtId="170" fontId="68" fillId="16" borderId="28">
      <alignment horizontal="right" vertical="center"/>
    </xf>
    <xf numFmtId="165" fontId="68" fillId="16" borderId="28">
      <alignment horizontal="right" vertical="center"/>
    </xf>
    <xf numFmtId="165" fontId="79" fillId="16" borderId="0">
      <alignment horizontal="right" vertical="center"/>
    </xf>
    <xf numFmtId="219" fontId="68" fillId="16" borderId="0">
      <alignment horizontal="right" vertical="center"/>
    </xf>
    <xf numFmtId="171" fontId="9" fillId="0" borderId="0">
      <alignment vertical="center"/>
    </xf>
    <xf numFmtId="171" fontId="16" fillId="16" borderId="28" applyBorder="0">
      <alignment horizontal="left" vertical="center"/>
    </xf>
    <xf numFmtId="171" fontId="80" fillId="16" borderId="0">
      <alignment horizontal="left" vertical="center"/>
    </xf>
    <xf numFmtId="171" fontId="16" fillId="16" borderId="34">
      <alignment horizontal="left"/>
    </xf>
    <xf numFmtId="171" fontId="25" fillId="16" borderId="35">
      <alignment vertical="center"/>
    </xf>
    <xf numFmtId="171" fontId="25" fillId="16" borderId="36">
      <alignment vertical="center"/>
    </xf>
    <xf numFmtId="171" fontId="25" fillId="16" borderId="9">
      <alignment vertical="center"/>
    </xf>
    <xf numFmtId="171" fontId="10" fillId="16" borderId="37">
      <alignment horizontal="center" vertical="center"/>
    </xf>
    <xf numFmtId="171" fontId="10" fillId="0" borderId="0">
      <alignment vertical="center"/>
    </xf>
    <xf numFmtId="171" fontId="10" fillId="0" borderId="0">
      <alignment vertical="center"/>
    </xf>
    <xf numFmtId="171" fontId="10" fillId="0" borderId="0">
      <alignment vertical="center"/>
    </xf>
    <xf numFmtId="167" fontId="81" fillId="0" borderId="38" applyNumberFormat="0" applyAlignment="0" applyProtection="0">
      <alignment vertical="top"/>
    </xf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82" fillId="0" borderId="0" applyNumberFormat="0" applyAlignment="0">
      <alignment horizontal="left"/>
    </xf>
    <xf numFmtId="226" fontId="15" fillId="0" borderId="0" applyFont="0" applyFill="0" applyBorder="0" applyAlignment="0" applyProtection="0"/>
    <xf numFmtId="0" fontId="15" fillId="0" borderId="39" applyNumberFormat="0" applyFont="0" applyFill="0" applyAlignment="0" applyProtection="0"/>
    <xf numFmtId="0" fontId="15" fillId="0" borderId="39" applyNumberFormat="0" applyFont="0" applyFill="0" applyAlignment="0" applyProtection="0"/>
    <xf numFmtId="0" fontId="15" fillId="0" borderId="39" applyNumberFormat="0" applyFont="0" applyFill="0" applyAlignment="0" applyProtection="0"/>
    <xf numFmtId="0" fontId="15" fillId="0" borderId="39" applyNumberFormat="0" applyFont="0" applyFill="0" applyAlignment="0" applyProtection="0"/>
    <xf numFmtId="0" fontId="15" fillId="0" borderId="39" applyNumberFormat="0" applyFont="0" applyFill="0" applyAlignment="0" applyProtection="0"/>
    <xf numFmtId="0" fontId="15" fillId="0" borderId="39" applyNumberFormat="0" applyFont="0" applyFill="0" applyAlignment="0" applyProtection="0"/>
    <xf numFmtId="0" fontId="8" fillId="0" borderId="0" applyNumberFormat="0" applyFill="0" applyBorder="0" applyAlignment="0" applyProtection="0"/>
    <xf numFmtId="167" fontId="38" fillId="0" borderId="0" applyBorder="0"/>
    <xf numFmtId="227" fontId="9" fillId="0" borderId="0">
      <protection locked="0"/>
    </xf>
    <xf numFmtId="0" fontId="59" fillId="0" borderId="0"/>
    <xf numFmtId="0" fontId="83" fillId="0" borderId="0" applyFill="0" applyBorder="0" applyProtection="0">
      <alignment horizontal="left"/>
    </xf>
    <xf numFmtId="216" fontId="84" fillId="0" borderId="0"/>
    <xf numFmtId="0" fontId="85" fillId="0" borderId="0">
      <alignment horizontal="left" indent="2"/>
    </xf>
    <xf numFmtId="38" fontId="86" fillId="17" borderId="0" applyNumberFormat="0" applyBorder="0" applyAlignment="0" applyProtection="0"/>
    <xf numFmtId="0" fontId="27" fillId="0" borderId="0" applyFont="0" applyFill="0" applyBorder="0" applyAlignment="0" applyProtection="0">
      <alignment horizontal="right"/>
    </xf>
    <xf numFmtId="0" fontId="87" fillId="18" borderId="0"/>
    <xf numFmtId="0" fontId="15" fillId="0" borderId="0"/>
    <xf numFmtId="0" fontId="88" fillId="0" borderId="0" applyNumberFormat="0" applyFill="0" applyBorder="0" applyAlignment="0" applyProtection="0">
      <alignment horizontal="left"/>
    </xf>
    <xf numFmtId="0" fontId="89" fillId="0" borderId="0" applyNumberFormat="0" applyFill="0" applyBorder="0" applyAlignment="0" applyProtection="0">
      <alignment horizontal="left"/>
    </xf>
    <xf numFmtId="0" fontId="90" fillId="0" borderId="0" applyNumberFormat="0" applyFill="0" applyBorder="0" applyAlignment="0" applyProtection="0">
      <alignment horizontal="left"/>
    </xf>
    <xf numFmtId="0" fontId="91" fillId="0" borderId="0" applyNumberFormat="0" applyFill="0" applyBorder="0" applyAlignment="0" applyProtection="0">
      <alignment horizontal="left"/>
    </xf>
    <xf numFmtId="0" fontId="92" fillId="0" borderId="0" applyNumberFormat="0" applyFill="0" applyAlignment="0" applyProtection="0">
      <alignment horizontal="left"/>
    </xf>
    <xf numFmtId="0" fontId="91" fillId="0" borderId="0" applyNumberFormat="0" applyFill="0" applyBorder="0" applyAlignment="0" applyProtection="0">
      <alignment horizontal="left"/>
    </xf>
    <xf numFmtId="0" fontId="92" fillId="0" borderId="0" applyNumberFormat="0" applyFill="0" applyBorder="0" applyAlignment="0" applyProtection="0">
      <alignment horizontal="left"/>
    </xf>
    <xf numFmtId="0" fontId="93" fillId="0" borderId="0" applyNumberFormat="0" applyFill="0" applyBorder="0" applyAlignment="0" applyProtection="0">
      <alignment horizontal="left"/>
    </xf>
    <xf numFmtId="0" fontId="94" fillId="0" borderId="0" applyNumberFormat="0" applyFill="0" applyBorder="0" applyAlignment="0" applyProtection="0">
      <alignment horizontal="left"/>
    </xf>
    <xf numFmtId="0" fontId="95" fillId="0" borderId="0" applyNumberFormat="0" applyFill="0" applyBorder="0" applyAlignment="0" applyProtection="0"/>
    <xf numFmtId="0" fontId="96" fillId="0" borderId="7" applyNumberFormat="0" applyAlignment="0" applyProtection="0">
      <alignment horizontal="left" vertical="center"/>
    </xf>
    <xf numFmtId="0" fontId="96" fillId="0" borderId="4">
      <alignment horizontal="left" vertical="center"/>
    </xf>
    <xf numFmtId="8" fontId="34" fillId="0" borderId="0" applyProtection="0">
      <alignment horizontal="center"/>
    </xf>
    <xf numFmtId="0" fontId="20" fillId="0" borderId="0">
      <alignment horizontal="right"/>
    </xf>
    <xf numFmtId="0" fontId="20" fillId="0" borderId="0">
      <alignment horizontal="left"/>
    </xf>
    <xf numFmtId="0" fontId="15" fillId="0" borderId="0">
      <protection locked="0"/>
    </xf>
    <xf numFmtId="0" fontId="15" fillId="0" borderId="0">
      <protection locked="0"/>
    </xf>
    <xf numFmtId="0" fontId="97" fillId="0" borderId="40" applyNumberFormat="0" applyFill="0" applyBorder="0" applyAlignment="0" applyProtection="0">
      <alignment horizontal="left"/>
    </xf>
    <xf numFmtId="0" fontId="98" fillId="0" borderId="0">
      <alignment horizontal="center"/>
    </xf>
    <xf numFmtId="0" fontId="99" fillId="0" borderId="12"/>
    <xf numFmtId="0" fontId="15" fillId="13" borderId="6" applyNumberFormat="0" applyFont="0" applyBorder="0" applyAlignment="0" applyProtection="0"/>
    <xf numFmtId="0" fontId="15" fillId="13" borderId="6" applyNumberFormat="0" applyFont="0" applyBorder="0" applyAlignment="0" applyProtection="0"/>
    <xf numFmtId="0" fontId="15" fillId="13" borderId="6" applyNumberFormat="0" applyFont="0" applyBorder="0" applyAlignment="0" applyProtection="0"/>
    <xf numFmtId="0" fontId="15" fillId="13" borderId="6" applyNumberFormat="0" applyFont="0" applyBorder="0" applyAlignment="0" applyProtection="0"/>
    <xf numFmtId="0" fontId="15" fillId="13" borderId="6" applyNumberFormat="0" applyFont="0" applyBorder="0" applyAlignment="0" applyProtection="0"/>
    <xf numFmtId="0" fontId="15" fillId="13" borderId="6" applyNumberFormat="0" applyFont="0" applyBorder="0" applyAlignment="0" applyProtection="0"/>
    <xf numFmtId="3" fontId="49" fillId="0" borderId="0" applyNumberFormat="0" applyFill="0" applyBorder="0" applyAlignment="0" applyProtection="0"/>
    <xf numFmtId="228" fontId="9" fillId="0" borderId="0"/>
    <xf numFmtId="228" fontId="100" fillId="0" borderId="0" applyFont="0" applyFill="0" applyBorder="0" applyAlignment="0" applyProtection="0"/>
    <xf numFmtId="0" fontId="101" fillId="0" borderId="41" applyNumberFormat="0" applyFill="0" applyAlignment="0" applyProtection="0"/>
    <xf numFmtId="37" fontId="38" fillId="0" borderId="0" applyBorder="0"/>
    <xf numFmtId="10" fontId="86" fillId="19" borderId="1" applyNumberFormat="0" applyBorder="0" applyAlignment="0" applyProtection="0"/>
    <xf numFmtId="40" fontId="42" fillId="0" borderId="1">
      <protection locked="0"/>
    </xf>
    <xf numFmtId="38" fontId="42" fillId="0" borderId="1">
      <protection locked="0"/>
    </xf>
    <xf numFmtId="8" fontId="42" fillId="0" borderId="1">
      <protection locked="0"/>
    </xf>
    <xf numFmtId="6" fontId="42" fillId="0" borderId="1">
      <protection locked="0"/>
    </xf>
    <xf numFmtId="10" fontId="42" fillId="0" borderId="1">
      <protection locked="0"/>
    </xf>
    <xf numFmtId="9" fontId="42" fillId="0" borderId="1">
      <protection locked="0"/>
    </xf>
    <xf numFmtId="38" fontId="101" fillId="0" borderId="0"/>
    <xf numFmtId="40" fontId="9" fillId="0" borderId="0"/>
    <xf numFmtId="229" fontId="25" fillId="0" borderId="0">
      <alignment horizontal="left"/>
    </xf>
    <xf numFmtId="0" fontId="15" fillId="0" borderId="29"/>
    <xf numFmtId="2" fontId="102" fillId="0" borderId="1"/>
    <xf numFmtId="0" fontId="86" fillId="17" borderId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37" fontId="103" fillId="0" borderId="0" applyNumberFormat="0" applyFill="0" applyBorder="0" applyAlignment="0" applyProtection="0">
      <alignment horizontal="right"/>
    </xf>
    <xf numFmtId="44" fontId="8" fillId="0" borderId="0">
      <alignment horizontal="justify"/>
    </xf>
    <xf numFmtId="230" fontId="38" fillId="0" borderId="0"/>
    <xf numFmtId="231" fontId="27" fillId="0" borderId="0" applyFill="0" applyBorder="0" applyAlignment="0" applyProtection="0">
      <alignment horizontal="right"/>
    </xf>
    <xf numFmtId="232" fontId="15" fillId="0" borderId="0" applyFont="0" applyFill="0" applyBorder="0" applyAlignment="0" applyProtection="0"/>
    <xf numFmtId="233" fontId="15" fillId="0" borderId="0" applyFont="0" applyFill="0" applyBorder="0" applyAlignment="0" applyProtection="0"/>
    <xf numFmtId="234" fontId="15" fillId="0" borderId="0" applyFont="0" applyFill="0" applyBorder="0" applyAlignment="0" applyProtection="0"/>
    <xf numFmtId="235" fontId="15" fillId="0" borderId="0" applyFont="0" applyFill="0" applyBorder="0" applyAlignment="0" applyProtection="0"/>
    <xf numFmtId="236" fontId="15" fillId="0" borderId="0" applyFont="0" applyFill="0" applyBorder="0" applyAlignment="0" applyProtection="0"/>
    <xf numFmtId="237" fontId="15" fillId="0" borderId="0" applyFont="0" applyFill="0" applyBorder="0" applyAlignment="0" applyProtection="0"/>
    <xf numFmtId="238" fontId="15" fillId="0" borderId="0" applyFont="0" applyFill="0" applyBorder="0" applyAlignment="0" applyProtection="0"/>
    <xf numFmtId="239" fontId="104" fillId="0" borderId="0" applyFont="0" applyFill="0" applyBorder="0" applyAlignment="0" applyProtection="0"/>
    <xf numFmtId="240" fontId="15" fillId="0" borderId="0" applyFont="0" applyFill="0" applyBorder="0" applyAlignment="0" applyProtection="0"/>
    <xf numFmtId="241" fontId="15" fillId="0" borderId="0" applyFont="0" applyFill="0" applyBorder="0" applyAlignment="0" applyProtection="0"/>
    <xf numFmtId="242" fontId="15" fillId="0" borderId="0" applyFont="0" applyFill="0" applyBorder="0" applyAlignment="0" applyProtection="0"/>
    <xf numFmtId="237" fontId="15" fillId="0" borderId="0" applyFont="0" applyFill="0" applyBorder="0" applyAlignment="0" applyProtection="0"/>
    <xf numFmtId="0" fontId="105" fillId="0" borderId="0"/>
    <xf numFmtId="0" fontId="27" fillId="0" borderId="0" applyFont="0" applyFill="0" applyBorder="0" applyAlignment="0" applyProtection="0">
      <alignment horizontal="right"/>
    </xf>
    <xf numFmtId="243" fontId="25" fillId="0" borderId="0" applyFont="0" applyFill="0" applyBorder="0" applyAlignment="0" applyProtection="0"/>
    <xf numFmtId="244" fontId="25" fillId="0" borderId="0" applyFont="0" applyFill="0" applyBorder="0" applyAlignment="0" applyProtection="0"/>
    <xf numFmtId="245" fontId="27" fillId="0" borderId="0" applyFont="0" applyFill="0" applyBorder="0" applyAlignment="0" applyProtection="0">
      <alignment horizontal="right"/>
    </xf>
    <xf numFmtId="37" fontId="106" fillId="0" borderId="0"/>
    <xf numFmtId="38" fontId="26" fillId="0" borderId="1"/>
    <xf numFmtId="246" fontId="107" fillId="0" borderId="0"/>
    <xf numFmtId="0" fontId="15" fillId="0" borderId="0"/>
    <xf numFmtId="0" fontId="61" fillId="13" borderId="42"/>
    <xf numFmtId="17" fontId="61" fillId="0" borderId="30">
      <alignment horizontal="center"/>
    </xf>
    <xf numFmtId="0" fontId="15" fillId="0" borderId="0"/>
    <xf numFmtId="0" fontId="108" fillId="0" borderId="0"/>
    <xf numFmtId="0" fontId="48" fillId="0" borderId="30"/>
    <xf numFmtId="247" fontId="9" fillId="16" borderId="0" applyBorder="0">
      <alignment vertical="center"/>
    </xf>
    <xf numFmtId="3" fontId="46" fillId="0" borderId="43">
      <protection locked="0"/>
    </xf>
    <xf numFmtId="9" fontId="46" fillId="0" borderId="43"/>
    <xf numFmtId="248" fontId="26" fillId="0" borderId="18"/>
    <xf numFmtId="3" fontId="9" fillId="0" borderId="1"/>
    <xf numFmtId="248" fontId="109" fillId="20" borderId="1"/>
    <xf numFmtId="189" fontId="110" fillId="0" borderId="0"/>
    <xf numFmtId="3" fontId="26" fillId="0" borderId="44"/>
    <xf numFmtId="0" fontId="26" fillId="0" borderId="1"/>
    <xf numFmtId="1" fontId="71" fillId="0" borderId="0">
      <alignment horizontal="right"/>
      <protection locked="0"/>
    </xf>
    <xf numFmtId="171" fontId="75" fillId="0" borderId="0">
      <alignment horizontal="right"/>
      <protection locked="0"/>
    </xf>
    <xf numFmtId="0" fontId="71" fillId="0" borderId="0">
      <protection locked="0"/>
    </xf>
    <xf numFmtId="2" fontId="75" fillId="0" borderId="0">
      <alignment horizontal="right"/>
      <protection locked="0"/>
    </xf>
    <xf numFmtId="2" fontId="71" fillId="0" borderId="0">
      <alignment horizontal="right"/>
      <protection locked="0"/>
    </xf>
    <xf numFmtId="249" fontId="15" fillId="0" borderId="0" applyFont="0" applyBorder="0" applyAlignment="0">
      <alignment horizontal="centerContinuous"/>
    </xf>
    <xf numFmtId="0" fontId="15" fillId="0" borderId="39" applyNumberFormat="0" applyFont="0" applyFill="0" applyAlignment="0" applyProtection="0"/>
    <xf numFmtId="0" fontId="15" fillId="0" borderId="39" applyNumberFormat="0" applyFont="0" applyFill="0" applyAlignment="0" applyProtection="0"/>
    <xf numFmtId="0" fontId="15" fillId="0" borderId="39" applyNumberFormat="0" applyFont="0" applyFill="0" applyAlignment="0" applyProtection="0"/>
    <xf numFmtId="0" fontId="15" fillId="0" borderId="39" applyNumberFormat="0" applyFont="0" applyFill="0" applyAlignment="0" applyProtection="0"/>
    <xf numFmtId="0" fontId="15" fillId="0" borderId="39" applyNumberFormat="0" applyFont="0" applyFill="0" applyAlignment="0" applyProtection="0"/>
    <xf numFmtId="0" fontId="15" fillId="0" borderId="39" applyNumberFormat="0" applyFont="0" applyFill="0" applyAlignment="0" applyProtection="0"/>
    <xf numFmtId="40" fontId="111" fillId="0" borderId="0" applyFont="0" applyFill="0" applyBorder="0" applyAlignment="0" applyProtection="0"/>
    <xf numFmtId="38" fontId="111" fillId="0" borderId="0" applyFont="0" applyFill="0" applyBorder="0" applyAlignment="0" applyProtection="0"/>
    <xf numFmtId="0" fontId="85" fillId="21" borderId="1" applyNumberFormat="0" applyAlignment="0">
      <protection locked="0"/>
    </xf>
    <xf numFmtId="0" fontId="47" fillId="0" borderId="45">
      <alignment horizontal="left" wrapText="1"/>
    </xf>
    <xf numFmtId="4" fontId="24" fillId="16" borderId="0">
      <alignment horizontal="right"/>
    </xf>
    <xf numFmtId="0" fontId="112" fillId="16" borderId="0">
      <alignment horizontal="center" vertical="center"/>
    </xf>
    <xf numFmtId="0" fontId="113" fillId="16" borderId="14"/>
    <xf numFmtId="0" fontId="112" fillId="16" borderId="0" applyBorder="0">
      <alignment horizontal="centerContinuous"/>
    </xf>
    <xf numFmtId="0" fontId="114" fillId="16" borderId="0" applyBorder="0">
      <alignment horizontal="centerContinuous"/>
    </xf>
    <xf numFmtId="0" fontId="15" fillId="0" borderId="46" applyNumberFormat="0" applyFont="0" applyFill="0" applyAlignment="0" applyProtection="0"/>
    <xf numFmtId="0" fontId="15" fillId="0" borderId="46" applyNumberFormat="0" applyFont="0" applyFill="0" applyAlignment="0" applyProtection="0"/>
    <xf numFmtId="0" fontId="15" fillId="0" borderId="46" applyNumberFormat="0" applyFont="0" applyFill="0" applyAlignment="0" applyProtection="0"/>
    <xf numFmtId="0" fontId="15" fillId="0" borderId="46" applyNumberFormat="0" applyFont="0" applyFill="0" applyAlignment="0" applyProtection="0"/>
    <xf numFmtId="0" fontId="15" fillId="0" borderId="46" applyNumberFormat="0" applyFont="0" applyFill="0" applyAlignment="0" applyProtection="0"/>
    <xf numFmtId="0" fontId="15" fillId="0" borderId="46" applyNumberFormat="0" applyFont="0" applyFill="0" applyAlignment="0" applyProtection="0"/>
    <xf numFmtId="0" fontId="15" fillId="0" borderId="5" applyNumberFormat="0" applyFont="0" applyFill="0" applyAlignment="0" applyProtection="0"/>
    <xf numFmtId="250" fontId="38" fillId="0" borderId="23" applyBorder="0"/>
    <xf numFmtId="0" fontId="115" fillId="0" borderId="0" applyProtection="0">
      <alignment horizontal="left"/>
    </xf>
    <xf numFmtId="0" fontId="115" fillId="0" borderId="0" applyFill="0" applyBorder="0" applyProtection="0">
      <alignment horizontal="left"/>
    </xf>
    <xf numFmtId="0" fontId="19" fillId="0" borderId="0" applyFill="0" applyBorder="0" applyProtection="0">
      <alignment horizontal="left"/>
    </xf>
    <xf numFmtId="1" fontId="116" fillId="0" borderId="0" applyProtection="0">
      <alignment horizontal="right" vertical="center"/>
    </xf>
    <xf numFmtId="0" fontId="117" fillId="22" borderId="47"/>
    <xf numFmtId="171" fontId="15" fillId="0" borderId="0" applyFill="0"/>
    <xf numFmtId="0" fontId="10" fillId="0" borderId="48" applyNumberFormat="0" applyAlignment="0" applyProtection="0"/>
    <xf numFmtId="0" fontId="9" fillId="20" borderId="0" applyNumberFormat="0" applyFont="0" applyBorder="0" applyAlignment="0" applyProtection="0"/>
    <xf numFmtId="0" fontId="86" fillId="23" borderId="49" applyNumberFormat="0" applyFont="0" applyBorder="0" applyAlignment="0" applyProtection="0">
      <alignment horizontal="center"/>
    </xf>
    <xf numFmtId="0" fontId="86" fillId="13" borderId="49" applyNumberFormat="0" applyFont="0" applyBorder="0" applyAlignment="0" applyProtection="0">
      <alignment horizontal="center"/>
    </xf>
    <xf numFmtId="0" fontId="9" fillId="0" borderId="50" applyNumberFormat="0" applyAlignment="0" applyProtection="0"/>
    <xf numFmtId="0" fontId="9" fillId="0" borderId="51" applyNumberFormat="0" applyAlignment="0" applyProtection="0"/>
    <xf numFmtId="0" fontId="10" fillId="0" borderId="52" applyNumberFormat="0" applyAlignment="0" applyProtection="0"/>
    <xf numFmtId="49" fontId="118" fillId="0" borderId="28" applyFill="0" applyProtection="0">
      <alignment vertical="center"/>
    </xf>
    <xf numFmtId="14" fontId="25" fillId="0" borderId="0">
      <alignment horizontal="center" wrapText="1"/>
      <protection locked="0"/>
    </xf>
    <xf numFmtId="0" fontId="25" fillId="0" borderId="0">
      <alignment horizontal="right"/>
    </xf>
    <xf numFmtId="0" fontId="59" fillId="0" borderId="0"/>
    <xf numFmtId="0" fontId="58" fillId="0" borderId="0"/>
    <xf numFmtId="0" fontId="59" fillId="0" borderId="0"/>
    <xf numFmtId="9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67" fontId="25" fillId="0" borderId="0">
      <alignment horizontal="right"/>
    </xf>
    <xf numFmtId="10" fontId="25" fillId="0" borderId="0">
      <alignment horizontal="right"/>
    </xf>
    <xf numFmtId="251" fontId="25" fillId="0" borderId="0" applyFont="0" applyFill="0" applyBorder="0" applyProtection="0">
      <alignment horizontal="right"/>
    </xf>
    <xf numFmtId="9" fontId="25" fillId="0" borderId="0">
      <alignment horizontal="right"/>
    </xf>
    <xf numFmtId="9" fontId="61" fillId="0" borderId="20">
      <alignment horizontal="center"/>
    </xf>
    <xf numFmtId="167" fontId="25" fillId="0" borderId="0"/>
    <xf numFmtId="167" fontId="71" fillId="0" borderId="0"/>
    <xf numFmtId="10" fontId="25" fillId="0" borderId="0"/>
    <xf numFmtId="10" fontId="71" fillId="0" borderId="0">
      <protection locked="0"/>
    </xf>
    <xf numFmtId="9" fontId="61" fillId="0" borderId="20">
      <alignment horizontal="right"/>
    </xf>
    <xf numFmtId="252" fontId="15" fillId="0" borderId="0"/>
    <xf numFmtId="9" fontId="15" fillId="0" borderId="0" applyFont="0" applyFill="0" applyBorder="0" applyAlignment="0" applyProtection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253" fontId="15" fillId="0" borderId="0" applyProtection="0">
      <alignment horizontal="right"/>
    </xf>
    <xf numFmtId="253" fontId="15" fillId="0" borderId="0">
      <alignment horizontal="right"/>
      <protection locked="0"/>
    </xf>
    <xf numFmtId="5" fontId="119" fillId="0" borderId="0"/>
    <xf numFmtId="0" fontId="120" fillId="0" borderId="0" applyNumberFormat="0" applyFont="0" applyFill="0" applyBorder="0" applyAlignment="0" applyProtection="0">
      <alignment horizontal="left"/>
    </xf>
    <xf numFmtId="15" fontId="120" fillId="0" borderId="0" applyFont="0" applyFill="0" applyBorder="0" applyAlignment="0" applyProtection="0"/>
    <xf numFmtId="4" fontId="120" fillId="0" borderId="0" applyFont="0" applyFill="0" applyBorder="0" applyAlignment="0" applyProtection="0"/>
    <xf numFmtId="0" fontId="121" fillId="0" borderId="23">
      <alignment horizontal="center"/>
    </xf>
    <xf numFmtId="3" fontId="120" fillId="0" borderId="0" applyFont="0" applyFill="0" applyBorder="0" applyAlignment="0" applyProtection="0"/>
    <xf numFmtId="0" fontId="120" fillId="24" borderId="0" applyNumberFormat="0" applyFon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22" fillId="25" borderId="0" applyNumberFormat="0" applyFont="0" applyBorder="0" applyAlignment="0">
      <alignment horizontal="center"/>
    </xf>
    <xf numFmtId="14" fontId="123" fillId="0" borderId="0" applyNumberFormat="0" applyFill="0" applyBorder="0" applyAlignment="0" applyProtection="0">
      <alignment horizontal="left"/>
    </xf>
    <xf numFmtId="0" fontId="124" fillId="0" borderId="0" applyNumberFormat="0" applyFill="0" applyBorder="0" applyProtection="0">
      <alignment horizontal="right" vertical="center"/>
    </xf>
    <xf numFmtId="0" fontId="64" fillId="0" borderId="0"/>
    <xf numFmtId="0" fontId="125" fillId="0" borderId="53">
      <alignment vertical="center"/>
    </xf>
    <xf numFmtId="0" fontId="119" fillId="0" borderId="54"/>
    <xf numFmtId="171" fontId="15" fillId="0" borderId="0" applyProtection="0">
      <alignment horizontal="center"/>
    </xf>
    <xf numFmtId="254" fontId="15" fillId="0" borderId="0" applyFont="0" applyFill="0" applyBorder="0" applyAlignment="0" applyProtection="0"/>
    <xf numFmtId="0" fontId="9" fillId="26" borderId="0" applyNumberFormat="0" applyFont="0" applyBorder="0" applyAlignment="0" applyProtection="0"/>
    <xf numFmtId="0" fontId="122" fillId="1" borderId="4" applyNumberFormat="0" applyFont="0" applyAlignment="0">
      <alignment horizontal="center"/>
    </xf>
    <xf numFmtId="42" fontId="50" fillId="0" borderId="0" applyFill="0" applyBorder="0" applyAlignment="0" applyProtection="0"/>
    <xf numFmtId="0" fontId="126" fillId="0" borderId="0" applyNumberFormat="0">
      <alignment horizontal="left"/>
    </xf>
    <xf numFmtId="2" fontId="23" fillId="0" borderId="55"/>
    <xf numFmtId="0" fontId="15" fillId="13" borderId="0" applyNumberFormat="0" applyBorder="0" applyProtection="0">
      <alignment horizontal="center"/>
    </xf>
    <xf numFmtId="0" fontId="127" fillId="0" borderId="0" applyNumberFormat="0" applyFill="0" applyBorder="0" applyAlignment="0">
      <alignment horizontal="center"/>
    </xf>
    <xf numFmtId="0" fontId="15" fillId="0" borderId="0"/>
    <xf numFmtId="0" fontId="128" fillId="0" borderId="0"/>
    <xf numFmtId="0" fontId="15" fillId="0" borderId="0">
      <alignment horizontal="left" wrapText="1"/>
    </xf>
    <xf numFmtId="0" fontId="109" fillId="0" borderId="56"/>
    <xf numFmtId="0" fontId="129" fillId="0" borderId="0"/>
    <xf numFmtId="0" fontId="130" fillId="0" borderId="0">
      <alignment horizontal="left"/>
    </xf>
    <xf numFmtId="213" fontId="15" fillId="0" borderId="0" applyFill="0" applyBorder="0" applyAlignment="0" applyProtection="0"/>
    <xf numFmtId="0" fontId="19" fillId="0" borderId="0"/>
    <xf numFmtId="0" fontId="56" fillId="0" borderId="0">
      <alignment horizontal="left" indent="1"/>
    </xf>
    <xf numFmtId="49" fontId="38" fillId="0" borderId="0"/>
    <xf numFmtId="0" fontId="131" fillId="0" borderId="0" applyFill="0" applyBorder="0" applyProtection="0">
      <alignment horizontal="center" vertical="center"/>
    </xf>
    <xf numFmtId="0" fontId="132" fillId="0" borderId="0" applyBorder="0" applyProtection="0">
      <alignment vertical="center"/>
    </xf>
    <xf numFmtId="0" fontId="132" fillId="0" borderId="28" applyBorder="0" applyProtection="0">
      <alignment horizontal="right" vertical="center"/>
    </xf>
    <xf numFmtId="0" fontId="133" fillId="27" borderId="0" applyBorder="0" applyProtection="0">
      <alignment horizontal="centerContinuous" vertical="center"/>
    </xf>
    <xf numFmtId="0" fontId="133" fillId="2" borderId="28" applyBorder="0" applyProtection="0">
      <alignment horizontal="centerContinuous" vertical="center"/>
    </xf>
    <xf numFmtId="0" fontId="134" fillId="0" borderId="0"/>
    <xf numFmtId="0" fontId="135" fillId="0" borderId="0" applyBorder="0" applyProtection="0">
      <alignment horizontal="left"/>
    </xf>
    <xf numFmtId="0" fontId="136" fillId="0" borderId="0" applyFill="0" applyBorder="0" applyProtection="0"/>
    <xf numFmtId="0" fontId="108" fillId="0" borderId="0"/>
    <xf numFmtId="0" fontId="137" fillId="0" borderId="0" applyFill="0" applyBorder="0" applyProtection="0">
      <alignment horizontal="left"/>
    </xf>
    <xf numFmtId="0" fontId="83" fillId="0" borderId="57" applyFill="0" applyBorder="0" applyProtection="0">
      <alignment horizontal="left" vertical="top"/>
    </xf>
    <xf numFmtId="0" fontId="10" fillId="0" borderId="0">
      <alignment horizontal="centerContinuous"/>
    </xf>
    <xf numFmtId="203" fontId="138" fillId="0" borderId="0" applyNumberFormat="0" applyFill="0" applyBorder="0">
      <alignment horizontal="left"/>
    </xf>
    <xf numFmtId="0" fontId="139" fillId="0" borderId="0"/>
    <xf numFmtId="0" fontId="71" fillId="0" borderId="0">
      <alignment horizontal="left"/>
      <protection locked="0"/>
    </xf>
    <xf numFmtId="0" fontId="140" fillId="0" borderId="0"/>
    <xf numFmtId="49" fontId="24" fillId="0" borderId="0" applyFill="0" applyBorder="0" applyAlignment="0"/>
    <xf numFmtId="0" fontId="15" fillId="0" borderId="0" applyFill="0" applyBorder="0" applyAlignment="0"/>
    <xf numFmtId="0" fontId="15" fillId="0" borderId="0" applyFill="0" applyBorder="0" applyAlignment="0"/>
    <xf numFmtId="18" fontId="38" fillId="0" borderId="0" applyFill="0" applyProtection="0">
      <alignment horizont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40" fontId="12" fillId="0" borderId="0"/>
    <xf numFmtId="0" fontId="11" fillId="0" borderId="0" applyNumberFormat="0" applyFont="0" applyBorder="0" applyAlignment="0"/>
    <xf numFmtId="0" fontId="141" fillId="0" borderId="0">
      <alignment horizontal="center"/>
    </xf>
    <xf numFmtId="229" fontId="10" fillId="0" borderId="0">
      <alignment horizontal="centerContinuous"/>
    </xf>
    <xf numFmtId="229" fontId="142" fillId="0" borderId="58">
      <alignment horizontal="centerContinuous"/>
    </xf>
    <xf numFmtId="229" fontId="14" fillId="0" borderId="0">
      <alignment horizontal="centerContinuous"/>
      <protection locked="0"/>
    </xf>
    <xf numFmtId="229" fontId="14" fillId="0" borderId="0">
      <alignment horizontal="left"/>
    </xf>
    <xf numFmtId="0" fontId="36" fillId="0" borderId="0">
      <alignment horizontal="center"/>
    </xf>
    <xf numFmtId="0" fontId="36" fillId="0" borderId="0">
      <alignment horizontal="left"/>
    </xf>
    <xf numFmtId="0" fontId="85" fillId="0" borderId="0">
      <alignment horizontal="center"/>
    </xf>
    <xf numFmtId="39" fontId="143" fillId="0" borderId="0">
      <alignment vertical="center"/>
    </xf>
    <xf numFmtId="39" fontId="143" fillId="0" borderId="0">
      <alignment vertical="center"/>
    </xf>
    <xf numFmtId="39" fontId="144" fillId="0" borderId="0">
      <alignment vertical="center"/>
    </xf>
    <xf numFmtId="0" fontId="145" fillId="0" borderId="0"/>
    <xf numFmtId="44" fontId="61" fillId="0" borderId="20"/>
    <xf numFmtId="0" fontId="146" fillId="0" borderId="0" applyNumberFormat="0" applyFill="0" applyBorder="0" applyAlignment="0" applyProtection="0">
      <alignment horizontal="left"/>
    </xf>
    <xf numFmtId="0" fontId="147" fillId="0" borderId="0" applyNumberFormat="0" applyFill="0" applyBorder="0" applyAlignment="0" applyProtection="0">
      <alignment horizontal="left"/>
    </xf>
    <xf numFmtId="0" fontId="148" fillId="0" borderId="0" applyNumberFormat="0" applyFill="0" applyBorder="0" applyAlignment="0" applyProtection="0">
      <alignment horizontal="left"/>
    </xf>
    <xf numFmtId="0" fontId="149" fillId="0" borderId="0" applyNumberFormat="0" applyFill="0" applyBorder="0" applyAlignment="0" applyProtection="0">
      <alignment horizontal="left"/>
    </xf>
    <xf numFmtId="0" fontId="150" fillId="0" borderId="0" applyNumberFormat="0" applyFill="0" applyBorder="0" applyAlignment="0" applyProtection="0">
      <alignment horizontal="left"/>
    </xf>
    <xf numFmtId="0" fontId="149" fillId="0" borderId="0" applyNumberFormat="0" applyFill="0" applyBorder="0" applyAlignment="0" applyProtection="0">
      <alignment horizontal="left"/>
    </xf>
    <xf numFmtId="0" fontId="150" fillId="0" borderId="0" applyNumberFormat="0" applyFill="0" applyBorder="0" applyAlignment="0" applyProtection="0">
      <alignment horizontal="left"/>
    </xf>
    <xf numFmtId="0" fontId="151" fillId="0" borderId="0">
      <alignment horizontal="left"/>
    </xf>
    <xf numFmtId="0" fontId="38" fillId="0" borderId="0" applyNumberFormat="0" applyFill="0" applyBorder="0" applyAlignment="0" applyProtection="0">
      <alignment horizontal="left"/>
    </xf>
    <xf numFmtId="44" fontId="152" fillId="0" borderId="20"/>
    <xf numFmtId="37" fontId="61" fillId="0" borderId="20"/>
    <xf numFmtId="0" fontId="15" fillId="13" borderId="0" applyNumberFormat="0" applyFont="0" applyBorder="0" applyAlignment="0" applyProtection="0"/>
    <xf numFmtId="0" fontId="15" fillId="13" borderId="0" applyNumberFormat="0" applyFont="0" applyBorder="0" applyAlignment="0" applyProtection="0"/>
    <xf numFmtId="0" fontId="15" fillId="13" borderId="0" applyNumberFormat="0" applyFont="0" applyBorder="0" applyAlignment="0" applyProtection="0"/>
    <xf numFmtId="0" fontId="15" fillId="13" borderId="0" applyNumberFormat="0" applyFont="0" applyBorder="0" applyAlignment="0" applyProtection="0"/>
    <xf numFmtId="0" fontId="15" fillId="13" borderId="0" applyNumberFormat="0" applyFont="0" applyBorder="0" applyAlignment="0" applyProtection="0"/>
    <xf numFmtId="0" fontId="15" fillId="13" borderId="0" applyNumberFormat="0" applyFont="0" applyBorder="0" applyAlignment="0" applyProtection="0"/>
    <xf numFmtId="255" fontId="15" fillId="0" borderId="0">
      <alignment horizontal="right"/>
    </xf>
    <xf numFmtId="203" fontId="153" fillId="0" borderId="0">
      <alignment horizontal="left"/>
      <protection locked="0"/>
    </xf>
    <xf numFmtId="222" fontId="142" fillId="0" borderId="0">
      <alignment horizontal="right"/>
    </xf>
    <xf numFmtId="223" fontId="15" fillId="0" borderId="0">
      <alignment horizontal="right"/>
    </xf>
    <xf numFmtId="1" fontId="142" fillId="0" borderId="0">
      <alignment horizontal="left"/>
    </xf>
    <xf numFmtId="221" fontId="142" fillId="0" borderId="0">
      <alignment horizontal="right"/>
    </xf>
    <xf numFmtId="0" fontId="154" fillId="0" borderId="0">
      <alignment horizontal="fill"/>
    </xf>
    <xf numFmtId="0" fontId="15" fillId="0" borderId="23" applyNumberFormat="0" applyFont="0" applyFill="0" applyAlignment="0" applyProtection="0"/>
    <xf numFmtId="0" fontId="15" fillId="0" borderId="23" applyNumberFormat="0" applyFont="0" applyFill="0" applyAlignment="0" applyProtection="0"/>
    <xf numFmtId="0" fontId="15" fillId="0" borderId="23" applyNumberFormat="0" applyFont="0" applyFill="0" applyAlignment="0" applyProtection="0"/>
    <xf numFmtId="0" fontId="15" fillId="0" borderId="23" applyNumberFormat="0" applyFont="0" applyFill="0" applyAlignment="0" applyProtection="0"/>
    <xf numFmtId="0" fontId="15" fillId="0" borderId="23" applyNumberFormat="0" applyFont="0" applyFill="0" applyAlignment="0" applyProtection="0"/>
    <xf numFmtId="0" fontId="15" fillId="0" borderId="23" applyNumberFormat="0" applyFont="0" applyFill="0" applyAlignment="0" applyProtection="0"/>
    <xf numFmtId="37" fontId="86" fillId="28" borderId="0" applyNumberFormat="0" applyBorder="0" applyAlignment="0" applyProtection="0"/>
    <xf numFmtId="37" fontId="86" fillId="0" borderId="0"/>
    <xf numFmtId="3" fontId="155" fillId="0" borderId="41" applyProtection="0"/>
    <xf numFmtId="0" fontId="15" fillId="0" borderId="0"/>
    <xf numFmtId="256" fontId="15" fillId="0" borderId="0" applyFont="0" applyFill="0" applyBorder="0" applyAlignment="0" applyProtection="0"/>
    <xf numFmtId="257" fontId="15" fillId="0" borderId="0" applyFont="0" applyFill="0" applyBorder="0" applyAlignment="0" applyProtection="0"/>
    <xf numFmtId="4" fontId="104" fillId="0" borderId="0" applyFont="0" applyFill="0" applyBorder="0" applyAlignment="0" applyProtection="0"/>
    <xf numFmtId="189" fontId="156" fillId="0" borderId="0"/>
    <xf numFmtId="0" fontId="157" fillId="29" borderId="0">
      <alignment horizontal="right"/>
    </xf>
    <xf numFmtId="189" fontId="157" fillId="29" borderId="0">
      <alignment horizontal="right"/>
    </xf>
    <xf numFmtId="189" fontId="157" fillId="29" borderId="0">
      <alignment horizontal="right"/>
    </xf>
    <xf numFmtId="0" fontId="157" fillId="29" borderId="0">
      <alignment horizontal="right"/>
    </xf>
    <xf numFmtId="189" fontId="157" fillId="29" borderId="0">
      <alignment horizontal="right"/>
    </xf>
    <xf numFmtId="189" fontId="157" fillId="29" borderId="0">
      <alignment horizontal="right"/>
    </xf>
    <xf numFmtId="258" fontId="158" fillId="0" borderId="28" applyBorder="0" applyProtection="0">
      <alignment horizontal="right"/>
    </xf>
    <xf numFmtId="0" fontId="50" fillId="0" borderId="0" applyFont="0" applyFill="0" applyBorder="0" applyAlignment="0" applyProtection="0"/>
    <xf numFmtId="259" fontId="14" fillId="0" borderId="49">
      <alignment horizontal="center"/>
    </xf>
    <xf numFmtId="0" fontId="159" fillId="0" borderId="0">
      <alignment vertical="center"/>
    </xf>
    <xf numFmtId="40" fontId="120" fillId="0" borderId="0" applyFont="0" applyFill="0" applyBorder="0" applyAlignment="0" applyProtection="0"/>
    <xf numFmtId="41" fontId="160" fillId="0" borderId="0" applyFont="0" applyFill="0" applyBorder="0" applyAlignment="0" applyProtection="0"/>
    <xf numFmtId="0" fontId="26" fillId="0" borderId="0"/>
    <xf numFmtId="8" fontId="120" fillId="0" borderId="0" applyFont="0" applyFill="0" applyBorder="0" applyAlignment="0" applyProtection="0"/>
    <xf numFmtId="6" fontId="12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5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2" fillId="0" borderId="0"/>
    <xf numFmtId="0" fontId="2" fillId="0" borderId="0"/>
    <xf numFmtId="0" fontId="15" fillId="0" borderId="0"/>
    <xf numFmtId="43" fontId="164" fillId="0" borderId="0" applyFont="0" applyFill="0" applyBorder="0" applyAlignment="0" applyProtection="0"/>
    <xf numFmtId="0" fontId="166" fillId="0" borderId="62" applyNumberFormat="0" applyFill="0" applyAlignment="0" applyProtection="0"/>
    <xf numFmtId="0" fontId="164" fillId="0" borderId="0"/>
    <xf numFmtId="0" fontId="2" fillId="0" borderId="0"/>
    <xf numFmtId="9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169" fillId="0" borderId="0" applyNumberForma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460">
    <xf numFmtId="0" fontId="0" fillId="0" borderId="0" xfId="0"/>
    <xf numFmtId="0" fontId="2" fillId="0" borderId="0" xfId="1347"/>
    <xf numFmtId="0" fontId="167" fillId="36" borderId="0" xfId="1347" applyFont="1" applyFill="1"/>
    <xf numFmtId="0" fontId="2" fillId="36" borderId="0" xfId="1347" applyFill="1"/>
    <xf numFmtId="0" fontId="2" fillId="37" borderId="0" xfId="1347" applyFill="1"/>
    <xf numFmtId="0" fontId="170" fillId="36" borderId="0" xfId="1357" applyFont="1" applyFill="1"/>
    <xf numFmtId="0" fontId="2" fillId="37" borderId="0" xfId="1347" applyFill="1" applyAlignment="1">
      <alignment horizontal="center"/>
    </xf>
    <xf numFmtId="8" fontId="2" fillId="37" borderId="0" xfId="1347" applyNumberFormat="1" applyFill="1" applyAlignment="1">
      <alignment horizontal="center"/>
    </xf>
    <xf numFmtId="274" fontId="171" fillId="37" borderId="0" xfId="1347" applyNumberFormat="1" applyFont="1" applyFill="1" applyAlignment="1">
      <alignment horizontal="center"/>
    </xf>
    <xf numFmtId="9" fontId="2" fillId="37" borderId="0" xfId="1347" applyNumberFormat="1" applyFill="1" applyAlignment="1">
      <alignment horizontal="center"/>
    </xf>
    <xf numFmtId="0" fontId="172" fillId="37" borderId="65" xfId="1347" applyFont="1" applyFill="1" applyBorder="1"/>
    <xf numFmtId="0" fontId="173" fillId="37" borderId="65" xfId="1347" applyFont="1" applyFill="1" applyBorder="1" applyAlignment="1">
      <alignment horizontal="center"/>
    </xf>
    <xf numFmtId="0" fontId="2" fillId="37" borderId="65" xfId="1347" applyFill="1" applyBorder="1" applyAlignment="1">
      <alignment horizontal="center"/>
    </xf>
    <xf numFmtId="0" fontId="2" fillId="37" borderId="65" xfId="1347" applyFill="1" applyBorder="1"/>
    <xf numFmtId="169" fontId="0" fillId="37" borderId="0" xfId="1358" applyNumberFormat="1" applyFont="1" applyFill="1"/>
    <xf numFmtId="166" fontId="171" fillId="37" borderId="0" xfId="1358" applyNumberFormat="1" applyFont="1" applyFill="1" applyAlignment="1">
      <alignment horizontal="center"/>
    </xf>
    <xf numFmtId="166" fontId="2" fillId="37" borderId="0" xfId="1347" applyNumberFormat="1" applyFill="1" applyAlignment="1">
      <alignment horizontal="center"/>
    </xf>
    <xf numFmtId="0" fontId="173" fillId="37" borderId="0" xfId="1347" applyFont="1" applyFill="1"/>
    <xf numFmtId="6" fontId="2" fillId="37" borderId="0" xfId="1347" applyNumberFormat="1" applyFill="1"/>
    <xf numFmtId="6" fontId="174" fillId="37" borderId="0" xfId="1347" applyNumberFormat="1" applyFont="1" applyFill="1"/>
    <xf numFmtId="44" fontId="0" fillId="37" borderId="0" xfId="1358" applyFont="1" applyFill="1"/>
    <xf numFmtId="0" fontId="174" fillId="37" borderId="65" xfId="1347" applyFont="1" applyFill="1" applyBorder="1"/>
    <xf numFmtId="169" fontId="2" fillId="37" borderId="0" xfId="1347" applyNumberFormat="1" applyFill="1"/>
    <xf numFmtId="0" fontId="167" fillId="36" borderId="0" xfId="1347" applyFont="1" applyFill="1" applyAlignment="1">
      <alignment horizontal="right"/>
    </xf>
    <xf numFmtId="0" fontId="2" fillId="38" borderId="0" xfId="1347" applyFill="1" applyAlignment="1">
      <alignment horizontal="center" vertical="center" wrapText="1"/>
    </xf>
    <xf numFmtId="9" fontId="2" fillId="38" borderId="0" xfId="1347" applyNumberFormat="1" applyFill="1" applyAlignment="1">
      <alignment horizontal="center"/>
    </xf>
    <xf numFmtId="166" fontId="0" fillId="37" borderId="0" xfId="1358" applyNumberFormat="1" applyFont="1" applyFill="1" applyBorder="1" applyAlignment="1">
      <alignment horizontal="center"/>
    </xf>
    <xf numFmtId="0" fontId="175" fillId="0" borderId="0" xfId="1347" applyFont="1"/>
    <xf numFmtId="0" fontId="176" fillId="0" borderId="0" xfId="1347" applyFont="1"/>
    <xf numFmtId="0" fontId="2" fillId="37" borderId="0" xfId="1347" applyFill="1" applyAlignment="1">
      <alignment horizontal="center" vertical="center" wrapText="1"/>
    </xf>
    <xf numFmtId="0" fontId="177" fillId="0" borderId="0" xfId="1347" applyFont="1"/>
    <xf numFmtId="6" fontId="175" fillId="0" borderId="0" xfId="1347" applyNumberFormat="1" applyFont="1"/>
    <xf numFmtId="0" fontId="167" fillId="36" borderId="0" xfId="1347" applyFont="1" applyFill="1" applyAlignment="1">
      <alignment horizontal="center"/>
    </xf>
    <xf numFmtId="0" fontId="178" fillId="0" borderId="0" xfId="0" applyFont="1"/>
    <xf numFmtId="0" fontId="23" fillId="0" borderId="0" xfId="5" applyFont="1" applyAlignment="1">
      <alignment horizontal="right"/>
    </xf>
    <xf numFmtId="168" fontId="180" fillId="0" borderId="0" xfId="0" applyNumberFormat="1" applyFont="1" applyAlignment="1">
      <alignment horizontal="center"/>
    </xf>
    <xf numFmtId="1" fontId="113" fillId="0" borderId="0" xfId="0" applyNumberFormat="1" applyFont="1" applyAlignment="1">
      <alignment horizontal="left"/>
    </xf>
    <xf numFmtId="0" fontId="180" fillId="0" borderId="0" xfId="0" applyFont="1"/>
    <xf numFmtId="175" fontId="181" fillId="8" borderId="15" xfId="0" applyNumberFormat="1" applyFont="1" applyFill="1" applyBorder="1" applyAlignment="1">
      <alignment horizontal="center"/>
    </xf>
    <xf numFmtId="175" fontId="181" fillId="8" borderId="0" xfId="0" applyNumberFormat="1" applyFont="1" applyFill="1" applyAlignment="1">
      <alignment horizontal="center"/>
    </xf>
    <xf numFmtId="0" fontId="181" fillId="8" borderId="15" xfId="0" applyFont="1" applyFill="1" applyBorder="1" applyAlignment="1">
      <alignment horizontal="left"/>
    </xf>
    <xf numFmtId="0" fontId="181" fillId="8" borderId="0" xfId="0" applyFont="1" applyFill="1" applyAlignment="1">
      <alignment horizontal="center"/>
    </xf>
    <xf numFmtId="0" fontId="181" fillId="8" borderId="6" xfId="0" applyFont="1" applyFill="1" applyBorder="1" applyAlignment="1">
      <alignment horizontal="center"/>
    </xf>
    <xf numFmtId="0" fontId="15" fillId="0" borderId="75" xfId="0" applyFont="1" applyBorder="1"/>
    <xf numFmtId="179" fontId="23" fillId="0" borderId="76" xfId="22" applyNumberFormat="1" applyFont="1" applyBorder="1" applyAlignment="1">
      <alignment horizontal="center"/>
    </xf>
    <xf numFmtId="176" fontId="23" fillId="0" borderId="76" xfId="22" applyNumberFormat="1" applyFont="1" applyBorder="1" applyAlignment="1">
      <alignment horizontal="center" vertical="center"/>
    </xf>
    <xf numFmtId="0" fontId="15" fillId="4" borderId="76" xfId="0" applyFont="1" applyFill="1" applyBorder="1" applyAlignment="1">
      <alignment horizontal="center"/>
    </xf>
    <xf numFmtId="0" fontId="15" fillId="0" borderId="86" xfId="0" applyFont="1" applyBorder="1"/>
    <xf numFmtId="168" fontId="15" fillId="4" borderId="87" xfId="22" applyNumberFormat="1" applyFont="1" applyFill="1" applyBorder="1" applyAlignment="1">
      <alignment horizontal="center"/>
    </xf>
    <xf numFmtId="177" fontId="23" fillId="0" borderId="87" xfId="22" applyNumberFormat="1" applyFont="1" applyBorder="1" applyAlignment="1">
      <alignment horizontal="center" vertical="center"/>
    </xf>
    <xf numFmtId="165" fontId="23" fillId="0" borderId="87" xfId="2" applyNumberFormat="1" applyFont="1" applyBorder="1" applyAlignment="1">
      <alignment horizontal="center"/>
    </xf>
    <xf numFmtId="0" fontId="15" fillId="4" borderId="59" xfId="0" applyFont="1" applyFill="1" applyBorder="1"/>
    <xf numFmtId="0" fontId="15" fillId="0" borderId="8" xfId="0" applyFont="1" applyBorder="1"/>
    <xf numFmtId="168" fontId="15" fillId="0" borderId="66" xfId="22" applyNumberFormat="1" applyFont="1" applyFill="1" applyBorder="1" applyAlignment="1">
      <alignment horizontal="center"/>
    </xf>
    <xf numFmtId="177" fontId="23" fillId="0" borderId="66" xfId="22" applyNumberFormat="1" applyFont="1" applyFill="1" applyBorder="1" applyAlignment="1">
      <alignment horizontal="center" vertical="center"/>
    </xf>
    <xf numFmtId="165" fontId="23" fillId="0" borderId="66" xfId="2" applyNumberFormat="1" applyFont="1" applyBorder="1" applyAlignment="1">
      <alignment horizontal="center"/>
    </xf>
    <xf numFmtId="8" fontId="15" fillId="0" borderId="66" xfId="0" applyNumberFormat="1" applyFont="1" applyBorder="1"/>
    <xf numFmtId="6" fontId="15" fillId="0" borderId="66" xfId="0" applyNumberFormat="1" applyFont="1" applyBorder="1"/>
    <xf numFmtId="8" fontId="15" fillId="0" borderId="0" xfId="0" applyNumberFormat="1" applyFont="1"/>
    <xf numFmtId="6" fontId="15" fillId="0" borderId="0" xfId="0" applyNumberFormat="1" applyFont="1"/>
    <xf numFmtId="0" fontId="15" fillId="0" borderId="92" xfId="0" applyFont="1" applyBorder="1"/>
    <xf numFmtId="3" fontId="15" fillId="0" borderId="93" xfId="0" applyNumberFormat="1" applyFont="1" applyBorder="1"/>
    <xf numFmtId="0" fontId="15" fillId="0" borderId="0" xfId="0" applyFont="1"/>
    <xf numFmtId="177" fontId="23" fillId="0" borderId="0" xfId="22" applyNumberFormat="1" applyFont="1" applyFill="1" applyBorder="1" applyAlignment="1">
      <alignment horizontal="center" vertical="center"/>
    </xf>
    <xf numFmtId="165" fontId="23" fillId="0" borderId="0" xfId="2" applyNumberFormat="1" applyFont="1" applyAlignment="1">
      <alignment horizontal="center"/>
    </xf>
    <xf numFmtId="5" fontId="15" fillId="11" borderId="3" xfId="22" applyNumberFormat="1" applyFont="1" applyFill="1" applyBorder="1" applyAlignment="1">
      <alignment horizontal="center"/>
    </xf>
    <xf numFmtId="5" fontId="15" fillId="0" borderId="73" xfId="22" applyNumberFormat="1" applyFont="1" applyBorder="1" applyAlignment="1">
      <alignment horizontal="center"/>
    </xf>
    <xf numFmtId="0" fontId="15" fillId="0" borderId="68" xfId="0" applyFont="1" applyBorder="1"/>
    <xf numFmtId="5" fontId="23" fillId="0" borderId="69" xfId="22" applyNumberFormat="1" applyFont="1" applyBorder="1" applyAlignment="1">
      <alignment horizontal="center"/>
    </xf>
    <xf numFmtId="174" fontId="184" fillId="0" borderId="68" xfId="0" applyNumberFormat="1" applyFont="1" applyBorder="1" applyAlignment="1">
      <alignment horizontal="left"/>
    </xf>
    <xf numFmtId="5" fontId="15" fillId="0" borderId="69" xfId="22" applyNumberFormat="1" applyFont="1" applyBorder="1" applyAlignment="1">
      <alignment horizontal="center"/>
    </xf>
    <xf numFmtId="5" fontId="23" fillId="3" borderId="59" xfId="22" applyNumberFormat="1" applyFont="1" applyFill="1" applyBorder="1" applyAlignment="1">
      <alignment horizontal="center"/>
    </xf>
    <xf numFmtId="5" fontId="23" fillId="3" borderId="61" xfId="22" applyNumberFormat="1" applyFont="1" applyFill="1" applyBorder="1" applyAlignment="1">
      <alignment horizontal="center"/>
    </xf>
    <xf numFmtId="0" fontId="181" fillId="8" borderId="10" xfId="0" applyFont="1" applyFill="1" applyBorder="1" applyAlignment="1">
      <alignment horizontal="center"/>
    </xf>
    <xf numFmtId="0" fontId="183" fillId="0" borderId="66" xfId="0" applyFont="1" applyBorder="1" applyAlignment="1">
      <alignment horizontal="left"/>
    </xf>
    <xf numFmtId="5" fontId="183" fillId="0" borderId="66" xfId="0" applyNumberFormat="1" applyFont="1" applyBorder="1" applyAlignment="1">
      <alignment horizontal="center"/>
    </xf>
    <xf numFmtId="0" fontId="185" fillId="8" borderId="59" xfId="2" applyFont="1" applyFill="1" applyBorder="1" applyAlignment="1">
      <alignment horizontal="right" wrapText="1"/>
    </xf>
    <xf numFmtId="10" fontId="186" fillId="8" borderId="59" xfId="2" applyNumberFormat="1" applyFont="1" applyFill="1" applyBorder="1" applyAlignment="1">
      <alignment horizontal="center"/>
    </xf>
    <xf numFmtId="0" fontId="181" fillId="8" borderId="0" xfId="0" applyFont="1" applyFill="1" applyAlignment="1">
      <alignment horizontal="center" wrapText="1"/>
    </xf>
    <xf numFmtId="0" fontId="15" fillId="0" borderId="63" xfId="0" applyFont="1" applyBorder="1" applyAlignment="1">
      <alignment wrapText="1"/>
    </xf>
    <xf numFmtId="5" fontId="15" fillId="0" borderId="66" xfId="22" applyNumberFormat="1" applyFont="1" applyFill="1" applyBorder="1" applyAlignment="1">
      <alignment horizontal="center"/>
    </xf>
    <xf numFmtId="10" fontId="180" fillId="0" borderId="0" xfId="1" applyNumberFormat="1" applyFont="1"/>
    <xf numFmtId="264" fontId="182" fillId="0" borderId="0" xfId="0" applyNumberFormat="1" applyFont="1" applyAlignment="1">
      <alignment horizontal="center"/>
    </xf>
    <xf numFmtId="7" fontId="180" fillId="5" borderId="0" xfId="0" applyNumberFormat="1" applyFont="1" applyFill="1"/>
    <xf numFmtId="5" fontId="180" fillId="5" borderId="0" xfId="0" applyNumberFormat="1" applyFont="1" applyFill="1"/>
    <xf numFmtId="5" fontId="23" fillId="3" borderId="66" xfId="22" applyNumberFormat="1" applyFont="1" applyFill="1" applyBorder="1" applyAlignment="1">
      <alignment horizontal="center"/>
    </xf>
    <xf numFmtId="166" fontId="180" fillId="0" borderId="0" xfId="0" applyNumberFormat="1" applyFont="1"/>
    <xf numFmtId="7" fontId="180" fillId="0" borderId="0" xfId="0" applyNumberFormat="1" applyFont="1"/>
    <xf numFmtId="0" fontId="188" fillId="0" borderId="0" xfId="0" applyFont="1"/>
    <xf numFmtId="266" fontId="23" fillId="0" borderId="0" xfId="0" applyNumberFormat="1" applyFont="1"/>
    <xf numFmtId="6" fontId="23" fillId="0" borderId="0" xfId="1" applyNumberFormat="1" applyFont="1" applyFill="1" applyBorder="1" applyAlignment="1">
      <alignment horizontal="center"/>
    </xf>
    <xf numFmtId="0" fontId="183" fillId="0" borderId="66" xfId="0" applyFont="1" applyBorder="1" applyAlignment="1">
      <alignment horizontal="right"/>
    </xf>
    <xf numFmtId="6" fontId="183" fillId="0" borderId="66" xfId="0" applyNumberFormat="1" applyFont="1" applyBorder="1" applyAlignment="1">
      <alignment horizontal="center"/>
    </xf>
    <xf numFmtId="0" fontId="183" fillId="0" borderId="8" xfId="0" applyFont="1" applyBorder="1" applyAlignment="1">
      <alignment horizontal="right"/>
    </xf>
    <xf numFmtId="5" fontId="15" fillId="0" borderId="66" xfId="22" applyNumberFormat="1" applyFont="1" applyBorder="1"/>
    <xf numFmtId="5" fontId="15" fillId="0" borderId="3" xfId="22" applyNumberFormat="1" applyFont="1" applyBorder="1"/>
    <xf numFmtId="5" fontId="23" fillId="0" borderId="3" xfId="0" applyNumberFormat="1" applyFont="1" applyBorder="1"/>
    <xf numFmtId="0" fontId="180" fillId="0" borderId="15" xfId="0" applyFont="1" applyBorder="1" applyAlignment="1">
      <alignment horizontal="right"/>
    </xf>
    <xf numFmtId="37" fontId="15" fillId="0" borderId="61" xfId="22" applyNumberFormat="1" applyFont="1" applyBorder="1"/>
    <xf numFmtId="165" fontId="180" fillId="0" borderId="0" xfId="0" applyNumberFormat="1" applyFont="1"/>
    <xf numFmtId="166" fontId="23" fillId="0" borderId="61" xfId="22" applyNumberFormat="1" applyFont="1" applyBorder="1"/>
    <xf numFmtId="5" fontId="180" fillId="0" borderId="0" xfId="0" applyNumberFormat="1" applyFont="1"/>
    <xf numFmtId="0" fontId="181" fillId="0" borderId="61" xfId="0" applyFont="1" applyBorder="1" applyAlignment="1">
      <alignment horizontal="center"/>
    </xf>
    <xf numFmtId="0" fontId="181" fillId="0" borderId="15" xfId="0" applyFont="1" applyBorder="1" applyAlignment="1">
      <alignment horizontal="center"/>
    </xf>
    <xf numFmtId="0" fontId="180" fillId="0" borderId="0" xfId="0" applyFont="1" applyAlignment="1">
      <alignment horizontal="right"/>
    </xf>
    <xf numFmtId="0" fontId="178" fillId="0" borderId="0" xfId="0" applyFont="1" applyAlignment="1">
      <alignment horizontal="center"/>
    </xf>
    <xf numFmtId="0" fontId="180" fillId="37" borderId="0" xfId="1347" applyFont="1" applyFill="1"/>
    <xf numFmtId="14" fontId="190" fillId="37" borderId="0" xfId="1347" applyNumberFormat="1" applyFont="1" applyFill="1" applyAlignment="1">
      <alignment horizontal="center"/>
    </xf>
    <xf numFmtId="14" fontId="180" fillId="37" borderId="0" xfId="1347" applyNumberFormat="1" applyFont="1" applyFill="1" applyAlignment="1">
      <alignment horizontal="center"/>
    </xf>
    <xf numFmtId="0" fontId="180" fillId="37" borderId="0" xfId="1347" applyFont="1" applyFill="1" applyAlignment="1">
      <alignment horizontal="left" vertical="center" indent="1"/>
    </xf>
    <xf numFmtId="0" fontId="23" fillId="37" borderId="15" xfId="1347" applyFont="1" applyFill="1" applyBorder="1" applyAlignment="1">
      <alignment vertical="center"/>
    </xf>
    <xf numFmtId="0" fontId="23" fillId="37" borderId="0" xfId="1347" applyFont="1" applyFill="1" applyAlignment="1">
      <alignment vertical="center"/>
    </xf>
    <xf numFmtId="0" fontId="23" fillId="37" borderId="0" xfId="1347" applyFont="1" applyFill="1" applyAlignment="1">
      <alignment horizontal="center" vertical="center"/>
    </xf>
    <xf numFmtId="0" fontId="23" fillId="37" borderId="6" xfId="1347" applyFont="1" applyFill="1" applyBorder="1" applyAlignment="1">
      <alignment horizontal="center" vertical="center"/>
    </xf>
    <xf numFmtId="0" fontId="23" fillId="37" borderId="77" xfId="1347" applyFont="1" applyFill="1" applyBorder="1" applyAlignment="1">
      <alignment vertical="center"/>
    </xf>
    <xf numFmtId="0" fontId="183" fillId="37" borderId="77" xfId="1347" applyFont="1" applyFill="1" applyBorder="1" applyAlignment="1">
      <alignment vertical="center"/>
    </xf>
    <xf numFmtId="0" fontId="183" fillId="37" borderId="78" xfId="1347" applyFont="1" applyFill="1" applyBorder="1" applyAlignment="1">
      <alignment horizontal="center" vertical="center"/>
    </xf>
    <xf numFmtId="0" fontId="15" fillId="37" borderId="2" xfId="1347" applyFont="1" applyFill="1" applyBorder="1" applyAlignment="1">
      <alignment horizontal="center" vertical="center"/>
    </xf>
    <xf numFmtId="0" fontId="15" fillId="37" borderId="15" xfId="1347" applyFont="1" applyFill="1" applyBorder="1" applyAlignment="1">
      <alignment horizontal="left" vertical="center"/>
    </xf>
    <xf numFmtId="0" fontId="183" fillId="37" borderId="15" xfId="1347" applyFont="1" applyFill="1" applyBorder="1" applyAlignment="1">
      <alignment horizontal="left" vertical="center"/>
    </xf>
    <xf numFmtId="0" fontId="15" fillId="37" borderId="57" xfId="1347" applyFont="1" applyFill="1" applyBorder="1" applyAlignment="1">
      <alignment horizontal="left" vertical="center" indent="1"/>
    </xf>
    <xf numFmtId="0" fontId="23" fillId="37" borderId="14" xfId="1347" applyFont="1" applyFill="1" applyBorder="1" applyAlignment="1">
      <alignment horizontal="center" vertical="center"/>
    </xf>
    <xf numFmtId="0" fontId="180" fillId="37" borderId="15" xfId="1347" applyFont="1" applyFill="1" applyBorder="1"/>
    <xf numFmtId="0" fontId="180" fillId="37" borderId="15" xfId="1347" applyFont="1" applyFill="1" applyBorder="1" applyAlignment="1">
      <alignment horizontal="left" vertical="center" indent="1"/>
    </xf>
    <xf numFmtId="0" fontId="191" fillId="37" borderId="57" xfId="1347" applyFont="1" applyFill="1" applyBorder="1" applyAlignment="1">
      <alignment horizontal="left" vertical="center"/>
    </xf>
    <xf numFmtId="0" fontId="15" fillId="37" borderId="14" xfId="1347" applyFont="1" applyFill="1" applyBorder="1" applyAlignment="1">
      <alignment horizontal="center" vertical="center"/>
    </xf>
    <xf numFmtId="0" fontId="15" fillId="37" borderId="77" xfId="1347" applyFont="1" applyFill="1" applyBorder="1" applyAlignment="1">
      <alignment horizontal="left" vertical="center"/>
    </xf>
    <xf numFmtId="0" fontId="15" fillId="37" borderId="57" xfId="1347" applyFont="1" applyFill="1" applyBorder="1" applyAlignment="1">
      <alignment horizontal="left" vertical="center"/>
    </xf>
    <xf numFmtId="0" fontId="180" fillId="37" borderId="77" xfId="1347" applyFont="1" applyFill="1" applyBorder="1" applyAlignment="1">
      <alignment vertical="center"/>
    </xf>
    <xf numFmtId="0" fontId="15" fillId="37" borderId="14" xfId="1347" applyFont="1" applyFill="1" applyBorder="1" applyAlignment="1">
      <alignment vertical="center"/>
    </xf>
    <xf numFmtId="0" fontId="183" fillId="37" borderId="0" xfId="1347" applyFont="1" applyFill="1" applyAlignment="1">
      <alignment horizontal="center" vertical="center"/>
    </xf>
    <xf numFmtId="0" fontId="15" fillId="37" borderId="88" xfId="1347" applyFont="1" applyFill="1" applyBorder="1" applyAlignment="1">
      <alignment horizontal="left" vertical="center" indent="1"/>
    </xf>
    <xf numFmtId="0" fontId="15" fillId="37" borderId="89" xfId="1347" applyFont="1" applyFill="1" applyBorder="1" applyAlignment="1">
      <alignment vertical="center"/>
    </xf>
    <xf numFmtId="0" fontId="15" fillId="37" borderId="0" xfId="1347" applyFont="1" applyFill="1" applyAlignment="1">
      <alignment horizontal="left" vertical="center" indent="1"/>
    </xf>
    <xf numFmtId="0" fontId="15" fillId="37" borderId="0" xfId="1347" applyFont="1" applyFill="1" applyAlignment="1">
      <alignment vertical="center"/>
    </xf>
    <xf numFmtId="5" fontId="180" fillId="37" borderId="0" xfId="1347" applyNumberFormat="1" applyFont="1" applyFill="1" applyAlignment="1">
      <alignment horizontal="center" vertical="center"/>
    </xf>
    <xf numFmtId="0" fontId="15" fillId="37" borderId="98" xfId="1347" applyFont="1" applyFill="1" applyBorder="1" applyAlignment="1">
      <alignment vertical="center"/>
    </xf>
    <xf numFmtId="0" fontId="15" fillId="37" borderId="99" xfId="1347" applyFont="1" applyFill="1" applyBorder="1" applyAlignment="1">
      <alignment vertical="center"/>
    </xf>
    <xf numFmtId="9" fontId="190" fillId="37" borderId="0" xfId="1347" applyNumberFormat="1" applyFont="1" applyFill="1" applyAlignment="1">
      <alignment horizontal="center" vertical="center"/>
    </xf>
    <xf numFmtId="0" fontId="15" fillId="37" borderId="15" xfId="1347" applyFont="1" applyFill="1" applyBorder="1" applyAlignment="1">
      <alignment vertical="center"/>
    </xf>
    <xf numFmtId="0" fontId="191" fillId="37" borderId="15" xfId="1347" applyFont="1" applyFill="1" applyBorder="1" applyAlignment="1">
      <alignment horizontal="left" vertical="center" indent="1"/>
    </xf>
    <xf numFmtId="0" fontId="15" fillId="37" borderId="15" xfId="1347" applyFont="1" applyFill="1" applyBorder="1" applyAlignment="1">
      <alignment horizontal="left" vertical="center" indent="1"/>
    </xf>
    <xf numFmtId="166" fontId="180" fillId="37" borderId="15" xfId="1347" applyNumberFormat="1" applyFont="1" applyFill="1" applyBorder="1"/>
    <xf numFmtId="166" fontId="23" fillId="37" borderId="0" xfId="1347" applyNumberFormat="1" applyFont="1" applyFill="1" applyAlignment="1">
      <alignment horizontal="center" vertical="center"/>
    </xf>
    <xf numFmtId="0" fontId="15" fillId="37" borderId="77" xfId="1347" applyFont="1" applyFill="1" applyBorder="1" applyAlignment="1">
      <alignment horizontal="left" vertical="center" indent="1"/>
    </xf>
    <xf numFmtId="0" fontId="15" fillId="37" borderId="94" xfId="1347" applyFont="1" applyFill="1" applyBorder="1" applyAlignment="1">
      <alignment vertical="center"/>
    </xf>
    <xf numFmtId="0" fontId="23" fillId="0" borderId="63" xfId="0" applyFont="1" applyBorder="1" applyAlignment="1">
      <alignment horizontal="right"/>
    </xf>
    <xf numFmtId="0" fontId="180" fillId="0" borderId="66" xfId="0" applyFont="1" applyBorder="1" applyAlignment="1">
      <alignment horizontal="center"/>
    </xf>
    <xf numFmtId="0" fontId="180" fillId="0" borderId="3" xfId="0" applyFont="1" applyBorder="1" applyAlignment="1">
      <alignment horizontal="center"/>
    </xf>
    <xf numFmtId="0" fontId="15" fillId="0" borderId="15" xfId="0" applyFont="1" applyBorder="1"/>
    <xf numFmtId="6" fontId="180" fillId="0" borderId="6" xfId="0" applyNumberFormat="1" applyFont="1" applyBorder="1" applyAlignment="1">
      <alignment horizontal="center"/>
    </xf>
    <xf numFmtId="0" fontId="180" fillId="0" borderId="63" xfId="0" applyFont="1" applyBorder="1"/>
    <xf numFmtId="6" fontId="180" fillId="0" borderId="66" xfId="0" applyNumberFormat="1" applyFont="1" applyBorder="1"/>
    <xf numFmtId="0" fontId="15" fillId="0" borderId="60" xfId="0" applyFont="1" applyBorder="1"/>
    <xf numFmtId="6" fontId="180" fillId="0" borderId="82" xfId="0" applyNumberFormat="1" applyFont="1" applyBorder="1" applyAlignment="1">
      <alignment horizontal="center"/>
    </xf>
    <xf numFmtId="6" fontId="180" fillId="0" borderId="74" xfId="0" applyNumberFormat="1" applyFont="1" applyBorder="1" applyAlignment="1">
      <alignment horizontal="center"/>
    </xf>
    <xf numFmtId="277" fontId="15" fillId="0" borderId="15" xfId="2" applyNumberFormat="1" applyFont="1" applyBorder="1"/>
    <xf numFmtId="6" fontId="15" fillId="0" borderId="6" xfId="2" applyNumberFormat="1" applyFont="1" applyBorder="1" applyAlignment="1">
      <alignment horizontal="center"/>
    </xf>
    <xf numFmtId="278" fontId="15" fillId="0" borderId="60" xfId="2" applyNumberFormat="1" applyFont="1" applyBorder="1"/>
    <xf numFmtId="6" fontId="15" fillId="0" borderId="82" xfId="2" applyNumberFormat="1" applyFont="1" applyBorder="1" applyAlignment="1">
      <alignment horizontal="center"/>
    </xf>
    <xf numFmtId="6" fontId="15" fillId="0" borderId="74" xfId="2" applyNumberFormat="1" applyFont="1" applyBorder="1" applyAlignment="1">
      <alignment horizontal="center"/>
    </xf>
    <xf numFmtId="0" fontId="23" fillId="0" borderId="77" xfId="0" applyFont="1" applyBorder="1"/>
    <xf numFmtId="6" fontId="23" fillId="0" borderId="78" xfId="0" applyNumberFormat="1" applyFont="1" applyBorder="1" applyAlignment="1">
      <alignment horizontal="center"/>
    </xf>
    <xf numFmtId="0" fontId="23" fillId="0" borderId="15" xfId="0" applyFont="1" applyBorder="1"/>
    <xf numFmtId="6" fontId="23" fillId="0" borderId="6" xfId="0" applyNumberFormat="1" applyFont="1" applyBorder="1" applyAlignment="1">
      <alignment horizontal="center"/>
    </xf>
    <xf numFmtId="0" fontId="15" fillId="0" borderId="63" xfId="0" applyFont="1" applyBorder="1"/>
    <xf numFmtId="0" fontId="183" fillId="4" borderId="0" xfId="0" applyFont="1" applyFill="1" applyAlignment="1">
      <alignment horizontal="center" wrapText="1"/>
    </xf>
    <xf numFmtId="0" fontId="180" fillId="9" borderId="0" xfId="0" applyFont="1" applyFill="1"/>
    <xf numFmtId="0" fontId="180" fillId="10" borderId="0" xfId="0" applyFont="1" applyFill="1"/>
    <xf numFmtId="0" fontId="180" fillId="7" borderId="0" xfId="0" applyFont="1" applyFill="1"/>
    <xf numFmtId="0" fontId="180" fillId="0" borderId="0" xfId="0" applyFont="1" applyAlignment="1">
      <alignment horizontal="center"/>
    </xf>
    <xf numFmtId="0" fontId="180" fillId="0" borderId="67" xfId="0" applyFont="1" applyBorder="1" applyAlignment="1">
      <alignment horizontal="center"/>
    </xf>
    <xf numFmtId="9" fontId="193" fillId="0" borderId="83" xfId="0" applyNumberFormat="1" applyFont="1" applyBorder="1"/>
    <xf numFmtId="38" fontId="183" fillId="0" borderId="60" xfId="0" applyNumberFormat="1" applyFont="1" applyBorder="1"/>
    <xf numFmtId="5" fontId="183" fillId="0" borderId="64" xfId="0" applyNumberFormat="1" applyFont="1" applyBorder="1"/>
    <xf numFmtId="5" fontId="183" fillId="0" borderId="84" xfId="0" applyNumberFormat="1" applyFont="1" applyBorder="1"/>
    <xf numFmtId="5" fontId="183" fillId="0" borderId="104" xfId="0" applyNumberFormat="1" applyFont="1" applyBorder="1"/>
    <xf numFmtId="5" fontId="183" fillId="0" borderId="8" xfId="0" applyNumberFormat="1" applyFont="1" applyBorder="1"/>
    <xf numFmtId="6" fontId="183" fillId="0" borderId="8" xfId="0" applyNumberFormat="1" applyFont="1" applyBorder="1"/>
    <xf numFmtId="0" fontId="180" fillId="0" borderId="95" xfId="0" applyFont="1" applyBorder="1"/>
    <xf numFmtId="6" fontId="180" fillId="0" borderId="109" xfId="0" applyNumberFormat="1" applyFont="1" applyBorder="1"/>
    <xf numFmtId="5" fontId="183" fillId="0" borderId="66" xfId="0" applyNumberFormat="1" applyFont="1" applyBorder="1"/>
    <xf numFmtId="5" fontId="183" fillId="0" borderId="14" xfId="0" applyNumberFormat="1" applyFont="1" applyBorder="1"/>
    <xf numFmtId="5" fontId="180" fillId="0" borderId="101" xfId="0" applyNumberFormat="1" applyFont="1" applyBorder="1"/>
    <xf numFmtId="0" fontId="180" fillId="0" borderId="102" xfId="0" applyFont="1" applyBorder="1"/>
    <xf numFmtId="169" fontId="180" fillId="0" borderId="103" xfId="18" applyNumberFormat="1" applyFont="1" applyBorder="1"/>
    <xf numFmtId="0" fontId="180" fillId="0" borderId="64" xfId="0" applyFont="1" applyBorder="1"/>
    <xf numFmtId="6" fontId="180" fillId="0" borderId="67" xfId="0" applyNumberFormat="1" applyFont="1" applyBorder="1"/>
    <xf numFmtId="0" fontId="180" fillId="4" borderId="0" xfId="0" applyFont="1" applyFill="1"/>
    <xf numFmtId="5" fontId="180" fillId="0" borderId="70" xfId="0" applyNumberFormat="1" applyFont="1" applyBorder="1"/>
    <xf numFmtId="5" fontId="180" fillId="0" borderId="73" xfId="0" applyNumberFormat="1" applyFont="1" applyBorder="1"/>
    <xf numFmtId="6" fontId="180" fillId="0" borderId="73" xfId="0" applyNumberFormat="1" applyFont="1" applyBorder="1"/>
    <xf numFmtId="37" fontId="183" fillId="0" borderId="2" xfId="0" applyNumberFormat="1" applyFont="1" applyBorder="1"/>
    <xf numFmtId="5" fontId="183" fillId="4" borderId="0" xfId="0" applyNumberFormat="1" applyFont="1" applyFill="1"/>
    <xf numFmtId="0" fontId="183" fillId="0" borderId="0" xfId="0" applyFont="1" applyAlignment="1">
      <alignment horizontal="center" wrapText="1"/>
    </xf>
    <xf numFmtId="5" fontId="183" fillId="0" borderId="83" xfId="0" applyNumberFormat="1" applyFont="1" applyBorder="1"/>
    <xf numFmtId="9" fontId="23" fillId="0" borderId="113" xfId="0" applyNumberFormat="1" applyFont="1" applyBorder="1" applyAlignment="1">
      <alignment horizontal="center"/>
    </xf>
    <xf numFmtId="0" fontId="15" fillId="0" borderId="0" xfId="0" applyFont="1" applyAlignment="1">
      <alignment horizontal="left"/>
    </xf>
    <xf numFmtId="0" fontId="180" fillId="0" borderId="66" xfId="0" applyFont="1" applyBorder="1"/>
    <xf numFmtId="38" fontId="183" fillId="0" borderId="66" xfId="0" applyNumberFormat="1" applyFont="1" applyBorder="1"/>
    <xf numFmtId="5" fontId="183" fillId="0" borderId="57" xfId="0" applyNumberFormat="1" applyFont="1" applyBorder="1"/>
    <xf numFmtId="6" fontId="183" fillId="0" borderId="14" xfId="0" applyNumberFormat="1" applyFont="1" applyBorder="1"/>
    <xf numFmtId="0" fontId="180" fillId="0" borderId="57" xfId="0" applyFont="1" applyBorder="1"/>
    <xf numFmtId="38" fontId="183" fillId="0" borderId="15" xfId="0" applyNumberFormat="1" applyFont="1" applyBorder="1"/>
    <xf numFmtId="6" fontId="180" fillId="0" borderId="97" xfId="0" applyNumberFormat="1" applyFont="1" applyBorder="1"/>
    <xf numFmtId="5" fontId="183" fillId="4" borderId="8" xfId="0" applyNumberFormat="1" applyFont="1" applyFill="1" applyBorder="1"/>
    <xf numFmtId="5" fontId="183" fillId="4" borderId="66" xfId="0" applyNumberFormat="1" applyFont="1" applyFill="1" applyBorder="1"/>
    <xf numFmtId="5" fontId="183" fillId="4" borderId="65" xfId="0" applyNumberFormat="1" applyFont="1" applyFill="1" applyBorder="1"/>
    <xf numFmtId="6" fontId="183" fillId="4" borderId="8" xfId="0" applyNumberFormat="1" applyFont="1" applyFill="1" applyBorder="1"/>
    <xf numFmtId="0" fontId="183" fillId="0" borderId="106" xfId="0" applyFont="1" applyBorder="1" applyAlignment="1">
      <alignment horizontal="center"/>
    </xf>
    <xf numFmtId="0" fontId="183" fillId="0" borderId="107" xfId="0" applyFont="1" applyBorder="1" applyAlignment="1">
      <alignment horizontal="center"/>
    </xf>
    <xf numFmtId="0" fontId="183" fillId="0" borderId="66" xfId="0" applyFont="1" applyBorder="1" applyAlignment="1">
      <alignment horizontal="center"/>
    </xf>
    <xf numFmtId="0" fontId="183" fillId="0" borderId="64" xfId="0" applyFont="1" applyBorder="1" applyAlignment="1">
      <alignment horizontal="center"/>
    </xf>
    <xf numFmtId="0" fontId="15" fillId="0" borderId="79" xfId="0" applyFont="1" applyBorder="1"/>
    <xf numFmtId="37" fontId="15" fillId="0" borderId="55" xfId="22" applyNumberFormat="1" applyFont="1" applyBorder="1"/>
    <xf numFmtId="37" fontId="15" fillId="0" borderId="6" xfId="22" applyNumberFormat="1" applyFont="1" applyBorder="1"/>
    <xf numFmtId="0" fontId="15" fillId="0" borderId="64" xfId="0" applyFont="1" applyBorder="1"/>
    <xf numFmtId="37" fontId="15" fillId="0" borderId="108" xfId="22" applyNumberFormat="1" applyFont="1" applyBorder="1"/>
    <xf numFmtId="166" fontId="23" fillId="0" borderId="78" xfId="22" applyNumberFormat="1" applyFont="1" applyBorder="1"/>
    <xf numFmtId="0" fontId="180" fillId="0" borderId="67" xfId="0" applyFont="1" applyBorder="1"/>
    <xf numFmtId="0" fontId="180" fillId="0" borderId="83" xfId="0" applyFont="1" applyBorder="1"/>
    <xf numFmtId="38" fontId="183" fillId="0" borderId="83" xfId="0" applyNumberFormat="1" applyFont="1" applyBorder="1"/>
    <xf numFmtId="0" fontId="180" fillId="4" borderId="66" xfId="0" applyFont="1" applyFill="1" applyBorder="1"/>
    <xf numFmtId="0" fontId="180" fillId="4" borderId="8" xfId="0" applyFont="1" applyFill="1" applyBorder="1"/>
    <xf numFmtId="0" fontId="180" fillId="4" borderId="2" xfId="0" applyFont="1" applyFill="1" applyBorder="1"/>
    <xf numFmtId="0" fontId="180" fillId="4" borderId="9" xfId="0" applyFont="1" applyFill="1" applyBorder="1"/>
    <xf numFmtId="0" fontId="180" fillId="4" borderId="83" xfId="0" applyFont="1" applyFill="1" applyBorder="1"/>
    <xf numFmtId="0" fontId="180" fillId="4" borderId="14" xfId="0" applyFont="1" applyFill="1" applyBorder="1"/>
    <xf numFmtId="6" fontId="180" fillId="0" borderId="102" xfId="0" applyNumberFormat="1" applyFont="1" applyBorder="1"/>
    <xf numFmtId="5" fontId="180" fillId="0" borderId="96" xfId="0" applyNumberFormat="1" applyFont="1" applyBorder="1"/>
    <xf numFmtId="169" fontId="180" fillId="0" borderId="108" xfId="18" applyNumberFormat="1" applyFont="1" applyBorder="1"/>
    <xf numFmtId="5" fontId="180" fillId="4" borderId="8" xfId="0" applyNumberFormat="1" applyFont="1" applyFill="1" applyBorder="1"/>
    <xf numFmtId="5" fontId="180" fillId="4" borderId="66" xfId="0" applyNumberFormat="1" applyFont="1" applyFill="1" applyBorder="1"/>
    <xf numFmtId="37" fontId="180" fillId="0" borderId="0" xfId="0" applyNumberFormat="1" applyFont="1"/>
    <xf numFmtId="0" fontId="194" fillId="37" borderId="0" xfId="1347" applyFont="1" applyFill="1"/>
    <xf numFmtId="264" fontId="195" fillId="0" borderId="0" xfId="0" applyNumberFormat="1" applyFont="1" applyAlignment="1">
      <alignment horizontal="center"/>
    </xf>
    <xf numFmtId="0" fontId="178" fillId="0" borderId="57" xfId="0" applyFont="1" applyBorder="1"/>
    <xf numFmtId="0" fontId="179" fillId="38" borderId="66" xfId="0" applyFont="1" applyFill="1" applyBorder="1" applyAlignment="1">
      <alignment horizontal="center"/>
    </xf>
    <xf numFmtId="0" fontId="179" fillId="38" borderId="63" xfId="0" applyFont="1" applyFill="1" applyBorder="1" applyAlignment="1">
      <alignment horizontal="center"/>
    </xf>
    <xf numFmtId="0" fontId="179" fillId="38" borderId="3" xfId="0" applyFont="1" applyFill="1" applyBorder="1" applyAlignment="1">
      <alignment horizontal="center" wrapText="1"/>
    </xf>
    <xf numFmtId="174" fontId="195" fillId="0" borderId="68" xfId="0" applyNumberFormat="1" applyFont="1" applyBorder="1" applyAlignment="1">
      <alignment horizontal="left"/>
    </xf>
    <xf numFmtId="0" fontId="23" fillId="37" borderId="100" xfId="1347" applyFont="1" applyFill="1" applyBorder="1" applyAlignment="1">
      <alignment horizontal="center" vertical="center"/>
    </xf>
    <xf numFmtId="0" fontId="23" fillId="9" borderId="96" xfId="1347" applyFont="1" applyFill="1" applyBorder="1" applyAlignment="1">
      <alignment horizontal="center"/>
    </xf>
    <xf numFmtId="0" fontId="23" fillId="9" borderId="97" xfId="1347" applyFont="1" applyFill="1" applyBorder="1" applyAlignment="1">
      <alignment horizontal="center"/>
    </xf>
    <xf numFmtId="172" fontId="183" fillId="0" borderId="66" xfId="0" applyNumberFormat="1" applyFont="1" applyBorder="1" applyAlignment="1">
      <alignment horizontal="center"/>
    </xf>
    <xf numFmtId="172" fontId="183" fillId="0" borderId="66" xfId="0" applyNumberFormat="1" applyFont="1" applyBorder="1"/>
    <xf numFmtId="0" fontId="183" fillId="0" borderId="0" xfId="0" applyFont="1"/>
    <xf numFmtId="0" fontId="183" fillId="0" borderId="15" xfId="0" applyFont="1" applyBorder="1" applyAlignment="1">
      <alignment horizontal="center"/>
    </xf>
    <xf numFmtId="0" fontId="180" fillId="9" borderId="104" xfId="0" applyFont="1" applyFill="1" applyBorder="1"/>
    <xf numFmtId="10" fontId="180" fillId="9" borderId="104" xfId="0" applyNumberFormat="1" applyFont="1" applyFill="1" applyBorder="1"/>
    <xf numFmtId="5" fontId="180" fillId="0" borderId="83" xfId="0" applyNumberFormat="1" applyFont="1" applyBorder="1"/>
    <xf numFmtId="6" fontId="180" fillId="0" borderId="96" xfId="0" applyNumberFormat="1" applyFont="1" applyBorder="1"/>
    <xf numFmtId="0" fontId="181" fillId="0" borderId="94" xfId="0" applyFont="1" applyBorder="1" applyAlignment="1">
      <alignment horizontal="center"/>
    </xf>
    <xf numFmtId="14" fontId="23" fillId="9" borderId="95" xfId="0" applyNumberFormat="1" applyFont="1" applyFill="1" applyBorder="1" applyAlignment="1">
      <alignment horizontal="right" vertical="center"/>
    </xf>
    <xf numFmtId="0" fontId="196" fillId="0" borderId="55" xfId="0" applyFont="1" applyBorder="1" applyAlignment="1">
      <alignment horizontal="center"/>
    </xf>
    <xf numFmtId="9" fontId="23" fillId="0" borderId="83" xfId="0" applyNumberFormat="1" applyFont="1" applyBorder="1" applyAlignment="1">
      <alignment horizontal="center"/>
    </xf>
    <xf numFmtId="0" fontId="180" fillId="4" borderId="116" xfId="0" applyFont="1" applyFill="1" applyBorder="1"/>
    <xf numFmtId="5" fontId="180" fillId="0" borderId="66" xfId="0" applyNumberFormat="1" applyFont="1" applyBorder="1"/>
    <xf numFmtId="5" fontId="183" fillId="0" borderId="0" xfId="0" applyNumberFormat="1" applyFont="1"/>
    <xf numFmtId="166" fontId="180" fillId="4" borderId="0" xfId="0" applyNumberFormat="1" applyFont="1" applyFill="1"/>
    <xf numFmtId="5" fontId="180" fillId="0" borderId="9" xfId="0" applyNumberFormat="1" applyFont="1" applyBorder="1"/>
    <xf numFmtId="0" fontId="179" fillId="38" borderId="103" xfId="0" applyFont="1" applyFill="1" applyBorder="1" applyAlignment="1">
      <alignment horizontal="center" wrapText="1"/>
    </xf>
    <xf numFmtId="49" fontId="178" fillId="38" borderId="113" xfId="0" applyNumberFormat="1" applyFont="1" applyFill="1" applyBorder="1" applyAlignment="1">
      <alignment horizontal="center" vertical="center" wrapText="1"/>
    </xf>
    <xf numFmtId="49" fontId="178" fillId="38" borderId="113" xfId="0" applyNumberFormat="1" applyFont="1" applyFill="1" applyBorder="1" applyAlignment="1">
      <alignment horizontal="center" vertical="center"/>
    </xf>
    <xf numFmtId="49" fontId="180" fillId="38" borderId="113" xfId="0" applyNumberFormat="1" applyFont="1" applyFill="1" applyBorder="1" applyAlignment="1">
      <alignment horizontal="center" vertical="center" wrapText="1"/>
    </xf>
    <xf numFmtId="0" fontId="183" fillId="0" borderId="65" xfId="0" applyFont="1" applyBorder="1"/>
    <xf numFmtId="293" fontId="181" fillId="8" borderId="0" xfId="0" applyNumberFormat="1" applyFont="1" applyFill="1" applyAlignment="1">
      <alignment horizontal="center"/>
    </xf>
    <xf numFmtId="0" fontId="15" fillId="0" borderId="95" xfId="0" applyFont="1" applyBorder="1" applyAlignment="1">
      <alignment wrapText="1"/>
    </xf>
    <xf numFmtId="6" fontId="180" fillId="0" borderId="15" xfId="0" applyNumberFormat="1" applyFont="1" applyBorder="1"/>
    <xf numFmtId="10" fontId="180" fillId="0" borderId="117" xfId="0" applyNumberFormat="1" applyFont="1" applyBorder="1"/>
    <xf numFmtId="10" fontId="183" fillId="0" borderId="117" xfId="0" applyNumberFormat="1" applyFont="1" applyBorder="1"/>
    <xf numFmtId="5" fontId="180" fillId="0" borderId="117" xfId="0" applyNumberFormat="1" applyFont="1" applyBorder="1"/>
    <xf numFmtId="6" fontId="180" fillId="0" borderId="100" xfId="0" applyNumberFormat="1" applyFont="1" applyBorder="1"/>
    <xf numFmtId="175" fontId="183" fillId="35" borderId="100" xfId="0" applyNumberFormat="1" applyFont="1" applyFill="1" applyBorder="1"/>
    <xf numFmtId="6" fontId="183" fillId="0" borderId="66" xfId="0" applyNumberFormat="1" applyFont="1" applyBorder="1" applyAlignment="1">
      <alignment horizontal="center" vertical="center"/>
    </xf>
    <xf numFmtId="5" fontId="15" fillId="0" borderId="66" xfId="22" applyNumberFormat="1" applyFont="1" applyBorder="1" applyAlignment="1">
      <alignment horizontal="center" vertical="center"/>
    </xf>
    <xf numFmtId="5" fontId="15" fillId="0" borderId="3" xfId="22" applyNumberFormat="1" applyFont="1" applyBorder="1" applyAlignment="1">
      <alignment horizontal="center" vertical="center"/>
    </xf>
    <xf numFmtId="5" fontId="23" fillId="0" borderId="3" xfId="0" applyNumberFormat="1" applyFont="1" applyBorder="1" applyAlignment="1">
      <alignment horizontal="center" vertical="center"/>
    </xf>
    <xf numFmtId="37" fontId="15" fillId="0" borderId="61" xfId="22" applyNumberFormat="1" applyFont="1" applyBorder="1" applyAlignment="1">
      <alignment horizontal="center"/>
    </xf>
    <xf numFmtId="166" fontId="23" fillId="0" borderId="61" xfId="22" applyNumberFormat="1" applyFont="1" applyBorder="1" applyAlignment="1">
      <alignment horizontal="center"/>
    </xf>
    <xf numFmtId="167" fontId="195" fillId="9" borderId="59" xfId="0" applyNumberFormat="1" applyFont="1" applyFill="1" applyBorder="1"/>
    <xf numFmtId="167" fontId="195" fillId="9" borderId="104" xfId="0" applyNumberFormat="1" applyFont="1" applyFill="1" applyBorder="1"/>
    <xf numFmtId="0" fontId="190" fillId="0" borderId="0" xfId="0" applyFont="1"/>
    <xf numFmtId="0" fontId="195" fillId="0" borderId="0" xfId="0" applyFont="1"/>
    <xf numFmtId="0" fontId="196" fillId="0" borderId="0" xfId="0" applyFont="1"/>
    <xf numFmtId="172" fontId="183" fillId="0" borderId="64" xfId="0" applyNumberFormat="1" applyFont="1" applyBorder="1"/>
    <xf numFmtId="172" fontId="183" fillId="0" borderId="120" xfId="0" applyNumberFormat="1" applyFont="1" applyBorder="1"/>
    <xf numFmtId="0" fontId="196" fillId="0" borderId="105" xfId="0" applyFont="1" applyBorder="1" applyAlignment="1">
      <alignment horizontal="center"/>
    </xf>
    <xf numFmtId="0" fontId="196" fillId="0" borderId="105" xfId="0" applyFont="1" applyBorder="1"/>
    <xf numFmtId="172" fontId="183" fillId="0" borderId="119" xfId="0" applyNumberFormat="1" applyFont="1" applyBorder="1"/>
    <xf numFmtId="166" fontId="190" fillId="0" borderId="0" xfId="0" applyNumberFormat="1" applyFont="1"/>
    <xf numFmtId="167" fontId="195" fillId="9" borderId="83" xfId="0" applyNumberFormat="1" applyFont="1" applyFill="1" applyBorder="1"/>
    <xf numFmtId="5" fontId="190" fillId="0" borderId="66" xfId="0" applyNumberFormat="1" applyFont="1" applyBorder="1"/>
    <xf numFmtId="6" fontId="190" fillId="0" borderId="0" xfId="0" applyNumberFormat="1" applyFont="1"/>
    <xf numFmtId="0" fontId="190" fillId="0" borderId="2" xfId="0" applyFont="1" applyBorder="1"/>
    <xf numFmtId="0" fontId="183" fillId="0" borderId="105" xfId="0" applyFont="1" applyBorder="1"/>
    <xf numFmtId="167" fontId="23" fillId="9" borderId="104" xfId="0" applyNumberFormat="1" applyFont="1" applyFill="1" applyBorder="1"/>
    <xf numFmtId="5" fontId="190" fillId="0" borderId="0" xfId="0" applyNumberFormat="1" applyFont="1"/>
    <xf numFmtId="166" fontId="0" fillId="38" borderId="119" xfId="1358" applyNumberFormat="1" applyFont="1" applyFill="1" applyBorder="1" applyAlignment="1">
      <alignment horizontal="center"/>
    </xf>
    <xf numFmtId="166" fontId="0" fillId="38" borderId="118" xfId="1358" applyNumberFormat="1" applyFont="1" applyFill="1" applyBorder="1" applyAlignment="1">
      <alignment horizontal="center"/>
    </xf>
    <xf numFmtId="166" fontId="0" fillId="37" borderId="119" xfId="1358" applyNumberFormat="1" applyFont="1" applyFill="1" applyBorder="1" applyAlignment="1">
      <alignment horizontal="center"/>
    </xf>
    <xf numFmtId="166" fontId="0" fillId="37" borderId="118" xfId="1358" applyNumberFormat="1" applyFont="1" applyFill="1" applyBorder="1" applyAlignment="1">
      <alignment horizontal="center"/>
    </xf>
    <xf numFmtId="0" fontId="191" fillId="37" borderId="114" xfId="1347" applyFont="1" applyFill="1" applyBorder="1" applyAlignment="1">
      <alignment horizontal="left" vertical="center"/>
    </xf>
    <xf numFmtId="0" fontId="23" fillId="37" borderId="120" xfId="1347" applyFont="1" applyFill="1" applyBorder="1" applyAlignment="1">
      <alignment horizontal="center" vertical="center"/>
    </xf>
    <xf numFmtId="37" fontId="23" fillId="37" borderId="119" xfId="1347" applyNumberFormat="1" applyFont="1" applyFill="1" applyBorder="1" applyAlignment="1">
      <alignment horizontal="center" vertical="center"/>
    </xf>
    <xf numFmtId="37" fontId="180" fillId="4" borderId="120" xfId="1347" applyNumberFormat="1" applyFont="1" applyFill="1" applyBorder="1" applyAlignment="1">
      <alignment horizontal="center" vertical="center"/>
    </xf>
    <xf numFmtId="0" fontId="180" fillId="4" borderId="119" xfId="1347" applyFont="1" applyFill="1" applyBorder="1"/>
    <xf numFmtId="0" fontId="23" fillId="37" borderId="98" xfId="1347" applyFont="1" applyFill="1" applyBorder="1" applyAlignment="1">
      <alignment vertical="center"/>
    </xf>
    <xf numFmtId="0" fontId="15" fillId="37" borderId="98" xfId="1347" applyFont="1" applyFill="1" applyBorder="1" applyAlignment="1">
      <alignment horizontal="left" vertical="center"/>
    </xf>
    <xf numFmtId="0" fontId="180" fillId="4" borderId="119" xfId="1347" applyFont="1" applyFill="1" applyBorder="1" applyAlignment="1">
      <alignment horizontal="center"/>
    </xf>
    <xf numFmtId="0" fontId="15" fillId="0" borderId="125" xfId="0" applyFont="1" applyBorder="1" applyAlignment="1">
      <alignment wrapText="1"/>
    </xf>
    <xf numFmtId="0" fontId="180" fillId="37" borderId="125" xfId="1347" applyFont="1" applyFill="1" applyBorder="1" applyAlignment="1">
      <alignment wrapText="1"/>
    </xf>
    <xf numFmtId="0" fontId="180" fillId="37" borderId="125" xfId="1347" applyFont="1" applyFill="1" applyBorder="1"/>
    <xf numFmtId="0" fontId="15" fillId="0" borderId="125" xfId="0" applyFont="1" applyBorder="1"/>
    <xf numFmtId="182" fontId="15" fillId="0" borderId="127" xfId="0" applyNumberFormat="1" applyFont="1" applyBorder="1"/>
    <xf numFmtId="0" fontId="23" fillId="0" borderId="125" xfId="0" applyFont="1" applyBorder="1" applyAlignment="1">
      <alignment horizontal="right"/>
    </xf>
    <xf numFmtId="0" fontId="183" fillId="0" borderId="119" xfId="0" applyFont="1" applyBorder="1" applyAlignment="1">
      <alignment horizontal="center"/>
    </xf>
    <xf numFmtId="0" fontId="183" fillId="0" borderId="121" xfId="0" applyFont="1" applyBorder="1" applyAlignment="1">
      <alignment horizontal="center"/>
    </xf>
    <xf numFmtId="6" fontId="180" fillId="0" borderId="119" xfId="0" applyNumberFormat="1" applyFont="1" applyBorder="1"/>
    <xf numFmtId="6" fontId="180" fillId="0" borderId="121" xfId="0" applyNumberFormat="1" applyFont="1" applyBorder="1"/>
    <xf numFmtId="6" fontId="180" fillId="0" borderId="119" xfId="0" applyNumberFormat="1" applyFont="1" applyBorder="1" applyAlignment="1">
      <alignment horizontal="center"/>
    </xf>
    <xf numFmtId="6" fontId="180" fillId="0" borderId="121" xfId="0" applyNumberFormat="1" applyFont="1" applyBorder="1" applyAlignment="1">
      <alignment horizontal="center"/>
    </xf>
    <xf numFmtId="0" fontId="23" fillId="0" borderId="125" xfId="0" applyFont="1" applyBorder="1"/>
    <xf numFmtId="0" fontId="23" fillId="0" borderId="98" xfId="0" applyFont="1" applyBorder="1" applyAlignment="1">
      <alignment wrapText="1"/>
    </xf>
    <xf numFmtId="6" fontId="180" fillId="0" borderId="99" xfId="0" applyNumberFormat="1" applyFont="1" applyBorder="1" applyAlignment="1">
      <alignment horizontal="center"/>
    </xf>
    <xf numFmtId="6" fontId="180" fillId="0" borderId="100" xfId="0" applyNumberFormat="1" applyFont="1" applyBorder="1" applyAlignment="1">
      <alignment horizontal="center"/>
    </xf>
    <xf numFmtId="0" fontId="15" fillId="0" borderId="129" xfId="0" applyFont="1" applyBorder="1"/>
    <xf numFmtId="6" fontId="180" fillId="0" borderId="130" xfId="0" applyNumberFormat="1" applyFont="1" applyBorder="1"/>
    <xf numFmtId="6" fontId="23" fillId="0" borderId="119" xfId="0" applyNumberFormat="1" applyFont="1" applyBorder="1"/>
    <xf numFmtId="6" fontId="23" fillId="0" borderId="94" xfId="0" applyNumberFormat="1" applyFont="1" applyBorder="1" applyAlignment="1">
      <alignment horizontal="center"/>
    </xf>
    <xf numFmtId="0" fontId="192" fillId="0" borderId="98" xfId="0" applyFont="1" applyBorder="1" applyAlignment="1">
      <alignment wrapText="1"/>
    </xf>
    <xf numFmtId="10" fontId="180" fillId="0" borderId="119" xfId="7" applyNumberFormat="1" applyFont="1" applyBorder="1"/>
    <xf numFmtId="0" fontId="23" fillId="0" borderId="127" xfId="0" applyFont="1" applyBorder="1"/>
    <xf numFmtId="6" fontId="23" fillId="0" borderId="126" xfId="0" applyNumberFormat="1" applyFont="1" applyBorder="1"/>
    <xf numFmtId="0" fontId="178" fillId="38" borderId="125" xfId="0" applyFont="1" applyFill="1" applyBorder="1" applyAlignment="1">
      <alignment horizontal="center" vertical="center" wrapText="1"/>
    </xf>
    <xf numFmtId="0" fontId="178" fillId="38" borderId="119" xfId="0" applyFont="1" applyFill="1" applyBorder="1" applyAlignment="1">
      <alignment horizontal="center" vertical="center"/>
    </xf>
    <xf numFmtId="0" fontId="178" fillId="38" borderId="119" xfId="0" applyFont="1" applyFill="1" applyBorder="1" applyAlignment="1">
      <alignment horizontal="center" vertical="center" wrapText="1"/>
    </xf>
    <xf numFmtId="9" fontId="189" fillId="38" borderId="121" xfId="0" applyNumberFormat="1" applyFont="1" applyFill="1" applyBorder="1" applyAlignment="1">
      <alignment horizontal="center" vertical="center" wrapText="1"/>
    </xf>
    <xf numFmtId="9" fontId="189" fillId="38" borderId="121" xfId="0" applyNumberFormat="1" applyFont="1" applyFill="1" applyBorder="1" applyAlignment="1">
      <alignment horizontal="center" vertical="center"/>
    </xf>
    <xf numFmtId="0" fontId="178" fillId="38" borderId="127" xfId="0" applyFont="1" applyFill="1" applyBorder="1" applyAlignment="1">
      <alignment horizontal="center" vertical="center" wrapText="1"/>
    </xf>
    <xf numFmtId="0" fontId="178" fillId="38" borderId="126" xfId="0" applyFont="1" applyFill="1" applyBorder="1" applyAlignment="1">
      <alignment horizontal="center" vertical="center" wrapText="1"/>
    </xf>
    <xf numFmtId="0" fontId="178" fillId="38" borderId="126" xfId="0" applyFont="1" applyFill="1" applyBorder="1" applyAlignment="1">
      <alignment horizontal="center" vertical="center"/>
    </xf>
    <xf numFmtId="9" fontId="189" fillId="38" borderId="128" xfId="0" applyNumberFormat="1" applyFont="1" applyFill="1" applyBorder="1" applyAlignment="1">
      <alignment horizontal="center" vertical="center"/>
    </xf>
    <xf numFmtId="49" fontId="178" fillId="38" borderId="132" xfId="0" applyNumberFormat="1" applyFont="1" applyFill="1" applyBorder="1" applyAlignment="1">
      <alignment horizontal="center" vertical="center"/>
    </xf>
    <xf numFmtId="0" fontId="179" fillId="38" borderId="127" xfId="0" applyFont="1" applyFill="1" applyBorder="1" applyAlignment="1">
      <alignment horizontal="center" vertical="center" wrapText="1"/>
    </xf>
    <xf numFmtId="9" fontId="189" fillId="38" borderId="128" xfId="0" applyNumberFormat="1" applyFont="1" applyFill="1" applyBorder="1" applyAlignment="1">
      <alignment horizontal="center" vertical="center" wrapText="1"/>
    </xf>
    <xf numFmtId="167" fontId="195" fillId="0" borderId="119" xfId="1" applyNumberFormat="1" applyFont="1" applyBorder="1" applyAlignment="1">
      <alignment horizontal="center"/>
    </xf>
    <xf numFmtId="0" fontId="23" fillId="0" borderId="119" xfId="2" applyFont="1" applyBorder="1"/>
    <xf numFmtId="178" fontId="15" fillId="0" borderId="125" xfId="0" applyNumberFormat="1" applyFont="1" applyBorder="1" applyAlignment="1">
      <alignment horizontal="left"/>
    </xf>
    <xf numFmtId="38" fontId="195" fillId="0" borderId="119" xfId="22" applyNumberFormat="1" applyFont="1" applyBorder="1" applyAlignment="1">
      <alignment horizontal="center"/>
    </xf>
    <xf numFmtId="38" fontId="15" fillId="0" borderId="119" xfId="22" applyNumberFormat="1" applyFont="1" applyBorder="1" applyAlignment="1">
      <alignment horizontal="center"/>
    </xf>
    <xf numFmtId="8" fontId="15" fillId="0" borderId="119" xfId="0" applyNumberFormat="1" applyFont="1" applyBorder="1" applyAlignment="1">
      <alignment horizontal="center"/>
    </xf>
    <xf numFmtId="164" fontId="15" fillId="0" borderId="119" xfId="22" applyNumberFormat="1" applyFont="1" applyBorder="1" applyAlignment="1">
      <alignment horizontal="center"/>
    </xf>
    <xf numFmtId="178" fontId="15" fillId="0" borderId="63" xfId="0" applyNumberFormat="1" applyFont="1" applyBorder="1" applyAlignment="1">
      <alignment horizontal="left"/>
    </xf>
    <xf numFmtId="38" fontId="15" fillId="0" borderId="66" xfId="22" applyNumberFormat="1" applyFont="1" applyBorder="1" applyAlignment="1">
      <alignment horizontal="center"/>
    </xf>
    <xf numFmtId="6" fontId="183" fillId="0" borderId="119" xfId="0" applyNumberFormat="1" applyFont="1" applyBorder="1" applyAlignment="1">
      <alignment horizontal="center"/>
    </xf>
    <xf numFmtId="0" fontId="24" fillId="0" borderId="125" xfId="14" applyFont="1" applyBorder="1"/>
    <xf numFmtId="3" fontId="195" fillId="0" borderId="119" xfId="14" applyNumberFormat="1" applyFont="1" applyBorder="1" applyAlignment="1">
      <alignment horizontal="center"/>
    </xf>
    <xf numFmtId="8" fontId="15" fillId="0" borderId="119" xfId="0" applyNumberFormat="1" applyFont="1" applyBorder="1"/>
    <xf numFmtId="6" fontId="15" fillId="0" borderId="119" xfId="0" applyNumberFormat="1" applyFont="1" applyBorder="1"/>
    <xf numFmtId="0" fontId="181" fillId="8" borderId="98" xfId="0" applyFont="1" applyFill="1" applyBorder="1" applyAlignment="1">
      <alignment horizontal="left"/>
    </xf>
    <xf numFmtId="3" fontId="181" fillId="8" borderId="100" xfId="0" applyNumberFormat="1" applyFont="1" applyFill="1" applyBorder="1"/>
    <xf numFmtId="3" fontId="195" fillId="0" borderId="121" xfId="0" applyNumberFormat="1" applyFont="1" applyBorder="1"/>
    <xf numFmtId="0" fontId="181" fillId="8" borderId="98" xfId="0" applyFont="1" applyFill="1" applyBorder="1"/>
    <xf numFmtId="175" fontId="181" fillId="8" borderId="98" xfId="0" applyNumberFormat="1" applyFont="1" applyFill="1" applyBorder="1"/>
    <xf numFmtId="0" fontId="15" fillId="0" borderId="125" xfId="0" applyFont="1" applyBorder="1" applyAlignment="1">
      <alignment horizontal="right"/>
    </xf>
    <xf numFmtId="168" fontId="15" fillId="0" borderId="121" xfId="22" applyNumberFormat="1" applyFont="1" applyFill="1" applyBorder="1" applyAlignment="1">
      <alignment horizontal="center"/>
    </xf>
    <xf numFmtId="281" fontId="15" fillId="0" borderId="125" xfId="0" applyNumberFormat="1" applyFont="1" applyBorder="1" applyAlignment="1">
      <alignment horizontal="right"/>
    </xf>
    <xf numFmtId="280" fontId="195" fillId="0" borderId="125" xfId="0" applyNumberFormat="1" applyFont="1" applyBorder="1" applyAlignment="1">
      <alignment horizontal="right"/>
    </xf>
    <xf numFmtId="279" fontId="195" fillId="0" borderId="127" xfId="0" applyNumberFormat="1" applyFont="1" applyBorder="1"/>
    <xf numFmtId="168" fontId="15" fillId="0" borderId="128" xfId="22" applyNumberFormat="1" applyFont="1" applyFill="1" applyBorder="1" applyAlignment="1">
      <alignment horizontal="center"/>
    </xf>
    <xf numFmtId="175" fontId="181" fillId="32" borderId="80" xfId="0" applyNumberFormat="1" applyFont="1" applyFill="1" applyBorder="1"/>
    <xf numFmtId="0" fontId="181" fillId="32" borderId="81" xfId="0" applyFont="1" applyFill="1" applyBorder="1"/>
    <xf numFmtId="0" fontId="181" fillId="8" borderId="79" xfId="0" applyFont="1" applyFill="1" applyBorder="1" applyAlignment="1">
      <alignment horizontal="left"/>
    </xf>
    <xf numFmtId="0" fontId="181" fillId="8" borderId="80" xfId="0" applyFont="1" applyFill="1" applyBorder="1" applyAlignment="1">
      <alignment horizontal="center"/>
    </xf>
    <xf numFmtId="0" fontId="181" fillId="8" borderId="81" xfId="0" applyFont="1" applyFill="1" applyBorder="1" applyAlignment="1">
      <alignment horizontal="center"/>
    </xf>
    <xf numFmtId="0" fontId="15" fillId="11" borderId="63" xfId="0" applyFont="1" applyFill="1" applyBorder="1"/>
    <xf numFmtId="5" fontId="15" fillId="11" borderId="66" xfId="22" applyNumberFormat="1" applyFont="1" applyFill="1" applyBorder="1" applyAlignment="1">
      <alignment horizontal="center"/>
    </xf>
    <xf numFmtId="165" fontId="15" fillId="11" borderId="66" xfId="22" applyNumberFormat="1" applyFont="1" applyFill="1" applyBorder="1" applyAlignment="1">
      <alignment horizontal="center"/>
    </xf>
    <xf numFmtId="260" fontId="15" fillId="0" borderId="122" xfId="0" applyNumberFormat="1" applyFont="1" applyBorder="1" applyAlignment="1">
      <alignment horizontal="left"/>
    </xf>
    <xf numFmtId="260" fontId="15" fillId="0" borderId="119" xfId="0" applyNumberFormat="1" applyFont="1" applyBorder="1" applyAlignment="1">
      <alignment horizontal="left"/>
    </xf>
    <xf numFmtId="5" fontId="23" fillId="0" borderId="119" xfId="22" applyNumberFormat="1" applyFont="1" applyBorder="1" applyAlignment="1">
      <alignment horizontal="center"/>
    </xf>
    <xf numFmtId="260" fontId="23" fillId="0" borderId="118" xfId="0" applyNumberFormat="1" applyFont="1" applyBorder="1" applyAlignment="1">
      <alignment horizontal="left"/>
    </xf>
    <xf numFmtId="5" fontId="15" fillId="0" borderId="119" xfId="22" applyNumberFormat="1" applyFont="1" applyBorder="1" applyAlignment="1">
      <alignment horizontal="center"/>
    </xf>
    <xf numFmtId="7" fontId="15" fillId="0" borderId="119" xfId="22" applyNumberFormat="1" applyFont="1" applyBorder="1" applyAlignment="1">
      <alignment horizontal="center"/>
    </xf>
    <xf numFmtId="5" fontId="23" fillId="3" borderId="92" xfId="22" applyNumberFormat="1" applyFont="1" applyFill="1" applyBorder="1" applyAlignment="1">
      <alignment horizontal="left"/>
    </xf>
    <xf numFmtId="165" fontId="23" fillId="3" borderId="93" xfId="22" applyNumberFormat="1" applyFont="1" applyFill="1" applyBorder="1" applyAlignment="1">
      <alignment horizontal="center"/>
    </xf>
    <xf numFmtId="0" fontId="183" fillId="30" borderId="79" xfId="0" applyFont="1" applyFill="1" applyBorder="1"/>
    <xf numFmtId="166" fontId="183" fillId="30" borderId="80" xfId="0" applyNumberFormat="1" applyFont="1" applyFill="1" applyBorder="1" applyAlignment="1">
      <alignment horizontal="center"/>
    </xf>
    <xf numFmtId="165" fontId="183" fillId="30" borderId="80" xfId="0" applyNumberFormat="1" applyFont="1" applyFill="1" applyBorder="1" applyAlignment="1">
      <alignment horizontal="center"/>
    </xf>
    <xf numFmtId="0" fontId="181" fillId="8" borderId="94" xfId="2" applyFont="1" applyFill="1" applyBorder="1"/>
    <xf numFmtId="166" fontId="181" fillId="8" borderId="128" xfId="2" applyNumberFormat="1" applyFont="1" applyFill="1" applyBorder="1"/>
    <xf numFmtId="267" fontId="15" fillId="0" borderId="119" xfId="0" applyNumberFormat="1" applyFont="1" applyBorder="1" applyAlignment="1">
      <alignment horizontal="center"/>
    </xf>
    <xf numFmtId="5" fontId="15" fillId="0" borderId="96" xfId="22" applyNumberFormat="1" applyFont="1" applyFill="1" applyBorder="1" applyAlignment="1">
      <alignment horizontal="center"/>
    </xf>
    <xf numFmtId="272" fontId="15" fillId="0" borderId="119" xfId="0" applyNumberFormat="1" applyFont="1" applyBorder="1" applyAlignment="1">
      <alignment horizontal="center"/>
    </xf>
    <xf numFmtId="261" fontId="195" fillId="0" borderId="119" xfId="0" applyNumberFormat="1" applyFont="1" applyBorder="1" applyAlignment="1">
      <alignment horizontal="center"/>
    </xf>
    <xf numFmtId="0" fontId="180" fillId="0" borderId="119" xfId="0" applyFont="1" applyBorder="1" applyAlignment="1">
      <alignment horizontal="center" wrapText="1"/>
    </xf>
    <xf numFmtId="5" fontId="195" fillId="0" borderId="66" xfId="22" applyNumberFormat="1" applyFont="1" applyFill="1" applyBorder="1" applyAlignment="1">
      <alignment horizontal="center"/>
    </xf>
    <xf numFmtId="283" fontId="195" fillId="0" borderId="119" xfId="0" applyNumberFormat="1" applyFont="1" applyBorder="1" applyAlignment="1">
      <alignment horizontal="center"/>
    </xf>
    <xf numFmtId="5" fontId="15" fillId="0" borderId="66" xfId="22" applyNumberFormat="1" applyFont="1" applyBorder="1" applyAlignment="1">
      <alignment horizontal="center"/>
    </xf>
    <xf numFmtId="262" fontId="15" fillId="0" borderId="119" xfId="0" applyNumberFormat="1" applyFont="1" applyBorder="1" applyAlignment="1">
      <alignment horizontal="center"/>
    </xf>
    <xf numFmtId="0" fontId="180" fillId="0" borderId="119" xfId="0" applyFont="1" applyBorder="1" applyAlignment="1">
      <alignment horizontal="center"/>
    </xf>
    <xf numFmtId="5" fontId="195" fillId="0" borderId="119" xfId="22" applyNumberFormat="1" applyFont="1" applyFill="1" applyBorder="1" applyAlignment="1">
      <alignment horizontal="center"/>
    </xf>
    <xf numFmtId="263" fontId="195" fillId="0" borderId="119" xfId="0" applyNumberFormat="1" applyFont="1" applyBorder="1" applyAlignment="1">
      <alignment horizontal="center"/>
    </xf>
    <xf numFmtId="5" fontId="15" fillId="0" borderId="119" xfId="22" applyNumberFormat="1" applyFont="1" applyFill="1" applyBorder="1" applyAlignment="1">
      <alignment horizontal="center"/>
    </xf>
    <xf numFmtId="271" fontId="195" fillId="0" borderId="119" xfId="0" applyNumberFormat="1" applyFont="1" applyBorder="1" applyAlignment="1">
      <alignment horizontal="center"/>
    </xf>
    <xf numFmtId="5" fontId="180" fillId="0" borderId="119" xfId="22" applyNumberFormat="1" applyFont="1" applyFill="1" applyBorder="1" applyAlignment="1">
      <alignment horizontal="center"/>
    </xf>
    <xf numFmtId="10" fontId="180" fillId="0" borderId="119" xfId="1" applyNumberFormat="1" applyFont="1" applyBorder="1" applyAlignment="1">
      <alignment horizontal="center"/>
    </xf>
    <xf numFmtId="262" fontId="195" fillId="0" borderId="119" xfId="0" applyNumberFormat="1" applyFont="1" applyBorder="1" applyAlignment="1">
      <alignment horizontal="center"/>
    </xf>
    <xf numFmtId="268" fontId="195" fillId="0" borderId="119" xfId="0" applyNumberFormat="1" applyFont="1" applyBorder="1" applyAlignment="1">
      <alignment horizontal="center"/>
    </xf>
    <xf numFmtId="270" fontId="195" fillId="0" borderId="119" xfId="0" applyNumberFormat="1" applyFont="1" applyBorder="1" applyAlignment="1">
      <alignment horizontal="center"/>
    </xf>
    <xf numFmtId="265" fontId="195" fillId="0" borderId="119" xfId="0" applyNumberFormat="1" applyFont="1" applyBorder="1" applyAlignment="1">
      <alignment horizontal="center"/>
    </xf>
    <xf numFmtId="182" fontId="15" fillId="0" borderId="125" xfId="0" applyNumberFormat="1" applyFont="1" applyBorder="1"/>
    <xf numFmtId="276" fontId="195" fillId="0" borderId="119" xfId="0" applyNumberFormat="1" applyFont="1" applyBorder="1" applyAlignment="1">
      <alignment horizontal="center"/>
    </xf>
    <xf numFmtId="269" fontId="180" fillId="0" borderId="130" xfId="1" applyNumberFormat="1" applyFont="1" applyBorder="1" applyAlignment="1">
      <alignment horizontal="center"/>
    </xf>
    <xf numFmtId="5" fontId="195" fillId="0" borderId="130" xfId="22" applyNumberFormat="1" applyFont="1" applyFill="1" applyBorder="1" applyAlignment="1">
      <alignment horizontal="center"/>
    </xf>
    <xf numFmtId="5" fontId="15" fillId="0" borderId="130" xfId="22" applyNumberFormat="1" applyFont="1" applyBorder="1" applyAlignment="1">
      <alignment horizontal="center"/>
    </xf>
    <xf numFmtId="0" fontId="23" fillId="3" borderId="83" xfId="0" applyFont="1" applyFill="1" applyBorder="1"/>
    <xf numFmtId="0" fontId="180" fillId="3" borderId="83" xfId="0" applyFont="1" applyFill="1" applyBorder="1"/>
    <xf numFmtId="0" fontId="23" fillId="3" borderId="95" xfId="0" applyFont="1" applyFill="1" applyBorder="1"/>
    <xf numFmtId="167" fontId="23" fillId="3" borderId="97" xfId="1" applyNumberFormat="1" applyFont="1" applyFill="1" applyBorder="1" applyAlignment="1">
      <alignment horizontal="center"/>
    </xf>
    <xf numFmtId="0" fontId="23" fillId="3" borderId="125" xfId="0" applyFont="1" applyFill="1" applyBorder="1"/>
    <xf numFmtId="167" fontId="23" fillId="3" borderId="121" xfId="1" applyNumberFormat="1" applyFont="1" applyFill="1" applyBorder="1" applyAlignment="1">
      <alignment horizontal="center"/>
    </xf>
    <xf numFmtId="292" fontId="195" fillId="3" borderId="127" xfId="0" applyNumberFormat="1" applyFont="1" applyFill="1" applyBorder="1" applyAlignment="1">
      <alignment horizontal="left"/>
    </xf>
    <xf numFmtId="6" fontId="23" fillId="3" borderId="128" xfId="1" applyNumberFormat="1" applyFont="1" applyFill="1" applyBorder="1" applyAlignment="1">
      <alignment horizontal="center"/>
    </xf>
    <xf numFmtId="273" fontId="195" fillId="3" borderId="125" xfId="0" applyNumberFormat="1" applyFont="1" applyFill="1" applyBorder="1" applyAlignment="1">
      <alignment horizontal="left"/>
    </xf>
    <xf numFmtId="175" fontId="181" fillId="6" borderId="81" xfId="0" applyNumberFormat="1" applyFont="1" applyFill="1" applyBorder="1"/>
    <xf numFmtId="0" fontId="183" fillId="0" borderId="77" xfId="0" applyFont="1" applyBorder="1" applyAlignment="1">
      <alignment horizontal="left"/>
    </xf>
    <xf numFmtId="0" fontId="183" fillId="0" borderId="94" xfId="0" applyFont="1" applyBorder="1" applyAlignment="1">
      <alignment horizontal="center"/>
    </xf>
    <xf numFmtId="0" fontId="183" fillId="0" borderId="78" xfId="0" applyFont="1" applyBorder="1" applyAlignment="1">
      <alignment horizontal="center"/>
    </xf>
    <xf numFmtId="6" fontId="183" fillId="0" borderId="119" xfId="0" applyNumberFormat="1" applyFont="1" applyBorder="1" applyAlignment="1">
      <alignment horizontal="center" vertical="center"/>
    </xf>
    <xf numFmtId="180" fontId="23" fillId="0" borderId="63" xfId="0" applyNumberFormat="1" applyFont="1" applyBorder="1" applyAlignment="1">
      <alignment horizontal="right"/>
    </xf>
    <xf numFmtId="181" fontId="15" fillId="0" borderId="129" xfId="0" applyNumberFormat="1" applyFont="1" applyBorder="1" applyAlignment="1">
      <alignment horizontal="right"/>
    </xf>
    <xf numFmtId="5" fontId="15" fillId="0" borderId="131" xfId="22" applyNumberFormat="1" applyFont="1" applyBorder="1" applyAlignment="1">
      <alignment horizontal="center" vertical="center"/>
    </xf>
    <xf numFmtId="5" fontId="23" fillId="0" borderId="66" xfId="0" applyNumberFormat="1" applyFont="1" applyBorder="1" applyAlignment="1">
      <alignment horizontal="center" vertical="center"/>
    </xf>
    <xf numFmtId="0" fontId="181" fillId="0" borderId="77" xfId="0" applyFont="1" applyBorder="1" applyAlignment="1">
      <alignment horizontal="center"/>
    </xf>
    <xf numFmtId="0" fontId="181" fillId="0" borderId="78" xfId="0" applyFont="1" applyBorder="1" applyAlignment="1">
      <alignment horizontal="center"/>
    </xf>
    <xf numFmtId="0" fontId="183" fillId="0" borderId="105" xfId="0" applyFont="1" applyBorder="1" applyAlignment="1">
      <alignment horizontal="center"/>
    </xf>
    <xf numFmtId="0" fontId="15" fillId="0" borderId="102" xfId="0" applyFont="1" applyBorder="1"/>
    <xf numFmtId="37" fontId="15" fillId="0" borderId="103" xfId="22" applyNumberFormat="1" applyFont="1" applyBorder="1" applyAlignment="1">
      <alignment horizontal="center"/>
    </xf>
    <xf numFmtId="37" fontId="15" fillId="0" borderId="103" xfId="22" applyNumberFormat="1" applyFont="1" applyBorder="1"/>
    <xf numFmtId="173" fontId="195" fillId="0" borderId="133" xfId="0" applyNumberFormat="1" applyFont="1" applyBorder="1" applyAlignment="1" applyProtection="1">
      <alignment horizontal="left"/>
      <protection locked="0"/>
    </xf>
    <xf numFmtId="5" fontId="15" fillId="0" borderId="134" xfId="22" applyNumberFormat="1" applyFont="1" applyBorder="1" applyAlignment="1">
      <alignment horizontal="center"/>
    </xf>
    <xf numFmtId="37" fontId="15" fillId="0" borderId="134" xfId="22" applyNumberFormat="1" applyFont="1" applyBorder="1"/>
    <xf numFmtId="0" fontId="15" fillId="0" borderId="77" xfId="0" applyFont="1" applyBorder="1"/>
    <xf numFmtId="0" fontId="15" fillId="0" borderId="133" xfId="0" applyFont="1" applyBorder="1"/>
    <xf numFmtId="37" fontId="15" fillId="0" borderId="134" xfId="22" applyNumberFormat="1" applyFont="1" applyBorder="1" applyAlignment="1">
      <alignment horizontal="center"/>
    </xf>
    <xf numFmtId="0" fontId="15" fillId="0" borderId="117" xfId="0" applyFont="1" applyBorder="1" applyAlignment="1">
      <alignment horizontal="right"/>
    </xf>
    <xf numFmtId="166" fontId="180" fillId="0" borderId="113" xfId="18" applyNumberFormat="1" applyFont="1" applyBorder="1" applyAlignment="1">
      <alignment horizontal="center"/>
    </xf>
    <xf numFmtId="166" fontId="180" fillId="0" borderId="135" xfId="0" applyNumberFormat="1" applyFont="1" applyBorder="1" applyAlignment="1">
      <alignment horizontal="right"/>
    </xf>
    <xf numFmtId="166" fontId="180" fillId="0" borderId="132" xfId="0" applyNumberFormat="1" applyFont="1" applyBorder="1" applyAlignment="1">
      <alignment horizontal="center"/>
    </xf>
    <xf numFmtId="0" fontId="15" fillId="0" borderId="117" xfId="0" applyFont="1" applyBorder="1"/>
    <xf numFmtId="171" fontId="15" fillId="0" borderId="113" xfId="1" applyNumberFormat="1" applyFont="1" applyFill="1" applyBorder="1" applyAlignment="1">
      <alignment horizontal="center"/>
    </xf>
    <xf numFmtId="0" fontId="23" fillId="0" borderId="117" xfId="0" applyFont="1" applyBorder="1"/>
    <xf numFmtId="9" fontId="15" fillId="0" borderId="113" xfId="0" applyNumberFormat="1" applyFont="1" applyBorder="1" applyAlignment="1">
      <alignment horizontal="center"/>
    </xf>
    <xf numFmtId="10" fontId="15" fillId="0" borderId="113" xfId="0" applyNumberFormat="1" applyFont="1" applyBorder="1" applyAlignment="1">
      <alignment horizontal="center"/>
    </xf>
    <xf numFmtId="14" fontId="23" fillId="9" borderId="127" xfId="0" applyNumberFormat="1" applyFont="1" applyFill="1" applyBorder="1" applyAlignment="1">
      <alignment horizontal="right" vertical="center"/>
    </xf>
    <xf numFmtId="14" fontId="23" fillId="9" borderId="126" xfId="1347" applyNumberFormat="1" applyFont="1" applyFill="1" applyBorder="1"/>
    <xf numFmtId="14" fontId="23" fillId="9" borderId="126" xfId="1347" applyNumberFormat="1" applyFont="1" applyFill="1" applyBorder="1" applyAlignment="1">
      <alignment horizontal="center"/>
    </xf>
    <xf numFmtId="14" fontId="23" fillId="9" borderId="128" xfId="1347" applyNumberFormat="1" applyFont="1" applyFill="1" applyBorder="1"/>
    <xf numFmtId="172" fontId="180" fillId="0" borderId="119" xfId="0" applyNumberFormat="1" applyFont="1" applyBorder="1"/>
    <xf numFmtId="172" fontId="180" fillId="0" borderId="119" xfId="0" applyNumberFormat="1" applyFont="1" applyBorder="1" applyAlignment="1">
      <alignment horizontal="center"/>
    </xf>
    <xf numFmtId="0" fontId="180" fillId="9" borderId="79" xfId="0" applyFont="1" applyFill="1" applyBorder="1"/>
    <xf numFmtId="10" fontId="180" fillId="9" borderId="98" xfId="0" applyNumberFormat="1" applyFont="1" applyFill="1" applyBorder="1"/>
    <xf numFmtId="167" fontId="23" fillId="9" borderId="83" xfId="0" applyNumberFormat="1" applyFont="1" applyFill="1" applyBorder="1"/>
    <xf numFmtId="167" fontId="182" fillId="9" borderId="83" xfId="0" applyNumberFormat="1" applyFont="1" applyFill="1" applyBorder="1"/>
    <xf numFmtId="0" fontId="180" fillId="0" borderId="114" xfId="0" applyFont="1" applyBorder="1"/>
    <xf numFmtId="38" fontId="180" fillId="0" borderId="119" xfId="0" applyNumberFormat="1" applyFont="1" applyBorder="1"/>
    <xf numFmtId="5" fontId="190" fillId="0" borderId="119" xfId="0" applyNumberFormat="1" applyFont="1" applyBorder="1"/>
    <xf numFmtId="5" fontId="180" fillId="0" borderId="119" xfId="0" applyNumberFormat="1" applyFont="1" applyBorder="1"/>
    <xf numFmtId="5" fontId="195" fillId="0" borderId="119" xfId="0" applyNumberFormat="1" applyFont="1" applyBorder="1"/>
    <xf numFmtId="0" fontId="190" fillId="0" borderId="119" xfId="0" applyFont="1" applyBorder="1"/>
    <xf numFmtId="38" fontId="190" fillId="0" borderId="119" xfId="0" applyNumberFormat="1" applyFont="1" applyBorder="1"/>
    <xf numFmtId="38" fontId="195" fillId="0" borderId="119" xfId="0" applyNumberFormat="1" applyFont="1" applyBorder="1"/>
    <xf numFmtId="5" fontId="182" fillId="0" borderId="119" xfId="0" applyNumberFormat="1" applyFont="1" applyBorder="1"/>
    <xf numFmtId="38" fontId="182" fillId="0" borderId="119" xfId="0" applyNumberFormat="1" applyFont="1" applyBorder="1"/>
    <xf numFmtId="5" fontId="15" fillId="0" borderId="119" xfId="0" applyNumberFormat="1" applyFont="1" applyBorder="1"/>
    <xf numFmtId="0" fontId="180" fillId="0" borderId="119" xfId="0" applyFont="1" applyBorder="1"/>
    <xf numFmtId="6" fontId="190" fillId="0" borderId="119" xfId="0" applyNumberFormat="1" applyFont="1" applyBorder="1"/>
    <xf numFmtId="166" fontId="180" fillId="0" borderId="119" xfId="0" applyNumberFormat="1" applyFont="1" applyBorder="1"/>
    <xf numFmtId="5" fontId="190" fillId="0" borderId="119" xfId="0" applyNumberFormat="1" applyFont="1" applyBorder="1" applyAlignment="1">
      <alignment horizontal="center" wrapText="1"/>
    </xf>
    <xf numFmtId="38" fontId="180" fillId="0" borderId="130" xfId="0" applyNumberFormat="1" applyFont="1" applyBorder="1"/>
    <xf numFmtId="5" fontId="190" fillId="0" borderId="130" xfId="0" applyNumberFormat="1" applyFont="1" applyBorder="1"/>
    <xf numFmtId="5" fontId="180" fillId="0" borderId="130" xfId="0" applyNumberFormat="1" applyFont="1" applyBorder="1"/>
    <xf numFmtId="0" fontId="180" fillId="0" borderId="127" xfId="0" applyFont="1" applyBorder="1"/>
    <xf numFmtId="6" fontId="180" fillId="0" borderId="115" xfId="0" applyNumberFormat="1" applyFont="1" applyBorder="1"/>
    <xf numFmtId="0" fontId="180" fillId="0" borderId="120" xfId="0" applyFont="1" applyBorder="1"/>
    <xf numFmtId="0" fontId="180" fillId="0" borderId="118" xfId="0" applyFont="1" applyBorder="1"/>
    <xf numFmtId="6" fontId="180" fillId="0" borderId="117" xfId="0" applyNumberFormat="1" applyFont="1" applyBorder="1"/>
    <xf numFmtId="5" fontId="180" fillId="0" borderId="120" xfId="0" applyNumberFormat="1" applyFont="1" applyBorder="1"/>
    <xf numFmtId="5" fontId="180" fillId="4" borderId="120" xfId="0" applyNumberFormat="1" applyFont="1" applyFill="1" applyBorder="1"/>
    <xf numFmtId="5" fontId="180" fillId="4" borderId="119" xfId="0" applyNumberFormat="1" applyFont="1" applyFill="1" applyBorder="1"/>
    <xf numFmtId="0" fontId="180" fillId="0" borderId="135" xfId="0" applyFont="1" applyBorder="1"/>
    <xf numFmtId="6" fontId="180" fillId="0" borderId="132" xfId="0" applyNumberFormat="1" applyFont="1" applyBorder="1"/>
    <xf numFmtId="0" fontId="183" fillId="4" borderId="118" xfId="0" applyFont="1" applyFill="1" applyBorder="1" applyAlignment="1">
      <alignment horizontal="center"/>
    </xf>
    <xf numFmtId="6" fontId="180" fillId="4" borderId="119" xfId="0" applyNumberFormat="1" applyFont="1" applyFill="1" applyBorder="1"/>
    <xf numFmtId="166" fontId="180" fillId="4" borderId="119" xfId="0" applyNumberFormat="1" applyFont="1" applyFill="1" applyBorder="1"/>
    <xf numFmtId="0" fontId="180" fillId="4" borderId="119" xfId="0" applyFont="1" applyFill="1" applyBorder="1"/>
    <xf numFmtId="37" fontId="183" fillId="4" borderId="119" xfId="0" applyNumberFormat="1" applyFont="1" applyFill="1" applyBorder="1"/>
    <xf numFmtId="37" fontId="183" fillId="0" borderId="120" xfId="0" applyNumberFormat="1" applyFont="1" applyBorder="1"/>
    <xf numFmtId="5" fontId="180" fillId="0" borderId="123" xfId="0" applyNumberFormat="1" applyFont="1" applyBorder="1"/>
    <xf numFmtId="5" fontId="183" fillId="0" borderId="123" xfId="0" applyNumberFormat="1" applyFont="1" applyBorder="1"/>
    <xf numFmtId="37" fontId="183" fillId="0" borderId="119" xfId="0" applyNumberFormat="1" applyFont="1" applyBorder="1"/>
    <xf numFmtId="5" fontId="183" fillId="4" borderId="119" xfId="0" applyNumberFormat="1" applyFont="1" applyFill="1" applyBorder="1"/>
    <xf numFmtId="5" fontId="183" fillId="0" borderId="119" xfId="0" applyNumberFormat="1" applyFont="1" applyBorder="1"/>
    <xf numFmtId="10" fontId="183" fillId="0" borderId="118" xfId="0" applyNumberFormat="1" applyFont="1" applyBorder="1"/>
    <xf numFmtId="0" fontId="183" fillId="4" borderId="119" xfId="0" applyFont="1" applyFill="1" applyBorder="1" applyAlignment="1">
      <alignment horizontal="center" wrapText="1"/>
    </xf>
    <xf numFmtId="0" fontId="183" fillId="4" borderId="119" xfId="0" applyFont="1" applyFill="1" applyBorder="1" applyAlignment="1">
      <alignment horizontal="center" vertical="center" wrapText="1"/>
    </xf>
    <xf numFmtId="0" fontId="183" fillId="0" borderId="119" xfId="0" applyFont="1" applyBorder="1" applyAlignment="1">
      <alignment horizontal="center" wrapText="1"/>
    </xf>
    <xf numFmtId="0" fontId="183" fillId="4" borderId="114" xfId="0" applyFont="1" applyFill="1" applyBorder="1" applyAlignment="1">
      <alignment horizontal="center"/>
    </xf>
    <xf numFmtId="8" fontId="195" fillId="0" borderId="119" xfId="0" applyNumberFormat="1" applyFont="1" applyBorder="1" applyAlignment="1">
      <alignment horizontal="center"/>
    </xf>
    <xf numFmtId="38" fontId="182" fillId="0" borderId="119" xfId="22" applyNumberFormat="1" applyFont="1" applyBorder="1" applyAlignment="1">
      <alignment horizontal="center"/>
    </xf>
    <xf numFmtId="8" fontId="182" fillId="0" borderId="119" xfId="0" applyNumberFormat="1" applyFont="1" applyBorder="1" applyAlignment="1">
      <alignment horizontal="center"/>
    </xf>
    <xf numFmtId="38" fontId="182" fillId="0" borderId="66" xfId="22" applyNumberFormat="1" applyFont="1" applyBorder="1" applyAlignment="1">
      <alignment horizontal="center"/>
    </xf>
    <xf numFmtId="8" fontId="195" fillId="0" borderId="119" xfId="0" applyNumberFormat="1" applyFont="1" applyBorder="1"/>
    <xf numFmtId="280" fontId="15" fillId="0" borderId="125" xfId="0" applyNumberFormat="1" applyFont="1" applyBorder="1" applyAlignment="1">
      <alignment horizontal="right"/>
    </xf>
    <xf numFmtId="279" fontId="15" fillId="0" borderId="127" xfId="0" applyNumberFormat="1" applyFont="1" applyBorder="1"/>
    <xf numFmtId="267" fontId="182" fillId="0" borderId="119" xfId="0" applyNumberFormat="1" applyFont="1" applyBorder="1" applyAlignment="1">
      <alignment horizontal="center"/>
    </xf>
    <xf numFmtId="272" fontId="182" fillId="0" borderId="119" xfId="0" applyNumberFormat="1" applyFont="1" applyBorder="1" applyAlignment="1">
      <alignment horizontal="center"/>
    </xf>
    <xf numFmtId="261" fontId="182" fillId="0" borderId="119" xfId="0" applyNumberFormat="1" applyFont="1" applyBorder="1" applyAlignment="1">
      <alignment horizontal="center"/>
    </xf>
    <xf numFmtId="5" fontId="182" fillId="0" borderId="66" xfId="22" applyNumberFormat="1" applyFont="1" applyFill="1" applyBorder="1" applyAlignment="1">
      <alignment horizontal="center"/>
    </xf>
    <xf numFmtId="283" fontId="182" fillId="0" borderId="119" xfId="0" applyNumberFormat="1" applyFont="1" applyBorder="1" applyAlignment="1">
      <alignment horizontal="center"/>
    </xf>
    <xf numFmtId="262" fontId="182" fillId="0" borderId="119" xfId="0" applyNumberFormat="1" applyFont="1" applyBorder="1" applyAlignment="1">
      <alignment horizontal="center"/>
    </xf>
    <xf numFmtId="5" fontId="182" fillId="0" borderId="119" xfId="22" applyNumberFormat="1" applyFont="1" applyFill="1" applyBorder="1" applyAlignment="1">
      <alignment horizontal="center"/>
    </xf>
    <xf numFmtId="263" fontId="182" fillId="0" borderId="119" xfId="0" applyNumberFormat="1" applyFont="1" applyBorder="1" applyAlignment="1">
      <alignment horizontal="center"/>
    </xf>
    <xf numFmtId="271" fontId="182" fillId="0" borderId="119" xfId="0" applyNumberFormat="1" applyFont="1" applyBorder="1" applyAlignment="1">
      <alignment horizontal="center"/>
    </xf>
    <xf numFmtId="268" fontId="182" fillId="0" borderId="119" xfId="0" applyNumberFormat="1" applyFont="1" applyBorder="1" applyAlignment="1">
      <alignment horizontal="center"/>
    </xf>
    <xf numFmtId="270" fontId="182" fillId="0" borderId="119" xfId="0" applyNumberFormat="1" applyFont="1" applyBorder="1" applyAlignment="1">
      <alignment horizontal="center"/>
    </xf>
    <xf numFmtId="265" fontId="182" fillId="0" borderId="119" xfId="0" applyNumberFormat="1" applyFont="1" applyBorder="1" applyAlignment="1">
      <alignment horizontal="center"/>
    </xf>
    <xf numFmtId="276" fontId="187" fillId="0" borderId="119" xfId="0" applyNumberFormat="1" applyFont="1" applyBorder="1" applyAlignment="1">
      <alignment horizontal="center"/>
    </xf>
    <xf numFmtId="5" fontId="182" fillId="0" borderId="130" xfId="22" applyNumberFormat="1" applyFont="1" applyFill="1" applyBorder="1" applyAlignment="1">
      <alignment horizontal="center"/>
    </xf>
    <xf numFmtId="273" fontId="23" fillId="3" borderId="125" xfId="0" applyNumberFormat="1" applyFont="1" applyFill="1" applyBorder="1"/>
    <xf numFmtId="3" fontId="183" fillId="35" borderId="81" xfId="0" applyNumberFormat="1" applyFont="1" applyFill="1" applyBorder="1"/>
    <xf numFmtId="180" fontId="182" fillId="0" borderId="63" xfId="0" applyNumberFormat="1" applyFont="1" applyBorder="1" applyAlignment="1">
      <alignment horizontal="right"/>
    </xf>
    <xf numFmtId="5" fontId="15" fillId="0" borderId="131" xfId="22" applyNumberFormat="1" applyFont="1" applyBorder="1"/>
    <xf numFmtId="5" fontId="23" fillId="0" borderId="66" xfId="0" applyNumberFormat="1" applyFont="1" applyBorder="1"/>
    <xf numFmtId="3" fontId="181" fillId="6" borderId="81" xfId="0" applyNumberFormat="1" applyFont="1" applyFill="1" applyBorder="1"/>
    <xf numFmtId="173" fontId="182" fillId="0" borderId="133" xfId="0" applyNumberFormat="1" applyFont="1" applyBorder="1" applyAlignment="1" applyProtection="1">
      <alignment horizontal="left"/>
      <protection locked="0"/>
    </xf>
    <xf numFmtId="5" fontId="15" fillId="0" borderId="134" xfId="22" applyNumberFormat="1" applyFont="1" applyBorder="1"/>
    <xf numFmtId="172" fontId="183" fillId="0" borderId="119" xfId="0" applyNumberFormat="1" applyFont="1" applyBorder="1" applyAlignment="1">
      <alignment horizontal="center"/>
    </xf>
    <xf numFmtId="0" fontId="195" fillId="0" borderId="119" xfId="0" applyFont="1" applyBorder="1"/>
    <xf numFmtId="0" fontId="195" fillId="0" borderId="120" xfId="0" applyFont="1" applyBorder="1"/>
    <xf numFmtId="0" fontId="195" fillId="0" borderId="116" xfId="0" applyFont="1" applyBorder="1"/>
    <xf numFmtId="38" fontId="195" fillId="0" borderId="120" xfId="0" applyNumberFormat="1" applyFont="1" applyBorder="1"/>
    <xf numFmtId="5" fontId="195" fillId="0" borderId="120" xfId="0" applyNumberFormat="1" applyFont="1" applyBorder="1"/>
    <xf numFmtId="5" fontId="195" fillId="0" borderId="116" xfId="0" applyNumberFormat="1" applyFont="1" applyBorder="1"/>
    <xf numFmtId="0" fontId="190" fillId="0" borderId="120" xfId="0" applyFont="1" applyBorder="1"/>
    <xf numFmtId="0" fontId="190" fillId="0" borderId="116" xfId="0" applyFont="1" applyBorder="1"/>
    <xf numFmtId="5" fontId="190" fillId="0" borderId="120" xfId="0" applyNumberFormat="1" applyFont="1" applyBorder="1"/>
    <xf numFmtId="5" fontId="190" fillId="0" borderId="116" xfId="0" applyNumberFormat="1" applyFont="1" applyBorder="1"/>
    <xf numFmtId="0" fontId="201" fillId="0" borderId="119" xfId="0" applyFont="1" applyBorder="1"/>
    <xf numFmtId="166" fontId="190" fillId="0" borderId="119" xfId="0" applyNumberFormat="1" applyFont="1" applyBorder="1"/>
    <xf numFmtId="38" fontId="190" fillId="0" borderId="120" xfId="0" applyNumberFormat="1" applyFont="1" applyBorder="1"/>
    <xf numFmtId="0" fontId="180" fillId="0" borderId="136" xfId="0" applyFont="1" applyBorder="1"/>
    <xf numFmtId="0" fontId="190" fillId="0" borderId="137" xfId="0" applyFont="1" applyBorder="1"/>
    <xf numFmtId="0" fontId="190" fillId="0" borderId="130" xfId="0" applyFont="1" applyBorder="1"/>
    <xf numFmtId="6" fontId="183" fillId="4" borderId="119" xfId="0" applyNumberFormat="1" applyFont="1" applyFill="1" applyBorder="1"/>
    <xf numFmtId="6" fontId="180" fillId="0" borderId="126" xfId="0" applyNumberFormat="1" applyFont="1" applyBorder="1"/>
    <xf numFmtId="166" fontId="183" fillId="4" borderId="119" xfId="0" applyNumberFormat="1" applyFont="1" applyFill="1" applyBorder="1"/>
    <xf numFmtId="0" fontId="183" fillId="4" borderId="119" xfId="0" applyFont="1" applyFill="1" applyBorder="1" applyAlignment="1">
      <alignment wrapText="1"/>
    </xf>
    <xf numFmtId="0" fontId="183" fillId="4" borderId="119" xfId="0" applyFont="1" applyFill="1" applyBorder="1" applyAlignment="1">
      <alignment horizontal="center"/>
    </xf>
    <xf numFmtId="166" fontId="180" fillId="0" borderId="118" xfId="0" applyNumberFormat="1" applyFont="1" applyBorder="1"/>
    <xf numFmtId="166" fontId="183" fillId="0" borderId="119" xfId="0" applyNumberFormat="1" applyFont="1" applyBorder="1"/>
    <xf numFmtId="0" fontId="181" fillId="8" borderId="98" xfId="0" applyFont="1" applyFill="1" applyBorder="1" applyAlignment="1">
      <alignment horizontal="center"/>
    </xf>
    <xf numFmtId="7" fontId="15" fillId="11" borderId="66" xfId="22" applyNumberFormat="1" applyFont="1" applyFill="1" applyBorder="1" applyAlignment="1">
      <alignment horizontal="center"/>
    </xf>
    <xf numFmtId="173" fontId="15" fillId="0" borderId="133" xfId="0" applyNumberFormat="1" applyFont="1" applyBorder="1" applyAlignment="1" applyProtection="1">
      <alignment horizontal="left"/>
      <protection locked="0"/>
    </xf>
    <xf numFmtId="287" fontId="182" fillId="0" borderId="119" xfId="0" applyNumberFormat="1" applyFont="1" applyBorder="1" applyAlignment="1">
      <alignment horizontal="center"/>
    </xf>
    <xf numFmtId="175" fontId="183" fillId="35" borderId="119" xfId="0" applyNumberFormat="1" applyFont="1" applyFill="1" applyBorder="1"/>
    <xf numFmtId="0" fontId="183" fillId="0" borderId="119" xfId="0" applyFont="1" applyBorder="1" applyAlignment="1">
      <alignment horizontal="left"/>
    </xf>
    <xf numFmtId="0" fontId="183" fillId="0" borderId="119" xfId="0" applyFont="1" applyBorder="1" applyAlignment="1">
      <alignment horizontal="right"/>
    </xf>
    <xf numFmtId="180" fontId="182" fillId="0" borderId="119" xfId="0" applyNumberFormat="1" applyFont="1" applyBorder="1" applyAlignment="1">
      <alignment horizontal="right"/>
    </xf>
    <xf numFmtId="5" fontId="15" fillId="0" borderId="119" xfId="22" applyNumberFormat="1" applyFont="1" applyBorder="1"/>
    <xf numFmtId="181" fontId="15" fillId="0" borderId="119" xfId="0" applyNumberFormat="1" applyFont="1" applyBorder="1" applyAlignment="1">
      <alignment horizontal="right"/>
    </xf>
    <xf numFmtId="0" fontId="23" fillId="0" borderId="119" xfId="0" applyFont="1" applyBorder="1" applyAlignment="1">
      <alignment horizontal="right"/>
    </xf>
    <xf numFmtId="5" fontId="23" fillId="0" borderId="119" xfId="0" applyNumberFormat="1" applyFont="1" applyBorder="1"/>
    <xf numFmtId="14" fontId="23" fillId="9" borderId="128" xfId="1347" applyNumberFormat="1" applyFont="1" applyFill="1" applyBorder="1" applyAlignment="1">
      <alignment horizontal="center"/>
    </xf>
    <xf numFmtId="5" fontId="180" fillId="0" borderId="114" xfId="0" applyNumberFormat="1" applyFont="1" applyBorder="1"/>
    <xf numFmtId="6" fontId="180" fillId="0" borderId="128" xfId="0" applyNumberFormat="1" applyFont="1" applyBorder="1"/>
    <xf numFmtId="0" fontId="180" fillId="4" borderId="120" xfId="0" applyFont="1" applyFill="1" applyBorder="1"/>
    <xf numFmtId="6" fontId="180" fillId="0" borderId="123" xfId="0" applyNumberFormat="1" applyFont="1" applyBorder="1"/>
    <xf numFmtId="6" fontId="180" fillId="4" borderId="123" xfId="0" applyNumberFormat="1" applyFont="1" applyFill="1" applyBorder="1"/>
    <xf numFmtId="5" fontId="180" fillId="0" borderId="116" xfId="0" applyNumberFormat="1" applyFont="1" applyBorder="1"/>
    <xf numFmtId="10" fontId="180" fillId="0" borderId="119" xfId="0" applyNumberFormat="1" applyFont="1" applyBorder="1"/>
    <xf numFmtId="5" fontId="183" fillId="0" borderId="120" xfId="0" applyNumberFormat="1" applyFont="1" applyBorder="1"/>
    <xf numFmtId="10" fontId="183" fillId="0" borderId="119" xfId="0" applyNumberFormat="1" applyFont="1" applyBorder="1"/>
    <xf numFmtId="3" fontId="182" fillId="0" borderId="121" xfId="0" applyNumberFormat="1" applyFont="1" applyBorder="1"/>
    <xf numFmtId="0" fontId="183" fillId="0" borderId="135" xfId="0" applyFont="1" applyBorder="1" applyAlignment="1">
      <alignment horizontal="left"/>
    </xf>
    <xf numFmtId="5" fontId="15" fillId="0" borderId="130" xfId="22" applyNumberFormat="1" applyFont="1" applyBorder="1"/>
    <xf numFmtId="173" fontId="182" fillId="0" borderId="123" xfId="0" applyNumberFormat="1" applyFont="1" applyBorder="1" applyAlignment="1" applyProtection="1">
      <alignment horizontal="left"/>
      <protection locked="0"/>
    </xf>
    <xf numFmtId="5" fontId="15" fillId="0" borderId="123" xfId="22" applyNumberFormat="1" applyFont="1" applyBorder="1"/>
    <xf numFmtId="37" fontId="15" fillId="0" borderId="130" xfId="22" applyNumberFormat="1" applyFont="1" applyBorder="1"/>
    <xf numFmtId="37" fontId="15" fillId="0" borderId="120" xfId="22" applyNumberFormat="1" applyFont="1" applyBorder="1"/>
    <xf numFmtId="37" fontId="15" fillId="0" borderId="138" xfId="22" applyNumberFormat="1" applyFont="1" applyBorder="1"/>
    <xf numFmtId="172" fontId="180" fillId="0" borderId="123" xfId="0" applyNumberFormat="1" applyFont="1" applyBorder="1"/>
    <xf numFmtId="172" fontId="180" fillId="0" borderId="120" xfId="0" applyNumberFormat="1" applyFont="1" applyBorder="1"/>
    <xf numFmtId="0" fontId="182" fillId="0" borderId="119" xfId="0" applyFont="1" applyBorder="1"/>
    <xf numFmtId="0" fontId="182" fillId="0" borderId="120" xfId="0" applyFont="1" applyBorder="1"/>
    <xf numFmtId="7" fontId="195" fillId="0" borderId="119" xfId="0" applyNumberFormat="1" applyFont="1" applyBorder="1"/>
    <xf numFmtId="5" fontId="182" fillId="0" borderId="120" xfId="0" applyNumberFormat="1" applyFont="1" applyBorder="1"/>
    <xf numFmtId="5" fontId="195" fillId="0" borderId="118" xfId="0" applyNumberFormat="1" applyFont="1" applyBorder="1"/>
    <xf numFmtId="0" fontId="180" fillId="0" borderId="130" xfId="0" applyFont="1" applyBorder="1"/>
    <xf numFmtId="0" fontId="190" fillId="0" borderId="123" xfId="0" applyFont="1" applyBorder="1"/>
    <xf numFmtId="0" fontId="180" fillId="0" borderId="137" xfId="0" applyFont="1" applyBorder="1"/>
    <xf numFmtId="0" fontId="180" fillId="4" borderId="123" xfId="0" applyFont="1" applyFill="1" applyBorder="1"/>
    <xf numFmtId="5" fontId="180" fillId="0" borderId="135" xfId="0" applyNumberFormat="1" applyFont="1" applyBorder="1"/>
    <xf numFmtId="5" fontId="180" fillId="0" borderId="126" xfId="0" applyNumberFormat="1" applyFont="1" applyBorder="1"/>
    <xf numFmtId="0" fontId="180" fillId="4" borderId="118" xfId="0" applyFont="1" applyFill="1" applyBorder="1"/>
    <xf numFmtId="6" fontId="180" fillId="0" borderId="118" xfId="0" applyNumberFormat="1" applyFont="1" applyBorder="1"/>
    <xf numFmtId="6" fontId="183" fillId="0" borderId="119" xfId="0" applyNumberFormat="1" applyFont="1" applyBorder="1"/>
    <xf numFmtId="5" fontId="180" fillId="0" borderId="119" xfId="0" applyNumberFormat="1" applyFont="1" applyBorder="1" applyAlignment="1">
      <alignment horizontal="center"/>
    </xf>
    <xf numFmtId="6" fontId="190" fillId="0" borderId="120" xfId="0" applyNumberFormat="1" applyFont="1" applyBorder="1"/>
    <xf numFmtId="166" fontId="180" fillId="4" borderId="123" xfId="0" applyNumberFormat="1" applyFont="1" applyFill="1" applyBorder="1"/>
    <xf numFmtId="294" fontId="15" fillId="0" borderId="125" xfId="0" applyNumberFormat="1" applyFont="1" applyBorder="1" applyAlignment="1">
      <alignment horizontal="left"/>
    </xf>
    <xf numFmtId="6" fontId="15" fillId="0" borderId="119" xfId="0" applyNumberFormat="1" applyFont="1" applyBorder="1" applyAlignment="1">
      <alignment horizontal="center"/>
    </xf>
    <xf numFmtId="295" fontId="15" fillId="0" borderId="125" xfId="0" applyNumberFormat="1" applyFont="1" applyBorder="1" applyAlignment="1">
      <alignment horizontal="left"/>
    </xf>
    <xf numFmtId="296" fontId="15" fillId="0" borderId="125" xfId="0" applyNumberFormat="1" applyFont="1" applyBorder="1" applyAlignment="1">
      <alignment horizontal="left"/>
    </xf>
    <xf numFmtId="297" fontId="15" fillId="0" borderId="122" xfId="0" applyNumberFormat="1" applyFont="1" applyBorder="1" applyAlignment="1">
      <alignment horizontal="left"/>
    </xf>
    <xf numFmtId="172" fontId="183" fillId="0" borderId="119" xfId="0" applyNumberFormat="1" applyFont="1" applyBorder="1" applyAlignment="1">
      <alignment horizontal="right"/>
    </xf>
    <xf numFmtId="10" fontId="180" fillId="4" borderId="119" xfId="0" applyNumberFormat="1" applyFont="1" applyFill="1" applyBorder="1"/>
    <xf numFmtId="43" fontId="180" fillId="0" borderId="0" xfId="1360" applyFont="1"/>
    <xf numFmtId="43" fontId="180" fillId="0" borderId="0" xfId="0" applyNumberFormat="1" applyFont="1"/>
    <xf numFmtId="0" fontId="24" fillId="0" borderId="122" xfId="14" applyFont="1" applyBorder="1"/>
    <xf numFmtId="3" fontId="195" fillId="0" borderId="123" xfId="14" applyNumberFormat="1" applyFont="1" applyBorder="1" applyAlignment="1">
      <alignment horizontal="center"/>
    </xf>
    <xf numFmtId="8" fontId="15" fillId="0" borderId="123" xfId="0" applyNumberFormat="1" applyFont="1" applyBorder="1"/>
    <xf numFmtId="9" fontId="180" fillId="0" borderId="0" xfId="1" applyFont="1"/>
    <xf numFmtId="0" fontId="183" fillId="37" borderId="0" xfId="1347" applyFont="1" applyFill="1" applyAlignment="1">
      <alignment vertical="center"/>
    </xf>
    <xf numFmtId="0" fontId="202" fillId="37" borderId="0" xfId="1347" applyFont="1" applyFill="1" applyAlignment="1">
      <alignment horizontal="left" vertical="center" indent="1"/>
    </xf>
    <xf numFmtId="6" fontId="180" fillId="37" borderId="0" xfId="1347" applyNumberFormat="1" applyFont="1" applyFill="1" applyAlignment="1">
      <alignment horizontal="center" vertical="center"/>
    </xf>
    <xf numFmtId="0" fontId="203" fillId="37" borderId="0" xfId="1347" applyFont="1" applyFill="1" applyAlignment="1">
      <alignment horizontal="center" vertical="center"/>
    </xf>
    <xf numFmtId="9" fontId="203" fillId="37" borderId="0" xfId="1347" applyNumberFormat="1" applyFont="1" applyFill="1" applyAlignment="1">
      <alignment horizontal="center" vertical="center"/>
    </xf>
    <xf numFmtId="0" fontId="180" fillId="37" borderId="0" xfId="1347" applyFont="1" applyFill="1" applyAlignment="1">
      <alignment horizontal="left" indent="1"/>
    </xf>
    <xf numFmtId="38" fontId="203" fillId="37" borderId="0" xfId="1347" applyNumberFormat="1" applyFont="1" applyFill="1" applyAlignment="1">
      <alignment horizontal="center" vertical="center"/>
    </xf>
    <xf numFmtId="176" fontId="180" fillId="0" borderId="0" xfId="0" applyNumberFormat="1" applyFont="1"/>
    <xf numFmtId="3" fontId="180" fillId="0" borderId="0" xfId="0" applyNumberFormat="1" applyFont="1"/>
    <xf numFmtId="8" fontId="195" fillId="0" borderId="66" xfId="0" applyNumberFormat="1" applyFont="1" applyBorder="1"/>
    <xf numFmtId="3" fontId="195" fillId="0" borderId="66" xfId="14" applyNumberFormat="1" applyFont="1" applyBorder="1" applyAlignment="1">
      <alignment horizontal="center"/>
    </xf>
    <xf numFmtId="0" fontId="179" fillId="0" borderId="0" xfId="0" applyFont="1"/>
    <xf numFmtId="0" fontId="197" fillId="0" borderId="0" xfId="0" applyFont="1" applyAlignment="1">
      <alignment horizontal="center" vertical="center"/>
    </xf>
    <xf numFmtId="3" fontId="197" fillId="0" borderId="0" xfId="0" applyNumberFormat="1" applyFont="1" applyAlignment="1">
      <alignment horizontal="center" vertical="center"/>
    </xf>
    <xf numFmtId="0" fontId="198" fillId="0" borderId="0" xfId="0" applyFont="1" applyAlignment="1">
      <alignment horizontal="center" vertical="center"/>
    </xf>
    <xf numFmtId="290" fontId="197" fillId="0" borderId="0" xfId="0" applyNumberFormat="1" applyFont="1" applyAlignment="1">
      <alignment horizontal="center" vertical="center"/>
    </xf>
    <xf numFmtId="166" fontId="197" fillId="0" borderId="0" xfId="0" applyNumberFormat="1" applyFont="1" applyAlignment="1">
      <alignment horizontal="center" vertical="center"/>
    </xf>
    <xf numFmtId="6" fontId="198" fillId="0" borderId="0" xfId="0" applyNumberFormat="1" applyFont="1" applyAlignment="1">
      <alignment horizontal="center" vertical="center"/>
    </xf>
    <xf numFmtId="10" fontId="197" fillId="0" borderId="0" xfId="0" applyNumberFormat="1" applyFont="1" applyAlignment="1">
      <alignment horizontal="center" vertical="center"/>
    </xf>
    <xf numFmtId="3" fontId="199" fillId="0" borderId="111" xfId="0" applyNumberFormat="1" applyFont="1" applyBorder="1" applyAlignment="1">
      <alignment horizontal="center" vertical="center"/>
    </xf>
    <xf numFmtId="3" fontId="199" fillId="0" borderId="143" xfId="0" applyNumberFormat="1" applyFont="1" applyBorder="1" applyAlignment="1">
      <alignment horizontal="center" vertical="center"/>
    </xf>
    <xf numFmtId="3" fontId="199" fillId="0" borderId="109" xfId="0" applyNumberFormat="1" applyFont="1" applyBorder="1" applyAlignment="1">
      <alignment horizontal="center" vertical="center" wrapText="1"/>
    </xf>
    <xf numFmtId="0" fontId="178" fillId="0" borderId="143" xfId="0" applyFont="1" applyBorder="1"/>
    <xf numFmtId="37" fontId="195" fillId="0" borderId="120" xfId="1347" applyNumberFormat="1" applyFont="1" applyBorder="1" applyAlignment="1">
      <alignment horizontal="center" vertical="center"/>
    </xf>
    <xf numFmtId="0" fontId="195" fillId="0" borderId="119" xfId="1347" applyFont="1" applyBorder="1" applyAlignment="1">
      <alignment horizontal="center" vertical="center"/>
    </xf>
    <xf numFmtId="165" fontId="195" fillId="0" borderId="120" xfId="1358" applyNumberFormat="1" applyFont="1" applyFill="1" applyBorder="1" applyAlignment="1">
      <alignment horizontal="center" vertical="center"/>
    </xf>
    <xf numFmtId="6" fontId="195" fillId="0" borderId="119" xfId="1347" applyNumberFormat="1" applyFont="1" applyBorder="1" applyAlignment="1">
      <alignment horizontal="center"/>
    </xf>
    <xf numFmtId="0" fontId="195" fillId="0" borderId="119" xfId="1347" applyFont="1" applyBorder="1" applyAlignment="1">
      <alignment horizontal="center"/>
    </xf>
    <xf numFmtId="3" fontId="195" fillId="0" borderId="119" xfId="1347" applyNumberFormat="1" applyFont="1" applyBorder="1" applyAlignment="1">
      <alignment horizontal="center"/>
    </xf>
    <xf numFmtId="165" fontId="195" fillId="0" borderId="90" xfId="1358" applyNumberFormat="1" applyFont="1" applyFill="1" applyBorder="1" applyAlignment="1">
      <alignment horizontal="center" vertical="center"/>
    </xf>
    <xf numFmtId="0" fontId="23" fillId="0" borderId="78" xfId="1347" applyFont="1" applyBorder="1" applyAlignment="1">
      <alignment horizontal="center" vertical="center"/>
    </xf>
    <xf numFmtId="6" fontId="195" fillId="0" borderId="6" xfId="1347" applyNumberFormat="1" applyFont="1" applyBorder="1" applyAlignment="1">
      <alignment horizontal="center"/>
    </xf>
    <xf numFmtId="6" fontId="195" fillId="0" borderId="78" xfId="1347" applyNumberFormat="1" applyFont="1" applyBorder="1" applyAlignment="1">
      <alignment horizontal="center"/>
    </xf>
    <xf numFmtId="166" fontId="195" fillId="0" borderId="100" xfId="1347" applyNumberFormat="1" applyFont="1" applyBorder="1" applyAlignment="1">
      <alignment horizontal="center" vertical="center"/>
    </xf>
    <xf numFmtId="0" fontId="195" fillId="0" borderId="6" xfId="1347" applyFont="1" applyBorder="1" applyAlignment="1">
      <alignment horizontal="center" vertical="center"/>
    </xf>
    <xf numFmtId="0" fontId="183" fillId="0" borderId="6" xfId="1347" applyFont="1" applyBorder="1"/>
    <xf numFmtId="38" fontId="195" fillId="0" borderId="6" xfId="1347" applyNumberFormat="1" applyFont="1" applyBorder="1" applyAlignment="1">
      <alignment horizontal="center" vertical="center"/>
    </xf>
    <xf numFmtId="38" fontId="183" fillId="0" borderId="6" xfId="1347" applyNumberFormat="1" applyFont="1" applyBorder="1" applyAlignment="1">
      <alignment horizontal="center"/>
    </xf>
    <xf numFmtId="8" fontId="195" fillId="0" borderId="6" xfId="1347" applyNumberFormat="1" applyFont="1" applyBorder="1" applyAlignment="1">
      <alignment horizontal="center" vertical="center"/>
    </xf>
    <xf numFmtId="8" fontId="195" fillId="0" borderId="6" xfId="1347" applyNumberFormat="1" applyFont="1" applyBorder="1" applyAlignment="1">
      <alignment horizontal="center"/>
    </xf>
    <xf numFmtId="8" fontId="183" fillId="0" borderId="6" xfId="1347" applyNumberFormat="1" applyFont="1" applyBorder="1" applyAlignment="1">
      <alignment horizontal="center"/>
    </xf>
    <xf numFmtId="38" fontId="195" fillId="0" borderId="6" xfId="1347" applyNumberFormat="1" applyFont="1" applyBorder="1" applyAlignment="1">
      <alignment horizontal="center"/>
    </xf>
    <xf numFmtId="166" fontId="195" fillId="0" borderId="6" xfId="1347" applyNumberFormat="1" applyFont="1" applyBorder="1" applyAlignment="1">
      <alignment horizontal="center"/>
    </xf>
    <xf numFmtId="8" fontId="195" fillId="0" borderId="78" xfId="1347" applyNumberFormat="1" applyFont="1" applyBorder="1" applyAlignment="1">
      <alignment horizontal="center" vertical="center"/>
    </xf>
    <xf numFmtId="286" fontId="195" fillId="0" borderId="121" xfId="0" applyNumberFormat="1" applyFont="1" applyBorder="1" applyAlignment="1">
      <alignment horizontal="center"/>
    </xf>
    <xf numFmtId="267" fontId="195" fillId="0" borderId="121" xfId="0" applyNumberFormat="1" applyFont="1" applyBorder="1" applyAlignment="1">
      <alignment horizontal="center"/>
    </xf>
    <xf numFmtId="0" fontId="180" fillId="0" borderId="121" xfId="1347" applyFont="1" applyBorder="1" applyAlignment="1">
      <alignment horizontal="center"/>
    </xf>
    <xf numFmtId="261" fontId="195" fillId="0" borderId="121" xfId="0" applyNumberFormat="1" applyFont="1" applyBorder="1" applyAlignment="1">
      <alignment horizontal="center"/>
    </xf>
    <xf numFmtId="262" fontId="195" fillId="0" borderId="121" xfId="0" applyNumberFormat="1" applyFont="1" applyBorder="1" applyAlignment="1">
      <alignment horizontal="center"/>
    </xf>
    <xf numFmtId="0" fontId="195" fillId="0" borderId="121" xfId="0" applyFont="1" applyBorder="1" applyAlignment="1">
      <alignment horizontal="center"/>
    </xf>
    <xf numFmtId="263" fontId="195" fillId="0" borderId="121" xfId="0" applyNumberFormat="1" applyFont="1" applyBorder="1" applyAlignment="1">
      <alignment horizontal="center"/>
    </xf>
    <xf numFmtId="271" fontId="195" fillId="0" borderId="121" xfId="0" applyNumberFormat="1" applyFont="1" applyBorder="1" applyAlignment="1">
      <alignment horizontal="center"/>
    </xf>
    <xf numFmtId="10" fontId="195" fillId="0" borderId="121" xfId="1" applyNumberFormat="1" applyFont="1" applyFill="1" applyBorder="1" applyAlignment="1">
      <alignment horizontal="center"/>
    </xf>
    <xf numFmtId="268" fontId="195" fillId="0" borderId="121" xfId="0" applyNumberFormat="1" applyFont="1" applyBorder="1" applyAlignment="1">
      <alignment horizontal="center"/>
    </xf>
    <xf numFmtId="264" fontId="195" fillId="0" borderId="121" xfId="0" applyNumberFormat="1" applyFont="1" applyBorder="1" applyAlignment="1">
      <alignment horizontal="center"/>
    </xf>
    <xf numFmtId="270" fontId="195" fillId="0" borderId="121" xfId="0" applyNumberFormat="1" applyFont="1" applyBorder="1" applyAlignment="1">
      <alignment horizontal="center"/>
    </xf>
    <xf numFmtId="265" fontId="195" fillId="0" borderId="121" xfId="0" applyNumberFormat="1" applyFont="1" applyBorder="1" applyAlignment="1">
      <alignment horizontal="center"/>
    </xf>
    <xf numFmtId="14" fontId="180" fillId="37" borderId="79" xfId="1347" applyNumberFormat="1" applyFont="1" applyFill="1" applyBorder="1" applyAlignment="1">
      <alignment horizontal="left"/>
    </xf>
    <xf numFmtId="166" fontId="195" fillId="0" borderId="81" xfId="1347" applyNumberFormat="1" applyFont="1" applyBorder="1" applyAlignment="1">
      <alignment horizontal="center" vertical="center"/>
    </xf>
    <xf numFmtId="10" fontId="190" fillId="0" borderId="6" xfId="1347" applyNumberFormat="1" applyFont="1" applyBorder="1" applyAlignment="1">
      <alignment horizontal="center" vertical="center"/>
    </xf>
    <xf numFmtId="10" fontId="190" fillId="0" borderId="78" xfId="1347" applyNumberFormat="1" applyFont="1" applyBorder="1" applyAlignment="1">
      <alignment horizontal="center" vertical="center"/>
    </xf>
    <xf numFmtId="0" fontId="183" fillId="37" borderId="98" xfId="1347" applyFont="1" applyFill="1" applyBorder="1" applyAlignment="1">
      <alignment horizontal="left" vertical="center"/>
    </xf>
    <xf numFmtId="0" fontId="180" fillId="37" borderId="100" xfId="1347" applyFont="1" applyFill="1" applyBorder="1" applyAlignment="1">
      <alignment vertical="center"/>
    </xf>
    <xf numFmtId="0" fontId="180" fillId="0" borderId="6" xfId="1347" applyFont="1" applyBorder="1" applyAlignment="1">
      <alignment vertical="center"/>
    </xf>
    <xf numFmtId="9" fontId="190" fillId="0" borderId="6" xfId="1347" applyNumberFormat="1" applyFont="1" applyBorder="1" applyAlignment="1">
      <alignment horizontal="center" vertical="center"/>
    </xf>
    <xf numFmtId="9" fontId="190" fillId="0" borderId="78" xfId="1347" applyNumberFormat="1" applyFont="1" applyBorder="1" applyAlignment="1">
      <alignment horizontal="center" vertical="center"/>
    </xf>
    <xf numFmtId="0" fontId="183" fillId="41" borderId="15" xfId="0" applyFont="1" applyFill="1" applyBorder="1" applyAlignment="1">
      <alignment horizontal="left"/>
    </xf>
    <xf numFmtId="0" fontId="183" fillId="41" borderId="0" xfId="0" applyFont="1" applyFill="1" applyAlignment="1">
      <alignment horizontal="center"/>
    </xf>
    <xf numFmtId="0" fontId="183" fillId="41" borderId="0" xfId="0" applyFont="1" applyFill="1" applyAlignment="1">
      <alignment horizontal="center" wrapText="1"/>
    </xf>
    <xf numFmtId="178" fontId="23" fillId="3" borderId="118" xfId="0" applyNumberFormat="1" applyFont="1" applyFill="1" applyBorder="1" applyAlignment="1">
      <alignment horizontal="left"/>
    </xf>
    <xf numFmtId="8" fontId="15" fillId="3" borderId="116" xfId="0" applyNumberFormat="1" applyFont="1" applyFill="1" applyBorder="1" applyAlignment="1">
      <alignment horizontal="center"/>
    </xf>
    <xf numFmtId="164" fontId="15" fillId="3" borderId="116" xfId="22" applyNumberFormat="1" applyFont="1" applyFill="1" applyBorder="1" applyAlignment="1">
      <alignment horizontal="center"/>
    </xf>
    <xf numFmtId="288" fontId="195" fillId="3" borderId="116" xfId="22" applyNumberFormat="1" applyFont="1" applyFill="1" applyBorder="1" applyAlignment="1">
      <alignment horizontal="center"/>
    </xf>
    <xf numFmtId="176" fontId="15" fillId="3" borderId="116" xfId="22" applyNumberFormat="1" applyFont="1" applyFill="1" applyBorder="1" applyAlignment="1">
      <alignment horizontal="center"/>
    </xf>
    <xf numFmtId="176" fontId="15" fillId="3" borderId="116" xfId="1360" applyNumberFormat="1" applyFont="1" applyFill="1" applyBorder="1" applyAlignment="1">
      <alignment horizontal="left" indent="3"/>
    </xf>
    <xf numFmtId="38" fontId="180" fillId="0" borderId="0" xfId="0" applyNumberFormat="1" applyFont="1"/>
    <xf numFmtId="175" fontId="200" fillId="34" borderId="79" xfId="0" applyNumberFormat="1" applyFont="1" applyFill="1" applyBorder="1"/>
    <xf numFmtId="175" fontId="200" fillId="34" borderId="80" xfId="0" applyNumberFormat="1" applyFont="1" applyFill="1" applyBorder="1"/>
    <xf numFmtId="289" fontId="195" fillId="3" borderId="116" xfId="22" applyNumberFormat="1" applyFont="1" applyFill="1" applyBorder="1" applyAlignment="1">
      <alignment horizontal="center"/>
    </xf>
    <xf numFmtId="6" fontId="15" fillId="3" borderId="116" xfId="0" applyNumberFormat="1" applyFont="1" applyFill="1" applyBorder="1" applyAlignment="1">
      <alignment horizontal="center"/>
    </xf>
    <xf numFmtId="282" fontId="195" fillId="3" borderId="116" xfId="22" applyNumberFormat="1" applyFont="1" applyFill="1" applyBorder="1" applyAlignment="1">
      <alignment horizontal="center"/>
    </xf>
    <xf numFmtId="0" fontId="178" fillId="0" borderId="144" xfId="0" applyFont="1" applyBorder="1"/>
    <xf numFmtId="308" fontId="15" fillId="0" borderId="122" xfId="0" applyNumberFormat="1" applyFont="1" applyBorder="1" applyAlignment="1">
      <alignment horizontal="left"/>
    </xf>
    <xf numFmtId="0" fontId="204" fillId="0" borderId="0" xfId="0" applyFont="1"/>
    <xf numFmtId="276" fontId="195" fillId="0" borderId="121" xfId="0" applyNumberFormat="1" applyFont="1" applyBorder="1" applyAlignment="1">
      <alignment horizontal="center"/>
    </xf>
    <xf numFmtId="309" fontId="195" fillId="0" borderId="121" xfId="0" applyNumberFormat="1" applyFont="1" applyBorder="1" applyAlignment="1">
      <alignment horizontal="center"/>
    </xf>
    <xf numFmtId="0" fontId="181" fillId="8" borderId="122" xfId="0" applyFont="1" applyFill="1" applyBorder="1"/>
    <xf numFmtId="0" fontId="181" fillId="8" borderId="124" xfId="0" applyFont="1" applyFill="1" applyBorder="1" applyAlignment="1">
      <alignment horizontal="center" wrapText="1"/>
    </xf>
    <xf numFmtId="309" fontId="195" fillId="0" borderId="128" xfId="0" applyNumberFormat="1" applyFont="1" applyBorder="1" applyAlignment="1">
      <alignment horizontal="center"/>
    </xf>
    <xf numFmtId="0" fontId="23" fillId="42" borderId="15" xfId="0" applyFont="1" applyFill="1" applyBorder="1" applyAlignment="1">
      <alignment horizontal="left"/>
    </xf>
    <xf numFmtId="0" fontId="23" fillId="42" borderId="0" xfId="0" applyFont="1" applyFill="1" applyAlignment="1">
      <alignment horizontal="center"/>
    </xf>
    <xf numFmtId="0" fontId="23" fillId="42" borderId="0" xfId="0" applyFont="1" applyFill="1" applyAlignment="1">
      <alignment horizontal="center" wrapText="1"/>
    </xf>
    <xf numFmtId="178" fontId="23" fillId="42" borderId="0" xfId="0" applyNumberFormat="1" applyFont="1" applyFill="1" applyAlignment="1">
      <alignment horizontal="left"/>
    </xf>
    <xf numFmtId="288" fontId="195" fillId="42" borderId="0" xfId="22" applyNumberFormat="1" applyFont="1" applyFill="1" applyBorder="1" applyAlignment="1">
      <alignment horizontal="center"/>
    </xf>
    <xf numFmtId="176" fontId="15" fillId="42" borderId="0" xfId="1360" applyNumberFormat="1" applyFont="1" applyFill="1" applyBorder="1" applyAlignment="1">
      <alignment horizontal="left" indent="3"/>
    </xf>
    <xf numFmtId="8" fontId="15" fillId="42" borderId="0" xfId="0" applyNumberFormat="1" applyFont="1" applyFill="1" applyAlignment="1">
      <alignment horizontal="center"/>
    </xf>
    <xf numFmtId="164" fontId="15" fillId="42" borderId="0" xfId="22" applyNumberFormat="1" applyFont="1" applyFill="1" applyBorder="1" applyAlignment="1">
      <alignment horizontal="center"/>
    </xf>
    <xf numFmtId="0" fontId="205" fillId="43" borderId="98" xfId="0" applyFont="1" applyFill="1" applyBorder="1"/>
    <xf numFmtId="0" fontId="205" fillId="43" borderId="100" xfId="0" applyFont="1" applyFill="1" applyBorder="1"/>
    <xf numFmtId="0" fontId="180" fillId="0" borderId="15" xfId="0" applyFont="1" applyBorder="1"/>
    <xf numFmtId="0" fontId="180" fillId="0" borderId="6" xfId="0" applyFont="1" applyBorder="1"/>
    <xf numFmtId="37" fontId="178" fillId="37" borderId="6" xfId="0" applyNumberFormat="1" applyFont="1" applyFill="1" applyBorder="1" applyAlignment="1">
      <alignment horizontal="right"/>
    </xf>
    <xf numFmtId="0" fontId="178" fillId="37" borderId="15" xfId="0" applyFont="1" applyFill="1" applyBorder="1"/>
    <xf numFmtId="0" fontId="179" fillId="37" borderId="77" xfId="0" applyFont="1" applyFill="1" applyBorder="1"/>
    <xf numFmtId="37" fontId="179" fillId="37" borderId="78" xfId="0" applyNumberFormat="1" applyFont="1" applyFill="1" applyBorder="1" applyAlignment="1">
      <alignment horizontal="right"/>
    </xf>
    <xf numFmtId="0" fontId="179" fillId="37" borderId="79" xfId="0" applyFont="1" applyFill="1" applyBorder="1"/>
    <xf numFmtId="37" fontId="179" fillId="37" borderId="81" xfId="0" applyNumberFormat="1" applyFont="1" applyFill="1" applyBorder="1" applyAlignment="1">
      <alignment horizontal="right"/>
    </xf>
    <xf numFmtId="9" fontId="180" fillId="0" borderId="0" xfId="0" applyNumberFormat="1" applyFont="1"/>
    <xf numFmtId="10" fontId="180" fillId="0" borderId="0" xfId="0" applyNumberFormat="1" applyFont="1"/>
    <xf numFmtId="6" fontId="180" fillId="0" borderId="0" xfId="0" applyNumberFormat="1" applyFont="1"/>
    <xf numFmtId="282" fontId="180" fillId="0" borderId="0" xfId="0" applyNumberFormat="1" applyFont="1"/>
    <xf numFmtId="37" fontId="206" fillId="37" borderId="6" xfId="0" applyNumberFormat="1" applyFont="1" applyFill="1" applyBorder="1" applyAlignment="1">
      <alignment horizontal="right"/>
    </xf>
    <xf numFmtId="9" fontId="208" fillId="37" borderId="6" xfId="13" applyFont="1" applyFill="1" applyBorder="1" applyAlignment="1">
      <alignment horizontal="right"/>
    </xf>
    <xf numFmtId="10" fontId="207" fillId="37" borderId="6" xfId="0" applyNumberFormat="1" applyFont="1" applyFill="1" applyBorder="1" applyAlignment="1">
      <alignment horizontal="right"/>
    </xf>
    <xf numFmtId="0" fontId="178" fillId="37" borderId="67" xfId="0" applyFont="1" applyFill="1" applyBorder="1"/>
    <xf numFmtId="2" fontId="207" fillId="37" borderId="10" xfId="0" applyNumberFormat="1" applyFont="1" applyFill="1" applyBorder="1" applyAlignment="1">
      <alignment horizontal="right"/>
    </xf>
    <xf numFmtId="10" fontId="207" fillId="37" borderId="0" xfId="0" applyNumberFormat="1" applyFont="1" applyFill="1" applyAlignment="1">
      <alignment horizontal="right"/>
    </xf>
    <xf numFmtId="37" fontId="178" fillId="37" borderId="0" xfId="0" applyNumberFormat="1" applyFont="1" applyFill="1" applyAlignment="1">
      <alignment horizontal="right"/>
    </xf>
    <xf numFmtId="2" fontId="207" fillId="37" borderId="0" xfId="0" applyNumberFormat="1" applyFont="1" applyFill="1" applyAlignment="1">
      <alignment horizontal="right"/>
    </xf>
    <xf numFmtId="37" fontId="179" fillId="37" borderId="0" xfId="0" applyNumberFormat="1" applyFont="1" applyFill="1" applyAlignment="1">
      <alignment horizontal="right"/>
    </xf>
    <xf numFmtId="0" fontId="178" fillId="37" borderId="77" xfId="0" applyFont="1" applyFill="1" applyBorder="1"/>
    <xf numFmtId="37" fontId="180" fillId="0" borderId="6" xfId="0" applyNumberFormat="1" applyFont="1" applyBorder="1"/>
    <xf numFmtId="0" fontId="180" fillId="5" borderId="57" xfId="0" applyFont="1" applyFill="1" applyBorder="1" applyAlignment="1">
      <alignment horizontal="left" wrapText="1"/>
    </xf>
    <xf numFmtId="0" fontId="180" fillId="5" borderId="57" xfId="0" applyFont="1" applyFill="1" applyBorder="1" applyAlignment="1">
      <alignment horizontal="left"/>
    </xf>
    <xf numFmtId="6" fontId="2" fillId="0" borderId="0" xfId="1347" applyNumberFormat="1" applyAlignment="1">
      <alignment horizontal="center"/>
    </xf>
    <xf numFmtId="10" fontId="2" fillId="0" borderId="0" xfId="1347" applyNumberFormat="1" applyAlignment="1">
      <alignment horizontal="center"/>
    </xf>
    <xf numFmtId="6" fontId="2" fillId="0" borderId="0" xfId="1347" applyNumberFormat="1" applyAlignment="1">
      <alignment horizontal="center" vertical="center"/>
    </xf>
    <xf numFmtId="8" fontId="2" fillId="0" borderId="0" xfId="1347" applyNumberFormat="1" applyAlignment="1">
      <alignment horizontal="center" vertical="center"/>
    </xf>
    <xf numFmtId="10" fontId="2" fillId="0" borderId="0" xfId="1347" applyNumberFormat="1" applyAlignment="1">
      <alignment horizontal="center" vertical="center"/>
    </xf>
    <xf numFmtId="167" fontId="2" fillId="0" borderId="0" xfId="1347" applyNumberFormat="1" applyAlignment="1">
      <alignment horizontal="center" vertical="center"/>
    </xf>
    <xf numFmtId="9" fontId="2" fillId="0" borderId="0" xfId="1347" applyNumberFormat="1" applyAlignment="1">
      <alignment horizontal="center"/>
    </xf>
    <xf numFmtId="37" fontId="2" fillId="0" borderId="0" xfId="1361" applyNumberFormat="1" applyFont="1" applyFill="1" applyAlignment="1">
      <alignment horizontal="center"/>
    </xf>
    <xf numFmtId="3" fontId="199" fillId="0" borderId="118" xfId="0" applyNumberFormat="1" applyFont="1" applyBorder="1" applyAlignment="1">
      <alignment horizontal="center" vertical="center"/>
    </xf>
    <xf numFmtId="3" fontId="199" fillId="0" borderId="115" xfId="0" applyNumberFormat="1" applyFont="1" applyBorder="1" applyAlignment="1">
      <alignment horizontal="center" vertical="center"/>
    </xf>
    <xf numFmtId="311" fontId="15" fillId="0" borderId="125" xfId="0" applyNumberFormat="1" applyFont="1" applyBorder="1" applyAlignment="1">
      <alignment horizontal="left"/>
    </xf>
    <xf numFmtId="312" fontId="15" fillId="0" borderId="63" xfId="0" applyNumberFormat="1" applyFont="1" applyBorder="1" applyAlignment="1">
      <alignment horizontal="left"/>
    </xf>
    <xf numFmtId="313" fontId="15" fillId="0" borderId="63" xfId="0" applyNumberFormat="1" applyFont="1" applyBorder="1" applyAlignment="1">
      <alignment horizontal="left"/>
    </xf>
    <xf numFmtId="314" fontId="15" fillId="0" borderId="63" xfId="0" applyNumberFormat="1" applyFont="1" applyBorder="1" applyAlignment="1">
      <alignment horizontal="left"/>
    </xf>
    <xf numFmtId="315" fontId="15" fillId="0" borderId="63" xfId="0" applyNumberFormat="1" applyFont="1" applyBorder="1" applyAlignment="1">
      <alignment horizontal="left"/>
    </xf>
    <xf numFmtId="38" fontId="15" fillId="0" borderId="119" xfId="22" applyNumberFormat="1" applyFont="1" applyFill="1" applyBorder="1" applyAlignment="1">
      <alignment horizontal="center"/>
    </xf>
    <xf numFmtId="166" fontId="195" fillId="0" borderId="119" xfId="18" applyNumberFormat="1" applyFont="1" applyBorder="1" applyAlignment="1">
      <alignment horizontal="center" vertical="center"/>
    </xf>
    <xf numFmtId="168" fontId="210" fillId="0" borderId="0" xfId="1360" applyNumberFormat="1" applyFont="1"/>
    <xf numFmtId="168" fontId="0" fillId="0" borderId="0" xfId="1360" applyNumberFormat="1" applyFont="1"/>
    <xf numFmtId="168" fontId="0" fillId="0" borderId="0" xfId="0" applyNumberFormat="1"/>
    <xf numFmtId="0" fontId="207" fillId="37" borderId="0" xfId="0" applyFont="1" applyFill="1"/>
    <xf numFmtId="37" fontId="207" fillId="37" borderId="0" xfId="0" applyNumberFormat="1" applyFont="1" applyFill="1" applyAlignment="1">
      <alignment horizontal="right"/>
    </xf>
    <xf numFmtId="182" fontId="15" fillId="0" borderId="0" xfId="0" applyNumberFormat="1" applyFont="1"/>
    <xf numFmtId="0" fontId="209" fillId="37" borderId="0" xfId="0" applyFont="1" applyFill="1" applyAlignment="1">
      <alignment horizontal="left" indent="1"/>
    </xf>
    <xf numFmtId="0" fontId="205" fillId="0" borderId="0" xfId="0" applyFont="1"/>
    <xf numFmtId="9" fontId="178" fillId="37" borderId="6" xfId="1" applyFont="1" applyFill="1" applyBorder="1" applyAlignment="1">
      <alignment horizontal="right"/>
    </xf>
    <xf numFmtId="0" fontId="178" fillId="37" borderId="101" xfId="0" applyFont="1" applyFill="1" applyBorder="1"/>
    <xf numFmtId="37" fontId="178" fillId="37" borderId="70" xfId="0" applyNumberFormat="1" applyFont="1" applyFill="1" applyBorder="1" applyAlignment="1">
      <alignment horizontal="right"/>
    </xf>
    <xf numFmtId="37" fontId="180" fillId="0" borderId="70" xfId="0" applyNumberFormat="1" applyFont="1" applyBorder="1"/>
    <xf numFmtId="0" fontId="180" fillId="37" borderId="6" xfId="1347" applyFont="1" applyFill="1" applyBorder="1"/>
    <xf numFmtId="0" fontId="180" fillId="37" borderId="77" xfId="1347" applyFont="1" applyFill="1" applyBorder="1"/>
    <xf numFmtId="0" fontId="180" fillId="37" borderId="78" xfId="1347" applyFont="1" applyFill="1" applyBorder="1"/>
    <xf numFmtId="168" fontId="0" fillId="0" borderId="0" xfId="1360" applyNumberFormat="1" applyFont="1" applyBorder="1"/>
    <xf numFmtId="168" fontId="180" fillId="37" borderId="0" xfId="1360" applyNumberFormat="1" applyFont="1" applyFill="1" applyBorder="1"/>
    <xf numFmtId="168" fontId="180" fillId="37" borderId="6" xfId="1360" applyNumberFormat="1" applyFont="1" applyFill="1" applyBorder="1"/>
    <xf numFmtId="168" fontId="180" fillId="37" borderId="94" xfId="1360" applyNumberFormat="1" applyFont="1" applyFill="1" applyBorder="1"/>
    <xf numFmtId="0" fontId="183" fillId="45" borderId="79" xfId="1347" applyFont="1" applyFill="1" applyBorder="1"/>
    <xf numFmtId="0" fontId="183" fillId="45" borderId="80" xfId="1347" applyFont="1" applyFill="1" applyBorder="1" applyAlignment="1">
      <alignment horizontal="center"/>
    </xf>
    <xf numFmtId="0" fontId="183" fillId="45" borderId="81" xfId="1347" applyFont="1" applyFill="1" applyBorder="1" applyAlignment="1">
      <alignment horizontal="center"/>
    </xf>
    <xf numFmtId="0" fontId="183" fillId="46" borderId="79" xfId="1347" applyFont="1" applyFill="1" applyBorder="1" applyAlignment="1">
      <alignment horizontal="center"/>
    </xf>
    <xf numFmtId="0" fontId="183" fillId="46" borderId="80" xfId="1347" applyFont="1" applyFill="1" applyBorder="1" applyAlignment="1">
      <alignment horizontal="center"/>
    </xf>
    <xf numFmtId="0" fontId="183" fillId="46" borderId="81" xfId="1347" applyFont="1" applyFill="1" applyBorder="1" applyAlignment="1">
      <alignment horizontal="center"/>
    </xf>
    <xf numFmtId="0" fontId="180" fillId="45" borderId="0" xfId="1347" applyFont="1" applyFill="1"/>
    <xf numFmtId="0" fontId="183" fillId="0" borderId="0" xfId="1347" applyFont="1" applyAlignment="1">
      <alignment horizontal="center"/>
    </xf>
    <xf numFmtId="0" fontId="0" fillId="0" borderId="94" xfId="0" applyBorder="1"/>
    <xf numFmtId="0" fontId="180" fillId="0" borderId="0" xfId="1347" applyFont="1"/>
    <xf numFmtId="168" fontId="180" fillId="0" borderId="0" xfId="1360" applyNumberFormat="1" applyFont="1" applyFill="1" applyBorder="1"/>
    <xf numFmtId="0" fontId="183" fillId="45" borderId="79" xfId="1347" applyFont="1" applyFill="1" applyBorder="1" applyAlignment="1">
      <alignment horizontal="center"/>
    </xf>
    <xf numFmtId="0" fontId="180" fillId="45" borderId="80" xfId="1347" applyFont="1" applyFill="1" applyBorder="1" applyAlignment="1">
      <alignment horizontal="center"/>
    </xf>
    <xf numFmtId="0" fontId="180" fillId="45" borderId="81" xfId="1347" applyFont="1" applyFill="1" applyBorder="1" applyAlignment="1">
      <alignment horizontal="center"/>
    </xf>
    <xf numFmtId="0" fontId="180" fillId="37" borderId="79" xfId="1347" applyFont="1" applyFill="1" applyBorder="1"/>
    <xf numFmtId="0" fontId="0" fillId="0" borderId="80" xfId="0" applyBorder="1"/>
    <xf numFmtId="168" fontId="180" fillId="37" borderId="80" xfId="1360" applyNumberFormat="1" applyFont="1" applyFill="1" applyBorder="1"/>
    <xf numFmtId="0" fontId="180" fillId="0" borderId="81" xfId="1347" applyFont="1" applyBorder="1"/>
    <xf numFmtId="0" fontId="180" fillId="47" borderId="0" xfId="1347" applyFont="1" applyFill="1"/>
    <xf numFmtId="38" fontId="195" fillId="0" borderId="119" xfId="22" applyNumberFormat="1" applyFont="1" applyFill="1" applyBorder="1" applyAlignment="1">
      <alignment horizontal="center"/>
    </xf>
    <xf numFmtId="0" fontId="180" fillId="0" borderId="78" xfId="0" applyFont="1" applyBorder="1"/>
    <xf numFmtId="0" fontId="178" fillId="0" borderId="67" xfId="0" applyFont="1" applyBorder="1"/>
    <xf numFmtId="0" fontId="178" fillId="0" borderId="77" xfId="0" applyFont="1" applyBorder="1"/>
    <xf numFmtId="166" fontId="178" fillId="0" borderId="10" xfId="18" applyNumberFormat="1" applyFont="1" applyBorder="1"/>
    <xf numFmtId="166" fontId="179" fillId="0" borderId="78" xfId="18" applyNumberFormat="1" applyFont="1" applyBorder="1"/>
    <xf numFmtId="37" fontId="206" fillId="0" borderId="0" xfId="0" applyNumberFormat="1" applyFont="1" applyAlignment="1">
      <alignment horizontal="right"/>
    </xf>
    <xf numFmtId="37" fontId="178" fillId="0" borderId="0" xfId="0" applyNumberFormat="1" applyFont="1" applyAlignment="1">
      <alignment horizontal="right"/>
    </xf>
    <xf numFmtId="9" fontId="208" fillId="0" borderId="0" xfId="13" applyFont="1" applyFill="1" applyBorder="1" applyAlignment="1">
      <alignment horizontal="right"/>
    </xf>
    <xf numFmtId="2" fontId="207" fillId="0" borderId="0" xfId="0" applyNumberFormat="1" applyFont="1" applyAlignment="1">
      <alignment horizontal="right"/>
    </xf>
    <xf numFmtId="9" fontId="207" fillId="0" borderId="0" xfId="0" applyNumberFormat="1" applyFont="1" applyAlignment="1">
      <alignment horizontal="right"/>
    </xf>
    <xf numFmtId="10" fontId="207" fillId="0" borderId="0" xfId="0" applyNumberFormat="1" applyFont="1" applyAlignment="1">
      <alignment horizontal="right"/>
    </xf>
    <xf numFmtId="37" fontId="179" fillId="0" borderId="0" xfId="0" applyNumberFormat="1" applyFont="1" applyAlignment="1">
      <alignment horizontal="right"/>
    </xf>
    <xf numFmtId="0" fontId="185" fillId="0" borderId="0" xfId="1347" applyFont="1"/>
    <xf numFmtId="0" fontId="180" fillId="0" borderId="0" xfId="1347" applyFont="1" applyAlignment="1">
      <alignment horizontal="left" vertical="center" indent="1"/>
    </xf>
    <xf numFmtId="6" fontId="180" fillId="0" borderId="0" xfId="1347" applyNumberFormat="1" applyFont="1" applyAlignment="1">
      <alignment horizontal="center" vertical="center"/>
    </xf>
    <xf numFmtId="0" fontId="203" fillId="0" borderId="0" xfId="1347" applyFont="1" applyAlignment="1">
      <alignment horizontal="center" vertical="center"/>
    </xf>
    <xf numFmtId="38" fontId="203" fillId="0" borderId="0" xfId="1347" applyNumberFormat="1" applyFont="1" applyAlignment="1">
      <alignment horizontal="center" vertical="center"/>
    </xf>
    <xf numFmtId="0" fontId="183" fillId="0" borderId="0" xfId="1347" applyFont="1" applyAlignment="1">
      <alignment horizontal="left" vertical="center" indent="1"/>
    </xf>
    <xf numFmtId="0" fontId="183" fillId="0" borderId="0" xfId="0" applyFont="1" applyAlignment="1">
      <alignment horizontal="center"/>
    </xf>
    <xf numFmtId="0" fontId="183" fillId="0" borderId="0" xfId="1347" applyFont="1" applyAlignment="1">
      <alignment horizontal="centerContinuous"/>
    </xf>
    <xf numFmtId="38" fontId="15" fillId="0" borderId="0" xfId="0" applyNumberFormat="1" applyFont="1" applyAlignment="1">
      <alignment horizontal="center"/>
    </xf>
    <xf numFmtId="0" fontId="183" fillId="0" borderId="0" xfId="1347" applyFont="1"/>
    <xf numFmtId="3" fontId="15" fillId="0" borderId="0" xfId="0" applyNumberFormat="1" applyFont="1" applyAlignment="1">
      <alignment horizontal="center"/>
    </xf>
    <xf numFmtId="166" fontId="183" fillId="0" borderId="0" xfId="1347" applyNumberFormat="1" applyFont="1" applyAlignment="1">
      <alignment horizontal="center"/>
    </xf>
    <xf numFmtId="0" fontId="198" fillId="0" borderId="0" xfId="0" applyFont="1"/>
    <xf numFmtId="6" fontId="198" fillId="0" borderId="111" xfId="0" applyNumberFormat="1" applyFont="1" applyBorder="1" applyAlignment="1">
      <alignment horizontal="center" vertical="center"/>
    </xf>
    <xf numFmtId="301" fontId="198" fillId="0" borderId="57" xfId="0" applyNumberFormat="1" applyFont="1" applyBorder="1" applyAlignment="1">
      <alignment horizontal="center" vertical="center"/>
    </xf>
    <xf numFmtId="6" fontId="198" fillId="0" borderId="143" xfId="0" applyNumberFormat="1" applyFont="1" applyBorder="1" applyAlignment="1">
      <alignment horizontal="center" vertical="center"/>
    </xf>
    <xf numFmtId="9" fontId="198" fillId="0" borderId="6" xfId="0" applyNumberFormat="1" applyFont="1" applyBorder="1" applyAlignment="1">
      <alignment horizontal="center" vertical="center"/>
    </xf>
    <xf numFmtId="166" fontId="198" fillId="0" borderId="0" xfId="0" applyNumberFormat="1" applyFont="1" applyAlignment="1">
      <alignment horizontal="center"/>
    </xf>
    <xf numFmtId="300" fontId="198" fillId="0" borderId="57" xfId="0" applyNumberFormat="1" applyFont="1" applyBorder="1" applyAlignment="1">
      <alignment horizontal="center" vertical="center"/>
    </xf>
    <xf numFmtId="0" fontId="198" fillId="0" borderId="144" xfId="0" applyFont="1" applyBorder="1"/>
    <xf numFmtId="0" fontId="200" fillId="43" borderId="98" xfId="0" applyFont="1" applyFill="1" applyBorder="1"/>
    <xf numFmtId="0" fontId="200" fillId="43" borderId="100" xfId="0" applyFont="1" applyFill="1" applyBorder="1"/>
    <xf numFmtId="6" fontId="198" fillId="0" borderId="59" xfId="0" applyNumberFormat="1" applyFont="1" applyBorder="1" applyAlignment="1">
      <alignment horizontal="center" vertical="center"/>
    </xf>
    <xf numFmtId="9" fontId="198" fillId="0" borderId="78" xfId="0" applyNumberFormat="1" applyFont="1" applyBorder="1" applyAlignment="1">
      <alignment horizontal="center" vertical="center"/>
    </xf>
    <xf numFmtId="9" fontId="198" fillId="0" borderId="139" xfId="0" applyNumberFormat="1" applyFont="1" applyBorder="1" applyAlignment="1">
      <alignment horizontal="center" vertical="center"/>
    </xf>
    <xf numFmtId="0" fontId="198" fillId="37" borderId="15" xfId="0" applyFont="1" applyFill="1" applyBorder="1"/>
    <xf numFmtId="37" fontId="198" fillId="37" borderId="6" xfId="0" applyNumberFormat="1" applyFont="1" applyFill="1" applyBorder="1" applyAlignment="1">
      <alignment horizontal="right"/>
    </xf>
    <xf numFmtId="9" fontId="198" fillId="0" borderId="142" xfId="0" applyNumberFormat="1" applyFont="1" applyBorder="1" applyAlignment="1">
      <alignment horizontal="center" vertical="center"/>
    </xf>
    <xf numFmtId="0" fontId="198" fillId="0" borderId="15" xfId="0" applyFont="1" applyBorder="1"/>
    <xf numFmtId="166" fontId="198" fillId="0" borderId="0" xfId="0" applyNumberFormat="1" applyFont="1"/>
    <xf numFmtId="0" fontId="198" fillId="37" borderId="101" xfId="0" applyFont="1" applyFill="1" applyBorder="1"/>
    <xf numFmtId="37" fontId="198" fillId="37" borderId="70" xfId="0" applyNumberFormat="1" applyFont="1" applyFill="1" applyBorder="1" applyAlignment="1">
      <alignment horizontal="right"/>
    </xf>
    <xf numFmtId="9" fontId="198" fillId="0" borderId="93" xfId="0" applyNumberFormat="1" applyFont="1" applyBorder="1" applyAlignment="1">
      <alignment horizontal="center" vertical="center"/>
    </xf>
    <xf numFmtId="0" fontId="198" fillId="37" borderId="77" xfId="0" applyFont="1" applyFill="1" applyBorder="1"/>
    <xf numFmtId="37" fontId="197" fillId="37" borderId="81" xfId="0" applyNumberFormat="1" applyFont="1" applyFill="1" applyBorder="1" applyAlignment="1">
      <alignment horizontal="right"/>
    </xf>
    <xf numFmtId="166" fontId="198" fillId="0" borderId="143" xfId="0" applyNumberFormat="1" applyFont="1" applyBorder="1" applyAlignment="1">
      <alignment horizontal="center" vertical="center"/>
    </xf>
    <xf numFmtId="166" fontId="198" fillId="0" borderId="57" xfId="0" applyNumberFormat="1" applyFont="1" applyBorder="1" applyAlignment="1">
      <alignment horizontal="center" vertical="center"/>
    </xf>
    <xf numFmtId="6" fontId="198" fillId="0" borderId="57" xfId="0" applyNumberFormat="1" applyFont="1" applyBorder="1" applyAlignment="1">
      <alignment horizontal="center" vertical="center"/>
    </xf>
    <xf numFmtId="6" fontId="198" fillId="0" borderId="88" xfId="0" applyNumberFormat="1" applyFont="1" applyBorder="1" applyAlignment="1">
      <alignment horizontal="center" vertical="center"/>
    </xf>
    <xf numFmtId="0" fontId="198" fillId="0" borderId="89" xfId="0" applyFont="1" applyBorder="1"/>
    <xf numFmtId="0" fontId="200" fillId="0" borderId="0" xfId="0" applyFont="1" applyAlignment="1">
      <alignment horizontal="center"/>
    </xf>
    <xf numFmtId="0" fontId="197" fillId="0" borderId="66" xfId="0" applyFont="1" applyBorder="1" applyAlignment="1">
      <alignment horizontal="center" vertical="center"/>
    </xf>
    <xf numFmtId="0" fontId="197" fillId="0" borderId="143" xfId="0" applyFont="1" applyBorder="1" applyAlignment="1">
      <alignment vertical="center"/>
    </xf>
    <xf numFmtId="0" fontId="197" fillId="0" borderId="119" xfId="0" applyFont="1" applyBorder="1" applyAlignment="1">
      <alignment horizontal="center" wrapText="1"/>
    </xf>
    <xf numFmtId="0" fontId="197" fillId="0" borderId="121" xfId="0" applyFont="1" applyBorder="1" applyAlignment="1">
      <alignment horizontal="center"/>
    </xf>
    <xf numFmtId="0" fontId="197" fillId="0" borderId="0" xfId="0" applyFont="1" applyAlignment="1">
      <alignment horizontal="center" wrapText="1"/>
    </xf>
    <xf numFmtId="0" fontId="197" fillId="0" borderId="0" xfId="1347" applyFont="1" applyAlignment="1">
      <alignment horizontal="center" vertical="center"/>
    </xf>
    <xf numFmtId="0" fontId="198" fillId="0" borderId="0" xfId="1347" applyFont="1" applyAlignment="1">
      <alignment horizontal="center" vertical="center"/>
    </xf>
    <xf numFmtId="166" fontId="198" fillId="0" borderId="119" xfId="0" applyNumberFormat="1" applyFont="1" applyBorder="1" applyAlignment="1">
      <alignment horizontal="center"/>
    </xf>
    <xf numFmtId="0" fontId="200" fillId="0" borderId="0" xfId="1347" applyFont="1" applyAlignment="1">
      <alignment vertical="center"/>
    </xf>
    <xf numFmtId="0" fontId="215" fillId="0" borderId="0" xfId="1347" applyFont="1"/>
    <xf numFmtId="0" fontId="198" fillId="0" borderId="0" xfId="1347" applyFont="1" applyAlignment="1">
      <alignment horizontal="left" vertical="center" indent="1"/>
    </xf>
    <xf numFmtId="9" fontId="216" fillId="0" borderId="0" xfId="1347" applyNumberFormat="1" applyFont="1" applyAlignment="1">
      <alignment horizontal="center" vertical="center"/>
    </xf>
    <xf numFmtId="0" fontId="198" fillId="0" borderId="0" xfId="1347" applyFont="1"/>
    <xf numFmtId="0" fontId="198" fillId="0" borderId="119" xfId="0" applyFont="1" applyBorder="1"/>
    <xf numFmtId="166" fontId="198" fillId="0" borderId="119" xfId="0" applyNumberFormat="1" applyFont="1" applyBorder="1"/>
    <xf numFmtId="166" fontId="198" fillId="0" borderId="130" xfId="0" applyNumberFormat="1" applyFont="1" applyBorder="1"/>
    <xf numFmtId="166" fontId="198" fillId="0" borderId="131" xfId="0" applyNumberFormat="1" applyFont="1" applyBorder="1"/>
    <xf numFmtId="0" fontId="217" fillId="0" borderId="0" xfId="1347" applyFont="1" applyAlignment="1">
      <alignment horizontal="left" vertical="center" indent="1"/>
    </xf>
    <xf numFmtId="166" fontId="198" fillId="0" borderId="66" xfId="0" applyNumberFormat="1" applyFont="1" applyBorder="1" applyAlignment="1">
      <alignment horizontal="center"/>
    </xf>
    <xf numFmtId="6" fontId="198" fillId="0" borderId="0" xfId="1347" applyNumberFormat="1" applyFont="1" applyAlignment="1">
      <alignment horizontal="center" vertical="center"/>
    </xf>
    <xf numFmtId="0" fontId="198" fillId="0" borderId="0" xfId="0" applyFont="1" applyAlignment="1">
      <alignment horizontal="center"/>
    </xf>
    <xf numFmtId="0" fontId="216" fillId="0" borderId="0" xfId="1347" applyFont="1" applyAlignment="1">
      <alignment horizontal="center" vertical="center"/>
    </xf>
    <xf numFmtId="0" fontId="197" fillId="0" borderId="95" xfId="0" applyFont="1" applyBorder="1" applyAlignment="1">
      <alignment horizontal="center" vertical="center" wrapText="1"/>
    </xf>
    <xf numFmtId="0" fontId="197" fillId="0" borderId="119" xfId="0" applyFont="1" applyBorder="1" applyAlignment="1">
      <alignment horizontal="center" vertical="center" wrapText="1"/>
    </xf>
    <xf numFmtId="0" fontId="197" fillId="0" borderId="120" xfId="0" applyFont="1" applyBorder="1" applyAlignment="1">
      <alignment horizontal="center" vertical="center" wrapText="1"/>
    </xf>
    <xf numFmtId="0" fontId="197" fillId="0" borderId="121" xfId="0" applyFont="1" applyBorder="1" applyAlignment="1">
      <alignment horizontal="center" vertical="center" wrapText="1"/>
    </xf>
    <xf numFmtId="43" fontId="198" fillId="0" borderId="0" xfId="1360" applyFont="1"/>
    <xf numFmtId="3" fontId="199" fillId="0" borderId="122" xfId="0" applyNumberFormat="1" applyFont="1" applyBorder="1" applyAlignment="1">
      <alignment horizontal="center" vertical="center"/>
    </xf>
    <xf numFmtId="291" fontId="198" fillId="0" borderId="123" xfId="0" applyNumberFormat="1" applyFont="1" applyBorder="1" applyAlignment="1">
      <alignment horizontal="center" vertical="center" wrapText="1"/>
    </xf>
    <xf numFmtId="14" fontId="198" fillId="0" borderId="123" xfId="0" applyNumberFormat="1" applyFont="1" applyBorder="1" applyAlignment="1">
      <alignment horizontal="center" vertical="center"/>
    </xf>
    <xf numFmtId="14" fontId="198" fillId="0" borderId="124" xfId="0" applyNumberFormat="1" applyFont="1" applyBorder="1" applyAlignment="1">
      <alignment horizontal="center" vertical="center"/>
    </xf>
    <xf numFmtId="0" fontId="198" fillId="0" borderId="0" xfId="1347" applyFont="1" applyAlignment="1">
      <alignment horizontal="left" indent="1"/>
    </xf>
    <xf numFmtId="14" fontId="198" fillId="0" borderId="120" xfId="0" applyNumberFormat="1" applyFont="1" applyBorder="1" applyAlignment="1">
      <alignment horizontal="center" vertical="center" wrapText="1"/>
    </xf>
    <xf numFmtId="38" fontId="216" fillId="0" borderId="0" xfId="1347" applyNumberFormat="1" applyFont="1" applyAlignment="1">
      <alignment horizontal="center" vertical="center"/>
    </xf>
    <xf numFmtId="0" fontId="198" fillId="0" borderId="6" xfId="0" applyFont="1" applyBorder="1"/>
    <xf numFmtId="0" fontId="199" fillId="0" borderId="127" xfId="0" applyFont="1" applyBorder="1" applyAlignment="1">
      <alignment horizontal="center" vertical="center"/>
    </xf>
    <xf numFmtId="291" fontId="198" fillId="0" borderId="126" xfId="0" applyNumberFormat="1" applyFont="1" applyBorder="1" applyAlignment="1">
      <alignment horizontal="center" vertical="center" wrapText="1"/>
    </xf>
    <xf numFmtId="14" fontId="198" fillId="0" borderId="141" xfId="0" applyNumberFormat="1" applyFont="1" applyBorder="1" applyAlignment="1">
      <alignment horizontal="center" vertical="center"/>
    </xf>
    <xf numFmtId="14" fontId="198" fillId="0" borderId="126" xfId="0" applyNumberFormat="1" applyFont="1" applyBorder="1" applyAlignment="1">
      <alignment horizontal="center" vertical="center"/>
    </xf>
    <xf numFmtId="14" fontId="198" fillId="0" borderId="128" xfId="0" applyNumberFormat="1" applyFont="1" applyBorder="1" applyAlignment="1">
      <alignment horizontal="center" vertical="center"/>
    </xf>
    <xf numFmtId="38" fontId="13" fillId="0" borderId="0" xfId="1347" applyNumberFormat="1" applyFont="1" applyAlignment="1">
      <alignment horizontal="center" vertical="center"/>
    </xf>
    <xf numFmtId="0" fontId="198" fillId="0" borderId="67" xfId="0" applyFont="1" applyBorder="1"/>
    <xf numFmtId="6" fontId="198" fillId="0" borderId="10" xfId="0" applyNumberFormat="1" applyFont="1" applyBorder="1"/>
    <xf numFmtId="3" fontId="199" fillId="0" borderId="0" xfId="0" applyNumberFormat="1" applyFont="1" applyAlignment="1">
      <alignment horizontal="center" vertical="center"/>
    </xf>
    <xf numFmtId="291" fontId="198" fillId="0" borderId="0" xfId="0" applyNumberFormat="1" applyFont="1" applyAlignment="1">
      <alignment horizontal="center" vertical="center" wrapText="1"/>
    </xf>
    <xf numFmtId="14" fontId="198" fillId="0" borderId="0" xfId="0" applyNumberFormat="1" applyFont="1" applyAlignment="1">
      <alignment horizontal="center" vertical="center"/>
    </xf>
    <xf numFmtId="14" fontId="198" fillId="0" borderId="0" xfId="0" applyNumberFormat="1" applyFont="1" applyAlignment="1">
      <alignment vertical="center"/>
    </xf>
    <xf numFmtId="0" fontId="198" fillId="0" borderId="101" xfId="0" applyFont="1" applyBorder="1"/>
    <xf numFmtId="0" fontId="198" fillId="0" borderId="70" xfId="0" applyFont="1" applyBorder="1"/>
    <xf numFmtId="0" fontId="197" fillId="0" borderId="0" xfId="1347" applyFont="1" applyAlignment="1">
      <alignment horizontal="left" vertical="center" indent="1"/>
    </xf>
    <xf numFmtId="6" fontId="198" fillId="0" borderId="70" xfId="0" applyNumberFormat="1" applyFont="1" applyBorder="1"/>
    <xf numFmtId="0" fontId="198" fillId="37" borderId="0" xfId="1347" applyFont="1" applyFill="1"/>
    <xf numFmtId="291" fontId="198" fillId="0" borderId="0" xfId="0" applyNumberFormat="1" applyFont="1" applyAlignment="1">
      <alignment horizontal="center" vertical="center"/>
    </xf>
    <xf numFmtId="0" fontId="198" fillId="0" borderId="77" xfId="0" applyFont="1" applyBorder="1"/>
    <xf numFmtId="6" fontId="197" fillId="0" borderId="78" xfId="0" applyNumberFormat="1" applyFont="1" applyBorder="1"/>
    <xf numFmtId="168" fontId="180" fillId="0" borderId="0" xfId="1360" applyNumberFormat="1" applyFont="1"/>
    <xf numFmtId="0" fontId="23" fillId="0" borderId="0" xfId="0" applyFont="1"/>
    <xf numFmtId="6" fontId="23" fillId="0" borderId="0" xfId="0" applyNumberFormat="1" applyFont="1" applyAlignment="1">
      <alignment horizontal="center"/>
    </xf>
    <xf numFmtId="0" fontId="180" fillId="0" borderId="64" xfId="0" applyFont="1" applyBorder="1" applyAlignment="1">
      <alignment horizontal="center"/>
    </xf>
    <xf numFmtId="6" fontId="180" fillId="0" borderId="136" xfId="0" applyNumberFormat="1" applyFont="1" applyBorder="1"/>
    <xf numFmtId="6" fontId="180" fillId="0" borderId="64" xfId="0" applyNumberFormat="1" applyFont="1" applyBorder="1"/>
    <xf numFmtId="6" fontId="23" fillId="0" borderId="118" xfId="0" applyNumberFormat="1" applyFont="1" applyBorder="1"/>
    <xf numFmtId="9" fontId="23" fillId="46" borderId="79" xfId="1347" applyNumberFormat="1" applyFont="1" applyFill="1" applyBorder="1" applyAlignment="1">
      <alignment horizontal="center" vertical="center"/>
    </xf>
    <xf numFmtId="9" fontId="23" fillId="46" borderId="80" xfId="1347" applyNumberFormat="1" applyFont="1" applyFill="1" applyBorder="1" applyAlignment="1">
      <alignment horizontal="center" vertical="center"/>
    </xf>
    <xf numFmtId="9" fontId="23" fillId="46" borderId="81" xfId="1347" applyNumberFormat="1" applyFont="1" applyFill="1" applyBorder="1" applyAlignment="1">
      <alignment horizontal="center" vertical="center"/>
    </xf>
    <xf numFmtId="9" fontId="23" fillId="0" borderId="125" xfId="1" applyFont="1" applyBorder="1"/>
    <xf numFmtId="6" fontId="180" fillId="0" borderId="6" xfId="0" applyNumberFormat="1" applyFont="1" applyBorder="1"/>
    <xf numFmtId="38" fontId="182" fillId="0" borderId="66" xfId="22" applyNumberFormat="1" applyFont="1" applyFill="1" applyBorder="1" applyAlignment="1">
      <alignment horizontal="center"/>
    </xf>
    <xf numFmtId="38" fontId="182" fillId="0" borderId="119" xfId="22" applyNumberFormat="1" applyFont="1" applyFill="1" applyBorder="1" applyAlignment="1">
      <alignment horizontal="center"/>
    </xf>
    <xf numFmtId="312" fontId="15" fillId="0" borderId="125" xfId="0" applyNumberFormat="1" applyFont="1" applyBorder="1" applyAlignment="1">
      <alignment horizontal="left"/>
    </xf>
    <xf numFmtId="0" fontId="197" fillId="0" borderId="9" xfId="0" applyFont="1" applyBorder="1"/>
    <xf numFmtId="282" fontId="198" fillId="0" borderId="0" xfId="0" applyNumberFormat="1" applyFont="1"/>
    <xf numFmtId="0" fontId="198" fillId="0" borderId="118" xfId="0" applyFont="1" applyBorder="1" applyAlignment="1">
      <alignment horizontal="left" wrapText="1"/>
    </xf>
    <xf numFmtId="0" fontId="198" fillId="0" borderId="118" xfId="0" applyFont="1" applyBorder="1"/>
    <xf numFmtId="0" fontId="198" fillId="0" borderId="136" xfId="0" applyFont="1" applyBorder="1" applyAlignment="1">
      <alignment horizontal="center" wrapText="1"/>
    </xf>
    <xf numFmtId="166" fontId="198" fillId="0" borderId="120" xfId="0" applyNumberFormat="1" applyFont="1" applyBorder="1" applyAlignment="1">
      <alignment horizontal="center"/>
    </xf>
    <xf numFmtId="166" fontId="198" fillId="0" borderId="120" xfId="0" applyNumberFormat="1" applyFont="1" applyBorder="1"/>
    <xf numFmtId="166" fontId="198" fillId="0" borderId="137" xfId="0" applyNumberFormat="1" applyFont="1" applyBorder="1"/>
    <xf numFmtId="0" fontId="178" fillId="0" borderId="119" xfId="0" applyFont="1" applyBorder="1" applyAlignment="1">
      <alignment horizontal="center"/>
    </xf>
    <xf numFmtId="5" fontId="15" fillId="0" borderId="119" xfId="22" applyNumberFormat="1" applyFont="1" applyBorder="1" applyAlignment="1">
      <alignment horizontal="center" vertical="center"/>
    </xf>
    <xf numFmtId="178" fontId="180" fillId="0" borderId="0" xfId="1360" applyNumberFormat="1" applyFont="1"/>
    <xf numFmtId="37" fontId="198" fillId="0" borderId="0" xfId="0" applyNumberFormat="1" applyFont="1" applyAlignment="1">
      <alignment horizontal="right"/>
    </xf>
    <xf numFmtId="9" fontId="213" fillId="0" borderId="0" xfId="13" applyFont="1" applyFill="1" applyBorder="1" applyAlignment="1">
      <alignment horizontal="right"/>
    </xf>
    <xf numFmtId="10" fontId="214" fillId="0" borderId="0" xfId="0" applyNumberFormat="1" applyFont="1" applyAlignment="1">
      <alignment horizontal="right"/>
    </xf>
    <xf numFmtId="2" fontId="214" fillId="0" borderId="0" xfId="0" applyNumberFormat="1" applyFont="1" applyAlignment="1">
      <alignment horizontal="right"/>
    </xf>
    <xf numFmtId="0" fontId="197" fillId="0" borderId="0" xfId="0" applyFont="1"/>
    <xf numFmtId="37" fontId="197" fillId="0" borderId="0" xfId="0" applyNumberFormat="1" applyFont="1" applyAlignment="1">
      <alignment horizontal="right"/>
    </xf>
    <xf numFmtId="6" fontId="0" fillId="0" borderId="6" xfId="0" applyNumberFormat="1" applyBorder="1"/>
    <xf numFmtId="301" fontId="178" fillId="0" borderId="6" xfId="0" applyNumberFormat="1" applyFont="1" applyBorder="1"/>
    <xf numFmtId="6" fontId="178" fillId="0" borderId="6" xfId="0" applyNumberFormat="1" applyFont="1" applyBorder="1"/>
    <xf numFmtId="37" fontId="198" fillId="37" borderId="145" xfId="0" applyNumberFormat="1" applyFont="1" applyFill="1" applyBorder="1" applyAlignment="1">
      <alignment horizontal="right"/>
    </xf>
    <xf numFmtId="0" fontId="178" fillId="0" borderId="6" xfId="0" applyFont="1" applyBorder="1"/>
    <xf numFmtId="168" fontId="178" fillId="0" borderId="78" xfId="1360" applyNumberFormat="1" applyFont="1" applyBorder="1"/>
    <xf numFmtId="0" fontId="23" fillId="0" borderId="0" xfId="0" applyFont="1" applyAlignment="1">
      <alignment horizontal="right"/>
    </xf>
    <xf numFmtId="6" fontId="23" fillId="0" borderId="0" xfId="0" applyNumberFormat="1" applyFont="1"/>
    <xf numFmtId="10" fontId="180" fillId="0" borderId="118" xfId="7" applyNumberFormat="1" applyFont="1" applyBorder="1"/>
    <xf numFmtId="6" fontId="23" fillId="0" borderId="115" xfId="0" applyNumberFormat="1" applyFont="1" applyBorder="1"/>
    <xf numFmtId="6" fontId="180" fillId="0" borderId="0" xfId="0" applyNumberFormat="1" applyFont="1" applyAlignment="1">
      <alignment horizontal="center"/>
    </xf>
    <xf numFmtId="6" fontId="15" fillId="0" borderId="0" xfId="2" applyNumberFormat="1" applyFont="1" applyAlignment="1">
      <alignment horizontal="center"/>
    </xf>
    <xf numFmtId="0" fontId="183" fillId="0" borderId="98" xfId="0" applyFont="1" applyBorder="1"/>
    <xf numFmtId="0" fontId="183" fillId="0" borderId="15" xfId="0" applyFont="1" applyBorder="1"/>
    <xf numFmtId="0" fontId="183" fillId="0" borderId="77" xfId="0" applyFont="1" applyBorder="1"/>
    <xf numFmtId="49" fontId="180" fillId="0" borderId="0" xfId="0" applyNumberFormat="1" applyFont="1"/>
    <xf numFmtId="168" fontId="0" fillId="0" borderId="0" xfId="1360" applyNumberFormat="1" applyFont="1" applyFill="1"/>
    <xf numFmtId="168" fontId="210" fillId="0" borderId="0" xfId="1360" applyNumberFormat="1" applyFont="1" applyFill="1"/>
    <xf numFmtId="168" fontId="0" fillId="0" borderId="6" xfId="1360" applyNumberFormat="1" applyFont="1" applyFill="1" applyBorder="1"/>
    <xf numFmtId="314" fontId="15" fillId="0" borderId="0" xfId="0" applyNumberFormat="1" applyFont="1" applyAlignment="1">
      <alignment horizontal="left"/>
    </xf>
    <xf numFmtId="1" fontId="180" fillId="0" borderId="0" xfId="0" applyNumberFormat="1" applyFont="1"/>
    <xf numFmtId="178" fontId="15" fillId="0" borderId="0" xfId="0" applyNumberFormat="1" applyFont="1" applyAlignment="1">
      <alignment horizontal="left"/>
    </xf>
    <xf numFmtId="311" fontId="15" fillId="0" borderId="0" xfId="0" applyNumberFormat="1" applyFont="1" applyAlignment="1">
      <alignment horizontal="left"/>
    </xf>
    <xf numFmtId="312" fontId="15" fillId="0" borderId="0" xfId="0" applyNumberFormat="1" applyFont="1" applyAlignment="1">
      <alignment horizontal="left"/>
    </xf>
    <xf numFmtId="313" fontId="15" fillId="0" borderId="0" xfId="0" applyNumberFormat="1" applyFont="1" applyAlignment="1">
      <alignment horizontal="left"/>
    </xf>
    <xf numFmtId="314" fontId="180" fillId="0" borderId="0" xfId="0" applyNumberFormat="1" applyFont="1"/>
    <xf numFmtId="168" fontId="180" fillId="0" borderId="0" xfId="0" applyNumberFormat="1" applyFont="1"/>
    <xf numFmtId="178" fontId="180" fillId="0" borderId="0" xfId="0" applyNumberFormat="1" applyFont="1"/>
    <xf numFmtId="0" fontId="23" fillId="0" borderId="121" xfId="2" applyFont="1" applyBorder="1"/>
    <xf numFmtId="0" fontId="183" fillId="41" borderId="6" xfId="0" applyFont="1" applyFill="1" applyBorder="1" applyAlignment="1">
      <alignment horizontal="center"/>
    </xf>
    <xf numFmtId="318" fontId="180" fillId="0" borderId="15" xfId="0" applyNumberFormat="1" applyFont="1" applyBorder="1" applyAlignment="1">
      <alignment horizontal="left"/>
    </xf>
    <xf numFmtId="164" fontId="15" fillId="0" borderId="121" xfId="22" applyNumberFormat="1" applyFont="1" applyFill="1" applyBorder="1" applyAlignment="1">
      <alignment horizontal="center"/>
    </xf>
    <xf numFmtId="317" fontId="180" fillId="0" borderId="15" xfId="0" applyNumberFormat="1" applyFont="1" applyBorder="1" applyAlignment="1">
      <alignment horizontal="left"/>
    </xf>
    <xf numFmtId="316" fontId="15" fillId="0" borderId="125" xfId="0" applyNumberFormat="1" applyFont="1" applyBorder="1" applyAlignment="1">
      <alignment horizontal="left"/>
    </xf>
    <xf numFmtId="178" fontId="23" fillId="3" borderId="117" xfId="0" applyNumberFormat="1" applyFont="1" applyFill="1" applyBorder="1" applyAlignment="1">
      <alignment horizontal="left"/>
    </xf>
    <xf numFmtId="164" fontId="15" fillId="3" borderId="145" xfId="22" applyNumberFormat="1" applyFont="1" applyFill="1" applyBorder="1" applyAlignment="1">
      <alignment horizontal="center"/>
    </xf>
    <xf numFmtId="6" fontId="183" fillId="0" borderId="121" xfId="0" applyNumberFormat="1" applyFont="1" applyBorder="1" applyAlignment="1">
      <alignment horizontal="center"/>
    </xf>
    <xf numFmtId="0" fontId="15" fillId="4" borderId="93" xfId="0" applyFont="1" applyFill="1" applyBorder="1"/>
    <xf numFmtId="168" fontId="15" fillId="0" borderId="59" xfId="22" applyNumberFormat="1" applyFont="1" applyFill="1" applyBorder="1" applyAlignment="1">
      <alignment horizontal="center"/>
    </xf>
    <xf numFmtId="177" fontId="23" fillId="0" borderId="59" xfId="22" applyNumberFormat="1" applyFont="1" applyFill="1" applyBorder="1" applyAlignment="1">
      <alignment horizontal="center" vertical="center"/>
    </xf>
    <xf numFmtId="165" fontId="23" fillId="0" borderId="59" xfId="2" applyNumberFormat="1" applyFont="1" applyBorder="1" applyAlignment="1">
      <alignment horizontal="center"/>
    </xf>
    <xf numFmtId="0" fontId="181" fillId="8" borderId="15" xfId="0" applyFont="1" applyFill="1" applyBorder="1"/>
    <xf numFmtId="3" fontId="181" fillId="8" borderId="6" xfId="0" applyNumberFormat="1" applyFont="1" applyFill="1" applyBorder="1"/>
    <xf numFmtId="0" fontId="181" fillId="8" borderId="99" xfId="0" applyFont="1" applyFill="1" applyBorder="1" applyAlignment="1">
      <alignment horizontal="center"/>
    </xf>
    <xf numFmtId="0" fontId="181" fillId="8" borderId="100" xfId="0" applyFont="1" applyFill="1" applyBorder="1" applyAlignment="1">
      <alignment horizontal="center"/>
    </xf>
    <xf numFmtId="6" fontId="15" fillId="0" borderId="121" xfId="0" applyNumberFormat="1" applyFont="1" applyBorder="1"/>
    <xf numFmtId="6" fontId="15" fillId="3" borderId="145" xfId="0" applyNumberFormat="1" applyFont="1" applyFill="1" applyBorder="1" applyAlignment="1">
      <alignment horizontal="center"/>
    </xf>
    <xf numFmtId="0" fontId="24" fillId="0" borderId="91" xfId="14" applyFont="1" applyBorder="1"/>
    <xf numFmtId="3" fontId="195" fillId="0" borderId="143" xfId="14" applyNumberFormat="1" applyFont="1" applyBorder="1" applyAlignment="1">
      <alignment horizontal="center"/>
    </xf>
    <xf numFmtId="0" fontId="24" fillId="0" borderId="63" xfId="14" applyFont="1" applyBorder="1"/>
    <xf numFmtId="3" fontId="15" fillId="0" borderId="59" xfId="0" applyNumberFormat="1" applyFont="1" applyBorder="1" applyAlignment="1">
      <alignment horizontal="center"/>
    </xf>
    <xf numFmtId="8" fontId="15" fillId="0" borderId="59" xfId="0" applyNumberFormat="1" applyFont="1" applyBorder="1"/>
    <xf numFmtId="6" fontId="15" fillId="0" borderId="93" xfId="0" applyNumberFormat="1" applyFont="1" applyBorder="1"/>
    <xf numFmtId="0" fontId="181" fillId="0" borderId="0" xfId="0" applyFont="1" applyAlignment="1">
      <alignment horizontal="center"/>
    </xf>
    <xf numFmtId="164" fontId="15" fillId="0" borderId="0" xfId="22" applyNumberFormat="1" applyFont="1" applyFill="1" applyBorder="1" applyAlignment="1">
      <alignment horizontal="center"/>
    </xf>
    <xf numFmtId="0" fontId="197" fillId="0" borderId="119" xfId="0" applyFont="1" applyBorder="1" applyAlignment="1">
      <alignment horizontal="center"/>
    </xf>
    <xf numFmtId="0" fontId="198" fillId="11" borderId="111" xfId="0" applyFont="1" applyFill="1" applyBorder="1" applyAlignment="1">
      <alignment horizontal="center" vertical="center" wrapText="1"/>
    </xf>
    <xf numFmtId="0" fontId="197" fillId="0" borderId="110" xfId="0" applyFont="1" applyBorder="1" applyAlignment="1">
      <alignment vertical="center" wrapText="1"/>
    </xf>
    <xf numFmtId="0" fontId="197" fillId="0" borderId="112" xfId="0" applyFont="1" applyBorder="1" applyAlignment="1">
      <alignment horizontal="center" vertical="center" wrapText="1"/>
    </xf>
    <xf numFmtId="0" fontId="198" fillId="11" borderId="111" xfId="0" applyFont="1" applyFill="1" applyBorder="1" applyAlignment="1">
      <alignment horizontal="center" vertical="center"/>
    </xf>
    <xf numFmtId="0" fontId="197" fillId="0" borderId="99" xfId="0" applyFont="1" applyBorder="1" applyAlignment="1">
      <alignment horizontal="center" vertical="center"/>
    </xf>
    <xf numFmtId="0" fontId="197" fillId="0" borderId="112" xfId="0" applyFont="1" applyBorder="1" applyAlignment="1">
      <alignment horizontal="center" vertical="center"/>
    </xf>
    <xf numFmtId="0" fontId="197" fillId="0" borderId="111" xfId="0" applyFont="1" applyBorder="1" applyAlignment="1">
      <alignment horizontal="center" vertical="center"/>
    </xf>
    <xf numFmtId="0" fontId="197" fillId="0" borderId="111" xfId="0" applyFont="1" applyBorder="1" applyAlignment="1">
      <alignment horizontal="center" vertical="center" wrapText="1"/>
    </xf>
    <xf numFmtId="0" fontId="198" fillId="11" borderId="112" xfId="0" applyFont="1" applyFill="1" applyBorder="1" applyAlignment="1">
      <alignment horizontal="center" vertical="center" wrapText="1"/>
    </xf>
    <xf numFmtId="0" fontId="197" fillId="0" borderId="100" xfId="0" applyFont="1" applyBorder="1" applyAlignment="1">
      <alignment horizontal="center" vertical="center" wrapText="1"/>
    </xf>
    <xf numFmtId="0" fontId="197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9" fontId="15" fillId="0" borderId="0" xfId="0" applyNumberFormat="1" applyFont="1" applyAlignment="1">
      <alignment horizontal="center"/>
    </xf>
    <xf numFmtId="6" fontId="15" fillId="0" borderId="0" xfId="0" applyNumberFormat="1" applyFont="1" applyAlignment="1">
      <alignment horizontal="center"/>
    </xf>
    <xf numFmtId="49" fontId="15" fillId="0" borderId="0" xfId="22" applyNumberFormat="1" applyFont="1" applyFill="1" applyBorder="1" applyAlignment="1">
      <alignment horizontal="center"/>
    </xf>
    <xf numFmtId="0" fontId="15" fillId="0" borderId="144" xfId="0" applyFont="1" applyBorder="1"/>
    <xf numFmtId="168" fontId="15" fillId="0" borderId="143" xfId="22" applyNumberFormat="1" applyFont="1" applyFill="1" applyBorder="1" applyAlignment="1">
      <alignment horizontal="center"/>
    </xf>
    <xf numFmtId="177" fontId="23" fillId="0" borderId="143" xfId="22" applyNumberFormat="1" applyFont="1" applyFill="1" applyBorder="1" applyAlignment="1">
      <alignment horizontal="center" vertical="center"/>
    </xf>
    <xf numFmtId="165" fontId="23" fillId="0" borderId="143" xfId="2" applyNumberFormat="1" applyFont="1" applyBorder="1" applyAlignment="1">
      <alignment horizontal="center"/>
    </xf>
    <xf numFmtId="0" fontId="23" fillId="42" borderId="6" xfId="0" applyFont="1" applyFill="1" applyBorder="1" applyAlignment="1">
      <alignment horizontal="center"/>
    </xf>
    <xf numFmtId="178" fontId="23" fillId="42" borderId="15" xfId="0" applyNumberFormat="1" applyFont="1" applyFill="1" applyBorder="1" applyAlignment="1">
      <alignment horizontal="left"/>
    </xf>
    <xf numFmtId="8" fontId="15" fillId="42" borderId="6" xfId="0" applyNumberFormat="1" applyFont="1" applyFill="1" applyBorder="1" applyAlignment="1">
      <alignment horizontal="center"/>
    </xf>
    <xf numFmtId="282" fontId="23" fillId="0" borderId="59" xfId="0" applyNumberFormat="1" applyFont="1" applyBorder="1" applyAlignment="1">
      <alignment horizontal="center"/>
    </xf>
    <xf numFmtId="49" fontId="15" fillId="0" borderId="0" xfId="0" applyNumberFormat="1" applyFont="1" applyAlignment="1">
      <alignment horizontal="right"/>
    </xf>
    <xf numFmtId="5" fontId="23" fillId="0" borderId="119" xfId="22" applyNumberFormat="1" applyFont="1" applyFill="1" applyBorder="1" applyAlignment="1">
      <alignment horizontal="center"/>
    </xf>
    <xf numFmtId="298" fontId="15" fillId="0" borderId="119" xfId="22" applyNumberFormat="1" applyFont="1" applyFill="1" applyBorder="1" applyAlignment="1">
      <alignment horizontal="center"/>
    </xf>
    <xf numFmtId="299" fontId="15" fillId="0" borderId="119" xfId="22" applyNumberFormat="1" applyFont="1" applyFill="1" applyBorder="1" applyAlignment="1">
      <alignment horizontal="center"/>
    </xf>
    <xf numFmtId="7" fontId="15" fillId="0" borderId="119" xfId="22" applyNumberFormat="1" applyFont="1" applyFill="1" applyBorder="1" applyAlignment="1">
      <alignment horizontal="center"/>
    </xf>
    <xf numFmtId="168" fontId="178" fillId="0" borderId="119" xfId="1360" applyNumberFormat="1" applyFont="1" applyBorder="1" applyAlignment="1">
      <alignment horizontal="center" vertical="center"/>
    </xf>
    <xf numFmtId="166" fontId="198" fillId="0" borderId="119" xfId="18" applyNumberFormat="1" applyFont="1" applyBorder="1" applyAlignment="1">
      <alignment horizontal="center"/>
    </xf>
    <xf numFmtId="166" fontId="198" fillId="0" borderId="119" xfId="0" applyNumberFormat="1" applyFont="1" applyBorder="1" applyAlignment="1">
      <alignment horizontal="center" vertical="center"/>
    </xf>
    <xf numFmtId="166" fontId="198" fillId="0" borderId="121" xfId="1360" applyNumberFormat="1" applyFont="1" applyBorder="1" applyAlignment="1">
      <alignment horizontal="center"/>
    </xf>
    <xf numFmtId="166" fontId="198" fillId="0" borderId="119" xfId="1360" applyNumberFormat="1" applyFont="1" applyBorder="1" applyAlignment="1">
      <alignment horizontal="center"/>
    </xf>
    <xf numFmtId="0" fontId="198" fillId="0" borderId="64" xfId="0" applyFont="1" applyBorder="1" applyAlignment="1">
      <alignment horizontal="center"/>
    </xf>
    <xf numFmtId="166" fontId="198" fillId="0" borderId="8" xfId="0" applyNumberFormat="1" applyFont="1" applyBorder="1" applyAlignment="1">
      <alignment horizontal="center"/>
    </xf>
    <xf numFmtId="0" fontId="178" fillId="0" borderId="123" xfId="0" applyFont="1" applyBorder="1" applyAlignment="1">
      <alignment horizontal="center"/>
    </xf>
    <xf numFmtId="168" fontId="178" fillId="0" borderId="119" xfId="0" applyNumberFormat="1" applyFont="1" applyBorder="1" applyAlignment="1">
      <alignment horizontal="center"/>
    </xf>
    <xf numFmtId="10" fontId="198" fillId="37" borderId="6" xfId="1" applyNumberFormat="1" applyFont="1" applyFill="1" applyBorder="1" applyAlignment="1">
      <alignment horizontal="right"/>
    </xf>
    <xf numFmtId="0" fontId="200" fillId="0" borderId="0" xfId="0" applyFont="1"/>
    <xf numFmtId="37" fontId="212" fillId="0" borderId="0" xfId="0" applyNumberFormat="1" applyFont="1" applyAlignment="1">
      <alignment horizontal="right"/>
    </xf>
    <xf numFmtId="10" fontId="198" fillId="0" borderId="0" xfId="1" applyNumberFormat="1" applyFont="1" applyFill="1" applyBorder="1" applyAlignment="1">
      <alignment horizontal="right"/>
    </xf>
    <xf numFmtId="0" fontId="197" fillId="0" borderId="140" xfId="0" applyFont="1" applyBorder="1" applyAlignment="1">
      <alignment horizontal="center" vertical="center"/>
    </xf>
    <xf numFmtId="0" fontId="197" fillId="0" borderId="139" xfId="0" applyFont="1" applyBorder="1" applyAlignment="1">
      <alignment horizontal="center" vertical="center" wrapText="1"/>
    </xf>
    <xf numFmtId="285" fontId="15" fillId="0" borderId="125" xfId="0" applyNumberFormat="1" applyFont="1" applyBorder="1" applyAlignment="1">
      <alignment horizontal="right"/>
    </xf>
    <xf numFmtId="322" fontId="180" fillId="0" borderId="0" xfId="0" applyNumberFormat="1" applyFont="1"/>
    <xf numFmtId="3" fontId="199" fillId="0" borderId="143" xfId="0" applyNumberFormat="1" applyFont="1" applyBorder="1" applyAlignment="1">
      <alignment vertical="center"/>
    </xf>
    <xf numFmtId="3" fontId="199" fillId="0" borderId="59" xfId="0" applyNumberFormat="1" applyFont="1" applyBorder="1" applyAlignment="1">
      <alignment vertical="center"/>
    </xf>
    <xf numFmtId="3" fontId="199" fillId="0" borderId="119" xfId="0" applyNumberFormat="1" applyFont="1" applyBorder="1" applyAlignment="1">
      <alignment horizontal="center" vertical="center" wrapText="1"/>
    </xf>
    <xf numFmtId="49" fontId="199" fillId="0" borderId="119" xfId="0" applyNumberFormat="1" applyFont="1" applyBorder="1" applyAlignment="1">
      <alignment horizontal="center" vertical="center" wrapText="1"/>
    </xf>
    <xf numFmtId="224" fontId="180" fillId="5" borderId="0" xfId="0" applyNumberFormat="1" applyFont="1" applyFill="1"/>
    <xf numFmtId="0" fontId="220" fillId="0" borderId="0" xfId="0" applyFont="1" applyAlignment="1">
      <alignment vertical="center" wrapText="1"/>
    </xf>
    <xf numFmtId="303" fontId="197" fillId="0" borderId="57" xfId="0" applyNumberFormat="1" applyFont="1" applyBorder="1" applyAlignment="1">
      <alignment horizontal="center" vertical="center"/>
    </xf>
    <xf numFmtId="16" fontId="180" fillId="0" borderId="0" xfId="0" applyNumberFormat="1" applyFont="1"/>
    <xf numFmtId="315" fontId="15" fillId="0" borderId="0" xfId="0" applyNumberFormat="1" applyFont="1" applyAlignment="1">
      <alignment horizontal="left"/>
    </xf>
    <xf numFmtId="38" fontId="182" fillId="0" borderId="0" xfId="22" applyNumberFormat="1" applyFont="1" applyBorder="1" applyAlignment="1">
      <alignment horizontal="center"/>
    </xf>
    <xf numFmtId="9" fontId="198" fillId="37" borderId="6" xfId="13" applyFont="1" applyFill="1" applyBorder="1" applyAlignment="1">
      <alignment horizontal="right"/>
    </xf>
    <xf numFmtId="2" fontId="198" fillId="37" borderId="78" xfId="0" applyNumberFormat="1" applyFont="1" applyFill="1" applyBorder="1" applyAlignment="1">
      <alignment horizontal="right"/>
    </xf>
    <xf numFmtId="168" fontId="179" fillId="0" borderId="78" xfId="1360" applyNumberFormat="1" applyFont="1" applyBorder="1"/>
    <xf numFmtId="168" fontId="15" fillId="0" borderId="66" xfId="22" applyNumberFormat="1" applyFont="1" applyBorder="1"/>
    <xf numFmtId="9" fontId="178" fillId="0" borderId="0" xfId="1" applyFont="1" applyFill="1" applyBorder="1" applyAlignment="1">
      <alignment horizontal="right"/>
    </xf>
    <xf numFmtId="9" fontId="197" fillId="0" borderId="0" xfId="1" applyFont="1" applyAlignment="1">
      <alignment horizontal="center" vertical="center"/>
    </xf>
    <xf numFmtId="9" fontId="178" fillId="0" borderId="0" xfId="1" applyFont="1"/>
    <xf numFmtId="284" fontId="198" fillId="0" borderId="144" xfId="0" applyNumberFormat="1" applyFont="1" applyBorder="1" applyAlignment="1">
      <alignment horizontal="center" vertical="center"/>
    </xf>
    <xf numFmtId="320" fontId="198" fillId="0" borderId="144" xfId="0" applyNumberFormat="1" applyFont="1" applyBorder="1" applyAlignment="1">
      <alignment horizontal="center" vertical="center" wrapText="1"/>
    </xf>
    <xf numFmtId="321" fontId="198" fillId="0" borderId="144" xfId="0" applyNumberFormat="1" applyFont="1" applyBorder="1" applyAlignment="1">
      <alignment horizontal="center" vertical="center" wrapText="1"/>
    </xf>
    <xf numFmtId="0" fontId="198" fillId="0" borderId="143" xfId="0" applyFont="1" applyBorder="1" applyAlignment="1">
      <alignment horizontal="center" vertical="center"/>
    </xf>
    <xf numFmtId="3" fontId="199" fillId="0" borderId="96" xfId="0" applyNumberFormat="1" applyFont="1" applyBorder="1" applyAlignment="1">
      <alignment horizontal="center" vertical="center" wrapText="1"/>
    </xf>
    <xf numFmtId="319" fontId="198" fillId="0" borderId="140" xfId="0" applyNumberFormat="1" applyFont="1" applyBorder="1" applyAlignment="1">
      <alignment horizontal="center" vertical="center" wrapText="1"/>
    </xf>
    <xf numFmtId="0" fontId="197" fillId="0" borderId="6" xfId="0" applyFont="1" applyBorder="1" applyAlignment="1">
      <alignment horizontal="center" vertical="center" wrapText="1"/>
    </xf>
    <xf numFmtId="49" fontId="199" fillId="0" borderId="126" xfId="0" applyNumberFormat="1" applyFont="1" applyBorder="1" applyAlignment="1">
      <alignment horizontal="center" vertical="center" wrapText="1"/>
    </xf>
    <xf numFmtId="282" fontId="197" fillId="0" borderId="89" xfId="0" applyNumberFormat="1" applyFont="1" applyBorder="1" applyAlignment="1">
      <alignment horizontal="center" vertical="center" wrapText="1"/>
    </xf>
    <xf numFmtId="6" fontId="198" fillId="0" borderId="94" xfId="0" applyNumberFormat="1" applyFont="1" applyBorder="1" applyAlignment="1">
      <alignment horizontal="center" vertical="center"/>
    </xf>
    <xf numFmtId="319" fontId="198" fillId="0" borderId="99" xfId="0" applyNumberFormat="1" applyFont="1" applyBorder="1" applyAlignment="1">
      <alignment horizontal="center" vertical="center" wrapText="1"/>
    </xf>
    <xf numFmtId="0" fontId="178" fillId="0" borderId="114" xfId="0" applyFont="1" applyBorder="1"/>
    <xf numFmtId="179" fontId="198" fillId="0" borderId="57" xfId="0" applyNumberFormat="1" applyFont="1" applyBorder="1" applyAlignment="1">
      <alignment horizontal="center" vertical="center"/>
    </xf>
    <xf numFmtId="0" fontId="198" fillId="0" borderId="112" xfId="0" applyFont="1" applyBorder="1" applyAlignment="1">
      <alignment horizontal="center" vertical="center"/>
    </xf>
    <xf numFmtId="3" fontId="199" fillId="0" borderId="118" xfId="0" applyNumberFormat="1" applyFont="1" applyBorder="1" applyAlignment="1">
      <alignment horizontal="center" vertical="center" wrapText="1"/>
    </xf>
    <xf numFmtId="166" fontId="198" fillId="11" borderId="143" xfId="18" applyNumberFormat="1" applyFont="1" applyFill="1" applyBorder="1" applyAlignment="1">
      <alignment horizontal="center" vertical="center"/>
    </xf>
    <xf numFmtId="9" fontId="178" fillId="37" borderId="10" xfId="1" applyFont="1" applyFill="1" applyBorder="1" applyAlignment="1">
      <alignment horizontal="right"/>
    </xf>
    <xf numFmtId="0" fontId="197" fillId="37" borderId="79" xfId="0" applyFont="1" applyFill="1" applyBorder="1"/>
    <xf numFmtId="6" fontId="178" fillId="0" borderId="10" xfId="0" applyNumberFormat="1" applyFont="1" applyBorder="1"/>
    <xf numFmtId="0" fontId="200" fillId="43" borderId="98" xfId="0" applyFont="1" applyFill="1" applyBorder="1" applyAlignment="1">
      <alignment horizontal="center" vertical="center"/>
    </xf>
    <xf numFmtId="0" fontId="200" fillId="43" borderId="100" xfId="0" applyFont="1" applyFill="1" applyBorder="1" applyAlignment="1">
      <alignment horizontal="center" vertical="center"/>
    </xf>
    <xf numFmtId="265" fontId="187" fillId="0" borderId="119" xfId="0" applyNumberFormat="1" applyFont="1" applyBorder="1" applyAlignment="1">
      <alignment horizontal="center"/>
    </xf>
    <xf numFmtId="0" fontId="181" fillId="8" borderId="57" xfId="0" applyFont="1" applyFill="1" applyBorder="1" applyAlignment="1">
      <alignment horizontal="left"/>
    </xf>
    <xf numFmtId="0" fontId="181" fillId="8" borderId="144" xfId="0" applyFont="1" applyFill="1" applyBorder="1" applyAlignment="1">
      <alignment horizontal="center"/>
    </xf>
    <xf numFmtId="0" fontId="183" fillId="41" borderId="57" xfId="0" applyFont="1" applyFill="1" applyBorder="1" applyAlignment="1">
      <alignment horizontal="left"/>
    </xf>
    <xf numFmtId="0" fontId="183" fillId="41" borderId="144" xfId="0" applyFont="1" applyFill="1" applyBorder="1" applyAlignment="1">
      <alignment horizontal="center"/>
    </xf>
    <xf numFmtId="0" fontId="183" fillId="0" borderId="57" xfId="0" applyFont="1" applyBorder="1" applyAlignment="1">
      <alignment horizontal="left"/>
    </xf>
    <xf numFmtId="6" fontId="15" fillId="3" borderId="120" xfId="0" applyNumberFormat="1" applyFont="1" applyFill="1" applyBorder="1" applyAlignment="1">
      <alignment horizontal="center"/>
    </xf>
    <xf numFmtId="0" fontId="15" fillId="0" borderId="66" xfId="0" applyFont="1" applyBorder="1"/>
    <xf numFmtId="289" fontId="15" fillId="0" borderId="66" xfId="0" applyNumberFormat="1" applyFont="1" applyBorder="1" applyAlignment="1">
      <alignment horizontal="center"/>
    </xf>
    <xf numFmtId="178" fontId="183" fillId="0" borderId="0" xfId="0" applyNumberFormat="1" applyFont="1"/>
    <xf numFmtId="8" fontId="180" fillId="0" borderId="0" xfId="0" applyNumberFormat="1" applyFont="1"/>
    <xf numFmtId="0" fontId="178" fillId="0" borderId="64" xfId="0" applyFont="1" applyBorder="1"/>
    <xf numFmtId="0" fontId="178" fillId="0" borderId="8" xfId="0" applyFont="1" applyBorder="1"/>
    <xf numFmtId="0" fontId="179" fillId="0" borderId="64" xfId="0" applyFont="1" applyBorder="1"/>
    <xf numFmtId="0" fontId="178" fillId="0" borderId="15" xfId="0" applyFont="1" applyBorder="1"/>
    <xf numFmtId="38" fontId="178" fillId="0" borderId="6" xfId="0" applyNumberFormat="1" applyFont="1" applyBorder="1"/>
    <xf numFmtId="0" fontId="179" fillId="0" borderId="77" xfId="0" applyFont="1" applyBorder="1"/>
    <xf numFmtId="0" fontId="222" fillId="37" borderId="15" xfId="0" applyFont="1" applyFill="1" applyBorder="1"/>
    <xf numFmtId="39" fontId="222" fillId="37" borderId="6" xfId="0" applyNumberFormat="1" applyFont="1" applyFill="1" applyBorder="1" applyAlignment="1">
      <alignment horizontal="right"/>
    </xf>
    <xf numFmtId="180" fontId="182" fillId="0" borderId="91" xfId="0" applyNumberFormat="1" applyFont="1" applyBorder="1" applyAlignment="1">
      <alignment horizontal="right"/>
    </xf>
    <xf numFmtId="5" fontId="15" fillId="0" borderId="142" xfId="22" applyNumberFormat="1" applyFont="1" applyBorder="1"/>
    <xf numFmtId="164" fontId="15" fillId="0" borderId="121" xfId="22" applyNumberFormat="1" applyFont="1" applyBorder="1" applyAlignment="1">
      <alignment horizontal="center"/>
    </xf>
    <xf numFmtId="6" fontId="180" fillId="0" borderId="0" xfId="1347" applyNumberFormat="1" applyFont="1"/>
    <xf numFmtId="0" fontId="183" fillId="37" borderId="79" xfId="1347" applyFont="1" applyFill="1" applyBorder="1"/>
    <xf numFmtId="6" fontId="183" fillId="37" borderId="81" xfId="1347" applyNumberFormat="1" applyFont="1" applyFill="1" applyBorder="1"/>
    <xf numFmtId="1" fontId="180" fillId="37" borderId="6" xfId="1347" applyNumberFormat="1" applyFont="1" applyFill="1" applyBorder="1"/>
    <xf numFmtId="0" fontId="179" fillId="0" borderId="118" xfId="0" applyFont="1" applyBorder="1"/>
    <xf numFmtId="38" fontId="179" fillId="0" borderId="120" xfId="0" applyNumberFormat="1" applyFont="1" applyBorder="1"/>
    <xf numFmtId="6" fontId="198" fillId="0" borderId="123" xfId="0" applyNumberFormat="1" applyFont="1" applyBorder="1" applyAlignment="1">
      <alignment horizontal="center" vertical="center"/>
    </xf>
    <xf numFmtId="323" fontId="198" fillId="0" borderId="0" xfId="0" applyNumberFormat="1" applyFont="1" applyAlignment="1">
      <alignment horizontal="center" vertical="center" wrapText="1"/>
    </xf>
    <xf numFmtId="321" fontId="198" fillId="0" borderId="0" xfId="0" applyNumberFormat="1" applyFont="1" applyAlignment="1">
      <alignment horizontal="center" vertical="center" wrapText="1"/>
    </xf>
    <xf numFmtId="284" fontId="198" fillId="0" borderId="0" xfId="0" applyNumberFormat="1" applyFont="1" applyAlignment="1">
      <alignment horizontal="center" vertical="center"/>
    </xf>
    <xf numFmtId="305" fontId="198" fillId="0" borderId="0" xfId="0" applyNumberFormat="1" applyFont="1" applyAlignment="1">
      <alignment horizontal="center" vertical="center"/>
    </xf>
    <xf numFmtId="0" fontId="179" fillId="0" borderId="135" xfId="0" applyFont="1" applyBorder="1"/>
    <xf numFmtId="38" fontId="179" fillId="0" borderId="107" xfId="0" applyNumberFormat="1" applyFont="1" applyBorder="1"/>
    <xf numFmtId="0" fontId="183" fillId="37" borderId="0" xfId="1347" applyFont="1" applyFill="1"/>
    <xf numFmtId="6" fontId="183" fillId="37" borderId="0" xfId="1347" applyNumberFormat="1" applyFont="1" applyFill="1"/>
    <xf numFmtId="1" fontId="178" fillId="0" borderId="6" xfId="0" applyNumberFormat="1" applyFont="1" applyBorder="1"/>
    <xf numFmtId="6" fontId="198" fillId="0" borderId="144" xfId="0" applyNumberFormat="1" applyFont="1" applyBorder="1" applyAlignment="1">
      <alignment horizontal="center" vertical="center" wrapText="1"/>
    </xf>
    <xf numFmtId="0" fontId="198" fillId="0" borderId="144" xfId="0" applyFont="1" applyBorder="1" applyAlignment="1">
      <alignment horizontal="center" vertical="center" wrapText="1"/>
    </xf>
    <xf numFmtId="0" fontId="197" fillId="0" borderId="144" xfId="0" applyFont="1" applyBorder="1" applyAlignment="1">
      <alignment horizontal="center" vertical="center"/>
    </xf>
    <xf numFmtId="6" fontId="198" fillId="0" borderId="144" xfId="0" applyNumberFormat="1" applyFont="1" applyBorder="1" applyAlignment="1">
      <alignment horizontal="center" vertical="center"/>
    </xf>
    <xf numFmtId="0" fontId="198" fillId="0" borderId="140" xfId="0" applyFont="1" applyBorder="1" applyAlignment="1">
      <alignment horizontal="center" vertical="center" wrapText="1"/>
    </xf>
    <xf numFmtId="6" fontId="178" fillId="0" borderId="0" xfId="0" applyNumberFormat="1" applyFont="1" applyAlignment="1">
      <alignment horizontal="center"/>
    </xf>
    <xf numFmtId="0" fontId="198" fillId="0" borderId="57" xfId="0" applyFont="1" applyBorder="1"/>
    <xf numFmtId="5" fontId="179" fillId="0" borderId="8" xfId="0" applyNumberFormat="1" applyFont="1" applyBorder="1"/>
    <xf numFmtId="168" fontId="178" fillId="0" borderId="2" xfId="1360" applyNumberFormat="1" applyFont="1" applyBorder="1"/>
    <xf numFmtId="168" fontId="179" fillId="0" borderId="8" xfId="1360" applyNumberFormat="1" applyFont="1" applyBorder="1"/>
    <xf numFmtId="325" fontId="198" fillId="0" borderId="123" xfId="0" applyNumberFormat="1" applyFont="1" applyBorder="1" applyAlignment="1">
      <alignment horizontal="center" vertical="center"/>
    </xf>
    <xf numFmtId="326" fontId="198" fillId="0" borderId="143" xfId="0" applyNumberFormat="1" applyFont="1" applyBorder="1" applyAlignment="1">
      <alignment horizontal="center" vertical="center"/>
    </xf>
    <xf numFmtId="327" fontId="198" fillId="0" borderId="143" xfId="0" applyNumberFormat="1" applyFont="1" applyBorder="1" applyAlignment="1">
      <alignment horizontal="center" vertical="center" wrapText="1"/>
    </xf>
    <xf numFmtId="329" fontId="198" fillId="0" borderId="143" xfId="0" applyNumberFormat="1" applyFont="1" applyBorder="1" applyAlignment="1">
      <alignment horizontal="center" vertical="center"/>
    </xf>
    <xf numFmtId="331" fontId="198" fillId="0" borderId="0" xfId="1360" applyNumberFormat="1" applyFont="1" applyFill="1" applyBorder="1" applyAlignment="1">
      <alignment horizontal="center" vertical="center"/>
    </xf>
    <xf numFmtId="332" fontId="198" fillId="0" borderId="0" xfId="0" applyNumberFormat="1" applyFont="1" applyAlignment="1">
      <alignment horizontal="center"/>
    </xf>
    <xf numFmtId="333" fontId="198" fillId="0" borderId="0" xfId="0" applyNumberFormat="1" applyFont="1" applyAlignment="1">
      <alignment horizontal="center"/>
    </xf>
    <xf numFmtId="334" fontId="198" fillId="0" borderId="143" xfId="0" applyNumberFormat="1" applyFont="1" applyBorder="1" applyAlignment="1">
      <alignment horizontal="center" vertical="center"/>
    </xf>
    <xf numFmtId="335" fontId="198" fillId="0" borderId="0" xfId="0" applyNumberFormat="1" applyFont="1" applyAlignment="1">
      <alignment horizontal="center"/>
    </xf>
    <xf numFmtId="335" fontId="198" fillId="0" borderId="143" xfId="0" applyNumberFormat="1" applyFont="1" applyBorder="1" applyAlignment="1">
      <alignment horizontal="center" vertical="center"/>
    </xf>
    <xf numFmtId="304" fontId="198" fillId="0" borderId="57" xfId="0" applyNumberFormat="1" applyFont="1" applyBorder="1" applyAlignment="1">
      <alignment horizontal="center" vertical="center"/>
    </xf>
    <xf numFmtId="328" fontId="198" fillId="0" borderId="111" xfId="0" applyNumberFormat="1" applyFont="1" applyBorder="1" applyAlignment="1">
      <alignment horizontal="center" vertical="center"/>
    </xf>
    <xf numFmtId="166" fontId="198" fillId="11" borderId="59" xfId="18" applyNumberFormat="1" applyFont="1" applyFill="1" applyBorder="1" applyAlignment="1">
      <alignment horizontal="center" vertical="center"/>
    </xf>
    <xf numFmtId="6" fontId="198" fillId="0" borderId="89" xfId="0" applyNumberFormat="1" applyFont="1" applyBorder="1" applyAlignment="1">
      <alignment horizontal="center" vertical="center"/>
    </xf>
    <xf numFmtId="303" fontId="197" fillId="0" borderId="88" xfId="0" applyNumberFormat="1" applyFont="1" applyBorder="1" applyAlignment="1">
      <alignment horizontal="center" vertical="center"/>
    </xf>
    <xf numFmtId="0" fontId="178" fillId="0" borderId="112" xfId="0" applyFont="1" applyBorder="1"/>
    <xf numFmtId="6" fontId="198" fillId="0" borderId="112" xfId="0" applyNumberFormat="1" applyFont="1" applyBorder="1" applyAlignment="1">
      <alignment horizontal="center"/>
    </xf>
    <xf numFmtId="0" fontId="178" fillId="0" borderId="123" xfId="0" applyFont="1" applyBorder="1"/>
    <xf numFmtId="282" fontId="197" fillId="0" borderId="0" xfId="0" applyNumberFormat="1" applyFont="1" applyAlignment="1">
      <alignment horizontal="center" vertical="center" wrapText="1"/>
    </xf>
    <xf numFmtId="166" fontId="198" fillId="0" borderId="123" xfId="0" applyNumberFormat="1" applyFont="1" applyBorder="1" applyAlignment="1">
      <alignment horizontal="center" vertical="center"/>
    </xf>
    <xf numFmtId="319" fontId="198" fillId="0" borderId="114" xfId="0" applyNumberFormat="1" applyFont="1" applyBorder="1" applyAlignment="1">
      <alignment horizontal="center" vertical="center" wrapText="1"/>
    </xf>
    <xf numFmtId="321" fontId="198" fillId="0" borderId="57" xfId="0" applyNumberFormat="1" applyFont="1" applyBorder="1" applyAlignment="1">
      <alignment horizontal="center" vertical="center" wrapText="1"/>
    </xf>
    <xf numFmtId="282" fontId="197" fillId="0" borderId="57" xfId="0" applyNumberFormat="1" applyFont="1" applyBorder="1" applyAlignment="1">
      <alignment horizontal="center" vertical="center" wrapText="1"/>
    </xf>
    <xf numFmtId="166" fontId="198" fillId="0" borderId="114" xfId="0" applyNumberFormat="1" applyFont="1" applyBorder="1" applyAlignment="1">
      <alignment horizontal="center" vertical="center"/>
    </xf>
    <xf numFmtId="6" fontId="198" fillId="0" borderId="140" xfId="0" applyNumberFormat="1" applyFont="1" applyBorder="1" applyAlignment="1">
      <alignment horizontal="center" vertical="center"/>
    </xf>
    <xf numFmtId="300" fontId="198" fillId="11" borderId="111" xfId="0" applyNumberFormat="1" applyFont="1" applyFill="1" applyBorder="1" applyAlignment="1">
      <alignment horizontal="center" vertical="center"/>
    </xf>
    <xf numFmtId="310" fontId="198" fillId="11" borderId="111" xfId="0" applyNumberFormat="1" applyFont="1" applyFill="1" applyBorder="1" applyAlignment="1">
      <alignment horizontal="center" vertical="center"/>
    </xf>
    <xf numFmtId="9" fontId="198" fillId="11" borderId="143" xfId="1" applyFont="1" applyFill="1" applyBorder="1" applyAlignment="1">
      <alignment horizontal="center" vertical="center"/>
    </xf>
    <xf numFmtId="301" fontId="198" fillId="11" borderId="143" xfId="0" applyNumberFormat="1" applyFont="1" applyFill="1" applyBorder="1" applyAlignment="1">
      <alignment horizontal="center" vertical="center"/>
    </xf>
    <xf numFmtId="0" fontId="178" fillId="11" borderId="0" xfId="0" applyFont="1" applyFill="1"/>
    <xf numFmtId="9" fontId="198" fillId="11" borderId="143" xfId="1" applyFont="1" applyFill="1" applyBorder="1" applyAlignment="1">
      <alignment horizontal="center"/>
    </xf>
    <xf numFmtId="0" fontId="178" fillId="11" borderId="143" xfId="0" applyFont="1" applyFill="1" applyBorder="1"/>
    <xf numFmtId="303" fontId="221" fillId="11" borderId="59" xfId="0" applyNumberFormat="1" applyFont="1" applyFill="1" applyBorder="1" applyAlignment="1">
      <alignment horizontal="center" vertical="center"/>
    </xf>
    <xf numFmtId="0" fontId="198" fillId="11" borderId="143" xfId="0" applyFont="1" applyFill="1" applyBorder="1"/>
    <xf numFmtId="303" fontId="221" fillId="11" borderId="143" xfId="0" applyNumberFormat="1" applyFont="1" applyFill="1" applyBorder="1" applyAlignment="1">
      <alignment horizontal="center" vertical="center"/>
    </xf>
    <xf numFmtId="0" fontId="178" fillId="11" borderId="123" xfId="0" applyFont="1" applyFill="1" applyBorder="1"/>
    <xf numFmtId="0" fontId="178" fillId="11" borderId="114" xfId="0" applyFont="1" applyFill="1" applyBorder="1"/>
    <xf numFmtId="0" fontId="198" fillId="11" borderId="57" xfId="0" applyFont="1" applyFill="1" applyBorder="1"/>
    <xf numFmtId="307" fontId="198" fillId="11" borderId="57" xfId="0" applyNumberFormat="1" applyFont="1" applyFill="1" applyBorder="1" applyAlignment="1">
      <alignment horizontal="center"/>
    </xf>
    <xf numFmtId="307" fontId="198" fillId="11" borderId="143" xfId="0" applyNumberFormat="1" applyFont="1" applyFill="1" applyBorder="1" applyAlignment="1">
      <alignment horizontal="center"/>
    </xf>
    <xf numFmtId="324" fontId="198" fillId="11" borderId="57" xfId="0" applyNumberFormat="1" applyFont="1" applyFill="1" applyBorder="1" applyAlignment="1">
      <alignment horizontal="center"/>
    </xf>
    <xf numFmtId="306" fontId="198" fillId="11" borderId="57" xfId="0" applyNumberFormat="1" applyFont="1" applyFill="1" applyBorder="1"/>
    <xf numFmtId="0" fontId="178" fillId="11" borderId="57" xfId="0" applyFont="1" applyFill="1" applyBorder="1"/>
    <xf numFmtId="303" fontId="221" fillId="11" borderId="57" xfId="0" applyNumberFormat="1" applyFont="1" applyFill="1" applyBorder="1" applyAlignment="1">
      <alignment horizontal="center" vertical="center"/>
    </xf>
    <xf numFmtId="5" fontId="190" fillId="0" borderId="118" xfId="0" applyNumberFormat="1" applyFont="1" applyBorder="1"/>
    <xf numFmtId="0" fontId="190" fillId="0" borderId="143" xfId="0" applyFont="1" applyBorder="1"/>
    <xf numFmtId="167" fontId="180" fillId="0" borderId="0" xfId="0" applyNumberFormat="1" applyFont="1"/>
    <xf numFmtId="0" fontId="196" fillId="0" borderId="0" xfId="0" applyFont="1" applyAlignment="1">
      <alignment horizontal="center"/>
    </xf>
    <xf numFmtId="0" fontId="197" fillId="0" borderId="84" xfId="0" applyFont="1" applyBorder="1" applyAlignment="1">
      <alignment horizontal="center" vertical="center"/>
    </xf>
    <xf numFmtId="10" fontId="197" fillId="4" borderId="80" xfId="0" applyNumberFormat="1" applyFont="1" applyFill="1" applyBorder="1" applyAlignment="1">
      <alignment horizontal="center" vertical="center"/>
    </xf>
    <xf numFmtId="3" fontId="197" fillId="0" borderId="147" xfId="0" applyNumberFormat="1" applyFont="1" applyBorder="1" applyAlignment="1">
      <alignment horizontal="center" vertical="center"/>
    </xf>
    <xf numFmtId="0" fontId="198" fillId="11" borderId="104" xfId="0" applyFont="1" applyFill="1" applyBorder="1"/>
    <xf numFmtId="0" fontId="198" fillId="4" borderId="148" xfId="0" applyFont="1" applyFill="1" applyBorder="1" applyAlignment="1">
      <alignment horizontal="center" vertical="center"/>
    </xf>
    <xf numFmtId="290" fontId="197" fillId="11" borderId="147" xfId="0" applyNumberFormat="1" applyFont="1" applyFill="1" applyBorder="1" applyAlignment="1">
      <alignment horizontal="center" vertical="center"/>
    </xf>
    <xf numFmtId="282" fontId="197" fillId="0" borderId="104" xfId="0" applyNumberFormat="1" applyFont="1" applyBorder="1" applyAlignment="1">
      <alignment horizontal="center" vertical="center"/>
    </xf>
    <xf numFmtId="166" fontId="197" fillId="0" borderId="104" xfId="0" applyNumberFormat="1" applyFont="1" applyBorder="1" applyAlignment="1">
      <alignment horizontal="center" vertical="center"/>
    </xf>
    <xf numFmtId="6" fontId="198" fillId="0" borderId="147" xfId="0" applyNumberFormat="1" applyFont="1" applyBorder="1" applyAlignment="1">
      <alignment horizontal="center" vertical="center"/>
    </xf>
    <xf numFmtId="44" fontId="198" fillId="4" borderId="148" xfId="18" applyFont="1" applyFill="1" applyBorder="1"/>
    <xf numFmtId="10" fontId="197" fillId="0" borderId="85" xfId="0" applyNumberFormat="1" applyFont="1" applyBorder="1" applyAlignment="1">
      <alignment horizontal="center" vertical="center"/>
    </xf>
    <xf numFmtId="0" fontId="178" fillId="0" borderId="119" xfId="0" applyFont="1" applyBorder="1"/>
    <xf numFmtId="9" fontId="178" fillId="0" borderId="124" xfId="1" applyFont="1" applyBorder="1"/>
    <xf numFmtId="0" fontId="181" fillId="0" borderId="0" xfId="1347" applyFont="1" applyAlignment="1">
      <alignment vertical="center"/>
    </xf>
    <xf numFmtId="0" fontId="178" fillId="0" borderId="66" xfId="0" applyFont="1" applyBorder="1"/>
    <xf numFmtId="9" fontId="178" fillId="0" borderId="3" xfId="1" applyFont="1" applyBorder="1"/>
    <xf numFmtId="300" fontId="198" fillId="11" borderId="140" xfId="0" applyNumberFormat="1" applyFont="1" applyFill="1" applyBorder="1" applyAlignment="1">
      <alignment horizontal="center" vertical="center"/>
    </xf>
    <xf numFmtId="9" fontId="198" fillId="11" borderId="144" xfId="1" applyFont="1" applyFill="1" applyBorder="1" applyAlignment="1">
      <alignment horizontal="center" vertical="center"/>
    </xf>
    <xf numFmtId="301" fontId="198" fillId="11" borderId="144" xfId="0" applyNumberFormat="1" applyFont="1" applyFill="1" applyBorder="1" applyAlignment="1">
      <alignment horizontal="center" vertical="center"/>
    </xf>
    <xf numFmtId="9" fontId="198" fillId="11" borderId="144" xfId="1" applyFont="1" applyFill="1" applyBorder="1" applyAlignment="1">
      <alignment horizontal="center"/>
    </xf>
    <xf numFmtId="0" fontId="178" fillId="11" borderId="144" xfId="0" applyFont="1" applyFill="1" applyBorder="1"/>
    <xf numFmtId="303" fontId="221" fillId="11" borderId="89" xfId="0" applyNumberFormat="1" applyFont="1" applyFill="1" applyBorder="1" applyAlignment="1">
      <alignment horizontal="center" vertical="center"/>
    </xf>
    <xf numFmtId="301" fontId="198" fillId="0" borderId="143" xfId="0" applyNumberFormat="1" applyFont="1" applyBorder="1" applyAlignment="1">
      <alignment horizontal="center" vertical="center"/>
    </xf>
    <xf numFmtId="300" fontId="198" fillId="0" borderId="143" xfId="0" applyNumberFormat="1" applyFont="1" applyBorder="1" applyAlignment="1">
      <alignment horizontal="center" vertical="center"/>
    </xf>
    <xf numFmtId="302" fontId="223" fillId="0" borderId="143" xfId="0" applyNumberFormat="1" applyFont="1" applyBorder="1" applyAlignment="1">
      <alignment horizontal="center" vertical="center"/>
    </xf>
    <xf numFmtId="0" fontId="179" fillId="0" borderId="91" xfId="0" applyFont="1" applyBorder="1"/>
    <xf numFmtId="0" fontId="179" fillId="0" borderId="63" xfId="0" applyFont="1" applyBorder="1"/>
    <xf numFmtId="336" fontId="221" fillId="0" borderId="66" xfId="0" applyNumberFormat="1" applyFont="1" applyBorder="1" applyAlignment="1">
      <alignment horizontal="center" vertical="center"/>
    </xf>
    <xf numFmtId="337" fontId="197" fillId="0" borderId="104" xfId="0" applyNumberFormat="1" applyFont="1" applyBorder="1" applyAlignment="1">
      <alignment horizontal="center" vertical="center"/>
    </xf>
    <xf numFmtId="0" fontId="179" fillId="0" borderId="84" xfId="0" applyFont="1" applyBorder="1"/>
    <xf numFmtId="0" fontId="179" fillId="0" borderId="85" xfId="0" applyFont="1" applyBorder="1"/>
    <xf numFmtId="0" fontId="179" fillId="0" borderId="125" xfId="0" applyFont="1" applyBorder="1"/>
    <xf numFmtId="0" fontId="179" fillId="0" borderId="122" xfId="0" applyFont="1" applyBorder="1"/>
    <xf numFmtId="9" fontId="178" fillId="0" borderId="145" xfId="1" applyFont="1" applyBorder="1"/>
    <xf numFmtId="9" fontId="178" fillId="0" borderId="10" xfId="1" applyFont="1" applyBorder="1"/>
    <xf numFmtId="0" fontId="179" fillId="0" borderId="149" xfId="0" applyFont="1" applyBorder="1"/>
    <xf numFmtId="0" fontId="179" fillId="0" borderId="151" xfId="0" applyFont="1" applyBorder="1"/>
    <xf numFmtId="9" fontId="178" fillId="0" borderId="121" xfId="0" applyNumberFormat="1" applyFont="1" applyBorder="1"/>
    <xf numFmtId="9" fontId="178" fillId="0" borderId="160" xfId="1" applyFont="1" applyBorder="1"/>
    <xf numFmtId="0" fontId="179" fillId="0" borderId="158" xfId="0" applyFont="1" applyBorder="1"/>
    <xf numFmtId="0" fontId="178" fillId="0" borderId="159" xfId="0" applyFont="1" applyBorder="1"/>
    <xf numFmtId="0" fontId="178" fillId="0" borderId="150" xfId="0" applyFont="1" applyBorder="1"/>
    <xf numFmtId="0" fontId="178" fillId="0" borderId="151" xfId="0" applyFont="1" applyBorder="1"/>
    <xf numFmtId="267" fontId="15" fillId="0" borderId="0" xfId="0" applyNumberFormat="1" applyFont="1" applyAlignment="1">
      <alignment horizontal="center"/>
    </xf>
    <xf numFmtId="10" fontId="197" fillId="0" borderId="6" xfId="0" applyNumberFormat="1" applyFont="1" applyBorder="1" applyAlignment="1">
      <alignment horizontal="center" vertical="center" wrapText="1"/>
    </xf>
    <xf numFmtId="10" fontId="197" fillId="0" borderId="142" xfId="0" applyNumberFormat="1" applyFont="1" applyBorder="1" applyAlignment="1">
      <alignment horizontal="center" vertical="center"/>
    </xf>
    <xf numFmtId="166" fontId="180" fillId="0" borderId="78" xfId="0" applyNumberFormat="1" applyFont="1" applyBorder="1"/>
    <xf numFmtId="6" fontId="198" fillId="0" borderId="161" xfId="0" applyNumberFormat="1" applyFont="1" applyBorder="1" applyAlignment="1">
      <alignment horizontal="center" vertical="center"/>
    </xf>
    <xf numFmtId="6" fontId="198" fillId="0" borderId="162" xfId="0" applyNumberFormat="1" applyFont="1" applyBorder="1" applyAlignment="1">
      <alignment horizontal="center" vertical="center"/>
    </xf>
    <xf numFmtId="330" fontId="198" fillId="0" borderId="143" xfId="0" applyNumberFormat="1" applyFont="1" applyBorder="1" applyAlignment="1">
      <alignment horizontal="center" vertical="center"/>
    </xf>
    <xf numFmtId="325" fontId="198" fillId="0" borderId="66" xfId="0" applyNumberFormat="1" applyFont="1" applyBorder="1"/>
    <xf numFmtId="326" fontId="198" fillId="0" borderId="123" xfId="0" applyNumberFormat="1" applyFont="1" applyBorder="1" applyAlignment="1">
      <alignment horizontal="center" vertical="center"/>
    </xf>
    <xf numFmtId="9" fontId="178" fillId="0" borderId="0" xfId="1" applyFont="1" applyFill="1" applyBorder="1"/>
    <xf numFmtId="0" fontId="178" fillId="0" borderId="0" xfId="1" applyNumberFormat="1" applyFont="1" applyFill="1" applyBorder="1"/>
    <xf numFmtId="9" fontId="178" fillId="0" borderId="3" xfId="0" applyNumberFormat="1" applyFont="1" applyBorder="1"/>
    <xf numFmtId="9" fontId="178" fillId="0" borderId="124" xfId="0" applyNumberFormat="1" applyFont="1" applyBorder="1"/>
    <xf numFmtId="0" fontId="179" fillId="0" borderId="117" xfId="0" applyFont="1" applyBorder="1"/>
    <xf numFmtId="0" fontId="178" fillId="0" borderId="163" xfId="0" applyFont="1" applyBorder="1"/>
    <xf numFmtId="0" fontId="178" fillId="0" borderId="59" xfId="0" applyFont="1" applyBorder="1"/>
    <xf numFmtId="168" fontId="198" fillId="0" borderId="0" xfId="1347" applyNumberFormat="1" applyFont="1" applyAlignment="1">
      <alignment horizontal="center" vertical="center"/>
    </xf>
    <xf numFmtId="38" fontId="224" fillId="0" borderId="0" xfId="1347" applyNumberFormat="1" applyFont="1" applyAlignment="1">
      <alignment horizontal="center" vertical="center"/>
    </xf>
    <xf numFmtId="9" fontId="197" fillId="0" borderId="0" xfId="1347" applyNumberFormat="1" applyFont="1" applyAlignment="1">
      <alignment horizontal="center" vertical="center"/>
    </xf>
    <xf numFmtId="2" fontId="183" fillId="0" borderId="0" xfId="1347" applyNumberFormat="1" applyFont="1" applyAlignment="1">
      <alignment horizontal="center" vertical="center"/>
    </xf>
    <xf numFmtId="38" fontId="23" fillId="0" borderId="0" xfId="0" applyNumberFormat="1" applyFont="1" applyAlignment="1">
      <alignment horizontal="center"/>
    </xf>
    <xf numFmtId="43" fontId="179" fillId="0" borderId="0" xfId="0" applyNumberFormat="1" applyFont="1"/>
    <xf numFmtId="168" fontId="183" fillId="0" borderId="0" xfId="1360" applyNumberFormat="1" applyFont="1" applyFill="1" applyBorder="1"/>
    <xf numFmtId="6" fontId="183" fillId="0" borderId="159" xfId="0" applyNumberFormat="1" applyFont="1" applyBorder="1" applyAlignment="1">
      <alignment horizontal="center"/>
    </xf>
    <xf numFmtId="0" fontId="183" fillId="0" borderId="158" xfId="0" applyFont="1" applyBorder="1" applyAlignment="1">
      <alignment horizontal="right"/>
    </xf>
    <xf numFmtId="6" fontId="183" fillId="0" borderId="160" xfId="0" applyNumberFormat="1" applyFont="1" applyBorder="1" applyAlignment="1">
      <alignment horizontal="center"/>
    </xf>
    <xf numFmtId="0" fontId="183" fillId="0" borderId="63" xfId="0" applyFont="1" applyBorder="1" applyAlignment="1">
      <alignment horizontal="right"/>
    </xf>
    <xf numFmtId="5" fontId="15" fillId="0" borderId="121" xfId="22" applyNumberFormat="1" applyFont="1" applyBorder="1"/>
    <xf numFmtId="0" fontId="23" fillId="0" borderId="92" xfId="0" applyFont="1" applyBorder="1" applyAlignment="1">
      <alignment horizontal="right"/>
    </xf>
    <xf numFmtId="5" fontId="23" fillId="0" borderId="59" xfId="0" applyNumberFormat="1" applyFont="1" applyBorder="1"/>
    <xf numFmtId="5" fontId="23" fillId="0" borderId="93" xfId="0" applyNumberFormat="1" applyFont="1" applyBorder="1"/>
    <xf numFmtId="10" fontId="23" fillId="0" borderId="113" xfId="0" applyNumberFormat="1" applyFont="1" applyBorder="1" applyAlignment="1">
      <alignment horizontal="center"/>
    </xf>
    <xf numFmtId="180" fontId="193" fillId="0" borderId="119" xfId="0" applyNumberFormat="1" applyFont="1" applyBorder="1" applyAlignment="1">
      <alignment horizontal="right"/>
    </xf>
    <xf numFmtId="180" fontId="193" fillId="0" borderId="8" xfId="0" applyNumberFormat="1" applyFont="1" applyBorder="1" applyAlignment="1">
      <alignment horizontal="right"/>
    </xf>
    <xf numFmtId="166" fontId="197" fillId="0" borderId="0" xfId="1347" applyNumberFormat="1" applyFont="1" applyAlignment="1">
      <alignment horizontal="center" vertical="center"/>
    </xf>
    <xf numFmtId="2" fontId="216" fillId="0" borderId="0" xfId="1347" applyNumberFormat="1" applyFont="1" applyAlignment="1">
      <alignment horizontal="center" vertical="center"/>
    </xf>
    <xf numFmtId="9" fontId="198" fillId="0" borderId="0" xfId="1" applyFont="1"/>
    <xf numFmtId="9" fontId="215" fillId="0" borderId="0" xfId="1" applyFont="1"/>
    <xf numFmtId="9" fontId="217" fillId="0" borderId="0" xfId="1" applyFont="1" applyAlignment="1">
      <alignment horizontal="left" vertical="center" indent="1"/>
    </xf>
    <xf numFmtId="0" fontId="218" fillId="0" borderId="0" xfId="0" applyFont="1" applyAlignment="1">
      <alignment horizontal="center" wrapText="1"/>
    </xf>
    <xf numFmtId="8" fontId="218" fillId="0" borderId="0" xfId="0" applyNumberFormat="1" applyFont="1" applyAlignment="1">
      <alignment horizontal="center" wrapText="1"/>
    </xf>
    <xf numFmtId="166" fontId="218" fillId="0" borderId="0" xfId="0" applyNumberFormat="1" applyFont="1" applyAlignment="1">
      <alignment horizontal="center" wrapText="1"/>
    </xf>
    <xf numFmtId="165" fontId="210" fillId="0" borderId="0" xfId="0" applyNumberFormat="1" applyFont="1" applyAlignment="1">
      <alignment horizontal="left" wrapText="1"/>
    </xf>
    <xf numFmtId="0" fontId="210" fillId="0" borderId="0" xfId="0" applyFont="1" applyAlignment="1">
      <alignment horizontal="left" wrapText="1"/>
    </xf>
    <xf numFmtId="166" fontId="0" fillId="0" borderId="0" xfId="0" applyNumberFormat="1"/>
    <xf numFmtId="165" fontId="0" fillId="0" borderId="0" xfId="0" applyNumberFormat="1"/>
    <xf numFmtId="6" fontId="0" fillId="0" borderId="0" xfId="0" applyNumberFormat="1"/>
    <xf numFmtId="0" fontId="180" fillId="0" borderId="0" xfId="1347" applyFont="1" applyAlignment="1">
      <alignment wrapText="1"/>
    </xf>
    <xf numFmtId="166" fontId="180" fillId="0" borderId="0" xfId="18" applyNumberFormat="1" applyFont="1" applyFill="1" applyBorder="1"/>
    <xf numFmtId="38" fontId="15" fillId="37" borderId="0" xfId="1347" applyNumberFormat="1" applyFont="1" applyFill="1" applyAlignment="1">
      <alignment horizontal="center" vertical="center"/>
    </xf>
    <xf numFmtId="0" fontId="183" fillId="37" borderId="0" xfId="1347" applyFont="1" applyFill="1" applyAlignment="1">
      <alignment horizontal="left" vertical="center" indent="1"/>
    </xf>
    <xf numFmtId="0" fontId="181" fillId="8" borderId="158" xfId="0" applyFont="1" applyFill="1" applyBorder="1" applyAlignment="1">
      <alignment horizontal="center" vertical="center" wrapText="1"/>
    </xf>
    <xf numFmtId="0" fontId="15" fillId="0" borderId="158" xfId="0" applyFont="1" applyBorder="1" applyAlignment="1">
      <alignment wrapText="1"/>
    </xf>
    <xf numFmtId="286" fontId="195" fillId="0" borderId="160" xfId="0" applyNumberFormat="1" applyFont="1" applyBorder="1" applyAlignment="1">
      <alignment horizontal="center"/>
    </xf>
    <xf numFmtId="6" fontId="195" fillId="0" borderId="118" xfId="1347" applyNumberFormat="1" applyFont="1" applyBorder="1" applyAlignment="1">
      <alignment horizontal="center"/>
    </xf>
    <xf numFmtId="0" fontId="180" fillId="4" borderId="118" xfId="1347" applyFont="1" applyFill="1" applyBorder="1" applyAlignment="1">
      <alignment horizontal="center"/>
    </xf>
    <xf numFmtId="3" fontId="195" fillId="0" borderId="118" xfId="1347" applyNumberFormat="1" applyFont="1" applyBorder="1" applyAlignment="1">
      <alignment horizontal="center"/>
    </xf>
    <xf numFmtId="6" fontId="195" fillId="0" borderId="115" xfId="1347" applyNumberFormat="1" applyFont="1" applyBorder="1" applyAlignment="1">
      <alignment horizontal="center"/>
    </xf>
    <xf numFmtId="14" fontId="183" fillId="37" borderId="152" xfId="1347" applyNumberFormat="1" applyFont="1" applyFill="1" applyBorder="1" applyAlignment="1">
      <alignment horizontal="center"/>
    </xf>
    <xf numFmtId="14" fontId="15" fillId="37" borderId="125" xfId="1347" applyNumberFormat="1" applyFont="1" applyFill="1" applyBorder="1" applyAlignment="1">
      <alignment horizontal="center" wrapText="1"/>
    </xf>
    <xf numFmtId="14" fontId="180" fillId="37" borderId="127" xfId="1347" applyNumberFormat="1" applyFont="1" applyFill="1" applyBorder="1" applyAlignment="1">
      <alignment horizontal="center" wrapText="1"/>
    </xf>
    <xf numFmtId="14" fontId="183" fillId="37" borderId="153" xfId="1347" applyNumberFormat="1" applyFont="1" applyFill="1" applyBorder="1" applyAlignment="1">
      <alignment horizontal="center"/>
    </xf>
    <xf numFmtId="275" fontId="195" fillId="37" borderId="118" xfId="1" applyNumberFormat="1" applyFont="1" applyFill="1" applyBorder="1" applyAlignment="1">
      <alignment horizontal="center" vertical="center"/>
    </xf>
    <xf numFmtId="275" fontId="195" fillId="37" borderId="115" xfId="1" applyNumberFormat="1" applyFont="1" applyFill="1" applyBorder="1" applyAlignment="1">
      <alignment horizontal="center" vertical="center"/>
    </xf>
    <xf numFmtId="0" fontId="181" fillId="8" borderId="164" xfId="0" applyFont="1" applyFill="1" applyBorder="1" applyAlignment="1">
      <alignment horizontal="center" vertical="center" wrapText="1"/>
    </xf>
    <xf numFmtId="0" fontId="180" fillId="37" borderId="77" xfId="1347" applyFont="1" applyFill="1" applyBorder="1" applyAlignment="1">
      <alignment horizontal="left" vertical="center" indent="1"/>
    </xf>
    <xf numFmtId="0" fontId="172" fillId="37" borderId="0" xfId="1347" applyFont="1" applyFill="1"/>
    <xf numFmtId="0" fontId="174" fillId="37" borderId="0" xfId="1347" applyFont="1" applyFill="1"/>
    <xf numFmtId="0" fontId="173" fillId="0" borderId="0" xfId="1347" applyFont="1"/>
    <xf numFmtId="6" fontId="2" fillId="0" borderId="0" xfId="1347" applyNumberFormat="1"/>
    <xf numFmtId="6" fontId="174" fillId="0" borderId="0" xfId="1347" applyNumberFormat="1" applyFont="1"/>
    <xf numFmtId="0" fontId="172" fillId="0" borderId="0" xfId="1347" applyFont="1"/>
    <xf numFmtId="0" fontId="174" fillId="0" borderId="0" xfId="1347" applyFont="1"/>
    <xf numFmtId="168" fontId="198" fillId="0" borderId="0" xfId="1360" applyNumberFormat="1" applyFont="1" applyFill="1" applyBorder="1"/>
    <xf numFmtId="9" fontId="198" fillId="0" borderId="0" xfId="1" applyFont="1" applyFill="1" applyBorder="1"/>
    <xf numFmtId="0" fontId="178" fillId="0" borderId="0" xfId="0" applyFont="1" applyAlignment="1">
      <alignment vertical="center"/>
    </xf>
    <xf numFmtId="168" fontId="178" fillId="0" borderId="0" xfId="0" applyNumberFormat="1" applyFont="1"/>
    <xf numFmtId="0" fontId="210" fillId="0" borderId="0" xfId="0" applyFont="1" applyAlignment="1">
      <alignment horizontal="center"/>
    </xf>
    <xf numFmtId="0" fontId="219" fillId="0" borderId="0" xfId="0" applyFont="1" applyAlignment="1">
      <alignment horizontal="center"/>
    </xf>
    <xf numFmtId="0" fontId="183" fillId="0" borderId="0" xfId="1347" applyFont="1" applyAlignment="1">
      <alignment horizontal="center"/>
    </xf>
    <xf numFmtId="0" fontId="180" fillId="0" borderId="0" xfId="1347" applyFont="1" applyAlignment="1">
      <alignment horizontal="center" wrapText="1"/>
    </xf>
    <xf numFmtId="0" fontId="180" fillId="0" borderId="0" xfId="1347" applyFont="1" applyAlignment="1">
      <alignment horizontal="center"/>
    </xf>
    <xf numFmtId="0" fontId="211" fillId="0" borderId="0" xfId="1347" applyFont="1" applyAlignment="1">
      <alignment horizontal="center" wrapText="1"/>
    </xf>
    <xf numFmtId="0" fontId="183" fillId="46" borderId="79" xfId="1347" applyFont="1" applyFill="1" applyBorder="1" applyAlignment="1">
      <alignment horizontal="center"/>
    </xf>
    <xf numFmtId="0" fontId="183" fillId="46" borderId="80" xfId="1347" applyFont="1" applyFill="1" applyBorder="1" applyAlignment="1">
      <alignment horizontal="center"/>
    </xf>
    <xf numFmtId="0" fontId="183" fillId="46" borderId="81" xfId="1347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10" fillId="0" borderId="0" xfId="0" applyFont="1" applyAlignment="1">
      <alignment horizontal="center"/>
    </xf>
    <xf numFmtId="0" fontId="183" fillId="7" borderId="98" xfId="1347" applyFont="1" applyFill="1" applyBorder="1" applyAlignment="1">
      <alignment horizontal="center"/>
    </xf>
    <xf numFmtId="0" fontId="183" fillId="7" borderId="99" xfId="1347" applyFont="1" applyFill="1" applyBorder="1" applyAlignment="1">
      <alignment horizontal="center"/>
    </xf>
    <xf numFmtId="0" fontId="183" fillId="7" borderId="100" xfId="1347" applyFont="1" applyFill="1" applyBorder="1" applyAlignment="1">
      <alignment horizontal="center"/>
    </xf>
    <xf numFmtId="0" fontId="183" fillId="7" borderId="79" xfId="1347" applyFont="1" applyFill="1" applyBorder="1" applyAlignment="1">
      <alignment horizontal="center"/>
    </xf>
    <xf numFmtId="0" fontId="183" fillId="7" borderId="80" xfId="1347" applyFont="1" applyFill="1" applyBorder="1" applyAlignment="1">
      <alignment horizontal="center"/>
    </xf>
    <xf numFmtId="0" fontId="183" fillId="7" borderId="81" xfId="1347" applyFont="1" applyFill="1" applyBorder="1" applyAlignment="1">
      <alignment horizontal="center"/>
    </xf>
    <xf numFmtId="0" fontId="183" fillId="37" borderId="0" xfId="1347" applyFont="1" applyFill="1" applyAlignment="1">
      <alignment horizontal="center"/>
    </xf>
    <xf numFmtId="0" fontId="183" fillId="0" borderId="95" xfId="0" applyFont="1" applyBorder="1" applyAlignment="1">
      <alignment horizontal="center"/>
    </xf>
    <xf numFmtId="0" fontId="183" fillId="0" borderId="96" xfId="0" applyFont="1" applyBorder="1" applyAlignment="1">
      <alignment horizontal="center"/>
    </xf>
    <xf numFmtId="0" fontId="183" fillId="0" borderId="109" xfId="0" applyFont="1" applyBorder="1" applyAlignment="1">
      <alignment horizontal="center"/>
    </xf>
    <xf numFmtId="0" fontId="183" fillId="37" borderId="95" xfId="1347" applyFont="1" applyFill="1" applyBorder="1" applyAlignment="1">
      <alignment horizontal="center"/>
    </xf>
    <xf numFmtId="0" fontId="183" fillId="37" borderId="96" xfId="1347" applyFont="1" applyFill="1" applyBorder="1" applyAlignment="1">
      <alignment horizontal="center"/>
    </xf>
    <xf numFmtId="0" fontId="183" fillId="37" borderId="97" xfId="1347" applyFont="1" applyFill="1" applyBorder="1" applyAlignment="1">
      <alignment horizontal="center"/>
    </xf>
    <xf numFmtId="0" fontId="23" fillId="37" borderId="79" xfId="1347" applyFont="1" applyFill="1" applyBorder="1" applyAlignment="1">
      <alignment horizontal="center" vertical="center"/>
    </xf>
    <xf numFmtId="0" fontId="23" fillId="37" borderId="80" xfId="1347" applyFont="1" applyFill="1" applyBorder="1" applyAlignment="1">
      <alignment horizontal="center" vertical="center"/>
    </xf>
    <xf numFmtId="0" fontId="23" fillId="37" borderId="81" xfId="1347" applyFont="1" applyFill="1" applyBorder="1" applyAlignment="1">
      <alignment horizontal="center" vertical="center"/>
    </xf>
    <xf numFmtId="0" fontId="183" fillId="37" borderId="84" xfId="1347" applyFont="1" applyFill="1" applyBorder="1" applyAlignment="1">
      <alignment horizontal="center"/>
    </xf>
    <xf numFmtId="0" fontId="183" fillId="37" borderId="104" xfId="1347" applyFont="1" applyFill="1" applyBorder="1" applyAlignment="1">
      <alignment horizontal="center"/>
    </xf>
    <xf numFmtId="0" fontId="183" fillId="37" borderId="85" xfId="1347" applyFont="1" applyFill="1" applyBorder="1" applyAlignment="1">
      <alignment horizontal="center"/>
    </xf>
    <xf numFmtId="0" fontId="183" fillId="37" borderId="155" xfId="1347" applyFont="1" applyFill="1" applyBorder="1" applyAlignment="1">
      <alignment horizontal="center" vertical="center"/>
    </xf>
    <xf numFmtId="0" fontId="183" fillId="37" borderId="157" xfId="1347" applyFont="1" applyFill="1" applyBorder="1" applyAlignment="1">
      <alignment horizontal="center" vertical="center"/>
    </xf>
    <xf numFmtId="0" fontId="179" fillId="38" borderId="79" xfId="0" applyFont="1" applyFill="1" applyBorder="1" applyAlignment="1">
      <alignment horizontal="center"/>
    </xf>
    <xf numFmtId="0" fontId="179" fillId="38" borderId="80" xfId="0" applyFont="1" applyFill="1" applyBorder="1" applyAlignment="1">
      <alignment horizontal="center"/>
    </xf>
    <xf numFmtId="0" fontId="179" fillId="38" borderId="81" xfId="0" applyFont="1" applyFill="1" applyBorder="1" applyAlignment="1">
      <alignment horizontal="center"/>
    </xf>
    <xf numFmtId="0" fontId="197" fillId="4" borderId="98" xfId="0" applyFont="1" applyFill="1" applyBorder="1" applyAlignment="1">
      <alignment horizontal="center" vertical="center"/>
    </xf>
    <xf numFmtId="0" fontId="197" fillId="4" borderId="99" xfId="0" applyFont="1" applyFill="1" applyBorder="1" applyAlignment="1">
      <alignment horizontal="center" vertical="center"/>
    </xf>
    <xf numFmtId="0" fontId="197" fillId="4" borderId="100" xfId="0" applyFont="1" applyFill="1" applyBorder="1" applyAlignment="1">
      <alignment horizontal="center" vertical="center"/>
    </xf>
    <xf numFmtId="0" fontId="197" fillId="4" borderId="77" xfId="0" applyFont="1" applyFill="1" applyBorder="1" applyAlignment="1">
      <alignment horizontal="center" vertical="center"/>
    </xf>
    <xf numFmtId="0" fontId="197" fillId="4" borderId="94" xfId="0" applyFont="1" applyFill="1" applyBorder="1" applyAlignment="1">
      <alignment horizontal="center" vertical="center"/>
    </xf>
    <xf numFmtId="0" fontId="197" fillId="4" borderId="78" xfId="0" applyFont="1" applyFill="1" applyBorder="1" applyAlignment="1">
      <alignment horizontal="center" vertical="center"/>
    </xf>
    <xf numFmtId="0" fontId="197" fillId="0" borderId="9" xfId="0" applyFont="1" applyBorder="1" applyAlignment="1">
      <alignment horizontal="center"/>
    </xf>
    <xf numFmtId="3" fontId="199" fillId="0" borderId="123" xfId="0" applyNumberFormat="1" applyFont="1" applyBorder="1" applyAlignment="1">
      <alignment horizontal="center" vertical="center" wrapText="1"/>
    </xf>
    <xf numFmtId="3" fontId="199" fillId="0" borderId="143" xfId="0" applyNumberFormat="1" applyFont="1" applyBorder="1" applyAlignment="1">
      <alignment horizontal="center" vertical="center" wrapText="1"/>
    </xf>
    <xf numFmtId="3" fontId="199" fillId="0" borderId="66" xfId="0" applyNumberFormat="1" applyFont="1" applyBorder="1" applyAlignment="1">
      <alignment horizontal="center" vertical="center" wrapText="1"/>
    </xf>
    <xf numFmtId="3" fontId="199" fillId="0" borderId="59" xfId="0" applyNumberFormat="1" applyFont="1" applyBorder="1" applyAlignment="1">
      <alignment horizontal="center" vertical="center" wrapText="1"/>
    </xf>
    <xf numFmtId="3" fontId="199" fillId="0" borderId="99" xfId="0" applyNumberFormat="1" applyFont="1" applyBorder="1" applyAlignment="1">
      <alignment horizontal="center" vertical="center" wrapText="1"/>
    </xf>
    <xf numFmtId="3" fontId="199" fillId="0" borderId="0" xfId="0" applyNumberFormat="1" applyFont="1" applyAlignment="1">
      <alignment horizontal="center" vertical="center" wrapText="1"/>
    </xf>
    <xf numFmtId="3" fontId="199" fillId="0" borderId="94" xfId="0" applyNumberFormat="1" applyFont="1" applyBorder="1" applyAlignment="1">
      <alignment horizontal="center" vertical="center" wrapText="1"/>
    </xf>
    <xf numFmtId="0" fontId="197" fillId="0" borderId="110" xfId="0" applyFont="1" applyBorder="1" applyAlignment="1">
      <alignment horizontal="center" vertical="center" wrapText="1"/>
    </xf>
    <xf numFmtId="0" fontId="197" fillId="0" borderId="91" xfId="0" applyFont="1" applyBorder="1" applyAlignment="1">
      <alignment horizontal="center" vertical="center" wrapText="1"/>
    </xf>
    <xf numFmtId="0" fontId="197" fillId="0" borderId="92" xfId="0" applyFont="1" applyBorder="1" applyAlignment="1">
      <alignment horizontal="center" vertical="center" wrapText="1"/>
    </xf>
    <xf numFmtId="0" fontId="198" fillId="11" borderId="111" xfId="0" applyFont="1" applyFill="1" applyBorder="1" applyAlignment="1">
      <alignment horizontal="center" vertical="center"/>
    </xf>
    <xf numFmtId="0" fontId="198" fillId="11" borderId="143" xfId="0" applyFont="1" applyFill="1" applyBorder="1" applyAlignment="1">
      <alignment horizontal="center" vertical="center"/>
    </xf>
    <xf numFmtId="0" fontId="205" fillId="43" borderId="98" xfId="0" applyFont="1" applyFill="1" applyBorder="1" applyAlignment="1">
      <alignment horizontal="center" vertical="center"/>
    </xf>
    <xf numFmtId="0" fontId="205" fillId="43" borderId="100" xfId="0" applyFont="1" applyFill="1" applyBorder="1" applyAlignment="1">
      <alignment horizontal="center" vertical="center"/>
    </xf>
    <xf numFmtId="0" fontId="200" fillId="43" borderId="98" xfId="0" applyFont="1" applyFill="1" applyBorder="1" applyAlignment="1">
      <alignment horizontal="center" vertical="center"/>
    </xf>
    <xf numFmtId="0" fontId="200" fillId="43" borderId="100" xfId="0" applyFont="1" applyFill="1" applyBorder="1" applyAlignment="1">
      <alignment horizontal="center" vertical="center"/>
    </xf>
    <xf numFmtId="0" fontId="205" fillId="43" borderId="152" xfId="0" applyFont="1" applyFill="1" applyBorder="1" applyAlignment="1">
      <alignment horizontal="center" vertical="center"/>
    </xf>
    <xf numFmtId="0" fontId="205" fillId="43" borderId="154" xfId="0" applyFont="1" applyFill="1" applyBorder="1" applyAlignment="1">
      <alignment horizontal="center" vertical="center"/>
    </xf>
    <xf numFmtId="0" fontId="200" fillId="39" borderId="98" xfId="0" applyFont="1" applyFill="1" applyBorder="1" applyAlignment="1">
      <alignment horizontal="center" vertical="center"/>
    </xf>
    <xf numFmtId="0" fontId="200" fillId="39" borderId="99" xfId="0" applyFont="1" applyFill="1" applyBorder="1" applyAlignment="1">
      <alignment horizontal="center" vertical="center"/>
    </xf>
    <xf numFmtId="0" fontId="200" fillId="39" borderId="100" xfId="0" applyFont="1" applyFill="1" applyBorder="1" applyAlignment="1">
      <alignment horizontal="center" vertical="center"/>
    </xf>
    <xf numFmtId="0" fontId="197" fillId="0" borderId="98" xfId="0" applyFont="1" applyBorder="1" applyAlignment="1">
      <alignment horizontal="center" vertical="center" wrapText="1"/>
    </xf>
    <xf numFmtId="0" fontId="197" fillId="0" borderId="15" xfId="0" applyFont="1" applyBorder="1" applyAlignment="1">
      <alignment horizontal="center" vertical="center" wrapText="1"/>
    </xf>
    <xf numFmtId="0" fontId="197" fillId="0" borderId="77" xfId="0" applyFont="1" applyBorder="1" applyAlignment="1">
      <alignment horizontal="center" vertical="center" wrapText="1"/>
    </xf>
    <xf numFmtId="0" fontId="200" fillId="40" borderId="118" xfId="0" applyFont="1" applyFill="1" applyBorder="1" applyAlignment="1">
      <alignment horizontal="center"/>
    </xf>
    <xf numFmtId="0" fontId="200" fillId="40" borderId="116" xfId="0" applyFont="1" applyFill="1" applyBorder="1" applyAlignment="1">
      <alignment horizontal="center"/>
    </xf>
    <xf numFmtId="0" fontId="200" fillId="40" borderId="120" xfId="0" applyFont="1" applyFill="1" applyBorder="1" applyAlignment="1">
      <alignment horizontal="center"/>
    </xf>
    <xf numFmtId="3" fontId="199" fillId="0" borderId="111" xfId="0" applyNumberFormat="1" applyFont="1" applyBorder="1" applyAlignment="1">
      <alignment horizontal="center" vertical="center"/>
    </xf>
    <xf numFmtId="3" fontId="199" fillId="0" borderId="143" xfId="0" applyNumberFormat="1" applyFont="1" applyBorder="1" applyAlignment="1">
      <alignment horizontal="center" vertical="center"/>
    </xf>
    <xf numFmtId="3" fontId="199" fillId="0" borderId="59" xfId="0" applyNumberFormat="1" applyFont="1" applyBorder="1" applyAlignment="1">
      <alignment horizontal="center" vertical="center"/>
    </xf>
    <xf numFmtId="3" fontId="199" fillId="0" borderId="112" xfId="0" applyNumberFormat="1" applyFont="1" applyBorder="1" applyAlignment="1">
      <alignment horizontal="center" vertical="center"/>
    </xf>
    <xf numFmtId="3" fontId="199" fillId="0" borderId="57" xfId="0" applyNumberFormat="1" applyFont="1" applyBorder="1" applyAlignment="1">
      <alignment horizontal="center" vertical="center"/>
    </xf>
    <xf numFmtId="3" fontId="199" fillId="0" borderId="111" xfId="0" applyNumberFormat="1" applyFont="1" applyBorder="1" applyAlignment="1">
      <alignment horizontal="center" vertical="center" wrapText="1"/>
    </xf>
    <xf numFmtId="3" fontId="199" fillId="0" borderId="114" xfId="0" applyNumberFormat="1" applyFont="1" applyBorder="1" applyAlignment="1">
      <alignment horizontal="center" vertical="center" wrapText="1"/>
    </xf>
    <xf numFmtId="3" fontId="199" fillId="0" borderId="57" xfId="0" applyNumberFormat="1" applyFont="1" applyBorder="1" applyAlignment="1">
      <alignment horizontal="center" vertical="center" wrapText="1"/>
    </xf>
    <xf numFmtId="3" fontId="199" fillId="0" borderId="88" xfId="0" applyNumberFormat="1" applyFont="1" applyBorder="1" applyAlignment="1">
      <alignment horizontal="center" vertical="center" wrapText="1"/>
    </xf>
    <xf numFmtId="0" fontId="198" fillId="11" borderId="59" xfId="0" applyFont="1" applyFill="1" applyBorder="1" applyAlignment="1">
      <alignment horizontal="center" vertical="center"/>
    </xf>
    <xf numFmtId="0" fontId="197" fillId="0" borderId="0" xfId="0" applyFont="1" applyAlignment="1">
      <alignment horizontal="center"/>
    </xf>
    <xf numFmtId="0" fontId="197" fillId="44" borderId="0" xfId="1347" applyFont="1" applyFill="1" applyAlignment="1">
      <alignment horizontal="center" vertical="center"/>
    </xf>
    <xf numFmtId="0" fontId="205" fillId="43" borderId="114" xfId="0" applyFont="1" applyFill="1" applyBorder="1" applyAlignment="1">
      <alignment horizontal="center" vertical="center"/>
    </xf>
    <xf numFmtId="0" fontId="205" fillId="43" borderId="2" xfId="0" applyFont="1" applyFill="1" applyBorder="1" applyAlignment="1">
      <alignment horizontal="center" vertical="center"/>
    </xf>
    <xf numFmtId="0" fontId="200" fillId="0" borderId="0" xfId="0" applyFont="1" applyAlignment="1">
      <alignment horizontal="center" vertical="center"/>
    </xf>
    <xf numFmtId="0" fontId="179" fillId="4" borderId="149" xfId="0" applyFont="1" applyFill="1" applyBorder="1" applyAlignment="1">
      <alignment horizontal="center" vertical="center"/>
    </xf>
    <xf numFmtId="0" fontId="179" fillId="4" borderId="150" xfId="0" applyFont="1" applyFill="1" applyBorder="1" applyAlignment="1">
      <alignment horizontal="center" vertical="center"/>
    </xf>
    <xf numFmtId="0" fontId="179" fillId="4" borderId="151" xfId="0" applyFont="1" applyFill="1" applyBorder="1" applyAlignment="1">
      <alignment horizontal="center" vertical="center"/>
    </xf>
    <xf numFmtId="0" fontId="179" fillId="4" borderId="155" xfId="0" applyFont="1" applyFill="1" applyBorder="1" applyAlignment="1">
      <alignment horizontal="center"/>
    </xf>
    <xf numFmtId="0" fontId="179" fillId="4" borderId="156" xfId="0" applyFont="1" applyFill="1" applyBorder="1" applyAlignment="1">
      <alignment horizontal="center"/>
    </xf>
    <xf numFmtId="0" fontId="179" fillId="4" borderId="157" xfId="0" applyFont="1" applyFill="1" applyBorder="1" applyAlignment="1">
      <alignment horizontal="center"/>
    </xf>
    <xf numFmtId="0" fontId="205" fillId="43" borderId="9" xfId="0" applyFont="1" applyFill="1" applyBorder="1" applyAlignment="1">
      <alignment horizontal="center" vertical="center" wrapText="1"/>
    </xf>
    <xf numFmtId="0" fontId="205" fillId="43" borderId="65" xfId="0" applyFont="1" applyFill="1" applyBorder="1" applyAlignment="1">
      <alignment horizontal="center" vertical="center" wrapText="1"/>
    </xf>
    <xf numFmtId="0" fontId="179" fillId="4" borderId="79" xfId="0" applyFont="1" applyFill="1" applyBorder="1" applyAlignment="1">
      <alignment horizontal="center" vertical="center"/>
    </xf>
    <xf numFmtId="0" fontId="179" fillId="4" borderId="80" xfId="0" applyFont="1" applyFill="1" applyBorder="1" applyAlignment="1">
      <alignment horizontal="center" vertical="center"/>
    </xf>
    <xf numFmtId="0" fontId="179" fillId="4" borderId="81" xfId="0" applyFont="1" applyFill="1" applyBorder="1" applyAlignment="1">
      <alignment horizontal="center" vertical="center"/>
    </xf>
    <xf numFmtId="0" fontId="179" fillId="4" borderId="152" xfId="0" applyFont="1" applyFill="1" applyBorder="1" applyAlignment="1">
      <alignment horizontal="center" vertical="center"/>
    </xf>
    <xf numFmtId="0" fontId="179" fillId="4" borderId="153" xfId="0" applyFont="1" applyFill="1" applyBorder="1" applyAlignment="1">
      <alignment horizontal="center" vertical="center"/>
    </xf>
    <xf numFmtId="0" fontId="179" fillId="4" borderId="154" xfId="0" applyFont="1" applyFill="1" applyBorder="1" applyAlignment="1">
      <alignment horizontal="center" vertical="center"/>
    </xf>
    <xf numFmtId="0" fontId="178" fillId="0" borderId="0" xfId="0" applyFont="1" applyAlignment="1">
      <alignment horizontal="center" vertical="center"/>
    </xf>
    <xf numFmtId="0" fontId="167" fillId="36" borderId="0" xfId="1347" applyFont="1" applyFill="1" applyAlignment="1">
      <alignment horizontal="center"/>
    </xf>
    <xf numFmtId="0" fontId="2" fillId="37" borderId="0" xfId="1347" applyFill="1" applyAlignment="1">
      <alignment horizontal="center"/>
    </xf>
    <xf numFmtId="175" fontId="181" fillId="34" borderId="54" xfId="0" applyNumberFormat="1" applyFont="1" applyFill="1" applyBorder="1" applyAlignment="1">
      <alignment horizontal="center"/>
    </xf>
    <xf numFmtId="175" fontId="200" fillId="34" borderId="79" xfId="0" applyNumberFormat="1" applyFont="1" applyFill="1" applyBorder="1" applyAlignment="1">
      <alignment horizontal="center"/>
    </xf>
    <xf numFmtId="175" fontId="200" fillId="34" borderId="80" xfId="0" applyNumberFormat="1" applyFont="1" applyFill="1" applyBorder="1" applyAlignment="1">
      <alignment horizontal="center"/>
    </xf>
    <xf numFmtId="175" fontId="181" fillId="33" borderId="99" xfId="0" applyNumberFormat="1" applyFont="1" applyFill="1" applyBorder="1" applyAlignment="1">
      <alignment horizontal="center"/>
    </xf>
    <xf numFmtId="175" fontId="181" fillId="33" borderId="153" xfId="0" applyNumberFormat="1" applyFont="1" applyFill="1" applyBorder="1" applyAlignment="1">
      <alignment horizontal="center"/>
    </xf>
    <xf numFmtId="0" fontId="181" fillId="6" borderId="77" xfId="0" applyFont="1" applyFill="1" applyBorder="1" applyAlignment="1">
      <alignment horizontal="center"/>
    </xf>
    <xf numFmtId="0" fontId="181" fillId="6" borderId="94" xfId="0" applyFont="1" applyFill="1" applyBorder="1" applyAlignment="1">
      <alignment horizontal="center"/>
    </xf>
    <xf numFmtId="0" fontId="181" fillId="6" borderId="78" xfId="0" applyFont="1" applyFill="1" applyBorder="1" applyAlignment="1">
      <alignment horizontal="center"/>
    </xf>
    <xf numFmtId="0" fontId="181" fillId="6" borderId="98" xfId="0" applyFont="1" applyFill="1" applyBorder="1" applyAlignment="1">
      <alignment horizontal="center"/>
    </xf>
    <xf numFmtId="0" fontId="181" fillId="6" borderId="99" xfId="0" applyFont="1" applyFill="1" applyBorder="1" applyAlignment="1">
      <alignment horizontal="center"/>
    </xf>
    <xf numFmtId="0" fontId="181" fillId="6" borderId="100" xfId="0" applyFont="1" applyFill="1" applyBorder="1" applyAlignment="1">
      <alignment horizontal="center"/>
    </xf>
    <xf numFmtId="5" fontId="23" fillId="0" borderId="119" xfId="22" applyNumberFormat="1" applyFont="1" applyBorder="1" applyAlignment="1">
      <alignment horizontal="center"/>
    </xf>
    <xf numFmtId="5" fontId="23" fillId="0" borderId="13" xfId="22" applyNumberFormat="1" applyFont="1" applyBorder="1" applyAlignment="1">
      <alignment horizontal="center"/>
    </xf>
    <xf numFmtId="5" fontId="23" fillId="0" borderId="74" xfId="22" applyNumberFormat="1" applyFont="1" applyBorder="1" applyAlignment="1">
      <alignment horizontal="center"/>
    </xf>
    <xf numFmtId="5" fontId="15" fillId="0" borderId="71" xfId="22" applyNumberFormat="1" applyFont="1" applyBorder="1" applyAlignment="1">
      <alignment horizontal="center"/>
    </xf>
    <xf numFmtId="5" fontId="15" fillId="0" borderId="72" xfId="22" applyNumberFormat="1" applyFont="1" applyBorder="1" applyAlignment="1">
      <alignment horizontal="center"/>
    </xf>
    <xf numFmtId="0" fontId="181" fillId="6" borderId="79" xfId="0" applyFont="1" applyFill="1" applyBorder="1" applyAlignment="1">
      <alignment horizontal="right"/>
    </xf>
    <xf numFmtId="0" fontId="181" fillId="6" borderId="80" xfId="0" applyFont="1" applyFill="1" applyBorder="1" applyAlignment="1">
      <alignment horizontal="right"/>
    </xf>
    <xf numFmtId="5" fontId="15" fillId="0" borderId="114" xfId="22" applyNumberFormat="1" applyFont="1" applyBorder="1" applyAlignment="1">
      <alignment horizontal="center"/>
    </xf>
    <xf numFmtId="5" fontId="15" fillId="0" borderId="70" xfId="22" applyNumberFormat="1" applyFont="1" applyBorder="1" applyAlignment="1">
      <alignment horizontal="center"/>
    </xf>
    <xf numFmtId="0" fontId="181" fillId="32" borderId="79" xfId="0" applyFont="1" applyFill="1" applyBorder="1" applyAlignment="1">
      <alignment horizontal="right"/>
    </xf>
    <xf numFmtId="0" fontId="181" fillId="32" borderId="80" xfId="0" applyFont="1" applyFill="1" applyBorder="1" applyAlignment="1">
      <alignment horizontal="right"/>
    </xf>
    <xf numFmtId="0" fontId="181" fillId="33" borderId="98" xfId="0" applyFont="1" applyFill="1" applyBorder="1" applyAlignment="1">
      <alignment horizontal="right"/>
    </xf>
    <xf numFmtId="0" fontId="181" fillId="33" borderId="99" xfId="0" applyFont="1" applyFill="1" applyBorder="1" applyAlignment="1">
      <alignment horizontal="right"/>
    </xf>
    <xf numFmtId="3" fontId="183" fillId="0" borderId="0" xfId="0" applyNumberFormat="1" applyFont="1" applyAlignment="1">
      <alignment horizontal="center" vertical="center"/>
    </xf>
    <xf numFmtId="0" fontId="183" fillId="0" borderId="0" xfId="0" applyFont="1" applyAlignment="1">
      <alignment horizontal="center" vertical="center"/>
    </xf>
    <xf numFmtId="0" fontId="183" fillId="0" borderId="78" xfId="0" applyFont="1" applyBorder="1" applyAlignment="1">
      <alignment horizontal="center" vertical="center"/>
    </xf>
    <xf numFmtId="0" fontId="183" fillId="4" borderId="114" xfId="0" applyFont="1" applyFill="1" applyBorder="1" applyAlignment="1">
      <alignment horizontal="center"/>
    </xf>
    <xf numFmtId="0" fontId="183" fillId="4" borderId="9" xfId="0" applyFont="1" applyFill="1" applyBorder="1" applyAlignment="1">
      <alignment horizontal="center"/>
    </xf>
    <xf numFmtId="0" fontId="183" fillId="4" borderId="118" xfId="0" applyFont="1" applyFill="1" applyBorder="1" applyAlignment="1">
      <alignment horizontal="center"/>
    </xf>
    <xf numFmtId="0" fontId="183" fillId="4" borderId="120" xfId="0" applyFont="1" applyFill="1" applyBorder="1" applyAlignment="1">
      <alignment horizontal="center"/>
    </xf>
    <xf numFmtId="0" fontId="183" fillId="0" borderId="65" xfId="0" applyFont="1" applyBorder="1" applyAlignment="1">
      <alignment horizontal="left"/>
    </xf>
    <xf numFmtId="0" fontId="180" fillId="5" borderId="57" xfId="0" applyFont="1" applyFill="1" applyBorder="1" applyAlignment="1">
      <alignment horizontal="left"/>
    </xf>
    <xf numFmtId="0" fontId="180" fillId="5" borderId="0" xfId="0" applyFont="1" applyFill="1" applyAlignment="1">
      <alignment horizontal="left"/>
    </xf>
    <xf numFmtId="0" fontId="181" fillId="33" borderId="99" xfId="0" applyFont="1" applyFill="1" applyBorder="1" applyAlignment="1">
      <alignment horizontal="center"/>
    </xf>
    <xf numFmtId="0" fontId="181" fillId="32" borderId="79" xfId="0" applyFont="1" applyFill="1" applyBorder="1" applyAlignment="1">
      <alignment horizontal="center"/>
    </xf>
    <xf numFmtId="0" fontId="181" fillId="32" borderId="80" xfId="0" applyFont="1" applyFill="1" applyBorder="1" applyAlignment="1">
      <alignment horizontal="center"/>
    </xf>
    <xf numFmtId="0" fontId="181" fillId="32" borderId="81" xfId="0" applyFont="1" applyFill="1" applyBorder="1" applyAlignment="1">
      <alignment horizontal="center"/>
    </xf>
    <xf numFmtId="0" fontId="15" fillId="0" borderId="77" xfId="0" applyFont="1" applyBorder="1" applyAlignment="1">
      <alignment horizontal="right"/>
    </xf>
    <xf numFmtId="0" fontId="15" fillId="0" borderId="94" xfId="0" applyFont="1" applyBorder="1" applyAlignment="1">
      <alignment horizontal="right"/>
    </xf>
    <xf numFmtId="0" fontId="15" fillId="0" borderId="89" xfId="0" applyFont="1" applyBorder="1" applyAlignment="1">
      <alignment horizontal="right"/>
    </xf>
    <xf numFmtId="0" fontId="183" fillId="35" borderId="118" xfId="0" applyFont="1" applyFill="1" applyBorder="1" applyAlignment="1">
      <alignment horizontal="right"/>
    </xf>
    <xf numFmtId="0" fontId="183" fillId="35" borderId="120" xfId="0" applyFont="1" applyFill="1" applyBorder="1" applyAlignment="1">
      <alignment horizontal="right"/>
    </xf>
    <xf numFmtId="175" fontId="181" fillId="34" borderId="79" xfId="0" applyNumberFormat="1" applyFont="1" applyFill="1" applyBorder="1" applyAlignment="1">
      <alignment horizontal="center"/>
    </xf>
    <xf numFmtId="175" fontId="181" fillId="34" borderId="80" xfId="0" applyNumberFormat="1" applyFont="1" applyFill="1" applyBorder="1" applyAlignment="1">
      <alignment horizontal="center"/>
    </xf>
    <xf numFmtId="175" fontId="181" fillId="34" borderId="146" xfId="0" applyNumberFormat="1" applyFont="1" applyFill="1" applyBorder="1" applyAlignment="1">
      <alignment horizontal="center"/>
    </xf>
    <xf numFmtId="3" fontId="181" fillId="32" borderId="80" xfId="0" applyNumberFormat="1" applyFont="1" applyFill="1" applyBorder="1" applyAlignment="1">
      <alignment horizontal="center"/>
    </xf>
    <xf numFmtId="0" fontId="183" fillId="35" borderId="79" xfId="0" applyFont="1" applyFill="1" applyBorder="1" applyAlignment="1">
      <alignment horizontal="right"/>
    </xf>
    <xf numFmtId="0" fontId="183" fillId="35" borderId="80" xfId="0" applyFont="1" applyFill="1" applyBorder="1" applyAlignment="1">
      <alignment horizontal="right"/>
    </xf>
    <xf numFmtId="3" fontId="181" fillId="33" borderId="99" xfId="0" applyNumberFormat="1" applyFont="1" applyFill="1" applyBorder="1" applyAlignment="1">
      <alignment horizontal="center"/>
    </xf>
    <xf numFmtId="0" fontId="183" fillId="0" borderId="6" xfId="0" applyFont="1" applyBorder="1" applyAlignment="1">
      <alignment horizontal="center" vertical="center"/>
    </xf>
    <xf numFmtId="0" fontId="183" fillId="4" borderId="119" xfId="0" applyFont="1" applyFill="1" applyBorder="1" applyAlignment="1">
      <alignment horizontal="center"/>
    </xf>
    <xf numFmtId="0" fontId="183" fillId="0" borderId="65" xfId="0" applyFont="1" applyBorder="1" applyAlignment="1">
      <alignment horizontal="center"/>
    </xf>
    <xf numFmtId="175" fontId="181" fillId="34" borderId="99" xfId="0" applyNumberFormat="1" applyFont="1" applyFill="1" applyBorder="1" applyAlignment="1">
      <alignment horizontal="center"/>
    </xf>
    <xf numFmtId="175" fontId="181" fillId="34" borderId="100" xfId="0" applyNumberFormat="1" applyFont="1" applyFill="1" applyBorder="1" applyAlignment="1">
      <alignment horizontal="center"/>
    </xf>
    <xf numFmtId="175" fontId="181" fillId="32" borderId="80" xfId="0" applyNumberFormat="1" applyFont="1" applyFill="1" applyBorder="1" applyAlignment="1">
      <alignment horizontal="center"/>
    </xf>
    <xf numFmtId="0" fontId="183" fillId="35" borderId="102" xfId="0" applyFont="1" applyFill="1" applyBorder="1" applyAlignment="1">
      <alignment horizontal="right"/>
    </xf>
    <xf numFmtId="0" fontId="183" fillId="35" borderId="54" xfId="0" applyFont="1" applyFill="1" applyBorder="1" applyAlignment="1">
      <alignment horizontal="right"/>
    </xf>
    <xf numFmtId="0" fontId="183" fillId="0" borderId="94" xfId="0" applyFont="1" applyBorder="1" applyAlignment="1">
      <alignment horizontal="center" vertical="center"/>
    </xf>
  </cellXfs>
  <cellStyles count="1362">
    <cellStyle name="$ 0 decimal" xfId="131" xr:uid="{00000000-0005-0000-0000-00009F020000}"/>
    <cellStyle name="$ 1 decimal" xfId="132" xr:uid="{00000000-0005-0000-0000-0000A0020000}"/>
    <cellStyle name="$ 2 decimals" xfId="133" xr:uid="{00000000-0005-0000-0000-0000A1020000}"/>
    <cellStyle name="_%(SignOnly)" xfId="134" xr:uid="{00000000-0005-0000-0000-000000000000}"/>
    <cellStyle name="_%(SignSpaceOnly)" xfId="135" xr:uid="{00000000-0005-0000-0000-000001000000}"/>
    <cellStyle name="_%(SignSpaceOnly)_ControlTables" xfId="136" xr:uid="{00000000-0005-0000-0000-000002000000}"/>
    <cellStyle name="_%(SignSpaceOnly)_ControlTablesI" xfId="137" xr:uid="{00000000-0005-0000-0000-000003000000}"/>
    <cellStyle name="_%(SignSpaceOnly)_Database - Comparables" xfId="138" xr:uid="{00000000-0005-0000-0000-000004000000}"/>
    <cellStyle name="_%(SignSpaceOnly)_DB_Eye" xfId="139" xr:uid="{00000000-0005-0000-0000-000005000000}"/>
    <cellStyle name="_%(SignSpaceOnly)_Exec Summary" xfId="140" xr:uid="{00000000-0005-0000-0000-000006000000}"/>
    <cellStyle name="_%(SignSpaceOnly)_Exec Summary_1" xfId="141" xr:uid="{00000000-0005-0000-0000-000007000000}"/>
    <cellStyle name="_%(SignSpaceOnly)_Sheet1" xfId="142" xr:uid="{00000000-0005-0000-0000-000008000000}"/>
    <cellStyle name="_ARI Base Case July 25 TPS1" xfId="143" xr:uid="{00000000-0005-0000-0000-000009000000}"/>
    <cellStyle name="_Comma" xfId="144" xr:uid="{00000000-0005-0000-0000-00000A000000}"/>
    <cellStyle name="_Comma_3-Yr Eyechart" xfId="145" xr:uid="{00000000-0005-0000-0000-00000B000000}"/>
    <cellStyle name="_Comma_Asset Comparisons" xfId="146" xr:uid="{00000000-0005-0000-0000-00000C000000}"/>
    <cellStyle name="_Comma_Balance Sheet" xfId="147" xr:uid="{00000000-0005-0000-0000-00000D000000}"/>
    <cellStyle name="_Comma_Balance Sheet_ControlTables" xfId="148" xr:uid="{00000000-0005-0000-0000-00000E000000}"/>
    <cellStyle name="_Comma_Balance Sheet_ControlTablesI" xfId="149" xr:uid="{00000000-0005-0000-0000-00000F000000}"/>
    <cellStyle name="_Comma_Balance Sheet_Database - Comparables" xfId="150" xr:uid="{00000000-0005-0000-0000-000010000000}"/>
    <cellStyle name="_Comma_Balance Sheet_DB_Eye" xfId="151" xr:uid="{00000000-0005-0000-0000-000011000000}"/>
    <cellStyle name="_Comma_Balance Sheet_Exec Summary" xfId="152" xr:uid="{00000000-0005-0000-0000-000012000000}"/>
    <cellStyle name="_Comma_Balance Sheet_Existing Debt" xfId="153" xr:uid="{00000000-0005-0000-0000-000013000000}"/>
    <cellStyle name="_Comma_Balance Sheet_Kor-Port_LEQ_6-10-04_CR_Final-Struct_FINAL" xfId="154" xr:uid="{00000000-0005-0000-0000-000014000000}"/>
    <cellStyle name="_Comma_Balance Sheet_Mallard's_Landing_LEQ_8-17-04" xfId="155" xr:uid="{00000000-0005-0000-0000-000015000000}"/>
    <cellStyle name="_Comma_Balance Sheet_Quick Property Input" xfId="156" xr:uid="{00000000-0005-0000-0000-000016000000}"/>
    <cellStyle name="_Comma_Balance Sheet_Sheet1" xfId="157" xr:uid="{00000000-0005-0000-0000-000017000000}"/>
    <cellStyle name="_Comma_Balance Sheet_Sheet1_Data Tape" xfId="158" xr:uid="{00000000-0005-0000-0000-000018000000}"/>
    <cellStyle name="_Comma_Balance Sheet_Sheet1_Deal Assumptions" xfId="159" xr:uid="{00000000-0005-0000-0000-000019000000}"/>
    <cellStyle name="_Comma_Balance Sheet_Sheet1_RE Valuation 2" xfId="160" xr:uid="{00000000-0005-0000-0000-00001A000000}"/>
    <cellStyle name="_Comma_Balance Sheet_Sheet2" xfId="161" xr:uid="{00000000-0005-0000-0000-00001B000000}"/>
    <cellStyle name="_Comma_ControlTables" xfId="162" xr:uid="{00000000-0005-0000-0000-00001C000000}"/>
    <cellStyle name="_Comma_ControlTablesI" xfId="163" xr:uid="{00000000-0005-0000-0000-00001D000000}"/>
    <cellStyle name="_Comma_Cost Of Funds" xfId="164" xr:uid="{00000000-0005-0000-0000-00001E000000}"/>
    <cellStyle name="_Comma_Criteria" xfId="165" xr:uid="{00000000-0005-0000-0000-00001F000000}"/>
    <cellStyle name="_Comma_Criteria Test Export" xfId="166" xr:uid="{00000000-0005-0000-0000-000020000000}"/>
    <cellStyle name="_Comma_Criteria_ControlTables" xfId="167" xr:uid="{00000000-0005-0000-0000-000021000000}"/>
    <cellStyle name="_Comma_Criteria_ControlTablesI" xfId="168" xr:uid="{00000000-0005-0000-0000-000022000000}"/>
    <cellStyle name="_Comma_Criteria_Database - Comparables" xfId="169" xr:uid="{00000000-0005-0000-0000-000023000000}"/>
    <cellStyle name="_Comma_Criteria_DB_Eye" xfId="170" xr:uid="{00000000-0005-0000-0000-000024000000}"/>
    <cellStyle name="_Comma_Criteria_Exec Summary" xfId="171" xr:uid="{00000000-0005-0000-0000-000025000000}"/>
    <cellStyle name="_Comma_Criteria_Existing Debt" xfId="172" xr:uid="{00000000-0005-0000-0000-000026000000}"/>
    <cellStyle name="_Comma_Criteria_Kor-Port_LEQ_6-10-04_CR_Final-Struct_FINAL" xfId="173" xr:uid="{00000000-0005-0000-0000-000027000000}"/>
    <cellStyle name="_Comma_Criteria_Mallard's_Landing_LEQ_8-17-04" xfId="174" xr:uid="{00000000-0005-0000-0000-000028000000}"/>
    <cellStyle name="_Comma_Criteria_Quick Property Input" xfId="175" xr:uid="{00000000-0005-0000-0000-000029000000}"/>
    <cellStyle name="_Comma_Criteria_Sheet1" xfId="176" xr:uid="{00000000-0005-0000-0000-00002A000000}"/>
    <cellStyle name="_Comma_Criteria_Sheet1_Data Tape" xfId="177" xr:uid="{00000000-0005-0000-0000-00002B000000}"/>
    <cellStyle name="_Comma_Criteria_Sheet1_Deal Assumptions" xfId="178" xr:uid="{00000000-0005-0000-0000-00002C000000}"/>
    <cellStyle name="_Comma_Criteria_Sheet1_RE Valuation 2" xfId="179" xr:uid="{00000000-0005-0000-0000-00002D000000}"/>
    <cellStyle name="_Comma_Criteria_Sheet2" xfId="180" xr:uid="{00000000-0005-0000-0000-00002E000000}"/>
    <cellStyle name="_Comma_Data Tape" xfId="181" xr:uid="{00000000-0005-0000-0000-00002F000000}"/>
    <cellStyle name="_Comma_Data Tape_1" xfId="182" xr:uid="{00000000-0005-0000-0000-000030000000}"/>
    <cellStyle name="_Comma_Data Tape_ControlTables" xfId="183" xr:uid="{00000000-0005-0000-0000-000031000000}"/>
    <cellStyle name="_Comma_Data Tape_ControlTablesI" xfId="184" xr:uid="{00000000-0005-0000-0000-000032000000}"/>
    <cellStyle name="_Comma_Data Tape_Database - Comparables" xfId="185" xr:uid="{00000000-0005-0000-0000-000033000000}"/>
    <cellStyle name="_Comma_Data Tape_DB_Eye" xfId="186" xr:uid="{00000000-0005-0000-0000-000034000000}"/>
    <cellStyle name="_Comma_Data Tape_Exec Summary" xfId="187" xr:uid="{00000000-0005-0000-0000-000035000000}"/>
    <cellStyle name="_Comma_Data Tape_Existing Debt" xfId="188" xr:uid="{00000000-0005-0000-0000-000036000000}"/>
    <cellStyle name="_Comma_Data Tape_Kor-Port_LEQ_6-10-04_CR_Final-Struct_FINAL" xfId="189" xr:uid="{00000000-0005-0000-0000-000037000000}"/>
    <cellStyle name="_Comma_Data Tape_Mallard's_Landing_LEQ_8-17-04" xfId="190" xr:uid="{00000000-0005-0000-0000-000038000000}"/>
    <cellStyle name="_Comma_Data Tape_Quick Property Input" xfId="191" xr:uid="{00000000-0005-0000-0000-000039000000}"/>
    <cellStyle name="_Comma_Data Tape_Sheet1" xfId="192" xr:uid="{00000000-0005-0000-0000-00003A000000}"/>
    <cellStyle name="_Comma_Data Tape_Sheet1_Data Tape" xfId="193" xr:uid="{00000000-0005-0000-0000-00003B000000}"/>
    <cellStyle name="_Comma_Data Tape_Sheet1_Deal Assumptions" xfId="194" xr:uid="{00000000-0005-0000-0000-00003C000000}"/>
    <cellStyle name="_Comma_Data Tape_Sheet1_RE Valuation 2" xfId="195" xr:uid="{00000000-0005-0000-0000-00003D000000}"/>
    <cellStyle name="_Comma_Data Tape_Sheet2" xfId="196" xr:uid="{00000000-0005-0000-0000-00003E000000}"/>
    <cellStyle name="_Comma_Data_Tape" xfId="197" xr:uid="{00000000-0005-0000-0000-00003F000000}"/>
    <cellStyle name="_Comma_Database - Comparables" xfId="198" xr:uid="{00000000-0005-0000-0000-000040000000}"/>
    <cellStyle name="_Comma_Database - Economics" xfId="199" xr:uid="{00000000-0005-0000-0000-000041000000}"/>
    <cellStyle name="_Comma_DB Eye" xfId="200" xr:uid="{00000000-0005-0000-0000-000042000000}"/>
    <cellStyle name="_Comma_DB_Eye" xfId="201" xr:uid="{00000000-0005-0000-0000-000043000000}"/>
    <cellStyle name="_Comma_Deal Input" xfId="202" xr:uid="{00000000-0005-0000-0000-000044000000}"/>
    <cellStyle name="_Comma_Direct Cap Eye" xfId="203" xr:uid="{00000000-0005-0000-0000-000045000000}"/>
    <cellStyle name="_Comma_DPEM2005_vBetatest6" xfId="204" xr:uid="{00000000-0005-0000-0000-000046000000}"/>
    <cellStyle name="_Comma_ETR" xfId="205" xr:uid="{00000000-0005-0000-0000-000047000000}"/>
    <cellStyle name="_Comma_Exec Summary" xfId="206" xr:uid="{00000000-0005-0000-0000-000048000000}"/>
    <cellStyle name="_Comma_Existing Debt" xfId="207" xr:uid="{00000000-0005-0000-0000-000049000000}"/>
    <cellStyle name="_Comma_EyeChart" xfId="208" xr:uid="{00000000-0005-0000-0000-00004A000000}"/>
    <cellStyle name="_Comma_EyeChart 090503" xfId="209" xr:uid="{00000000-0005-0000-0000-00004B000000}"/>
    <cellStyle name="_Comma_Input" xfId="210" xr:uid="{00000000-0005-0000-0000-00004C000000}"/>
    <cellStyle name="_Comma_Input_1" xfId="211" xr:uid="{00000000-0005-0000-0000-00004D000000}"/>
    <cellStyle name="_Comma_Input_ControlTables" xfId="212" xr:uid="{00000000-0005-0000-0000-00004E000000}"/>
    <cellStyle name="_Comma_Input_ControlTablesI" xfId="213" xr:uid="{00000000-0005-0000-0000-00004F000000}"/>
    <cellStyle name="_Comma_Input_Data Tape" xfId="214" xr:uid="{00000000-0005-0000-0000-000050000000}"/>
    <cellStyle name="_Comma_Input_Database - Comparables" xfId="215" xr:uid="{00000000-0005-0000-0000-000051000000}"/>
    <cellStyle name="_Comma_Input_Database - Economics" xfId="216" xr:uid="{00000000-0005-0000-0000-000052000000}"/>
    <cellStyle name="_Comma_Input_DB_Eye" xfId="217" xr:uid="{00000000-0005-0000-0000-000053000000}"/>
    <cellStyle name="_Comma_Input_Exec Summary" xfId="218" xr:uid="{00000000-0005-0000-0000-000054000000}"/>
    <cellStyle name="_Comma_Input_Existing Debt" xfId="219" xr:uid="{00000000-0005-0000-0000-000055000000}"/>
    <cellStyle name="_Comma_Input_Kor-Port_LEQ_6-10-04_CR_Final-Struct_FINAL" xfId="220" xr:uid="{00000000-0005-0000-0000-000056000000}"/>
    <cellStyle name="_Comma_Input_Mallard's_Landing_LEQ_8-17-04" xfId="221" xr:uid="{00000000-0005-0000-0000-000057000000}"/>
    <cellStyle name="_Comma_Input_Quick Property Input" xfId="222" xr:uid="{00000000-0005-0000-0000-000058000000}"/>
    <cellStyle name="_Comma_Input_Sheet1" xfId="223" xr:uid="{00000000-0005-0000-0000-000059000000}"/>
    <cellStyle name="_Comma_Input_Sheet1_Data Tape" xfId="224" xr:uid="{00000000-0005-0000-0000-00005A000000}"/>
    <cellStyle name="_Comma_Input_Sheet1_Deal Assumptions" xfId="225" xr:uid="{00000000-0005-0000-0000-00005B000000}"/>
    <cellStyle name="_Comma_Input_Sheet1_RE Valuation 2" xfId="226" xr:uid="{00000000-0005-0000-0000-00005C000000}"/>
    <cellStyle name="_Comma_Input_Sheet2" xfId="227" xr:uid="{00000000-0005-0000-0000-00005D000000}"/>
    <cellStyle name="_Comma_JV Economics" xfId="228" xr:uid="{00000000-0005-0000-0000-00005E000000}"/>
    <cellStyle name="_Comma_M&amp;A Feed" xfId="229" xr:uid="{00000000-0005-0000-0000-00005F000000}"/>
    <cellStyle name="_Comma_NPV Case Eyechart" xfId="230" xr:uid="{00000000-0005-0000-0000-000060000000}"/>
    <cellStyle name="_Comma_Pools" xfId="231" xr:uid="{00000000-0005-0000-0000-000061000000}"/>
    <cellStyle name="_Comma_Pools_1" xfId="232" xr:uid="{00000000-0005-0000-0000-000062000000}"/>
    <cellStyle name="_Comma_Portfolio Valuation" xfId="233" xr:uid="{00000000-0005-0000-0000-000063000000}"/>
    <cellStyle name="_Comma_Pricing" xfId="234" xr:uid="{00000000-0005-0000-0000-000064000000}"/>
    <cellStyle name="_Comma_Prop 13" xfId="235" xr:uid="{00000000-0005-0000-0000-000065000000}"/>
    <cellStyle name="_Comma_Prop 13 Data" xfId="236" xr:uid="{00000000-0005-0000-0000-000066000000}"/>
    <cellStyle name="_Comma_Prop 13 Summary-11-10" xfId="237" xr:uid="{00000000-0005-0000-0000-000067000000}"/>
    <cellStyle name="_Comma_Property Assumptions" xfId="238" xr:uid="{00000000-0005-0000-0000-000068000000}"/>
    <cellStyle name="_Comma_Property Assumptions_1" xfId="239" xr:uid="{00000000-0005-0000-0000-000069000000}"/>
    <cellStyle name="_Comma_Quick Property Input" xfId="240" xr:uid="{00000000-0005-0000-0000-00006A000000}"/>
    <cellStyle name="_Comma_Senario Input Assumptions" xfId="241" xr:uid="{00000000-0005-0000-0000-00006B000000}"/>
    <cellStyle name="_Comma_Senario Input Assumptions_ControlTables" xfId="242" xr:uid="{00000000-0005-0000-0000-00006C000000}"/>
    <cellStyle name="_Comma_Senario Input Assumptions_ControlTablesI" xfId="243" xr:uid="{00000000-0005-0000-0000-00006D000000}"/>
    <cellStyle name="_Comma_Senario Input Assumptions_Database - Comparables" xfId="244" xr:uid="{00000000-0005-0000-0000-00006E000000}"/>
    <cellStyle name="_Comma_Senario Input Assumptions_DB_Eye" xfId="245" xr:uid="{00000000-0005-0000-0000-00006F000000}"/>
    <cellStyle name="_Comma_Senario Input Assumptions_Exec Summary" xfId="246" xr:uid="{00000000-0005-0000-0000-000070000000}"/>
    <cellStyle name="_Comma_Senario Input Assumptions_Existing Debt" xfId="247" xr:uid="{00000000-0005-0000-0000-000071000000}"/>
    <cellStyle name="_Comma_Senario Input Assumptions_Kor-Port_LEQ_6-10-04_CR_Final-Struct_FINAL" xfId="248" xr:uid="{00000000-0005-0000-0000-000072000000}"/>
    <cellStyle name="_Comma_Senario Input Assumptions_Mallard's_Landing_LEQ_8-17-04" xfId="249" xr:uid="{00000000-0005-0000-0000-000073000000}"/>
    <cellStyle name="_Comma_Senario Input Assumptions_Quick Property Input" xfId="250" xr:uid="{00000000-0005-0000-0000-000074000000}"/>
    <cellStyle name="_Comma_Senario Input Assumptions_Sheet1" xfId="251" xr:uid="{00000000-0005-0000-0000-000075000000}"/>
    <cellStyle name="_Comma_Senario Input Assumptions_Sheet1_Data Tape" xfId="252" xr:uid="{00000000-0005-0000-0000-000076000000}"/>
    <cellStyle name="_Comma_Senario Input Assumptions_Sheet1_Deal Assumptions" xfId="253" xr:uid="{00000000-0005-0000-0000-000077000000}"/>
    <cellStyle name="_Comma_Senario Input Assumptions_Sheet1_RE Valuation 2" xfId="254" xr:uid="{00000000-0005-0000-0000-000078000000}"/>
    <cellStyle name="_Comma_Senario Input Assumptions_Sheet2" xfId="255" xr:uid="{00000000-0005-0000-0000-000079000000}"/>
    <cellStyle name="_Comma_Sheet1" xfId="256" xr:uid="{00000000-0005-0000-0000-00007A000000}"/>
    <cellStyle name="_Comma_Sheet1_1" xfId="257" xr:uid="{00000000-0005-0000-0000-00007B000000}"/>
    <cellStyle name="_Comma_Sheet1_3-Yr Eyechart" xfId="258" xr:uid="{00000000-0005-0000-0000-00007C000000}"/>
    <cellStyle name="_Comma_Sheet1_Balance Sheet" xfId="259" xr:uid="{00000000-0005-0000-0000-00007D000000}"/>
    <cellStyle name="_Comma_Sheet1_Cost Of Funds" xfId="260" xr:uid="{00000000-0005-0000-0000-00007E000000}"/>
    <cellStyle name="_Comma_Sheet1_Criteria" xfId="261" xr:uid="{00000000-0005-0000-0000-00007F000000}"/>
    <cellStyle name="_Comma_Sheet1_Criteria Test Export" xfId="262" xr:uid="{00000000-0005-0000-0000-000080000000}"/>
    <cellStyle name="_Comma_Sheet1_Data Tape" xfId="263" xr:uid="{00000000-0005-0000-0000-000081000000}"/>
    <cellStyle name="_Comma_Sheet1_Data Tape_1" xfId="264" xr:uid="{00000000-0005-0000-0000-000082000000}"/>
    <cellStyle name="_Comma_Sheet1_Data_Tape" xfId="265" xr:uid="{00000000-0005-0000-0000-000083000000}"/>
    <cellStyle name="_Comma_Sheet1_Data_Tape_ControlTables" xfId="266" xr:uid="{00000000-0005-0000-0000-000084000000}"/>
    <cellStyle name="_Comma_Sheet1_Data_Tape_ControlTablesI" xfId="267" xr:uid="{00000000-0005-0000-0000-000085000000}"/>
    <cellStyle name="_Comma_Sheet1_Data_Tape_Database - Comparables" xfId="268" xr:uid="{00000000-0005-0000-0000-000086000000}"/>
    <cellStyle name="_Comma_Sheet1_Data_Tape_DB_Eye" xfId="269" xr:uid="{00000000-0005-0000-0000-000087000000}"/>
    <cellStyle name="_Comma_Sheet1_Data_Tape_Exec Summary" xfId="270" xr:uid="{00000000-0005-0000-0000-000088000000}"/>
    <cellStyle name="_Comma_Sheet1_Data_Tape_Existing Debt" xfId="271" xr:uid="{00000000-0005-0000-0000-000089000000}"/>
    <cellStyle name="_Comma_Sheet1_Data_Tape_Kor-Port_LEQ_6-10-04_CR_Final-Struct_FINAL" xfId="272" xr:uid="{00000000-0005-0000-0000-00008A000000}"/>
    <cellStyle name="_Comma_Sheet1_Data_Tape_Mallard's_Landing_LEQ_8-17-04" xfId="273" xr:uid="{00000000-0005-0000-0000-00008B000000}"/>
    <cellStyle name="_Comma_Sheet1_Data_Tape_Quick Property Input" xfId="274" xr:uid="{00000000-0005-0000-0000-00008C000000}"/>
    <cellStyle name="_Comma_Sheet1_Data_Tape_Sheet1" xfId="275" xr:uid="{00000000-0005-0000-0000-00008D000000}"/>
    <cellStyle name="_Comma_Sheet1_Data_Tape_Sheet1_Data Tape" xfId="276" xr:uid="{00000000-0005-0000-0000-00008E000000}"/>
    <cellStyle name="_Comma_Sheet1_Data_Tape_Sheet1_Deal Assumptions" xfId="277" xr:uid="{00000000-0005-0000-0000-00008F000000}"/>
    <cellStyle name="_Comma_Sheet1_Data_Tape_Sheet1_RE Valuation 2" xfId="278" xr:uid="{00000000-0005-0000-0000-000090000000}"/>
    <cellStyle name="_Comma_Sheet1_Data_Tape_Sheet2" xfId="279" xr:uid="{00000000-0005-0000-0000-000091000000}"/>
    <cellStyle name="_Comma_Sheet1_Database - Economics" xfId="280" xr:uid="{00000000-0005-0000-0000-000092000000}"/>
    <cellStyle name="_Comma_Sheet1_Deal Input" xfId="281" xr:uid="{00000000-0005-0000-0000-000093000000}"/>
    <cellStyle name="_Comma_Sheet1_Direct Cap Eye" xfId="282" xr:uid="{00000000-0005-0000-0000-000094000000}"/>
    <cellStyle name="_Comma_Sheet1_DPEM2005_vBetatest6" xfId="283" xr:uid="{00000000-0005-0000-0000-000095000000}"/>
    <cellStyle name="_Comma_Sheet1_ETR" xfId="284" xr:uid="{00000000-0005-0000-0000-000096000000}"/>
    <cellStyle name="_Comma_Sheet1_Existing Debt" xfId="285" xr:uid="{00000000-0005-0000-0000-000097000000}"/>
    <cellStyle name="_Comma_Sheet1_Input" xfId="286" xr:uid="{00000000-0005-0000-0000-000098000000}"/>
    <cellStyle name="_Comma_Sheet1_Input_1" xfId="287" xr:uid="{00000000-0005-0000-0000-000099000000}"/>
    <cellStyle name="_Comma_Sheet1_Input_Data Tape" xfId="288" xr:uid="{00000000-0005-0000-0000-00009A000000}"/>
    <cellStyle name="_Comma_Sheet1_Input_Database - Economics" xfId="289" xr:uid="{00000000-0005-0000-0000-00009B000000}"/>
    <cellStyle name="_Comma_Sheet1_M&amp;A Feed" xfId="290" xr:uid="{00000000-0005-0000-0000-00009C000000}"/>
    <cellStyle name="_Comma_Sheet1_NPV Case Eyechart" xfId="291" xr:uid="{00000000-0005-0000-0000-00009D000000}"/>
    <cellStyle name="_Comma_Sheet1_Pools" xfId="292" xr:uid="{00000000-0005-0000-0000-00009E000000}"/>
    <cellStyle name="_Comma_Sheet1_Pools_1" xfId="293" xr:uid="{00000000-0005-0000-0000-00009F000000}"/>
    <cellStyle name="_Comma_Sheet1_Pools_ControlTables" xfId="294" xr:uid="{00000000-0005-0000-0000-0000A0000000}"/>
    <cellStyle name="_Comma_Sheet1_Pools_ControlTablesI" xfId="295" xr:uid="{00000000-0005-0000-0000-0000A1000000}"/>
    <cellStyle name="_Comma_Sheet1_Pools_Database - Comparables" xfId="296" xr:uid="{00000000-0005-0000-0000-0000A2000000}"/>
    <cellStyle name="_Comma_Sheet1_Pools_DB_Eye" xfId="297" xr:uid="{00000000-0005-0000-0000-0000A3000000}"/>
    <cellStyle name="_Comma_Sheet1_Pools_Exec Summary" xfId="298" xr:uid="{00000000-0005-0000-0000-0000A4000000}"/>
    <cellStyle name="_Comma_Sheet1_Pools_Existing Debt" xfId="299" xr:uid="{00000000-0005-0000-0000-0000A5000000}"/>
    <cellStyle name="_Comma_Sheet1_Pools_Kor-Port_LEQ_6-10-04_CR_Final-Struct_FINAL" xfId="300" xr:uid="{00000000-0005-0000-0000-0000A6000000}"/>
    <cellStyle name="_Comma_Sheet1_Pools_Mallard's_Landing_LEQ_8-17-04" xfId="301" xr:uid="{00000000-0005-0000-0000-0000A7000000}"/>
    <cellStyle name="_Comma_Sheet1_Pools_Quick Property Input" xfId="302" xr:uid="{00000000-0005-0000-0000-0000A8000000}"/>
    <cellStyle name="_Comma_Sheet1_Pools_Sheet1" xfId="303" xr:uid="{00000000-0005-0000-0000-0000A9000000}"/>
    <cellStyle name="_Comma_Sheet1_Pools_Sheet1_Data Tape" xfId="304" xr:uid="{00000000-0005-0000-0000-0000AA000000}"/>
    <cellStyle name="_Comma_Sheet1_Pools_Sheet1_Deal Assumptions" xfId="305" xr:uid="{00000000-0005-0000-0000-0000AB000000}"/>
    <cellStyle name="_Comma_Sheet1_Pools_Sheet1_RE Valuation 2" xfId="306" xr:uid="{00000000-0005-0000-0000-0000AC000000}"/>
    <cellStyle name="_Comma_Sheet1_Pools_Sheet2" xfId="307" xr:uid="{00000000-0005-0000-0000-0000AD000000}"/>
    <cellStyle name="_Comma_Sheet1_Portfolio Valuation" xfId="308" xr:uid="{00000000-0005-0000-0000-0000AE000000}"/>
    <cellStyle name="_Comma_Sheet1_Prop 13" xfId="309" xr:uid="{00000000-0005-0000-0000-0000AF000000}"/>
    <cellStyle name="_Comma_Sheet1_Prop 13 Data" xfId="310" xr:uid="{00000000-0005-0000-0000-0000B0000000}"/>
    <cellStyle name="_Comma_Sheet1_Prop 13 Summary-11-10" xfId="311" xr:uid="{00000000-0005-0000-0000-0000B1000000}"/>
    <cellStyle name="_Comma_Sheet1_Property Assumptions" xfId="312" xr:uid="{00000000-0005-0000-0000-0000B2000000}"/>
    <cellStyle name="_Comma_Sheet1_Property Assumptions_1" xfId="313" xr:uid="{00000000-0005-0000-0000-0000B3000000}"/>
    <cellStyle name="_Comma_Sheet1_Quick Property Input" xfId="314" xr:uid="{00000000-0005-0000-0000-0000B4000000}"/>
    <cellStyle name="_Comma_Sheet1_Senario Input Assumptions" xfId="315" xr:uid="{00000000-0005-0000-0000-0000B5000000}"/>
    <cellStyle name="_Comma_Sheet1_Sheet1" xfId="316" xr:uid="{00000000-0005-0000-0000-0000B6000000}"/>
    <cellStyle name="_Comma_Sheet1_Sheet2" xfId="317" xr:uid="{00000000-0005-0000-0000-0000B7000000}"/>
    <cellStyle name="_Comma_Sheet1_Sheet2_1" xfId="318" xr:uid="{00000000-0005-0000-0000-0000B8000000}"/>
    <cellStyle name="_Comma_Sheet1_Sheet3" xfId="319" xr:uid="{00000000-0005-0000-0000-0000B9000000}"/>
    <cellStyle name="_Comma_Sheet1_Sheet5" xfId="320" xr:uid="{00000000-0005-0000-0000-0000BA000000}"/>
    <cellStyle name="_Comma_Sheet1_Structure Model_2003_test2" xfId="321" xr:uid="{00000000-0005-0000-0000-0000BB000000}"/>
    <cellStyle name="_Comma_Sheet2" xfId="322" xr:uid="{00000000-0005-0000-0000-0000BC000000}"/>
    <cellStyle name="_Comma_Sheet2_1" xfId="323" xr:uid="{00000000-0005-0000-0000-0000BD000000}"/>
    <cellStyle name="_Comma_Sheet3" xfId="324" xr:uid="{00000000-0005-0000-0000-0000BE000000}"/>
    <cellStyle name="_Comma_Sheet3_1" xfId="325" xr:uid="{00000000-0005-0000-0000-0000BF000000}"/>
    <cellStyle name="_Comma_Sheet4" xfId="326" xr:uid="{00000000-0005-0000-0000-0000C0000000}"/>
    <cellStyle name="_Comma_Sheet5" xfId="327" xr:uid="{00000000-0005-0000-0000-0000C1000000}"/>
    <cellStyle name="_Comma_Structure Model_2003_test2" xfId="328" xr:uid="{00000000-0005-0000-0000-0000C2000000}"/>
    <cellStyle name="_Comma_Structure Model_2003_test2_ControlTables" xfId="329" xr:uid="{00000000-0005-0000-0000-0000C3000000}"/>
    <cellStyle name="_Comma_Structure Model_2003_test2_ControlTablesI" xfId="330" xr:uid="{00000000-0005-0000-0000-0000C4000000}"/>
    <cellStyle name="_Comma_Structure Model_2003_test2_Database - Comparables" xfId="331" xr:uid="{00000000-0005-0000-0000-0000C5000000}"/>
    <cellStyle name="_Comma_Structure Model_2003_test2_DB_Eye" xfId="332" xr:uid="{00000000-0005-0000-0000-0000C6000000}"/>
    <cellStyle name="_Comma_Structure Model_2003_test2_Exec Summary" xfId="333" xr:uid="{00000000-0005-0000-0000-0000C7000000}"/>
    <cellStyle name="_Comma_Structure Model_2003_test2_Existing Debt" xfId="334" xr:uid="{00000000-0005-0000-0000-0000C8000000}"/>
    <cellStyle name="_Comma_Structure Model_2003_test2_Kor-Port_LEQ_6-10-04_CR_Final-Struct_FINAL" xfId="335" xr:uid="{00000000-0005-0000-0000-0000C9000000}"/>
    <cellStyle name="_Comma_Structure Model_2003_test2_Mallard's_Landing_LEQ_8-17-04" xfId="336" xr:uid="{00000000-0005-0000-0000-0000CA000000}"/>
    <cellStyle name="_Comma_Structure Model_2003_test2_Quick Property Input" xfId="337" xr:uid="{00000000-0005-0000-0000-0000CB000000}"/>
    <cellStyle name="_Comma_Structure Model_2003_test2_Sheet1" xfId="338" xr:uid="{00000000-0005-0000-0000-0000CC000000}"/>
    <cellStyle name="_Comma_Structure Model_2003_test2_Sheet1_Data Tape" xfId="339" xr:uid="{00000000-0005-0000-0000-0000CD000000}"/>
    <cellStyle name="_Comma_Structure Model_2003_test2_Sheet1_Deal Assumptions" xfId="340" xr:uid="{00000000-0005-0000-0000-0000CE000000}"/>
    <cellStyle name="_Comma_Structure Model_2003_test2_Sheet1_RE Valuation 2" xfId="341" xr:uid="{00000000-0005-0000-0000-0000CF000000}"/>
    <cellStyle name="_Comma_Structure Model_2003_test2_Sheet2" xfId="342" xr:uid="{00000000-0005-0000-0000-0000D0000000}"/>
    <cellStyle name="_Currency" xfId="343" xr:uid="{00000000-0005-0000-0000-0000D1000000}"/>
    <cellStyle name="_Currency_03-05-31 Final OBS Reports" xfId="344" xr:uid="{00000000-0005-0000-0000-0000D2000000}"/>
    <cellStyle name="_Currency_3-Yr Eyechart" xfId="345" xr:uid="{00000000-0005-0000-0000-0000D3000000}"/>
    <cellStyle name="_Currency_Alamosa Standalone6" xfId="346" xr:uid="{00000000-0005-0000-0000-0000D4000000}"/>
    <cellStyle name="_Currency_ARI Base Case July 25 TPS1" xfId="347" xr:uid="{00000000-0005-0000-0000-0000D5000000}"/>
    <cellStyle name="_Currency_Balance Sheet" xfId="348" xr:uid="{00000000-0005-0000-0000-0000D6000000}"/>
    <cellStyle name="_Currency_Balance Sheet_ControlTables" xfId="349" xr:uid="{00000000-0005-0000-0000-0000D7000000}"/>
    <cellStyle name="_Currency_Balance Sheet_ControlTablesI" xfId="350" xr:uid="{00000000-0005-0000-0000-0000D8000000}"/>
    <cellStyle name="_Currency_Balance Sheet_Database - Comparables" xfId="351" xr:uid="{00000000-0005-0000-0000-0000D9000000}"/>
    <cellStyle name="_Currency_Balance Sheet_DB_Eye" xfId="352" xr:uid="{00000000-0005-0000-0000-0000DA000000}"/>
    <cellStyle name="_Currency_Balance Sheet_Exec Summary" xfId="353" xr:uid="{00000000-0005-0000-0000-0000DB000000}"/>
    <cellStyle name="_Currency_Balance Sheet_Exec Summary_1" xfId="354" xr:uid="{00000000-0005-0000-0000-0000DC000000}"/>
    <cellStyle name="_Currency_Balance Sheet_Sheet1" xfId="355" xr:uid="{00000000-0005-0000-0000-0000DD000000}"/>
    <cellStyle name="_Currency_ControlTables" xfId="356" xr:uid="{00000000-0005-0000-0000-0000DE000000}"/>
    <cellStyle name="_Currency_ControlTablesI" xfId="357" xr:uid="{00000000-0005-0000-0000-0000DF000000}"/>
    <cellStyle name="_Currency_Cost Of Funds" xfId="358" xr:uid="{00000000-0005-0000-0000-0000E0000000}"/>
    <cellStyle name="_Currency_Criteria" xfId="359" xr:uid="{00000000-0005-0000-0000-0000E1000000}"/>
    <cellStyle name="_Currency_Criteria Test Export" xfId="360" xr:uid="{00000000-0005-0000-0000-0000E2000000}"/>
    <cellStyle name="_Currency_Criteria_ControlTables" xfId="361" xr:uid="{00000000-0005-0000-0000-0000E3000000}"/>
    <cellStyle name="_Currency_Criteria_ControlTablesI" xfId="362" xr:uid="{00000000-0005-0000-0000-0000E4000000}"/>
    <cellStyle name="_Currency_Criteria_Database - Comparables" xfId="363" xr:uid="{00000000-0005-0000-0000-0000E5000000}"/>
    <cellStyle name="_Currency_Criteria_DB_Eye" xfId="364" xr:uid="{00000000-0005-0000-0000-0000E6000000}"/>
    <cellStyle name="_Currency_Criteria_Exec Summary" xfId="365" xr:uid="{00000000-0005-0000-0000-0000E7000000}"/>
    <cellStyle name="_Currency_Criteria_Exec Summary_1" xfId="366" xr:uid="{00000000-0005-0000-0000-0000E8000000}"/>
    <cellStyle name="_Currency_Criteria_Sheet1" xfId="367" xr:uid="{00000000-0005-0000-0000-0000E9000000}"/>
    <cellStyle name="_Currency_Data Tape" xfId="368" xr:uid="{00000000-0005-0000-0000-0000EA000000}"/>
    <cellStyle name="_Currency_Data Tape_1" xfId="369" xr:uid="{00000000-0005-0000-0000-0000EB000000}"/>
    <cellStyle name="_Currency_Data Tape_ControlTables" xfId="370" xr:uid="{00000000-0005-0000-0000-0000EC000000}"/>
    <cellStyle name="_Currency_Data Tape_ControlTablesI" xfId="371" xr:uid="{00000000-0005-0000-0000-0000ED000000}"/>
    <cellStyle name="_Currency_Data Tape_Database - Comparables" xfId="372" xr:uid="{00000000-0005-0000-0000-0000EE000000}"/>
    <cellStyle name="_Currency_Data Tape_DB_Eye" xfId="373" xr:uid="{00000000-0005-0000-0000-0000EF000000}"/>
    <cellStyle name="_Currency_Data Tape_Exec Summary" xfId="374" xr:uid="{00000000-0005-0000-0000-0000F0000000}"/>
    <cellStyle name="_Currency_Data Tape_Exec Summary_1" xfId="375" xr:uid="{00000000-0005-0000-0000-0000F1000000}"/>
    <cellStyle name="_Currency_Data Tape_Sheet1" xfId="376" xr:uid="{00000000-0005-0000-0000-0000F2000000}"/>
    <cellStyle name="_Currency_Data_Tape" xfId="377" xr:uid="{00000000-0005-0000-0000-0000F3000000}"/>
    <cellStyle name="_Currency_Data_Tape_ControlTables" xfId="378" xr:uid="{00000000-0005-0000-0000-0000F4000000}"/>
    <cellStyle name="_Currency_Data_Tape_ControlTablesI" xfId="379" xr:uid="{00000000-0005-0000-0000-0000F5000000}"/>
    <cellStyle name="_Currency_Data_Tape_Database - Comparables" xfId="380" xr:uid="{00000000-0005-0000-0000-0000F6000000}"/>
    <cellStyle name="_Currency_Data_Tape_DB_Eye" xfId="381" xr:uid="{00000000-0005-0000-0000-0000F7000000}"/>
    <cellStyle name="_Currency_Data_Tape_Exec Summary" xfId="382" xr:uid="{00000000-0005-0000-0000-0000F8000000}"/>
    <cellStyle name="_Currency_Data_Tape_Exec Summary_1" xfId="383" xr:uid="{00000000-0005-0000-0000-0000F9000000}"/>
    <cellStyle name="_Currency_Data_Tape_Sheet1" xfId="384" xr:uid="{00000000-0005-0000-0000-0000FA000000}"/>
    <cellStyle name="_Currency_Database - Comparables" xfId="385" xr:uid="{00000000-0005-0000-0000-0000FB000000}"/>
    <cellStyle name="_Currency_Database - Economics" xfId="386" xr:uid="{00000000-0005-0000-0000-0000FC000000}"/>
    <cellStyle name="_Currency_DB_Eye" xfId="387" xr:uid="{00000000-0005-0000-0000-0000FD000000}"/>
    <cellStyle name="_Currency_Deal Input" xfId="388" xr:uid="{00000000-0005-0000-0000-0000FE000000}"/>
    <cellStyle name="_Currency_Direct Cap Eye" xfId="389" xr:uid="{00000000-0005-0000-0000-0000FF000000}"/>
    <cellStyle name="_Currency_DPEM2005_vBetatest6" xfId="390" xr:uid="{00000000-0005-0000-0000-000000010000}"/>
    <cellStyle name="_Currency_ETR" xfId="391" xr:uid="{00000000-0005-0000-0000-000001010000}"/>
    <cellStyle name="_Currency_Exec Summary" xfId="392" xr:uid="{00000000-0005-0000-0000-000002010000}"/>
    <cellStyle name="_Currency_Exec Summary_1" xfId="393" xr:uid="{00000000-0005-0000-0000-000003010000}"/>
    <cellStyle name="_Currency_Existing Debt" xfId="394" xr:uid="{00000000-0005-0000-0000-000004010000}"/>
    <cellStyle name="_Currency_Existing Debt_1" xfId="395" xr:uid="{00000000-0005-0000-0000-000005010000}"/>
    <cellStyle name="_Currency_EyeChart" xfId="396" xr:uid="{00000000-0005-0000-0000-000006010000}"/>
    <cellStyle name="_Currency_EyeChart 090503" xfId="397" xr:uid="{00000000-0005-0000-0000-000007010000}"/>
    <cellStyle name="_Currency_GMACCH_Loans_OBS_033103_Final_v2" xfId="398" xr:uid="{00000000-0005-0000-0000-000008010000}"/>
    <cellStyle name="_Currency_Input" xfId="399" xr:uid="{00000000-0005-0000-0000-000009010000}"/>
    <cellStyle name="_Currency_Input_1" xfId="400" xr:uid="{00000000-0005-0000-0000-00000A010000}"/>
    <cellStyle name="_Currency_Input_2" xfId="401" xr:uid="{00000000-0005-0000-0000-00000B010000}"/>
    <cellStyle name="_Currency_Input_ControlTables" xfId="402" xr:uid="{00000000-0005-0000-0000-00000C010000}"/>
    <cellStyle name="_Currency_Input_ControlTablesI" xfId="403" xr:uid="{00000000-0005-0000-0000-00000D010000}"/>
    <cellStyle name="_Currency_Input_Data Tape" xfId="404" xr:uid="{00000000-0005-0000-0000-00000E010000}"/>
    <cellStyle name="_Currency_Input_Database - Comparables" xfId="405" xr:uid="{00000000-0005-0000-0000-00000F010000}"/>
    <cellStyle name="_Currency_Input_Database - Economics" xfId="406" xr:uid="{00000000-0005-0000-0000-000010010000}"/>
    <cellStyle name="_Currency_Input_DB_Eye" xfId="407" xr:uid="{00000000-0005-0000-0000-000011010000}"/>
    <cellStyle name="_Currency_Input_Exec Summary" xfId="408" xr:uid="{00000000-0005-0000-0000-000012010000}"/>
    <cellStyle name="_Currency_Input_Exec Summary_1" xfId="409" xr:uid="{00000000-0005-0000-0000-000013010000}"/>
    <cellStyle name="_Currency_Input_Sheet1" xfId="410" xr:uid="{00000000-0005-0000-0000-000014010000}"/>
    <cellStyle name="_Currency_JV Economics" xfId="411" xr:uid="{00000000-0005-0000-0000-000015010000}"/>
    <cellStyle name="_Currency_M&amp;A Feed" xfId="412" xr:uid="{00000000-0005-0000-0000-000016010000}"/>
    <cellStyle name="_Currency_NPV Case Eyechart" xfId="413" xr:uid="{00000000-0005-0000-0000-000017010000}"/>
    <cellStyle name="_Currency_Pools" xfId="414" xr:uid="{00000000-0005-0000-0000-000018010000}"/>
    <cellStyle name="_Currency_Pools_1" xfId="415" xr:uid="{00000000-0005-0000-0000-000019010000}"/>
    <cellStyle name="_Currency_Pools_ControlTables" xfId="416" xr:uid="{00000000-0005-0000-0000-00001A010000}"/>
    <cellStyle name="_Currency_Pools_ControlTablesI" xfId="417" xr:uid="{00000000-0005-0000-0000-00001B010000}"/>
    <cellStyle name="_Currency_Pools_Database - Comparables" xfId="418" xr:uid="{00000000-0005-0000-0000-00001C010000}"/>
    <cellStyle name="_Currency_Pools_DB_Eye" xfId="419" xr:uid="{00000000-0005-0000-0000-00001D010000}"/>
    <cellStyle name="_Currency_Pools_Exec Summary" xfId="420" xr:uid="{00000000-0005-0000-0000-00001E010000}"/>
    <cellStyle name="_Currency_Pools_Exec Summary_1" xfId="421" xr:uid="{00000000-0005-0000-0000-00001F010000}"/>
    <cellStyle name="_Currency_Pools_Sheet1" xfId="422" xr:uid="{00000000-0005-0000-0000-000020010000}"/>
    <cellStyle name="_Currency_Portfolio Valuation" xfId="423" xr:uid="{00000000-0005-0000-0000-000021010000}"/>
    <cellStyle name="_Currency_Pricing" xfId="424" xr:uid="{00000000-0005-0000-0000-000022010000}"/>
    <cellStyle name="_Currency_Prop 13" xfId="425" xr:uid="{00000000-0005-0000-0000-000023010000}"/>
    <cellStyle name="_Currency_Prop 13 Data" xfId="426" xr:uid="{00000000-0005-0000-0000-000024010000}"/>
    <cellStyle name="_Currency_Prop 13 Summary-11-10" xfId="427" xr:uid="{00000000-0005-0000-0000-000025010000}"/>
    <cellStyle name="_Currency_Property Assumptions" xfId="428" xr:uid="{00000000-0005-0000-0000-000026010000}"/>
    <cellStyle name="_Currency_Property Assumptions_1" xfId="429" xr:uid="{00000000-0005-0000-0000-000027010000}"/>
    <cellStyle name="_Currency_Quick Property Input" xfId="430" xr:uid="{00000000-0005-0000-0000-000028010000}"/>
    <cellStyle name="_Currency_Roberts Standalone14 Quarterly 2" xfId="431" xr:uid="{00000000-0005-0000-0000-000029010000}"/>
    <cellStyle name="_Currency_Senario Input Assumptions" xfId="432" xr:uid="{00000000-0005-0000-0000-00002A010000}"/>
    <cellStyle name="_Currency_Senario Input Assumptions_ControlTables" xfId="433" xr:uid="{00000000-0005-0000-0000-00002B010000}"/>
    <cellStyle name="_Currency_Senario Input Assumptions_ControlTablesI" xfId="434" xr:uid="{00000000-0005-0000-0000-00002C010000}"/>
    <cellStyle name="_Currency_Senario Input Assumptions_Database - Comparables" xfId="435" xr:uid="{00000000-0005-0000-0000-00002D010000}"/>
    <cellStyle name="_Currency_Senario Input Assumptions_DB_Eye" xfId="436" xr:uid="{00000000-0005-0000-0000-00002E010000}"/>
    <cellStyle name="_Currency_Senario Input Assumptions_Exec Summary" xfId="437" xr:uid="{00000000-0005-0000-0000-00002F010000}"/>
    <cellStyle name="_Currency_Senario Input Assumptions_Exec Summary_1" xfId="438" xr:uid="{00000000-0005-0000-0000-000030010000}"/>
    <cellStyle name="_Currency_Senario Input Assumptions_Sheet1" xfId="439" xr:uid="{00000000-0005-0000-0000-000031010000}"/>
    <cellStyle name="_Currency_Sheet1" xfId="440" xr:uid="{00000000-0005-0000-0000-000032010000}"/>
    <cellStyle name="_Currency_Sheet1_1" xfId="441" xr:uid="{00000000-0005-0000-0000-000033010000}"/>
    <cellStyle name="_Currency_Sheet1_3-Yr Eyechart" xfId="442" xr:uid="{00000000-0005-0000-0000-000034010000}"/>
    <cellStyle name="_Currency_Sheet1_Balance Sheet" xfId="443" xr:uid="{00000000-0005-0000-0000-000035010000}"/>
    <cellStyle name="_Currency_Sheet1_Balance Sheet_ControlTables" xfId="444" xr:uid="{00000000-0005-0000-0000-000036010000}"/>
    <cellStyle name="_Currency_Sheet1_Balance Sheet_ControlTablesI" xfId="445" xr:uid="{00000000-0005-0000-0000-000037010000}"/>
    <cellStyle name="_Currency_Sheet1_Balance Sheet_Database - Comparables" xfId="446" xr:uid="{00000000-0005-0000-0000-000038010000}"/>
    <cellStyle name="_Currency_Sheet1_Balance Sheet_DB_Eye" xfId="447" xr:uid="{00000000-0005-0000-0000-000039010000}"/>
    <cellStyle name="_Currency_Sheet1_Balance Sheet_Exec Summary" xfId="448" xr:uid="{00000000-0005-0000-0000-00003A010000}"/>
    <cellStyle name="_Currency_Sheet1_Balance Sheet_Exec Summary_1" xfId="449" xr:uid="{00000000-0005-0000-0000-00003B010000}"/>
    <cellStyle name="_Currency_Sheet1_Balance Sheet_Sheet1" xfId="450" xr:uid="{00000000-0005-0000-0000-00003C010000}"/>
    <cellStyle name="_Currency_Sheet1_ControlTables" xfId="451" xr:uid="{00000000-0005-0000-0000-00003D010000}"/>
    <cellStyle name="_Currency_Sheet1_ControlTablesI" xfId="452" xr:uid="{00000000-0005-0000-0000-00003E010000}"/>
    <cellStyle name="_Currency_Sheet1_Cost Of Funds" xfId="453" xr:uid="{00000000-0005-0000-0000-00003F010000}"/>
    <cellStyle name="_Currency_Sheet1_Criteria" xfId="454" xr:uid="{00000000-0005-0000-0000-000040010000}"/>
    <cellStyle name="_Currency_Sheet1_Criteria Test Export" xfId="455" xr:uid="{00000000-0005-0000-0000-000041010000}"/>
    <cellStyle name="_Currency_Sheet1_Criteria_ControlTables" xfId="456" xr:uid="{00000000-0005-0000-0000-000042010000}"/>
    <cellStyle name="_Currency_Sheet1_Criteria_ControlTablesI" xfId="457" xr:uid="{00000000-0005-0000-0000-000043010000}"/>
    <cellStyle name="_Currency_Sheet1_Criteria_Database - Comparables" xfId="458" xr:uid="{00000000-0005-0000-0000-000044010000}"/>
    <cellStyle name="_Currency_Sheet1_Criteria_DB_Eye" xfId="459" xr:uid="{00000000-0005-0000-0000-000045010000}"/>
    <cellStyle name="_Currency_Sheet1_Criteria_Exec Summary" xfId="460" xr:uid="{00000000-0005-0000-0000-000046010000}"/>
    <cellStyle name="_Currency_Sheet1_Criteria_Exec Summary_1" xfId="461" xr:uid="{00000000-0005-0000-0000-000047010000}"/>
    <cellStyle name="_Currency_Sheet1_Criteria_Sheet1" xfId="462" xr:uid="{00000000-0005-0000-0000-000048010000}"/>
    <cellStyle name="_Currency_Sheet1_Data Tape" xfId="463" xr:uid="{00000000-0005-0000-0000-000049010000}"/>
    <cellStyle name="_Currency_Sheet1_Data Tape_1" xfId="464" xr:uid="{00000000-0005-0000-0000-00004A010000}"/>
    <cellStyle name="_Currency_Sheet1_Data Tape_ControlTables" xfId="465" xr:uid="{00000000-0005-0000-0000-00004B010000}"/>
    <cellStyle name="_Currency_Sheet1_Data Tape_ControlTablesI" xfId="466" xr:uid="{00000000-0005-0000-0000-00004C010000}"/>
    <cellStyle name="_Currency_Sheet1_Data Tape_Database - Comparables" xfId="467" xr:uid="{00000000-0005-0000-0000-00004D010000}"/>
    <cellStyle name="_Currency_Sheet1_Data Tape_DB_Eye" xfId="468" xr:uid="{00000000-0005-0000-0000-00004E010000}"/>
    <cellStyle name="_Currency_Sheet1_Data Tape_Exec Summary" xfId="469" xr:uid="{00000000-0005-0000-0000-00004F010000}"/>
    <cellStyle name="_Currency_Sheet1_Data Tape_Exec Summary_1" xfId="470" xr:uid="{00000000-0005-0000-0000-000050010000}"/>
    <cellStyle name="_Currency_Sheet1_Data Tape_Sheet1" xfId="471" xr:uid="{00000000-0005-0000-0000-000051010000}"/>
    <cellStyle name="_Currency_Sheet1_Data_Tape" xfId="472" xr:uid="{00000000-0005-0000-0000-000052010000}"/>
    <cellStyle name="_Currency_Sheet1_Data_Tape_ControlTables" xfId="473" xr:uid="{00000000-0005-0000-0000-000053010000}"/>
    <cellStyle name="_Currency_Sheet1_Data_Tape_ControlTablesI" xfId="474" xr:uid="{00000000-0005-0000-0000-000054010000}"/>
    <cellStyle name="_Currency_Sheet1_Data_Tape_DB_Eye" xfId="475" xr:uid="{00000000-0005-0000-0000-000055010000}"/>
    <cellStyle name="_Currency_Sheet1_Data_Tape_Exec Summary" xfId="476" xr:uid="{00000000-0005-0000-0000-000056010000}"/>
    <cellStyle name="_Currency_Sheet1_Data_Tape_Exec Summary_1" xfId="477" xr:uid="{00000000-0005-0000-0000-000057010000}"/>
    <cellStyle name="_Currency_Sheet1_Data_Tape_Sheet1" xfId="478" xr:uid="{00000000-0005-0000-0000-000058010000}"/>
    <cellStyle name="_Currency_Sheet1_Database - Comparables" xfId="479" xr:uid="{00000000-0005-0000-0000-000059010000}"/>
    <cellStyle name="_Currency_Sheet1_Database - Economics" xfId="480" xr:uid="{00000000-0005-0000-0000-00005A010000}"/>
    <cellStyle name="_Currency_Sheet1_DB_Eye" xfId="481" xr:uid="{00000000-0005-0000-0000-00005B010000}"/>
    <cellStyle name="_Currency_Sheet1_Deal Input" xfId="482" xr:uid="{00000000-0005-0000-0000-00005C010000}"/>
    <cellStyle name="_Currency_Sheet1_Direct Cap Eye" xfId="483" xr:uid="{00000000-0005-0000-0000-00005D010000}"/>
    <cellStyle name="_Currency_Sheet1_DPEM2005_vBetatest6" xfId="484" xr:uid="{00000000-0005-0000-0000-00005E010000}"/>
    <cellStyle name="_Currency_Sheet1_ETR" xfId="485" xr:uid="{00000000-0005-0000-0000-00005F010000}"/>
    <cellStyle name="_Currency_Sheet1_Exec Summary" xfId="486" xr:uid="{00000000-0005-0000-0000-000060010000}"/>
    <cellStyle name="_Currency_Sheet1_Exec Summary_1" xfId="487" xr:uid="{00000000-0005-0000-0000-000061010000}"/>
    <cellStyle name="_Currency_Sheet1_Existing Debt" xfId="488" xr:uid="{00000000-0005-0000-0000-000062010000}"/>
    <cellStyle name="_Currency_Sheet1_Input" xfId="489" xr:uid="{00000000-0005-0000-0000-000063010000}"/>
    <cellStyle name="_Currency_Sheet1_Input_1" xfId="490" xr:uid="{00000000-0005-0000-0000-000064010000}"/>
    <cellStyle name="_Currency_Sheet1_Input_ControlTables" xfId="491" xr:uid="{00000000-0005-0000-0000-000065010000}"/>
    <cellStyle name="_Currency_Sheet1_Input_ControlTablesI" xfId="492" xr:uid="{00000000-0005-0000-0000-000066010000}"/>
    <cellStyle name="_Currency_Sheet1_Input_Data Tape" xfId="493" xr:uid="{00000000-0005-0000-0000-000067010000}"/>
    <cellStyle name="_Currency_Sheet1_Input_Database - Economics" xfId="494" xr:uid="{00000000-0005-0000-0000-000068010000}"/>
    <cellStyle name="_Currency_Sheet1_Input_DB_Eye" xfId="495" xr:uid="{00000000-0005-0000-0000-000069010000}"/>
    <cellStyle name="_Currency_Sheet1_Input_Exec Summary" xfId="496" xr:uid="{00000000-0005-0000-0000-00006A010000}"/>
    <cellStyle name="_Currency_Sheet1_Input_Exec Summary_1" xfId="497" xr:uid="{00000000-0005-0000-0000-00006B010000}"/>
    <cellStyle name="_Currency_Sheet1_Input_Sheet1" xfId="498" xr:uid="{00000000-0005-0000-0000-00006C010000}"/>
    <cellStyle name="_Currency_Sheet1_M&amp;A Feed" xfId="499" xr:uid="{00000000-0005-0000-0000-00006D010000}"/>
    <cellStyle name="_Currency_Sheet1_NPV Case Eyechart" xfId="500" xr:uid="{00000000-0005-0000-0000-00006E010000}"/>
    <cellStyle name="_Currency_Sheet1_Pools" xfId="501" xr:uid="{00000000-0005-0000-0000-00006F010000}"/>
    <cellStyle name="_Currency_Sheet1_Pools_1" xfId="502" xr:uid="{00000000-0005-0000-0000-000070010000}"/>
    <cellStyle name="_Currency_Sheet1_Pools_ControlTables" xfId="503" xr:uid="{00000000-0005-0000-0000-000071010000}"/>
    <cellStyle name="_Currency_Sheet1_Pools_ControlTablesI" xfId="504" xr:uid="{00000000-0005-0000-0000-000072010000}"/>
    <cellStyle name="_Currency_Sheet1_Pools_DB_Eye" xfId="505" xr:uid="{00000000-0005-0000-0000-000073010000}"/>
    <cellStyle name="_Currency_Sheet1_Pools_Exec Summary" xfId="506" xr:uid="{00000000-0005-0000-0000-000074010000}"/>
    <cellStyle name="_Currency_Sheet1_Pools_Exec Summary_1" xfId="507" xr:uid="{00000000-0005-0000-0000-000075010000}"/>
    <cellStyle name="_Currency_Sheet1_Pools_Sheet1" xfId="508" xr:uid="{00000000-0005-0000-0000-000076010000}"/>
    <cellStyle name="_Currency_Sheet1_Portfolio Valuation" xfId="509" xr:uid="{00000000-0005-0000-0000-000077010000}"/>
    <cellStyle name="_Currency_Sheet1_Prop 13" xfId="510" xr:uid="{00000000-0005-0000-0000-000078010000}"/>
    <cellStyle name="_Currency_Sheet1_Prop 13 Data" xfId="511" xr:uid="{00000000-0005-0000-0000-000079010000}"/>
    <cellStyle name="_Currency_Sheet1_Prop 13 Summary-11-10" xfId="512" xr:uid="{00000000-0005-0000-0000-00007A010000}"/>
    <cellStyle name="_Currency_Sheet1_Property Assumptions" xfId="513" xr:uid="{00000000-0005-0000-0000-00007B010000}"/>
    <cellStyle name="_Currency_Sheet1_Property Assumptions_1" xfId="514" xr:uid="{00000000-0005-0000-0000-00007C010000}"/>
    <cellStyle name="_Currency_Sheet1_Quick Property Input" xfId="515" xr:uid="{00000000-0005-0000-0000-00007D010000}"/>
    <cellStyle name="_Currency_Sheet1_Senario Input Assumptions" xfId="516" xr:uid="{00000000-0005-0000-0000-00007E010000}"/>
    <cellStyle name="_Currency_Sheet1_Senario Input Assumptions_ControlTables" xfId="517" xr:uid="{00000000-0005-0000-0000-00007F010000}"/>
    <cellStyle name="_Currency_Sheet1_Senario Input Assumptions_ControlTablesI" xfId="518" xr:uid="{00000000-0005-0000-0000-000080010000}"/>
    <cellStyle name="_Currency_Sheet1_Senario Input Assumptions_DB_Eye" xfId="519" xr:uid="{00000000-0005-0000-0000-000081010000}"/>
    <cellStyle name="_Currency_Sheet1_Senario Input Assumptions_Exec Summary" xfId="520" xr:uid="{00000000-0005-0000-0000-000082010000}"/>
    <cellStyle name="_Currency_Sheet1_Senario Input Assumptions_Exec Summary_1" xfId="521" xr:uid="{00000000-0005-0000-0000-000083010000}"/>
    <cellStyle name="_Currency_Sheet1_Senario Input Assumptions_Sheet1" xfId="522" xr:uid="{00000000-0005-0000-0000-000084010000}"/>
    <cellStyle name="_Currency_Sheet1_Sheet1" xfId="523" xr:uid="{00000000-0005-0000-0000-000085010000}"/>
    <cellStyle name="_Currency_Sheet1_Sheet1_Data Tape" xfId="524" xr:uid="{00000000-0005-0000-0000-000086010000}"/>
    <cellStyle name="_Currency_Sheet1_Sheet1_Database - Eyechart" xfId="525" xr:uid="{00000000-0005-0000-0000-000087010000}"/>
    <cellStyle name="_Currency_Sheet1_Sheet1_Deal Assumptions" xfId="526" xr:uid="{00000000-0005-0000-0000-000088010000}"/>
    <cellStyle name="_Currency_Sheet1_Sheet1_Model" xfId="527" xr:uid="{00000000-0005-0000-0000-000089010000}"/>
    <cellStyle name="_Currency_Sheet1_Sheet1_Monthly CF Input" xfId="528" xr:uid="{00000000-0005-0000-0000-00008A010000}"/>
    <cellStyle name="_Currency_Sheet1_Sheet1_Property Assumptions" xfId="529" xr:uid="{00000000-0005-0000-0000-00008B010000}"/>
    <cellStyle name="_Currency_Sheet1_Sheet1_RE Valuation 2" xfId="530" xr:uid="{00000000-0005-0000-0000-00008C010000}"/>
    <cellStyle name="_Currency_Sheet1_Sheet1_Sensitivities" xfId="531" xr:uid="{00000000-0005-0000-0000-00008D010000}"/>
    <cellStyle name="_Currency_Sheet1_Sheet2" xfId="532" xr:uid="{00000000-0005-0000-0000-00008E010000}"/>
    <cellStyle name="_Currency_Sheet1_Sheet2_1" xfId="533" xr:uid="{00000000-0005-0000-0000-00008F010000}"/>
    <cellStyle name="_Currency_Sheet1_Sheet3" xfId="534" xr:uid="{00000000-0005-0000-0000-000090010000}"/>
    <cellStyle name="_Currency_Sheet1_Sheet5" xfId="535" xr:uid="{00000000-0005-0000-0000-000091010000}"/>
    <cellStyle name="_Currency_Sheet1_Structure Model_2003_test2" xfId="536" xr:uid="{00000000-0005-0000-0000-000092010000}"/>
    <cellStyle name="_Currency_Sheet1_Structure Model_2003_test2_ControlTables" xfId="537" xr:uid="{00000000-0005-0000-0000-000093010000}"/>
    <cellStyle name="_Currency_Sheet1_Structure Model_2003_test2_ControlTablesI" xfId="538" xr:uid="{00000000-0005-0000-0000-000094010000}"/>
    <cellStyle name="_Currency_Sheet1_Structure Model_2003_test2_DB_Eye" xfId="539" xr:uid="{00000000-0005-0000-0000-000095010000}"/>
    <cellStyle name="_Currency_Sheet1_Structure Model_2003_test2_Exec Summary" xfId="540" xr:uid="{00000000-0005-0000-0000-000096010000}"/>
    <cellStyle name="_Currency_Sheet1_Structure Model_2003_test2_Exec Summary_1" xfId="541" xr:uid="{00000000-0005-0000-0000-000097010000}"/>
    <cellStyle name="_Currency_Sheet1_Structure Model_2003_test2_Sheet1" xfId="542" xr:uid="{00000000-0005-0000-0000-000098010000}"/>
    <cellStyle name="_Currency_Sheet2" xfId="543" xr:uid="{00000000-0005-0000-0000-000099010000}"/>
    <cellStyle name="_Currency_Sheet2_1" xfId="544" xr:uid="{00000000-0005-0000-0000-00009A010000}"/>
    <cellStyle name="_Currency_Sheet3" xfId="545" xr:uid="{00000000-0005-0000-0000-00009B010000}"/>
    <cellStyle name="_Currency_Sheet3_1" xfId="546" xr:uid="{00000000-0005-0000-0000-00009C010000}"/>
    <cellStyle name="_Currency_Sheet3_ControlTables" xfId="547" xr:uid="{00000000-0005-0000-0000-00009D010000}"/>
    <cellStyle name="_Currency_Sheet3_ControlTablesI" xfId="548" xr:uid="{00000000-0005-0000-0000-00009E010000}"/>
    <cellStyle name="_Currency_Sheet3_DB_Eye" xfId="549" xr:uid="{00000000-0005-0000-0000-00009F010000}"/>
    <cellStyle name="_Currency_Sheet3_Exec Summary" xfId="550" xr:uid="{00000000-0005-0000-0000-0000A0010000}"/>
    <cellStyle name="_Currency_Sheet3_Exec Summary_1" xfId="551" xr:uid="{00000000-0005-0000-0000-0000A1010000}"/>
    <cellStyle name="_Currency_Sheet3_Sheet1" xfId="552" xr:uid="{00000000-0005-0000-0000-0000A2010000}"/>
    <cellStyle name="_Currency_Sheet4" xfId="553" xr:uid="{00000000-0005-0000-0000-0000A3010000}"/>
    <cellStyle name="_Currency_Sheet5" xfId="554" xr:uid="{00000000-0005-0000-0000-0000A4010000}"/>
    <cellStyle name="_Currency_Structure Model_2003_test2" xfId="555" xr:uid="{00000000-0005-0000-0000-0000A5010000}"/>
    <cellStyle name="_Currency_Structure Model_2003_test2_ControlTables" xfId="556" xr:uid="{00000000-0005-0000-0000-0000A6010000}"/>
    <cellStyle name="_Currency_Structure Model_2003_test2_ControlTablesI" xfId="557" xr:uid="{00000000-0005-0000-0000-0000A7010000}"/>
    <cellStyle name="_Currency_Structure Model_2003_test2_DB_Eye" xfId="558" xr:uid="{00000000-0005-0000-0000-0000A8010000}"/>
    <cellStyle name="_Currency_Structure Model_2003_test2_Exec Summary" xfId="559" xr:uid="{00000000-0005-0000-0000-0000A9010000}"/>
    <cellStyle name="_Currency_Structure Model_2003_test2_Exec Summary_1" xfId="560" xr:uid="{00000000-0005-0000-0000-0000AA010000}"/>
    <cellStyle name="_Currency_Structure Model_2003_test2_Sheet1" xfId="561" xr:uid="{00000000-0005-0000-0000-0000AB010000}"/>
    <cellStyle name="_CurrencySpace" xfId="562" xr:uid="{00000000-0005-0000-0000-0000AC010000}"/>
    <cellStyle name="_CurrencySpace_3-Yr Eyechart" xfId="563" xr:uid="{00000000-0005-0000-0000-0000AD010000}"/>
    <cellStyle name="_CurrencySpace_Balance Sheet" xfId="564" xr:uid="{00000000-0005-0000-0000-0000AE010000}"/>
    <cellStyle name="_CurrencySpace_Balance Sheet_ControlTables" xfId="565" xr:uid="{00000000-0005-0000-0000-0000AF010000}"/>
    <cellStyle name="_CurrencySpace_Balance Sheet_ControlTablesI" xfId="566" xr:uid="{00000000-0005-0000-0000-0000B0010000}"/>
    <cellStyle name="_CurrencySpace_Balance Sheet_DB_Eye" xfId="567" xr:uid="{00000000-0005-0000-0000-0000B1010000}"/>
    <cellStyle name="_CurrencySpace_Balance Sheet_Exec Summary" xfId="568" xr:uid="{00000000-0005-0000-0000-0000B2010000}"/>
    <cellStyle name="_CurrencySpace_Balance Sheet_Exec Summary_1" xfId="569" xr:uid="{00000000-0005-0000-0000-0000B3010000}"/>
    <cellStyle name="_CurrencySpace_Balance Sheet_Sheet1" xfId="570" xr:uid="{00000000-0005-0000-0000-0000B4010000}"/>
    <cellStyle name="_CurrencySpace_ControlTables" xfId="571" xr:uid="{00000000-0005-0000-0000-0000B5010000}"/>
    <cellStyle name="_CurrencySpace_ControlTablesI" xfId="572" xr:uid="{00000000-0005-0000-0000-0000B6010000}"/>
    <cellStyle name="_CurrencySpace_Cost Of Funds" xfId="573" xr:uid="{00000000-0005-0000-0000-0000B7010000}"/>
    <cellStyle name="_CurrencySpace_Criteria" xfId="574" xr:uid="{00000000-0005-0000-0000-0000B8010000}"/>
    <cellStyle name="_CurrencySpace_Criteria Test Export" xfId="575" xr:uid="{00000000-0005-0000-0000-0000B9010000}"/>
    <cellStyle name="_CurrencySpace_Criteria_ControlTables" xfId="576" xr:uid="{00000000-0005-0000-0000-0000BA010000}"/>
    <cellStyle name="_CurrencySpace_Criteria_ControlTablesI" xfId="577" xr:uid="{00000000-0005-0000-0000-0000BB010000}"/>
    <cellStyle name="_CurrencySpace_Criteria_DB_Eye" xfId="578" xr:uid="{00000000-0005-0000-0000-0000BC010000}"/>
    <cellStyle name="_CurrencySpace_Criteria_Exec Summary" xfId="579" xr:uid="{00000000-0005-0000-0000-0000BD010000}"/>
    <cellStyle name="_CurrencySpace_Criteria_Exec Summary_1" xfId="580" xr:uid="{00000000-0005-0000-0000-0000BE010000}"/>
    <cellStyle name="_CurrencySpace_Criteria_Sheet1" xfId="581" xr:uid="{00000000-0005-0000-0000-0000BF010000}"/>
    <cellStyle name="_CurrencySpace_Data Tape" xfId="582" xr:uid="{00000000-0005-0000-0000-0000C0010000}"/>
    <cellStyle name="_CurrencySpace_Data Tape_1" xfId="583" xr:uid="{00000000-0005-0000-0000-0000C1010000}"/>
    <cellStyle name="_CurrencySpace_Data Tape_ControlTables" xfId="584" xr:uid="{00000000-0005-0000-0000-0000C2010000}"/>
    <cellStyle name="_CurrencySpace_Data Tape_ControlTablesI" xfId="585" xr:uid="{00000000-0005-0000-0000-0000C3010000}"/>
    <cellStyle name="_CurrencySpace_Data Tape_DB_Eye" xfId="586" xr:uid="{00000000-0005-0000-0000-0000C4010000}"/>
    <cellStyle name="_CurrencySpace_Data Tape_Exec Summary" xfId="587" xr:uid="{00000000-0005-0000-0000-0000C5010000}"/>
    <cellStyle name="_CurrencySpace_Data Tape_Exec Summary_1" xfId="588" xr:uid="{00000000-0005-0000-0000-0000C6010000}"/>
    <cellStyle name="_CurrencySpace_Data Tape_Sheet1" xfId="589" xr:uid="{00000000-0005-0000-0000-0000C7010000}"/>
    <cellStyle name="_CurrencySpace_Data_Tape" xfId="590" xr:uid="{00000000-0005-0000-0000-0000C8010000}"/>
    <cellStyle name="_CurrencySpace_Database - Economics" xfId="591" xr:uid="{00000000-0005-0000-0000-0000C9010000}"/>
    <cellStyle name="_CurrencySpace_DB_Eye" xfId="592" xr:uid="{00000000-0005-0000-0000-0000CA010000}"/>
    <cellStyle name="_CurrencySpace_Deal Input" xfId="593" xr:uid="{00000000-0005-0000-0000-0000CB010000}"/>
    <cellStyle name="_CurrencySpace_Direct Cap Eye" xfId="594" xr:uid="{00000000-0005-0000-0000-0000CC010000}"/>
    <cellStyle name="_CurrencySpace_DPEM2005_vBetatest6" xfId="595" xr:uid="{00000000-0005-0000-0000-0000CD010000}"/>
    <cellStyle name="_CurrencySpace_ETR" xfId="596" xr:uid="{00000000-0005-0000-0000-0000CE010000}"/>
    <cellStyle name="_CurrencySpace_Exec Summary" xfId="597" xr:uid="{00000000-0005-0000-0000-0000CF010000}"/>
    <cellStyle name="_CurrencySpace_Exec Summary_1" xfId="598" xr:uid="{00000000-0005-0000-0000-0000D0010000}"/>
    <cellStyle name="_CurrencySpace_Existing Debt" xfId="599" xr:uid="{00000000-0005-0000-0000-0000D1010000}"/>
    <cellStyle name="_CurrencySpace_EyeChart" xfId="600" xr:uid="{00000000-0005-0000-0000-0000D2010000}"/>
    <cellStyle name="_CurrencySpace_EyeChart 090503" xfId="601" xr:uid="{00000000-0005-0000-0000-0000D3010000}"/>
    <cellStyle name="_CurrencySpace_Input" xfId="602" xr:uid="{00000000-0005-0000-0000-0000D4010000}"/>
    <cellStyle name="_CurrencySpace_Input_1" xfId="603" xr:uid="{00000000-0005-0000-0000-0000D5010000}"/>
    <cellStyle name="_CurrencySpace_Input_ControlTables" xfId="604" xr:uid="{00000000-0005-0000-0000-0000D6010000}"/>
    <cellStyle name="_CurrencySpace_Input_ControlTablesI" xfId="605" xr:uid="{00000000-0005-0000-0000-0000D7010000}"/>
    <cellStyle name="_CurrencySpace_Input_Data Tape" xfId="606" xr:uid="{00000000-0005-0000-0000-0000D8010000}"/>
    <cellStyle name="_CurrencySpace_Input_Database - Economics" xfId="607" xr:uid="{00000000-0005-0000-0000-0000D9010000}"/>
    <cellStyle name="_CurrencySpace_Input_DB_Eye" xfId="608" xr:uid="{00000000-0005-0000-0000-0000DA010000}"/>
    <cellStyle name="_CurrencySpace_Input_Exec Summary" xfId="609" xr:uid="{00000000-0005-0000-0000-0000DB010000}"/>
    <cellStyle name="_CurrencySpace_Input_Exec Summary_1" xfId="610" xr:uid="{00000000-0005-0000-0000-0000DC010000}"/>
    <cellStyle name="_CurrencySpace_Input_Sheet1" xfId="611" xr:uid="{00000000-0005-0000-0000-0000DD010000}"/>
    <cellStyle name="_CurrencySpace_JV Economics" xfId="612" xr:uid="{00000000-0005-0000-0000-0000DE010000}"/>
    <cellStyle name="_CurrencySpace_M&amp;A Feed" xfId="613" xr:uid="{00000000-0005-0000-0000-0000DF010000}"/>
    <cellStyle name="_CurrencySpace_NPV Case Eyechart" xfId="614" xr:uid="{00000000-0005-0000-0000-0000E0010000}"/>
    <cellStyle name="_CurrencySpace_Pools" xfId="615" xr:uid="{00000000-0005-0000-0000-0000E1010000}"/>
    <cellStyle name="_CurrencySpace_Pools_1" xfId="616" xr:uid="{00000000-0005-0000-0000-0000E2010000}"/>
    <cellStyle name="_CurrencySpace_Portfolio Valuation" xfId="617" xr:uid="{00000000-0005-0000-0000-0000E3010000}"/>
    <cellStyle name="_CurrencySpace_Pricing" xfId="618" xr:uid="{00000000-0005-0000-0000-0000E4010000}"/>
    <cellStyle name="_CurrencySpace_Prop 13" xfId="619" xr:uid="{00000000-0005-0000-0000-0000E5010000}"/>
    <cellStyle name="_CurrencySpace_Prop 13 Data" xfId="620" xr:uid="{00000000-0005-0000-0000-0000E6010000}"/>
    <cellStyle name="_CurrencySpace_Prop 13 Summary-11-10" xfId="621" xr:uid="{00000000-0005-0000-0000-0000E7010000}"/>
    <cellStyle name="_CurrencySpace_Property Assumptions" xfId="622" xr:uid="{00000000-0005-0000-0000-0000E8010000}"/>
    <cellStyle name="_CurrencySpace_Property Assumptions_1" xfId="623" xr:uid="{00000000-0005-0000-0000-0000E9010000}"/>
    <cellStyle name="_CurrencySpace_Quick Property Input" xfId="624" xr:uid="{00000000-0005-0000-0000-0000EA010000}"/>
    <cellStyle name="_CurrencySpace_Senario Input Assumptions" xfId="625" xr:uid="{00000000-0005-0000-0000-0000EB010000}"/>
    <cellStyle name="_CurrencySpace_Senario Input Assumptions_ControlTables" xfId="626" xr:uid="{00000000-0005-0000-0000-0000EC010000}"/>
    <cellStyle name="_CurrencySpace_Senario Input Assumptions_ControlTablesI" xfId="627" xr:uid="{00000000-0005-0000-0000-0000ED010000}"/>
    <cellStyle name="_CurrencySpace_Senario Input Assumptions_DB_Eye" xfId="628" xr:uid="{00000000-0005-0000-0000-0000EE010000}"/>
    <cellStyle name="_CurrencySpace_Senario Input Assumptions_Exec Summary" xfId="629" xr:uid="{00000000-0005-0000-0000-0000EF010000}"/>
    <cellStyle name="_CurrencySpace_Senario Input Assumptions_Exec Summary_1" xfId="630" xr:uid="{00000000-0005-0000-0000-0000F0010000}"/>
    <cellStyle name="_CurrencySpace_Senario Input Assumptions_Sheet1" xfId="631" xr:uid="{00000000-0005-0000-0000-0000F1010000}"/>
    <cellStyle name="_CurrencySpace_Sheet1" xfId="632" xr:uid="{00000000-0005-0000-0000-0000F2010000}"/>
    <cellStyle name="_CurrencySpace_Sheet1_1" xfId="633" xr:uid="{00000000-0005-0000-0000-0000F3010000}"/>
    <cellStyle name="_CurrencySpace_Sheet1_3-Yr Eyechart" xfId="634" xr:uid="{00000000-0005-0000-0000-0000F4010000}"/>
    <cellStyle name="_CurrencySpace_Sheet1_Balance Sheet" xfId="635" xr:uid="{00000000-0005-0000-0000-0000F5010000}"/>
    <cellStyle name="_CurrencySpace_Sheet1_Cost Of Funds" xfId="636" xr:uid="{00000000-0005-0000-0000-0000F6010000}"/>
    <cellStyle name="_CurrencySpace_Sheet1_Criteria" xfId="637" xr:uid="{00000000-0005-0000-0000-0000F7010000}"/>
    <cellStyle name="_CurrencySpace_Sheet1_Criteria Test Export" xfId="638" xr:uid="{00000000-0005-0000-0000-0000F8010000}"/>
    <cellStyle name="_CurrencySpace_Sheet1_Data Tape" xfId="639" xr:uid="{00000000-0005-0000-0000-0000F9010000}"/>
    <cellStyle name="_CurrencySpace_Sheet1_Data Tape_1" xfId="640" xr:uid="{00000000-0005-0000-0000-0000FA010000}"/>
    <cellStyle name="_CurrencySpace_Sheet1_Data_Tape" xfId="641" xr:uid="{00000000-0005-0000-0000-0000FB010000}"/>
    <cellStyle name="_CurrencySpace_Sheet1_Data_Tape_ControlTables" xfId="642" xr:uid="{00000000-0005-0000-0000-0000FC010000}"/>
    <cellStyle name="_CurrencySpace_Sheet1_Data_Tape_ControlTablesI" xfId="643" xr:uid="{00000000-0005-0000-0000-0000FD010000}"/>
    <cellStyle name="_CurrencySpace_Sheet1_Data_Tape_DB_Eye" xfId="644" xr:uid="{00000000-0005-0000-0000-0000FE010000}"/>
    <cellStyle name="_CurrencySpace_Sheet1_Data_Tape_Exec Summary" xfId="645" xr:uid="{00000000-0005-0000-0000-0000FF010000}"/>
    <cellStyle name="_CurrencySpace_Sheet1_Data_Tape_Exec Summary_1" xfId="646" xr:uid="{00000000-0005-0000-0000-000000020000}"/>
    <cellStyle name="_CurrencySpace_Sheet1_Data_Tape_Sheet1" xfId="647" xr:uid="{00000000-0005-0000-0000-000001020000}"/>
    <cellStyle name="_CurrencySpace_Sheet1_Database - Economics" xfId="648" xr:uid="{00000000-0005-0000-0000-000002020000}"/>
    <cellStyle name="_CurrencySpace_Sheet1_Deal Input" xfId="649" xr:uid="{00000000-0005-0000-0000-000003020000}"/>
    <cellStyle name="_CurrencySpace_Sheet1_Direct Cap Eye" xfId="650" xr:uid="{00000000-0005-0000-0000-000004020000}"/>
    <cellStyle name="_CurrencySpace_Sheet1_DPEM2005_vBetatest6" xfId="651" xr:uid="{00000000-0005-0000-0000-000005020000}"/>
    <cellStyle name="_CurrencySpace_Sheet1_ETR" xfId="652" xr:uid="{00000000-0005-0000-0000-000006020000}"/>
    <cellStyle name="_CurrencySpace_Sheet1_Existing Debt" xfId="653" xr:uid="{00000000-0005-0000-0000-000007020000}"/>
    <cellStyle name="_CurrencySpace_Sheet1_Input" xfId="654" xr:uid="{00000000-0005-0000-0000-000008020000}"/>
    <cellStyle name="_CurrencySpace_Sheet1_Input_1" xfId="655" xr:uid="{00000000-0005-0000-0000-000009020000}"/>
    <cellStyle name="_CurrencySpace_Sheet1_Input_Data Tape" xfId="656" xr:uid="{00000000-0005-0000-0000-00000A020000}"/>
    <cellStyle name="_CurrencySpace_Sheet1_Input_Database - Economics" xfId="657" xr:uid="{00000000-0005-0000-0000-00000B020000}"/>
    <cellStyle name="_CurrencySpace_Sheet1_M&amp;A Feed" xfId="658" xr:uid="{00000000-0005-0000-0000-00000C020000}"/>
    <cellStyle name="_CurrencySpace_Sheet1_NPV Case Eyechart" xfId="659" xr:uid="{00000000-0005-0000-0000-00000D020000}"/>
    <cellStyle name="_CurrencySpace_Sheet1_Pools" xfId="660" xr:uid="{00000000-0005-0000-0000-00000E020000}"/>
    <cellStyle name="_CurrencySpace_Sheet1_Pools_1" xfId="661" xr:uid="{00000000-0005-0000-0000-00000F020000}"/>
    <cellStyle name="_CurrencySpace_Sheet1_Pools_ControlTables" xfId="662" xr:uid="{00000000-0005-0000-0000-000010020000}"/>
    <cellStyle name="_CurrencySpace_Sheet1_Pools_ControlTablesI" xfId="663" xr:uid="{00000000-0005-0000-0000-000011020000}"/>
    <cellStyle name="_CurrencySpace_Sheet1_Pools_DB_Eye" xfId="664" xr:uid="{00000000-0005-0000-0000-000012020000}"/>
    <cellStyle name="_CurrencySpace_Sheet1_Pools_Exec Summary" xfId="665" xr:uid="{00000000-0005-0000-0000-000013020000}"/>
    <cellStyle name="_CurrencySpace_Sheet1_Pools_Exec Summary_1" xfId="666" xr:uid="{00000000-0005-0000-0000-000014020000}"/>
    <cellStyle name="_CurrencySpace_Sheet1_Pools_Sheet1" xfId="667" xr:uid="{00000000-0005-0000-0000-000015020000}"/>
    <cellStyle name="_CurrencySpace_Sheet1_Portfolio Valuation" xfId="668" xr:uid="{00000000-0005-0000-0000-000016020000}"/>
    <cellStyle name="_CurrencySpace_Sheet1_Prop 13" xfId="669" xr:uid="{00000000-0005-0000-0000-000017020000}"/>
    <cellStyle name="_CurrencySpace_Sheet1_Prop 13 Data" xfId="670" xr:uid="{00000000-0005-0000-0000-000018020000}"/>
    <cellStyle name="_CurrencySpace_Sheet1_Prop 13 Summary-11-10" xfId="671" xr:uid="{00000000-0005-0000-0000-000019020000}"/>
    <cellStyle name="_CurrencySpace_Sheet1_Property Assumptions" xfId="672" xr:uid="{00000000-0005-0000-0000-00001A020000}"/>
    <cellStyle name="_CurrencySpace_Sheet1_Property Assumptions_1" xfId="673" xr:uid="{00000000-0005-0000-0000-00001B020000}"/>
    <cellStyle name="_CurrencySpace_Sheet1_Quick Property Input" xfId="674" xr:uid="{00000000-0005-0000-0000-00001C020000}"/>
    <cellStyle name="_CurrencySpace_Sheet1_Senario Input Assumptions" xfId="675" xr:uid="{00000000-0005-0000-0000-00001D020000}"/>
    <cellStyle name="_CurrencySpace_Sheet1_Sheet1" xfId="676" xr:uid="{00000000-0005-0000-0000-00001E020000}"/>
    <cellStyle name="_CurrencySpace_Sheet1_Sheet2" xfId="677" xr:uid="{00000000-0005-0000-0000-00001F020000}"/>
    <cellStyle name="_CurrencySpace_Sheet1_Sheet2_1" xfId="678" xr:uid="{00000000-0005-0000-0000-000020020000}"/>
    <cellStyle name="_CurrencySpace_Sheet1_Sheet3" xfId="679" xr:uid="{00000000-0005-0000-0000-000021020000}"/>
    <cellStyle name="_CurrencySpace_Sheet1_Sheet5" xfId="680" xr:uid="{00000000-0005-0000-0000-000022020000}"/>
    <cellStyle name="_CurrencySpace_Sheet1_Structure Model_2003_test2" xfId="681" xr:uid="{00000000-0005-0000-0000-000023020000}"/>
    <cellStyle name="_CurrencySpace_Sheet2" xfId="682" xr:uid="{00000000-0005-0000-0000-000024020000}"/>
    <cellStyle name="_CurrencySpace_Sheet2_1" xfId="683" xr:uid="{00000000-0005-0000-0000-000025020000}"/>
    <cellStyle name="_CurrencySpace_Sheet3" xfId="684" xr:uid="{00000000-0005-0000-0000-000026020000}"/>
    <cellStyle name="_CurrencySpace_Sheet3_1" xfId="685" xr:uid="{00000000-0005-0000-0000-000027020000}"/>
    <cellStyle name="_CurrencySpace_Sheet4" xfId="686" xr:uid="{00000000-0005-0000-0000-000028020000}"/>
    <cellStyle name="_CurrencySpace_Sheet5" xfId="687" xr:uid="{00000000-0005-0000-0000-000029020000}"/>
    <cellStyle name="_CurrencySpace_Structure Model_2003_test2" xfId="688" xr:uid="{00000000-0005-0000-0000-00002A020000}"/>
    <cellStyle name="_CurrencySpace_Structure Model_2003_test2_ControlTables" xfId="689" xr:uid="{00000000-0005-0000-0000-00002B020000}"/>
    <cellStyle name="_CurrencySpace_Structure Model_2003_test2_ControlTablesI" xfId="690" xr:uid="{00000000-0005-0000-0000-00002C020000}"/>
    <cellStyle name="_CurrencySpace_Structure Model_2003_test2_DB_Eye" xfId="691" xr:uid="{00000000-0005-0000-0000-00002D020000}"/>
    <cellStyle name="_CurrencySpace_Structure Model_2003_test2_Exec Summary" xfId="692" xr:uid="{00000000-0005-0000-0000-00002E020000}"/>
    <cellStyle name="_CurrencySpace_Structure Model_2003_test2_Exec Summary_1" xfId="693" xr:uid="{00000000-0005-0000-0000-00002F020000}"/>
    <cellStyle name="_CurrencySpace_Structure Model_2003_test2_Sheet1" xfId="694" xr:uid="{00000000-0005-0000-0000-000030020000}"/>
    <cellStyle name="_Euro" xfId="695" xr:uid="{00000000-0005-0000-0000-000031020000}"/>
    <cellStyle name="_Euro_ControlTables" xfId="696" xr:uid="{00000000-0005-0000-0000-000032020000}"/>
    <cellStyle name="_Euro_ControlTablesI" xfId="697" xr:uid="{00000000-0005-0000-0000-000033020000}"/>
    <cellStyle name="_Euro_DB Eye" xfId="698" xr:uid="{00000000-0005-0000-0000-000034020000}"/>
    <cellStyle name="_Euro_DB_Eye" xfId="699" xr:uid="{00000000-0005-0000-0000-000035020000}"/>
    <cellStyle name="_Euro_Exec Summary" xfId="700" xr:uid="{00000000-0005-0000-0000-000036020000}"/>
    <cellStyle name="_Euro_Sheet1" xfId="701" xr:uid="{00000000-0005-0000-0000-000037020000}"/>
    <cellStyle name="_Existing Debt" xfId="702" xr:uid="{00000000-0005-0000-0000-000038020000}"/>
    <cellStyle name="_Heading" xfId="703" xr:uid="{00000000-0005-0000-0000-000039020000}"/>
    <cellStyle name="_Highlight" xfId="704" xr:uid="{00000000-0005-0000-0000-00003A020000}"/>
    <cellStyle name="_Multiple" xfId="705" xr:uid="{00000000-0005-0000-0000-00003B020000}"/>
    <cellStyle name="_Multiple_3-Yr Eyechart" xfId="706" xr:uid="{00000000-0005-0000-0000-00003C020000}"/>
    <cellStyle name="_Multiple_ARI Base Case July 25 TPS1" xfId="707" xr:uid="{00000000-0005-0000-0000-00003D020000}"/>
    <cellStyle name="_Multiple_Balance Sheet" xfId="708" xr:uid="{00000000-0005-0000-0000-00003E020000}"/>
    <cellStyle name="_Multiple_Cost Of Funds" xfId="709" xr:uid="{00000000-0005-0000-0000-00003F020000}"/>
    <cellStyle name="_Multiple_Criteria" xfId="710" xr:uid="{00000000-0005-0000-0000-000040020000}"/>
    <cellStyle name="_Multiple_Criteria Test Export" xfId="711" xr:uid="{00000000-0005-0000-0000-000041020000}"/>
    <cellStyle name="_Multiple_Data Tape" xfId="712" xr:uid="{00000000-0005-0000-0000-000042020000}"/>
    <cellStyle name="_Multiple_Data Tape_1" xfId="713" xr:uid="{00000000-0005-0000-0000-000043020000}"/>
    <cellStyle name="_Multiple_Data_Tape" xfId="714" xr:uid="{00000000-0005-0000-0000-000044020000}"/>
    <cellStyle name="_Multiple_DB_Eye" xfId="715" xr:uid="{00000000-0005-0000-0000-000045020000}"/>
    <cellStyle name="_Multiple_Deal Input" xfId="716" xr:uid="{00000000-0005-0000-0000-000046020000}"/>
    <cellStyle name="_Multiple_Direct Cap Eye" xfId="717" xr:uid="{00000000-0005-0000-0000-000047020000}"/>
    <cellStyle name="_Multiple_DPEM2005_vBetatest6" xfId="718" xr:uid="{00000000-0005-0000-0000-000048020000}"/>
    <cellStyle name="_Multiple_ETR" xfId="719" xr:uid="{00000000-0005-0000-0000-000049020000}"/>
    <cellStyle name="_Multiple_Existing Debt" xfId="720" xr:uid="{00000000-0005-0000-0000-00004A020000}"/>
    <cellStyle name="_Multiple_Existing Debt_1" xfId="721" xr:uid="{00000000-0005-0000-0000-00004B020000}"/>
    <cellStyle name="_Multiple_EyeChart" xfId="722" xr:uid="{00000000-0005-0000-0000-00004C020000}"/>
    <cellStyle name="_Multiple_EyeChart 090503" xfId="723" xr:uid="{00000000-0005-0000-0000-00004D020000}"/>
    <cellStyle name="_Multiple_Input" xfId="724" xr:uid="{00000000-0005-0000-0000-00004E020000}"/>
    <cellStyle name="_Multiple_Input_1" xfId="725" xr:uid="{00000000-0005-0000-0000-00004F020000}"/>
    <cellStyle name="_Multiple_Input_Data Tape" xfId="726" xr:uid="{00000000-0005-0000-0000-000050020000}"/>
    <cellStyle name="_Multiple_JV Economics" xfId="727" xr:uid="{00000000-0005-0000-0000-000051020000}"/>
    <cellStyle name="_Multiple_M&amp;A Feed" xfId="728" xr:uid="{00000000-0005-0000-0000-000052020000}"/>
    <cellStyle name="_Multiple_NPV Case Eyechart" xfId="729" xr:uid="{00000000-0005-0000-0000-000053020000}"/>
    <cellStyle name="_Multiple_Pools" xfId="730" xr:uid="{00000000-0005-0000-0000-000054020000}"/>
    <cellStyle name="_Multiple_Pools_1" xfId="731" xr:uid="{00000000-0005-0000-0000-000055020000}"/>
    <cellStyle name="_Multiple_Portfolio Valuation" xfId="732" xr:uid="{00000000-0005-0000-0000-000056020000}"/>
    <cellStyle name="_Multiple_Pricing" xfId="733" xr:uid="{00000000-0005-0000-0000-000057020000}"/>
    <cellStyle name="_Multiple_Prop 13" xfId="734" xr:uid="{00000000-0005-0000-0000-000058020000}"/>
    <cellStyle name="_Multiple_Prop 13 Data" xfId="735" xr:uid="{00000000-0005-0000-0000-000059020000}"/>
    <cellStyle name="_Multiple_Prop 13 Summary-11-10" xfId="736" xr:uid="{00000000-0005-0000-0000-00005A020000}"/>
    <cellStyle name="_Multiple_Property Assumptions" xfId="737" xr:uid="{00000000-0005-0000-0000-00005B020000}"/>
    <cellStyle name="_Multiple_Property Assumptions_1" xfId="738" xr:uid="{00000000-0005-0000-0000-00005C020000}"/>
    <cellStyle name="_Multiple_Quick Property Input" xfId="739" xr:uid="{00000000-0005-0000-0000-00005D020000}"/>
    <cellStyle name="_Multiple_Senario Input Assumptions" xfId="740" xr:uid="{00000000-0005-0000-0000-00005E020000}"/>
    <cellStyle name="_Multiple_Sheet1" xfId="741" xr:uid="{00000000-0005-0000-0000-00005F020000}"/>
    <cellStyle name="_Multiple_Sheet1_3-Yr Eyechart" xfId="742" xr:uid="{00000000-0005-0000-0000-000060020000}"/>
    <cellStyle name="_Multiple_Sheet1_Balance Sheet" xfId="743" xr:uid="{00000000-0005-0000-0000-000061020000}"/>
    <cellStyle name="_Multiple_Sheet1_Cost Of Funds" xfId="744" xr:uid="{00000000-0005-0000-0000-000062020000}"/>
    <cellStyle name="_Multiple_Sheet1_Criteria" xfId="745" xr:uid="{00000000-0005-0000-0000-000063020000}"/>
    <cellStyle name="_Multiple_Sheet1_Criteria Test Export" xfId="746" xr:uid="{00000000-0005-0000-0000-000064020000}"/>
    <cellStyle name="_Multiple_Sheet1_Data Tape" xfId="747" xr:uid="{00000000-0005-0000-0000-000065020000}"/>
    <cellStyle name="_Multiple_Sheet1_Data Tape_1" xfId="748" xr:uid="{00000000-0005-0000-0000-000066020000}"/>
    <cellStyle name="_Multiple_Sheet1_Data_Tape" xfId="749" xr:uid="{00000000-0005-0000-0000-000067020000}"/>
    <cellStyle name="_Multiple_Sheet1_Deal Input" xfId="750" xr:uid="{00000000-0005-0000-0000-000068020000}"/>
    <cellStyle name="_Multiple_Sheet1_Direct Cap Eye" xfId="751" xr:uid="{00000000-0005-0000-0000-000069020000}"/>
    <cellStyle name="_Multiple_Sheet1_DPEM2005_vBetatest6" xfId="752" xr:uid="{00000000-0005-0000-0000-00006A020000}"/>
    <cellStyle name="_Multiple_Sheet1_ETR" xfId="753" xr:uid="{00000000-0005-0000-0000-00006B020000}"/>
    <cellStyle name="_Multiple_Sheet1_Existing Debt" xfId="754" xr:uid="{00000000-0005-0000-0000-00006C020000}"/>
    <cellStyle name="_Multiple_Sheet1_Input" xfId="755" xr:uid="{00000000-0005-0000-0000-00006D020000}"/>
    <cellStyle name="_Multiple_Sheet1_Input_1" xfId="756" xr:uid="{00000000-0005-0000-0000-00006E020000}"/>
    <cellStyle name="_Multiple_Sheet1_Input_Data Tape" xfId="757" xr:uid="{00000000-0005-0000-0000-00006F020000}"/>
    <cellStyle name="_Multiple_Sheet1_M&amp;A Feed" xfId="758" xr:uid="{00000000-0005-0000-0000-000070020000}"/>
    <cellStyle name="_Multiple_Sheet1_NPV Case Eyechart" xfId="759" xr:uid="{00000000-0005-0000-0000-000071020000}"/>
    <cellStyle name="_Multiple_Sheet1_Pools" xfId="760" xr:uid="{00000000-0005-0000-0000-000072020000}"/>
    <cellStyle name="_Multiple_Sheet1_Pools_1" xfId="761" xr:uid="{00000000-0005-0000-0000-000073020000}"/>
    <cellStyle name="_Multiple_Sheet1_Portfolio Valuation" xfId="762" xr:uid="{00000000-0005-0000-0000-000074020000}"/>
    <cellStyle name="_Multiple_Sheet1_Prop 13" xfId="763" xr:uid="{00000000-0005-0000-0000-000075020000}"/>
    <cellStyle name="_Multiple_Sheet1_Prop 13 Data" xfId="764" xr:uid="{00000000-0005-0000-0000-000076020000}"/>
    <cellStyle name="_Multiple_Sheet1_Prop 13 Summary-11-10" xfId="765" xr:uid="{00000000-0005-0000-0000-000077020000}"/>
    <cellStyle name="_Multiple_Sheet1_Property Assumptions" xfId="766" xr:uid="{00000000-0005-0000-0000-000078020000}"/>
    <cellStyle name="_Multiple_Sheet1_Property Assumptions_1" xfId="767" xr:uid="{00000000-0005-0000-0000-000079020000}"/>
    <cellStyle name="_Multiple_Sheet1_Quick Property Input" xfId="768" xr:uid="{00000000-0005-0000-0000-00007A020000}"/>
    <cellStyle name="_Multiple_Sheet1_Senario Input Assumptions" xfId="769" xr:uid="{00000000-0005-0000-0000-00007B020000}"/>
    <cellStyle name="_Multiple_Sheet1_Sheet1" xfId="770" xr:uid="{00000000-0005-0000-0000-00007C020000}"/>
    <cellStyle name="_Multiple_Sheet1_Sheet2" xfId="771" xr:uid="{00000000-0005-0000-0000-00007D020000}"/>
    <cellStyle name="_Multiple_Sheet1_Sheet2_1" xfId="772" xr:uid="{00000000-0005-0000-0000-00007E020000}"/>
    <cellStyle name="_Multiple_Sheet1_Sheet3" xfId="773" xr:uid="{00000000-0005-0000-0000-00007F020000}"/>
    <cellStyle name="_Multiple_Sheet1_Sheet5" xfId="774" xr:uid="{00000000-0005-0000-0000-000080020000}"/>
    <cellStyle name="_Multiple_Sheet1_Structure Model_2003_test2" xfId="775" xr:uid="{00000000-0005-0000-0000-000081020000}"/>
    <cellStyle name="_Multiple_Sheet2" xfId="776" xr:uid="{00000000-0005-0000-0000-000082020000}"/>
    <cellStyle name="_Multiple_Sheet2_1" xfId="777" xr:uid="{00000000-0005-0000-0000-000083020000}"/>
    <cellStyle name="_Multiple_Sheet3" xfId="778" xr:uid="{00000000-0005-0000-0000-000084020000}"/>
    <cellStyle name="_Multiple_Sheet3_1" xfId="779" xr:uid="{00000000-0005-0000-0000-000085020000}"/>
    <cellStyle name="_Multiple_Sheet4" xfId="780" xr:uid="{00000000-0005-0000-0000-000086020000}"/>
    <cellStyle name="_Multiple_Sheet5" xfId="781" xr:uid="{00000000-0005-0000-0000-000087020000}"/>
    <cellStyle name="_Multiple_Structure Model_2003_test2" xfId="782" xr:uid="{00000000-0005-0000-0000-000088020000}"/>
    <cellStyle name="_MultipleSpace" xfId="783" xr:uid="{00000000-0005-0000-0000-000089020000}"/>
    <cellStyle name="_MultipleSpace_ARI Base Case July 25 TPS1" xfId="784" xr:uid="{00000000-0005-0000-0000-00008A020000}"/>
    <cellStyle name="_MultipleSpace_DB_Eye" xfId="785" xr:uid="{00000000-0005-0000-0000-00008B020000}"/>
    <cellStyle name="_MultipleSpace_Existing Debt" xfId="786" xr:uid="{00000000-0005-0000-0000-00008C020000}"/>
    <cellStyle name="_MultipleSpace_EyeChart" xfId="787" xr:uid="{00000000-0005-0000-0000-00008D020000}"/>
    <cellStyle name="_MultipleSpace_EyeChart 090503" xfId="788" xr:uid="{00000000-0005-0000-0000-00008E020000}"/>
    <cellStyle name="_MultipleSpace_Input" xfId="789" xr:uid="{00000000-0005-0000-0000-00008F020000}"/>
    <cellStyle name="_MultipleSpace_Input_1" xfId="790" xr:uid="{00000000-0005-0000-0000-000090020000}"/>
    <cellStyle name="_MultipleSpace_Pricing" xfId="791" xr:uid="{00000000-0005-0000-0000-000091020000}"/>
    <cellStyle name="_MultipleSpace_Sheet2" xfId="792" xr:uid="{00000000-0005-0000-0000-000092020000}"/>
    <cellStyle name="_MultipleSpace_Sheet4" xfId="793" xr:uid="{00000000-0005-0000-0000-000093020000}"/>
    <cellStyle name="_Percent" xfId="794" xr:uid="{00000000-0005-0000-0000-000094020000}"/>
    <cellStyle name="_Percent_ARI Base Case July 25 TPS1" xfId="795" xr:uid="{00000000-0005-0000-0000-000095020000}"/>
    <cellStyle name="_Percent_Existing Debt" xfId="796" xr:uid="{00000000-0005-0000-0000-000096020000}"/>
    <cellStyle name="_PercentSpace" xfId="797" xr:uid="{00000000-0005-0000-0000-000097020000}"/>
    <cellStyle name="_PercentSpace_ARI Base Case July 25 TPS1" xfId="798" xr:uid="{00000000-0005-0000-0000-000098020000}"/>
    <cellStyle name="_PercentSpace_Existing Debt" xfId="799" xr:uid="{00000000-0005-0000-0000-000099020000}"/>
    <cellStyle name="_SubHeading" xfId="800" xr:uid="{00000000-0005-0000-0000-00009A020000}"/>
    <cellStyle name="_Table" xfId="801" xr:uid="{00000000-0005-0000-0000-00009B020000}"/>
    <cellStyle name="_TableHead" xfId="802" xr:uid="{00000000-0005-0000-0000-00009C020000}"/>
    <cellStyle name="_TableRowHead" xfId="803" xr:uid="{00000000-0005-0000-0000-00009D020000}"/>
    <cellStyle name="_TableSuperHead" xfId="804" xr:uid="{00000000-0005-0000-0000-00009E020000}"/>
    <cellStyle name="0.0 x" xfId="805" xr:uid="{00000000-0005-0000-0000-0000A2020000}"/>
    <cellStyle name="000" xfId="806" xr:uid="{00000000-0005-0000-0000-0000A3020000}"/>
    <cellStyle name="1" xfId="807" xr:uid="{00000000-0005-0000-0000-0000A4020000}"/>
    <cellStyle name="1_03-05-31 Final OBS Reports" xfId="808" xr:uid="{00000000-0005-0000-0000-0000A5020000}"/>
    <cellStyle name="1_GMACCH_Loans_OBS_033103_Final_v2" xfId="809" xr:uid="{00000000-0005-0000-0000-0000A6020000}"/>
    <cellStyle name="1_Japan - 3Q02 Risk Rating Worksheet - 101602_Japan" xfId="810" xr:uid="{00000000-0005-0000-0000-0000A7020000}"/>
    <cellStyle name="1_Japan - 3Q02 Risk Rating Worksheet - 101602_Japan_Comparison vs. prior_Q2 2003" xfId="811" xr:uid="{00000000-0005-0000-0000-0000A8020000}"/>
    <cellStyle name="1_Japan - 4Q2002 - Risk Rating Worksheet_final" xfId="812" xr:uid="{00000000-0005-0000-0000-0000A9020000}"/>
    <cellStyle name="1_Japan - 4Q2002 - Risk Rating Worksheet_final_12.11.2002" xfId="813" xr:uid="{00000000-0005-0000-0000-0000AA020000}"/>
    <cellStyle name="1_Japan - 4Q2002 - Risk Rating Worksheet_final_12.11.2002_Comparison vs. prior_Q2 2003" xfId="814" xr:uid="{00000000-0005-0000-0000-0000AB020000}"/>
    <cellStyle name="1_Japan - 4Q2002 - Risk Rating Worksheet_final_Comparison vs. prior_Q2 2003" xfId="815" xr:uid="{00000000-0005-0000-0000-0000AC020000}"/>
    <cellStyle name="1_Japan-1Q2003 - Risk Rating Worksheet03.06.2003F" xfId="816" xr:uid="{00000000-0005-0000-0000-0000AD020000}"/>
    <cellStyle name="1_Japan-1Q2003 - Risk Rating Worksheet03.06.2003F_Comparison vs. prior_Q2 2003" xfId="817" xr:uid="{00000000-0005-0000-0000-0000AE020000}"/>
    <cellStyle name="1_SALEM" xfId="818" xr:uid="{00000000-0005-0000-0000-0000AF020000}"/>
    <cellStyle name="1_SALEM_03-05-31 Final OBS Reports" xfId="819" xr:uid="{00000000-0005-0000-0000-0000B0020000}"/>
    <cellStyle name="1_SALEM_GMACCH_Loans_OBS_033103_Final_v2" xfId="820" xr:uid="{00000000-0005-0000-0000-0000B1020000}"/>
    <cellStyle name="1_SALEM_Japan - 3Q02 Risk Rating Worksheet - 101602_Japan" xfId="821" xr:uid="{00000000-0005-0000-0000-0000B2020000}"/>
    <cellStyle name="1_SALEM_Japan - 3Q02 Risk Rating Worksheet - 101602_Japan_Comparison vs. prior_Q2 2003" xfId="822" xr:uid="{00000000-0005-0000-0000-0000B3020000}"/>
    <cellStyle name="1_SALEM_Japan - 4Q2002 - Risk Rating Worksheet_final" xfId="823" xr:uid="{00000000-0005-0000-0000-0000B4020000}"/>
    <cellStyle name="1_SALEM_Japan - 4Q2002 - Risk Rating Worksheet_final_12.11.2002" xfId="824" xr:uid="{00000000-0005-0000-0000-0000B5020000}"/>
    <cellStyle name="1_SALEM_Japan - 4Q2002 - Risk Rating Worksheet_final_12.11.2002_Comparison vs. prior_Q2 2003" xfId="825" xr:uid="{00000000-0005-0000-0000-0000B6020000}"/>
    <cellStyle name="1_SALEM_Japan - 4Q2002 - Risk Rating Worksheet_final_Comparison vs. prior_Q2 2003" xfId="826" xr:uid="{00000000-0005-0000-0000-0000B7020000}"/>
    <cellStyle name="1_SALEM_Japan-1Q2003 - Risk Rating Worksheet03.06.2003F" xfId="827" xr:uid="{00000000-0005-0000-0000-0000B8020000}"/>
    <cellStyle name="1_SALEM_Japan-1Q2003 - Risk Rating Worksheet03.06.2003F_Comparison vs. prior_Q2 2003" xfId="828" xr:uid="{00000000-0005-0000-0000-0000B9020000}"/>
    <cellStyle name="1_SALEM_Sheet1" xfId="829" xr:uid="{00000000-0005-0000-0000-0000BA020000}"/>
    <cellStyle name="1_SALEM_Sheet3" xfId="830" xr:uid="{00000000-0005-0000-0000-0000BB020000}"/>
    <cellStyle name="1_sec8 (2)" xfId="831" xr:uid="{00000000-0005-0000-0000-0000BC020000}"/>
    <cellStyle name="1_sec8 (2)_03-05-31 Final OBS Reports" xfId="832" xr:uid="{00000000-0005-0000-0000-0000BD020000}"/>
    <cellStyle name="1_sec8 (2)_GMACCH_Loans_OBS_033103_Final_v2" xfId="833" xr:uid="{00000000-0005-0000-0000-0000BE020000}"/>
    <cellStyle name="1_sec8 (2)_Japan - 3Q02 Risk Rating Worksheet - 101602_Japan" xfId="834" xr:uid="{00000000-0005-0000-0000-0000BF020000}"/>
    <cellStyle name="1_sec8 (2)_Japan - 3Q02 Risk Rating Worksheet - 101602_Japan_Comparison vs. prior_Q2 2003" xfId="835" xr:uid="{00000000-0005-0000-0000-0000C0020000}"/>
    <cellStyle name="1_sec8 (2)_Japan - 4Q2002 - Risk Rating Worksheet_final" xfId="836" xr:uid="{00000000-0005-0000-0000-0000C1020000}"/>
    <cellStyle name="1_sec8 (2)_Japan - 4Q2002 - Risk Rating Worksheet_final_12.11.2002" xfId="837" xr:uid="{00000000-0005-0000-0000-0000C2020000}"/>
    <cellStyle name="1_sec8 (2)_Japan - 4Q2002 - Risk Rating Worksheet_final_12.11.2002_Comparison vs. prior_Q2 2003" xfId="838" xr:uid="{00000000-0005-0000-0000-0000C3020000}"/>
    <cellStyle name="1_sec8 (2)_Japan - 4Q2002 - Risk Rating Worksheet_final_Comparison vs. prior_Q2 2003" xfId="839" xr:uid="{00000000-0005-0000-0000-0000C4020000}"/>
    <cellStyle name="1_sec8 (2)_Japan-1Q2003 - Risk Rating Worksheet03.06.2003F" xfId="840" xr:uid="{00000000-0005-0000-0000-0000C5020000}"/>
    <cellStyle name="1_sec8 (2)_Japan-1Q2003 - Risk Rating Worksheet03.06.2003F_Comparison vs. prior_Q2 2003" xfId="841" xr:uid="{00000000-0005-0000-0000-0000C6020000}"/>
    <cellStyle name="1_sec8 (2)_Sheet1" xfId="842" xr:uid="{00000000-0005-0000-0000-0000C7020000}"/>
    <cellStyle name="1_sec8 (2)_Sheet3" xfId="843" xr:uid="{00000000-0005-0000-0000-0000C8020000}"/>
    <cellStyle name="1_Sheet1" xfId="844" xr:uid="{00000000-0005-0000-0000-0000C9020000}"/>
    <cellStyle name="1_Sheet3" xfId="845" xr:uid="{00000000-0005-0000-0000-0000CA020000}"/>
    <cellStyle name="2" xfId="846" xr:uid="{00000000-0005-0000-0000-0000CB020000}"/>
    <cellStyle name="2_03-05-31 Final OBS Reports" xfId="847" xr:uid="{00000000-0005-0000-0000-0000CC020000}"/>
    <cellStyle name="2_GMACCH_Loans_OBS_033103_Final_v2" xfId="848" xr:uid="{00000000-0005-0000-0000-0000CD020000}"/>
    <cellStyle name="2_Japan - 3Q02 Risk Rating Worksheet - 101602_Japan" xfId="849" xr:uid="{00000000-0005-0000-0000-0000CE020000}"/>
    <cellStyle name="2_Japan - 3Q02 Risk Rating Worksheet - 101602_Japan_Comparison vs. prior_Q2 2003" xfId="850" xr:uid="{00000000-0005-0000-0000-0000CF020000}"/>
    <cellStyle name="2_Japan - 4Q2002 - Risk Rating Worksheet_final" xfId="851" xr:uid="{00000000-0005-0000-0000-0000D0020000}"/>
    <cellStyle name="2_Japan - 4Q2002 - Risk Rating Worksheet_final_12.11.2002" xfId="852" xr:uid="{00000000-0005-0000-0000-0000D1020000}"/>
    <cellStyle name="2_Japan - 4Q2002 - Risk Rating Worksheet_final_12.11.2002_Comparison vs. prior_Q2 2003" xfId="853" xr:uid="{00000000-0005-0000-0000-0000D2020000}"/>
    <cellStyle name="2_Japan - 4Q2002 - Risk Rating Worksheet_final_Comparison vs. prior_Q2 2003" xfId="854" xr:uid="{00000000-0005-0000-0000-0000D3020000}"/>
    <cellStyle name="2_Japan-1Q2003 - Risk Rating Worksheet03.06.2003F" xfId="855" xr:uid="{00000000-0005-0000-0000-0000D4020000}"/>
    <cellStyle name="2_Japan-1Q2003 - Risk Rating Worksheet03.06.2003F_Comparison vs. prior_Q2 2003" xfId="856" xr:uid="{00000000-0005-0000-0000-0000D5020000}"/>
    <cellStyle name="2_SALEM" xfId="857" xr:uid="{00000000-0005-0000-0000-0000D6020000}"/>
    <cellStyle name="2_SALEM_03-05-31 Final OBS Reports" xfId="858" xr:uid="{00000000-0005-0000-0000-0000D7020000}"/>
    <cellStyle name="2_SALEM_GMACCH_Loans_OBS_033103_Final_v2" xfId="859" xr:uid="{00000000-0005-0000-0000-0000D8020000}"/>
    <cellStyle name="2_SALEM_Japan - 3Q02 Risk Rating Worksheet - 101602_Japan" xfId="860" xr:uid="{00000000-0005-0000-0000-0000D9020000}"/>
    <cellStyle name="2_SALEM_Japan - 3Q02 Risk Rating Worksheet - 101602_Japan_Comparison vs. prior_Q2 2003" xfId="861" xr:uid="{00000000-0005-0000-0000-0000DA020000}"/>
    <cellStyle name="2_SALEM_Japan - 4Q2002 - Risk Rating Worksheet_final" xfId="862" xr:uid="{00000000-0005-0000-0000-0000DB020000}"/>
    <cellStyle name="2_SALEM_Japan - 4Q2002 - Risk Rating Worksheet_final_12.11.2002" xfId="863" xr:uid="{00000000-0005-0000-0000-0000DC020000}"/>
    <cellStyle name="2_SALEM_Japan - 4Q2002 - Risk Rating Worksheet_final_12.11.2002_Comparison vs. prior_Q2 2003" xfId="864" xr:uid="{00000000-0005-0000-0000-0000DD020000}"/>
    <cellStyle name="2_SALEM_Japan - 4Q2002 - Risk Rating Worksheet_final_Comparison vs. prior_Q2 2003" xfId="865" xr:uid="{00000000-0005-0000-0000-0000DE020000}"/>
    <cellStyle name="2_SALEM_Japan-1Q2003 - Risk Rating Worksheet03.06.2003F" xfId="866" xr:uid="{00000000-0005-0000-0000-0000DF020000}"/>
    <cellStyle name="2_SALEM_Japan-1Q2003 - Risk Rating Worksheet03.06.2003F_Comparison vs. prior_Q2 2003" xfId="867" xr:uid="{00000000-0005-0000-0000-0000E0020000}"/>
    <cellStyle name="2_SALEM_Sheet1" xfId="868" xr:uid="{00000000-0005-0000-0000-0000E1020000}"/>
    <cellStyle name="2_SALEM_Sheet3" xfId="869" xr:uid="{00000000-0005-0000-0000-0000E2020000}"/>
    <cellStyle name="2_Sheet1" xfId="870" xr:uid="{00000000-0005-0000-0000-0000E3020000}"/>
    <cellStyle name="2_Sheet3" xfId="871" xr:uid="{00000000-0005-0000-0000-0000E4020000}"/>
    <cellStyle name="3" xfId="872" xr:uid="{00000000-0005-0000-0000-0000E5020000}"/>
    <cellStyle name="3$" xfId="873" xr:uid="{00000000-0005-0000-0000-0000F2020000}"/>
    <cellStyle name="3_03-05-31 Final OBS Reports" xfId="874" xr:uid="{00000000-0005-0000-0000-0000E6020000}"/>
    <cellStyle name="3_GMACCH_Loans_OBS_033103_Final_v2" xfId="875" xr:uid="{00000000-0005-0000-0000-0000E7020000}"/>
    <cellStyle name="3_Japan - 3Q02 Risk Rating Worksheet - 101602_Japan" xfId="876" xr:uid="{00000000-0005-0000-0000-0000E8020000}"/>
    <cellStyle name="3_Japan - 3Q02 Risk Rating Worksheet - 101602_Japan_Comparison vs. prior_Q2 2003" xfId="877" xr:uid="{00000000-0005-0000-0000-0000E9020000}"/>
    <cellStyle name="3_Japan - 4Q2002 - Risk Rating Worksheet_final" xfId="878" xr:uid="{00000000-0005-0000-0000-0000EA020000}"/>
    <cellStyle name="3_Japan - 4Q2002 - Risk Rating Worksheet_final_12.11.2002" xfId="879" xr:uid="{00000000-0005-0000-0000-0000EB020000}"/>
    <cellStyle name="3_Japan - 4Q2002 - Risk Rating Worksheet_final_12.11.2002_Comparison vs. prior_Q2 2003" xfId="880" xr:uid="{00000000-0005-0000-0000-0000EC020000}"/>
    <cellStyle name="3_Japan - 4Q2002 - Risk Rating Worksheet_final_Comparison vs. prior_Q2 2003" xfId="881" xr:uid="{00000000-0005-0000-0000-0000ED020000}"/>
    <cellStyle name="3_Japan-1Q2003 - Risk Rating Worksheet03.06.2003F" xfId="882" xr:uid="{00000000-0005-0000-0000-0000EE020000}"/>
    <cellStyle name="3_Japan-1Q2003 - Risk Rating Worksheet03.06.2003F_Comparison vs. prior_Q2 2003" xfId="883" xr:uid="{00000000-0005-0000-0000-0000EF020000}"/>
    <cellStyle name="3_Sheet1" xfId="884" xr:uid="{00000000-0005-0000-0000-0000F0020000}"/>
    <cellStyle name="3_Sheet3" xfId="885" xr:uid="{00000000-0005-0000-0000-0000F1020000}"/>
    <cellStyle name="A" xfId="886" xr:uid="{00000000-0005-0000-0000-0000F3020000}"/>
    <cellStyle name="Actual Date" xfId="887" xr:uid="{00000000-0005-0000-0000-0000F4020000}"/>
    <cellStyle name="AFE" xfId="888" xr:uid="{00000000-0005-0000-0000-0000F5020000}"/>
    <cellStyle name="ag" xfId="889" xr:uid="{00000000-0005-0000-0000-0000F6020000}"/>
    <cellStyle name="args.style" xfId="890" xr:uid="{00000000-0005-0000-0000-0000F7020000}"/>
    <cellStyle name="Arial 10" xfId="891" xr:uid="{00000000-0005-0000-0000-0000F8020000}"/>
    <cellStyle name="Arial 12" xfId="892" xr:uid="{00000000-0005-0000-0000-0000F9020000}"/>
    <cellStyle name="BLACK" xfId="893" xr:uid="{00000000-0005-0000-0000-0000FA020000}"/>
    <cellStyle name="Blank[,]" xfId="894" xr:uid="{00000000-0005-0000-0000-0000FB020000}"/>
    <cellStyle name="Blank[1%]" xfId="895" xr:uid="{00000000-0005-0000-0000-0000FC020000}"/>
    <cellStyle name="Blue" xfId="896" xr:uid="{00000000-0005-0000-0000-0000FD020000}"/>
    <cellStyle name="blue currency" xfId="897" xr:uid="{00000000-0005-0000-0000-0000FE020000}"/>
    <cellStyle name="BLUE date" xfId="898" xr:uid="{00000000-0005-0000-0000-0000FF020000}"/>
    <cellStyle name="blue$00" xfId="899" xr:uid="{00000000-0005-0000-0000-000001030000}"/>
    <cellStyle name="BLUE_Citrix_2pgr2" xfId="900" xr:uid="{00000000-0005-0000-0000-000000030000}"/>
    <cellStyle name="Body" xfId="901" xr:uid="{00000000-0005-0000-0000-000002030000}"/>
    <cellStyle name="BOLD, 8 POINT" xfId="902" xr:uid="{00000000-0005-0000-0000-000003030000}"/>
    <cellStyle name="BoldItalicNoUnderline" xfId="903" xr:uid="{00000000-0005-0000-0000-000004030000}"/>
    <cellStyle name="BoldSDoubUnderlineBack" xfId="904" xr:uid="{00000000-0005-0000-0000-000005030000}"/>
    <cellStyle name="BoldSingUnderline" xfId="905" xr:uid="{00000000-0005-0000-0000-000006030000}"/>
    <cellStyle name="Border Heavy" xfId="906" xr:uid="{00000000-0005-0000-0000-000007030000}"/>
    <cellStyle name="Border Thin" xfId="907" xr:uid="{00000000-0005-0000-0000-000008030000}"/>
    <cellStyle name="bottomHeavy" xfId="908" xr:uid="{00000000-0005-0000-0000-000009030000}"/>
    <cellStyle name="bottomHeavy-w-left" xfId="909" xr:uid="{00000000-0005-0000-0000-00000A030000}"/>
    <cellStyle name="brad" xfId="910" xr:uid="{00000000-0005-0000-0000-00000B030000}"/>
    <cellStyle name="British Pound" xfId="911" xr:uid="{00000000-0005-0000-0000-00000C030000}"/>
    <cellStyle name="Ç¥ÁØ_¿ù°£¿ä¾àº¸°í" xfId="912" xr:uid="{00000000-0005-0000-0000-00000D030000}"/>
    <cellStyle name="Calc Currency (0)" xfId="913" xr:uid="{00000000-0005-0000-0000-00000E030000}"/>
    <cellStyle name="Calc Currency (2)" xfId="914" xr:uid="{00000000-0005-0000-0000-00000F030000}"/>
    <cellStyle name="Calc Percent (0)" xfId="915" xr:uid="{00000000-0005-0000-0000-000010030000}"/>
    <cellStyle name="Calc Percent (1)" xfId="916" xr:uid="{00000000-0005-0000-0000-000011030000}"/>
    <cellStyle name="Calc Percent (2)" xfId="917" xr:uid="{00000000-0005-0000-0000-000012030000}"/>
    <cellStyle name="Calc Units (0)" xfId="918" xr:uid="{00000000-0005-0000-0000-000013030000}"/>
    <cellStyle name="Calc Units (1)" xfId="919" xr:uid="{00000000-0005-0000-0000-000014030000}"/>
    <cellStyle name="Calc Units (2)" xfId="920" xr:uid="{00000000-0005-0000-0000-000015030000}"/>
    <cellStyle name="caps 0.00" xfId="921" xr:uid="{00000000-0005-0000-0000-000016030000}"/>
    <cellStyle name="capsdate" xfId="922" xr:uid="{00000000-0005-0000-0000-000017030000}"/>
    <cellStyle name="Case" xfId="923" xr:uid="{00000000-0005-0000-0000-000018030000}"/>
    <cellStyle name="Cash Flow Statement" xfId="924" xr:uid="{00000000-0005-0000-0000-000019030000}"/>
    <cellStyle name="Center Across" xfId="925" xr:uid="{00000000-0005-0000-0000-00001A030000}"/>
    <cellStyle name="colheadleft" xfId="926" xr:uid="{00000000-0005-0000-0000-00001B030000}"/>
    <cellStyle name="colheadright" xfId="927" xr:uid="{00000000-0005-0000-0000-00001C030000}"/>
    <cellStyle name="Column Heading" xfId="928" xr:uid="{00000000-0005-0000-0000-00001D030000}"/>
    <cellStyle name="ColumnHeading" xfId="929" xr:uid="{00000000-0005-0000-0000-00001E030000}"/>
    <cellStyle name="Comma" xfId="1360" builtinId="3"/>
    <cellStyle name="Comma [00]" xfId="930" xr:uid="{00000000-0005-0000-0000-000020030000}"/>
    <cellStyle name="Comma [1]" xfId="931" xr:uid="{00000000-0005-0000-0000-000021030000}"/>
    <cellStyle name="Comma 0" xfId="932" xr:uid="{00000000-0005-0000-0000-000022030000}"/>
    <cellStyle name="Comma 0*" xfId="933" xr:uid="{00000000-0005-0000-0000-000023030000}"/>
    <cellStyle name="Comma 10" xfId="1361" xr:uid="{AE8962E1-B36E-4AE0-8DE4-FDB001A0BE7E}"/>
    <cellStyle name="Comma 2" xfId="3" xr:uid="{00000000-0005-0000-0000-000024030000}"/>
    <cellStyle name="Comma 2 10" xfId="22" xr:uid="{00000000-0005-0000-0000-000025030000}"/>
    <cellStyle name="Comma 2 2" xfId="11" xr:uid="{00000000-0005-0000-0000-000026030000}"/>
    <cellStyle name="Comma 3" xfId="17" xr:uid="{00000000-0005-0000-0000-000027030000}"/>
    <cellStyle name="Comma 4" xfId="20" xr:uid="{00000000-0005-0000-0000-000028030000}"/>
    <cellStyle name="Comma 5" xfId="934" xr:uid="{00000000-0005-0000-0000-000029030000}"/>
    <cellStyle name="Comma 6" xfId="935" xr:uid="{00000000-0005-0000-0000-00002A030000}"/>
    <cellStyle name="Comma 7" xfId="936" xr:uid="{00000000-0005-0000-0000-00002B030000}"/>
    <cellStyle name="Comma 8" xfId="1350" xr:uid="{00000000-0005-0000-0000-00002C030000}"/>
    <cellStyle name="Comma 9" xfId="1359" xr:uid="{DC164E84-3E58-4E35-9903-251FD07BA1A7}"/>
    <cellStyle name="Comma0" xfId="937" xr:uid="{00000000-0005-0000-0000-00002D030000}"/>
    <cellStyle name="Comma0 - Style3" xfId="938" xr:uid="{00000000-0005-0000-0000-00002E030000}"/>
    <cellStyle name="Comma0 - Style5" xfId="939" xr:uid="{00000000-0005-0000-0000-00002F030000}"/>
    <cellStyle name="Comma0_Criteria" xfId="940" xr:uid="{00000000-0005-0000-0000-000030030000}"/>
    <cellStyle name="Comma1 - Style1" xfId="941" xr:uid="{00000000-0005-0000-0000-000031030000}"/>
    <cellStyle name="CommaFixed" xfId="942" xr:uid="{00000000-0005-0000-0000-000032030000}"/>
    <cellStyle name="CommaNoDec" xfId="943" xr:uid="{00000000-0005-0000-0000-000033030000}"/>
    <cellStyle name="CommaNoDecTot" xfId="944" xr:uid="{00000000-0005-0000-0000-000034030000}"/>
    <cellStyle name="CommaTotTop" xfId="945" xr:uid="{00000000-0005-0000-0000-000035030000}"/>
    <cellStyle name="CommaTotTopNoDec" xfId="946" xr:uid="{00000000-0005-0000-0000-000036030000}"/>
    <cellStyle name="Copied" xfId="947" xr:uid="{00000000-0005-0000-0000-000037030000}"/>
    <cellStyle name="COST1" xfId="948" xr:uid="{00000000-0005-0000-0000-000038030000}"/>
    <cellStyle name="Curren - Style2" xfId="949" xr:uid="{00000000-0005-0000-0000-000039030000}"/>
    <cellStyle name="Curren - Style4" xfId="950" xr:uid="{00000000-0005-0000-0000-00003A030000}"/>
    <cellStyle name="Currency" xfId="18" builtinId="4"/>
    <cellStyle name="Currency [00]" xfId="951" xr:uid="{00000000-0005-0000-0000-00003C030000}"/>
    <cellStyle name="Currency [2]" xfId="952" xr:uid="{00000000-0005-0000-0000-00003D030000}"/>
    <cellStyle name="Currency 0" xfId="953" xr:uid="{00000000-0005-0000-0000-00003E030000}"/>
    <cellStyle name="Currency 2" xfId="4" xr:uid="{00000000-0005-0000-0000-00003F030000}"/>
    <cellStyle name="Currency 2 2" xfId="12" xr:uid="{00000000-0005-0000-0000-000040030000}"/>
    <cellStyle name="Currency 2 3" xfId="1355" xr:uid="{00000000-0005-0000-0000-000041030000}"/>
    <cellStyle name="Currency 3" xfId="954" xr:uid="{00000000-0005-0000-0000-000042030000}"/>
    <cellStyle name="Currency 4" xfId="955" xr:uid="{00000000-0005-0000-0000-000043030000}"/>
    <cellStyle name="Currency 5" xfId="956" xr:uid="{00000000-0005-0000-0000-000044030000}"/>
    <cellStyle name="Currency 6" xfId="957" xr:uid="{00000000-0005-0000-0000-000045030000}"/>
    <cellStyle name="Currency 7" xfId="958" xr:uid="{00000000-0005-0000-0000-000046030000}"/>
    <cellStyle name="Currency 8" xfId="1358" xr:uid="{E3B2DBE1-D04C-412B-9A10-6043A65E5AC8}"/>
    <cellStyle name="Currency0" xfId="959" xr:uid="{00000000-0005-0000-0000-000047030000}"/>
    <cellStyle name="Currency1" xfId="960" xr:uid="{00000000-0005-0000-0000-000048030000}"/>
    <cellStyle name="CurrencyTotTop[" xfId="961" xr:uid="{00000000-0005-0000-0000-000049030000}"/>
    <cellStyle name="D" xfId="962" xr:uid="{00000000-0005-0000-0000-00004A030000}"/>
    <cellStyle name="Date" xfId="963" xr:uid="{00000000-0005-0000-0000-00004B030000}"/>
    <cellStyle name="Date Aligned" xfId="964" xr:uid="{00000000-0005-0000-0000-00004C030000}"/>
    <cellStyle name="date month-year" xfId="965" xr:uid="{00000000-0005-0000-0000-00004D030000}"/>
    <cellStyle name="Date Short" xfId="966" xr:uid="{00000000-0005-0000-0000-00004E030000}"/>
    <cellStyle name="date_09.01.01_Property_Tax_Basis1" xfId="967" xr:uid="{00000000-0005-0000-0000-00004F030000}"/>
    <cellStyle name="Date1" xfId="968" xr:uid="{00000000-0005-0000-0000-000050030000}"/>
    <cellStyle name="DATETIME" xfId="969" xr:uid="{00000000-0005-0000-0000-000051030000}"/>
    <cellStyle name="decimal 0" xfId="970" xr:uid="{00000000-0005-0000-0000-000052030000}"/>
    <cellStyle name="decimal 1" xfId="971" xr:uid="{00000000-0005-0000-0000-000053030000}"/>
    <cellStyle name="decimal 2" xfId="972" xr:uid="{00000000-0005-0000-0000-000054030000}"/>
    <cellStyle name="Dollar" xfId="973" xr:uid="{00000000-0005-0000-0000-000055030000}"/>
    <cellStyle name="Dollar1" xfId="974" xr:uid="{00000000-0005-0000-0000-000056030000}"/>
    <cellStyle name="Dollar1Blue" xfId="975" xr:uid="{00000000-0005-0000-0000-000057030000}"/>
    <cellStyle name="Dollar2" xfId="976" xr:uid="{00000000-0005-0000-0000-000058030000}"/>
    <cellStyle name="Dotted Line" xfId="977" xr:uid="{00000000-0005-0000-0000-000059030000}"/>
    <cellStyle name="Double Accounting" xfId="978" xr:uid="{00000000-0005-0000-0000-00005A030000}"/>
    <cellStyle name="dp*Accent" xfId="979" xr:uid="{00000000-0005-0000-0000-00005B030000}"/>
    <cellStyle name="dp*ChartSubTitle" xfId="980" xr:uid="{00000000-0005-0000-0000-00005C030000}"/>
    <cellStyle name="dp*ChartTitle" xfId="981" xr:uid="{00000000-0005-0000-0000-00005D030000}"/>
    <cellStyle name="dp*ColumnHeading1" xfId="982" xr:uid="{00000000-0005-0000-0000-00005E030000}"/>
    <cellStyle name="dp*ColumnHeading2" xfId="983" xr:uid="{00000000-0005-0000-0000-00005F030000}"/>
    <cellStyle name="dp*ColumnHeadingDate" xfId="984" xr:uid="{00000000-0005-0000-0000-000060030000}"/>
    <cellStyle name="dp*FiscalDate" xfId="985" xr:uid="{00000000-0005-0000-0000-000061030000}"/>
    <cellStyle name="dp*Footnote" xfId="986" xr:uid="{00000000-0005-0000-0000-000062030000}"/>
    <cellStyle name="dp*Information" xfId="987" xr:uid="{00000000-0005-0000-0000-000063030000}"/>
    <cellStyle name="dp*LabelItalics" xfId="988" xr:uid="{00000000-0005-0000-0000-000064030000}"/>
    <cellStyle name="dp*LabelItalicsLineAbove" xfId="989" xr:uid="{00000000-0005-0000-0000-000065030000}"/>
    <cellStyle name="dp*LabelLine" xfId="990" xr:uid="{00000000-0005-0000-0000-000066030000}"/>
    <cellStyle name="dp*Labels" xfId="991" xr:uid="{00000000-0005-0000-0000-000067030000}"/>
    <cellStyle name="dp*Normal" xfId="992" xr:uid="{00000000-0005-0000-0000-000068030000}"/>
    <cellStyle name="dp*NormalCurrency1Dec." xfId="993" xr:uid="{00000000-0005-0000-0000-000069030000}"/>
    <cellStyle name="dp*NormalCurrency2Dec." xfId="994" xr:uid="{00000000-0005-0000-0000-00006A030000}"/>
    <cellStyle name="dp*Number%Italics" xfId="995" xr:uid="{00000000-0005-0000-0000-00006B030000}"/>
    <cellStyle name="dp*Number%ItalicsLineAbove" xfId="996" xr:uid="{00000000-0005-0000-0000-00006C030000}"/>
    <cellStyle name="dp*NumberCurrencyLine" xfId="997" xr:uid="{00000000-0005-0000-0000-00006D030000}"/>
    <cellStyle name="dp*NumberGeneral" xfId="998" xr:uid="{00000000-0005-0000-0000-00006E030000}"/>
    <cellStyle name="dp*NumberGeneral2Dec." xfId="999" xr:uid="{00000000-0005-0000-0000-00006F030000}"/>
    <cellStyle name="dp*NumberLine" xfId="1000" xr:uid="{00000000-0005-0000-0000-000070030000}"/>
    <cellStyle name="dp*NumberLineEPS" xfId="1001" xr:uid="{00000000-0005-0000-0000-000071030000}"/>
    <cellStyle name="dp*NumberSpecial" xfId="1002" xr:uid="{00000000-0005-0000-0000-000072030000}"/>
    <cellStyle name="dp*RatioX" xfId="1003" xr:uid="{00000000-0005-0000-0000-000073030000}"/>
    <cellStyle name="dp*SeriesName" xfId="1004" xr:uid="{00000000-0005-0000-0000-000074030000}"/>
    <cellStyle name="dp*SheetSubTitle" xfId="1005" xr:uid="{00000000-0005-0000-0000-000075030000}"/>
    <cellStyle name="dp*SheetTitle" xfId="1006" xr:uid="{00000000-0005-0000-0000-000076030000}"/>
    <cellStyle name="dp*SubTitle" xfId="1007" xr:uid="{00000000-0005-0000-0000-000077030000}"/>
    <cellStyle name="dp*ThickLineAbove" xfId="1008" xr:uid="{00000000-0005-0000-0000-000078030000}"/>
    <cellStyle name="dp*ThickLineBelow" xfId="1009" xr:uid="{00000000-0005-0000-0000-000079030000}"/>
    <cellStyle name="dp*ThinLineAbove" xfId="1010" xr:uid="{00000000-0005-0000-0000-00007A030000}"/>
    <cellStyle name="dp*ThinLineBelow" xfId="1011" xr:uid="{00000000-0005-0000-0000-00007B030000}"/>
    <cellStyle name="dp*XAxisTitle" xfId="1012" xr:uid="{00000000-0005-0000-0000-00007C030000}"/>
    <cellStyle name="dp*Y2AxisTitle" xfId="1013" xr:uid="{00000000-0005-0000-0000-00007D030000}"/>
    <cellStyle name="dp*YAxisTitle" xfId="1014" xr:uid="{00000000-0005-0000-0000-00007E030000}"/>
    <cellStyle name="Driver" xfId="1015" xr:uid="{00000000-0005-0000-0000-00007F030000}"/>
    <cellStyle name="Enter Currency (0)" xfId="1016" xr:uid="{00000000-0005-0000-0000-000080030000}"/>
    <cellStyle name="Enter Currency (2)" xfId="1017" xr:uid="{00000000-0005-0000-0000-000081030000}"/>
    <cellStyle name="Enter Units (0)" xfId="1018" xr:uid="{00000000-0005-0000-0000-000082030000}"/>
    <cellStyle name="Enter Units (1)" xfId="1019" xr:uid="{00000000-0005-0000-0000-000083030000}"/>
    <cellStyle name="Enter Units (2)" xfId="1020" xr:uid="{00000000-0005-0000-0000-000084030000}"/>
    <cellStyle name="Entered" xfId="1021" xr:uid="{00000000-0005-0000-0000-000085030000}"/>
    <cellStyle name="Euro" xfId="1022" xr:uid="{00000000-0005-0000-0000-000086030000}"/>
    <cellStyle name="EvenBodyShade" xfId="1023" xr:uid="{00000000-0005-0000-0000-000087030000}"/>
    <cellStyle name="EvenBodyShade 2" xfId="1024" xr:uid="{00000000-0005-0000-0000-000088030000}"/>
    <cellStyle name="EvenBodyShade 3" xfId="1025" xr:uid="{00000000-0005-0000-0000-000089030000}"/>
    <cellStyle name="EvenBodyShade 4" xfId="1026" xr:uid="{00000000-0005-0000-0000-00008A030000}"/>
    <cellStyle name="EvenBodyShade 5" xfId="1027" xr:uid="{00000000-0005-0000-0000-00008B030000}"/>
    <cellStyle name="EvenBodyShade 9" xfId="1028" xr:uid="{00000000-0005-0000-0000-00008C030000}"/>
    <cellStyle name="EY House" xfId="1029" xr:uid="{00000000-0005-0000-0000-00008D030000}"/>
    <cellStyle name="F1" xfId="1030" xr:uid="{00000000-0005-0000-0000-00008E030000}"/>
    <cellStyle name="Fixed" xfId="1031" xr:uid="{00000000-0005-0000-0000-00008F030000}"/>
    <cellStyle name="Fixed4 - Style4" xfId="1032" xr:uid="{00000000-0005-0000-0000-000090030000}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3" builtinId="9" hidden="1"/>
    <cellStyle name="Followed Hyperlink" xfId="104" builtinId="9" hidden="1"/>
    <cellStyle name="Followed Hyperlink" xfId="105" builtinId="9" hidden="1"/>
    <cellStyle name="Followed Hyperlink" xfId="106" builtinId="9" hidden="1"/>
    <cellStyle name="Followed Hyperlink" xfId="107" builtinId="9" hidden="1"/>
    <cellStyle name="Followed Hyperlink" xfId="108" builtinId="9" hidden="1"/>
    <cellStyle name="Followed Hyperlink" xfId="109" builtinId="9" hidden="1"/>
    <cellStyle name="Followed Hyperlink" xfId="110" builtinId="9" hidden="1"/>
    <cellStyle name="Followed Hyperlink" xfId="111" builtinId="9" hidden="1"/>
    <cellStyle name="Followed Hyperlink" xfId="112" builtinId="9" hidden="1"/>
    <cellStyle name="Followed Hyperlink" xfId="113" builtinId="9" hidden="1"/>
    <cellStyle name="Followed Hyperlink" xfId="114" builtinId="9" hidden="1"/>
    <cellStyle name="Followed Hyperlink" xfId="115" builtinId="9" hidden="1"/>
    <cellStyle name="Followed Hyperlink" xfId="116" builtinId="9" hidden="1"/>
    <cellStyle name="Followed Hyperlink" xfId="117" builtinId="9" hidden="1"/>
    <cellStyle name="Followed Hyperlink" xfId="119" builtinId="9" hidden="1"/>
    <cellStyle name="Followed Hyperlink" xfId="120" builtinId="9" hidden="1"/>
    <cellStyle name="Followed Hyperlink" xfId="121" builtinId="9" hidden="1"/>
    <cellStyle name="Followed Hyperlink" xfId="122" builtinId="9" hidden="1"/>
    <cellStyle name="Followed Hyperlink" xfId="123" builtinId="9" hidden="1"/>
    <cellStyle name="Followed Hyperlink" xfId="124" builtinId="9" hidden="1"/>
    <cellStyle name="Followed Hyperlink" xfId="125" builtinId="9" hidden="1"/>
    <cellStyle name="Followed Hyperlink" xfId="126" builtinId="9" hidden="1"/>
    <cellStyle name="Followed Hyperlink" xfId="1336" builtinId="9" hidden="1"/>
    <cellStyle name="Followed Hyperlink" xfId="1337" builtinId="9" hidden="1"/>
    <cellStyle name="Followed Hyperlink" xfId="1338" builtinId="9" hidden="1"/>
    <cellStyle name="Followed Hyperlink" xfId="1342" builtinId="9" hidden="1"/>
    <cellStyle name="Followed Hyperlink" xfId="1344" builtinId="9" hidden="1"/>
    <cellStyle name="Followed Hyperlink" xfId="1346" builtinId="9" hidden="1"/>
    <cellStyle name="Followed Hyperlink" xfId="118" builtinId="9" hidden="1"/>
    <cellStyle name="Followed Hyperlink" xfId="102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87" builtinId="9" hidden="1"/>
    <cellStyle name="Followed Hyperlink" xfId="70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26" builtinId="9" hidden="1"/>
    <cellStyle name="Followed Hyperlink" xfId="27" builtinId="9" hidden="1"/>
    <cellStyle name="Followed Hyperlink" xfId="25" builtinId="9" hidden="1"/>
    <cellStyle name="Footnote" xfId="1033" xr:uid="{00000000-0005-0000-0000-0000FD030000}"/>
    <cellStyle name="general" xfId="1034" xr:uid="{00000000-0005-0000-0000-0000FE030000}"/>
    <cellStyle name="Good 2" xfId="1345" xr:uid="{00000000-0005-0000-0000-0000FF030000}"/>
    <cellStyle name="GrandTotal" xfId="1035" xr:uid="{00000000-0005-0000-0000-000000040000}"/>
    <cellStyle name="Grey" xfId="1036" xr:uid="{00000000-0005-0000-0000-000001040000}"/>
    <cellStyle name="Hard Percent" xfId="1037" xr:uid="{00000000-0005-0000-0000-000002040000}"/>
    <cellStyle name="Head 1" xfId="1038" xr:uid="{00000000-0005-0000-0000-000003040000}"/>
    <cellStyle name="Head0" xfId="1039" xr:uid="{00000000-0005-0000-0000-000004040000}"/>
    <cellStyle name="Head1" xfId="1040" xr:uid="{00000000-0005-0000-0000-000005040000}"/>
    <cellStyle name="Head2" xfId="1041" xr:uid="{00000000-0005-0000-0000-000006040000}"/>
    <cellStyle name="Head3" xfId="1042" xr:uid="{00000000-0005-0000-0000-000007040000}"/>
    <cellStyle name="Head4" xfId="1043" xr:uid="{00000000-0005-0000-0000-000008040000}"/>
    <cellStyle name="Head5" xfId="1044" xr:uid="{00000000-0005-0000-0000-000009040000}"/>
    <cellStyle name="Head6" xfId="1045" xr:uid="{00000000-0005-0000-0000-00000A040000}"/>
    <cellStyle name="Head7" xfId="1046" xr:uid="{00000000-0005-0000-0000-00000B040000}"/>
    <cellStyle name="Head8" xfId="1047" xr:uid="{00000000-0005-0000-0000-00000C040000}"/>
    <cellStyle name="Head9" xfId="1048" xr:uid="{00000000-0005-0000-0000-00000D040000}"/>
    <cellStyle name="HEADER" xfId="1049" xr:uid="{00000000-0005-0000-0000-00000E040000}"/>
    <cellStyle name="Header1" xfId="1050" xr:uid="{00000000-0005-0000-0000-00000F040000}"/>
    <cellStyle name="Header2" xfId="1051" xr:uid="{00000000-0005-0000-0000-000010040000}"/>
    <cellStyle name="Heading" xfId="1052" xr:uid="{00000000-0005-0000-0000-000011040000}"/>
    <cellStyle name="Heading 2 2" xfId="1351" xr:uid="{00000000-0005-0000-0000-000012040000}"/>
    <cellStyle name="Heading Left" xfId="1053" xr:uid="{00000000-0005-0000-0000-000013040000}"/>
    <cellStyle name="Heading Right" xfId="1054" xr:uid="{00000000-0005-0000-0000-000014040000}"/>
    <cellStyle name="Heading1" xfId="1055" xr:uid="{00000000-0005-0000-0000-000015040000}"/>
    <cellStyle name="Heading2" xfId="1056" xr:uid="{00000000-0005-0000-0000-000016040000}"/>
    <cellStyle name="HeadingS" xfId="1057" xr:uid="{00000000-0005-0000-0000-000017040000}"/>
    <cellStyle name="HEADINGSTOP" xfId="1058" xr:uid="{00000000-0005-0000-0000-000018040000}"/>
    <cellStyle name="Headline" xfId="1059" xr:uid="{00000000-0005-0000-0000-000019040000}"/>
    <cellStyle name="HeadShade" xfId="1060" xr:uid="{00000000-0005-0000-0000-00001A040000}"/>
    <cellStyle name="HeadShade 2" xfId="1061" xr:uid="{00000000-0005-0000-0000-00001B040000}"/>
    <cellStyle name="HeadShade 3" xfId="1062" xr:uid="{00000000-0005-0000-0000-00001C040000}"/>
    <cellStyle name="HeadShade 4" xfId="1063" xr:uid="{00000000-0005-0000-0000-00001D040000}"/>
    <cellStyle name="HeadShade 5" xfId="1064" xr:uid="{00000000-0005-0000-0000-00001E040000}"/>
    <cellStyle name="HeadShade 9" xfId="1065" xr:uid="{00000000-0005-0000-0000-00001F040000}"/>
    <cellStyle name="helv narrow 8" xfId="1066" xr:uid="{00000000-0005-0000-0000-000020040000}"/>
    <cellStyle name="Hidden" xfId="1067" xr:uid="{00000000-0005-0000-0000-000021040000}"/>
    <cellStyle name="Hide" xfId="1068" xr:uid="{00000000-0005-0000-0000-000022040000}"/>
    <cellStyle name="HIGHLIGHT" xfId="1069" xr:uid="{00000000-0005-0000-0000-000023040000}"/>
    <cellStyle name="Hyperlink" xfId="1343" builtinId="8" hidden="1"/>
    <cellStyle name="Hyperlink" xfId="1341" builtinId="8" hidden="1"/>
    <cellStyle name="Hyperlink 2" xfId="1357" xr:uid="{3D23AB57-93B8-4255-940A-082865DDDD0E}"/>
    <cellStyle name="I" xfId="1070" xr:uid="{00000000-0005-0000-0000-000026040000}"/>
    <cellStyle name="Input [yellow]" xfId="1071" xr:uid="{00000000-0005-0000-0000-000027040000}"/>
    <cellStyle name="Input Comma" xfId="1072" xr:uid="{00000000-0005-0000-0000-000028040000}"/>
    <cellStyle name="Input Comma [0]" xfId="1073" xr:uid="{00000000-0005-0000-0000-000029040000}"/>
    <cellStyle name="Input Currency" xfId="1074" xr:uid="{00000000-0005-0000-0000-00002A040000}"/>
    <cellStyle name="Input Currency [0]" xfId="1075" xr:uid="{00000000-0005-0000-0000-00002B040000}"/>
    <cellStyle name="Input Percent" xfId="1076" xr:uid="{00000000-0005-0000-0000-00002C040000}"/>
    <cellStyle name="Input Percent [0]" xfId="1077" xr:uid="{00000000-0005-0000-0000-00002D040000}"/>
    <cellStyle name="Inputs" xfId="1078" xr:uid="{00000000-0005-0000-0000-00002E040000}"/>
    <cellStyle name="Italics" xfId="1079" xr:uid="{00000000-0005-0000-0000-00002F040000}"/>
    <cellStyle name="Lable8Left" xfId="1080" xr:uid="{00000000-0005-0000-0000-000030040000}"/>
    <cellStyle name="left" xfId="1081" xr:uid="{00000000-0005-0000-0000-000031040000}"/>
    <cellStyle name="Ligne" xfId="1082" xr:uid="{00000000-0005-0000-0000-000032040000}"/>
    <cellStyle name="Lines" xfId="1083" xr:uid="{00000000-0005-0000-0000-000033040000}"/>
    <cellStyle name="Link Currency (0)" xfId="1084" xr:uid="{00000000-0005-0000-0000-000034040000}"/>
    <cellStyle name="Link Currency (2)" xfId="1085" xr:uid="{00000000-0005-0000-0000-000035040000}"/>
    <cellStyle name="Link Units (0)" xfId="1086" xr:uid="{00000000-0005-0000-0000-000036040000}"/>
    <cellStyle name="Link Units (1)" xfId="1087" xr:uid="{00000000-0005-0000-0000-000037040000}"/>
    <cellStyle name="Link Units (2)" xfId="1088" xr:uid="{00000000-0005-0000-0000-000038040000}"/>
    <cellStyle name="Linked" xfId="1089" xr:uid="{00000000-0005-0000-0000-000039040000}"/>
    <cellStyle name="LISAM" xfId="1090" xr:uid="{00000000-0005-0000-0000-00003A040000}"/>
    <cellStyle name="M" xfId="1091" xr:uid="{00000000-0005-0000-0000-00003B040000}"/>
    <cellStyle name="Margins" xfId="1092" xr:uid="{00000000-0005-0000-0000-00003C040000}"/>
    <cellStyle name="Migliaia (0)_Foglio1 (2)" xfId="1093" xr:uid="{00000000-0005-0000-0000-00003D040000}"/>
    <cellStyle name="Migliaia_Foglio1 (2)" xfId="1094" xr:uid="{00000000-0005-0000-0000-00003E040000}"/>
    <cellStyle name="Millares [0]_results" xfId="1095" xr:uid="{00000000-0005-0000-0000-00003F040000}"/>
    <cellStyle name="Millares_results" xfId="1096" xr:uid="{00000000-0005-0000-0000-000040040000}"/>
    <cellStyle name="Milliers [0]_!!!GO" xfId="1097" xr:uid="{00000000-0005-0000-0000-000041040000}"/>
    <cellStyle name="Milliers_!!!GO" xfId="1098" xr:uid="{00000000-0005-0000-0000-000042040000}"/>
    <cellStyle name="Moeda [0]_Arrendamiraflores" xfId="1099" xr:uid="{00000000-0005-0000-0000-000043040000}"/>
    <cellStyle name="Moeda_Arrendamiraflores" xfId="1100" xr:uid="{00000000-0005-0000-0000-000044040000}"/>
    <cellStyle name="Moneda [0]_results" xfId="1101" xr:uid="{00000000-0005-0000-0000-000045040000}"/>
    <cellStyle name="Moneda_results" xfId="1102" xr:uid="{00000000-0005-0000-0000-000046040000}"/>
    <cellStyle name="Monétaire [0]_!!!GO" xfId="1103" xr:uid="{00000000-0005-0000-0000-000047040000}"/>
    <cellStyle name="Monétaire_!!!GO" xfId="1104" xr:uid="{00000000-0005-0000-0000-000048040000}"/>
    <cellStyle name="MSectionHeadings" xfId="1105" xr:uid="{00000000-0005-0000-0000-000049040000}"/>
    <cellStyle name="Multiple" xfId="1106" xr:uid="{00000000-0005-0000-0000-00004A040000}"/>
    <cellStyle name="Multiple (no x)" xfId="1107" xr:uid="{00000000-0005-0000-0000-00004B040000}"/>
    <cellStyle name="Multiple (with x)" xfId="1108" xr:uid="{00000000-0005-0000-0000-00004C040000}"/>
    <cellStyle name="Multiple_09.01.01_Property_Tax_Basis1" xfId="1109" xr:uid="{00000000-0005-0000-0000-00004D040000}"/>
    <cellStyle name="no dec" xfId="1110" xr:uid="{00000000-0005-0000-0000-00004E040000}"/>
    <cellStyle name="nodle1" xfId="1111" xr:uid="{00000000-0005-0000-0000-00004F040000}"/>
    <cellStyle name="Normal" xfId="0" builtinId="0"/>
    <cellStyle name="Normal - Style1" xfId="1112" xr:uid="{00000000-0005-0000-0000-000051040000}"/>
    <cellStyle name="Normal 10" xfId="1347" xr:uid="{00000000-0005-0000-0000-000052040000}"/>
    <cellStyle name="Normal 11" xfId="1348" xr:uid="{00000000-0005-0000-0000-000053040000}"/>
    <cellStyle name="Normal 12" xfId="1352" xr:uid="{00000000-0005-0000-0000-000054040000}"/>
    <cellStyle name="Normal 13" xfId="1349" xr:uid="{00000000-0005-0000-0000-000055040000}"/>
    <cellStyle name="Normal 2" xfId="2" xr:uid="{00000000-0005-0000-0000-000056040000}"/>
    <cellStyle name="Normal 2 2" xfId="5" xr:uid="{00000000-0005-0000-0000-000057040000}"/>
    <cellStyle name="Normal 2 3" xfId="9" xr:uid="{00000000-0005-0000-0000-000058040000}"/>
    <cellStyle name="Normal 2 4" xfId="1356" xr:uid="{00000000-0005-0000-0000-000059040000}"/>
    <cellStyle name="Normal 3" xfId="6" xr:uid="{00000000-0005-0000-0000-00005A040000}"/>
    <cellStyle name="Normal 3 3" xfId="21" xr:uid="{00000000-0005-0000-0000-00005B040000}"/>
    <cellStyle name="Normal 4" xfId="15" xr:uid="{00000000-0005-0000-0000-00005C040000}"/>
    <cellStyle name="Normal 4 2" xfId="23" xr:uid="{00000000-0005-0000-0000-00005D040000}"/>
    <cellStyle name="Normal 5" xfId="19" xr:uid="{00000000-0005-0000-0000-00005E040000}"/>
    <cellStyle name="Normal 6" xfId="127" xr:uid="{00000000-0005-0000-0000-00005F040000}"/>
    <cellStyle name="Normal 6 2" xfId="1334" xr:uid="{00000000-0005-0000-0000-000060040000}"/>
    <cellStyle name="Normal 6 3" xfId="1353" xr:uid="{00000000-0005-0000-0000-000061040000}"/>
    <cellStyle name="Normal 7" xfId="129" xr:uid="{00000000-0005-0000-0000-000062040000}"/>
    <cellStyle name="Normal 7 2" xfId="1332" xr:uid="{00000000-0005-0000-0000-000063040000}"/>
    <cellStyle name="Normal 7 3" xfId="1339" xr:uid="{00000000-0005-0000-0000-000064040000}"/>
    <cellStyle name="Normal 8" xfId="1113" xr:uid="{00000000-0005-0000-0000-000065040000}"/>
    <cellStyle name="Normal 9" xfId="1331" xr:uid="{00000000-0005-0000-0000-000066040000}"/>
    <cellStyle name="Normal_Simple pro-forma" xfId="14" xr:uid="{00000000-0005-0000-0000-000068040000}"/>
    <cellStyle name="NormalBack" xfId="1114" xr:uid="{00000000-0005-0000-0000-00006A040000}"/>
    <cellStyle name="NormalBorder" xfId="1115" xr:uid="{00000000-0005-0000-0000-00006B040000}"/>
    <cellStyle name="Normale_INVENTARIO AL 31.12.99 Con composizioni2BUSSI" xfId="1116" xr:uid="{00000000-0005-0000-0000-00006C040000}"/>
    <cellStyle name="NormalGB" xfId="1117" xr:uid="{00000000-0005-0000-0000-00006D040000}"/>
    <cellStyle name="NormalLeft" xfId="1118" xr:uid="{00000000-0005-0000-0000-00006E040000}"/>
    <cellStyle name="NormalNumber%" xfId="1119" xr:uid="{00000000-0005-0000-0000-00006F040000}"/>
    <cellStyle name="NormalRightNum" xfId="1120" xr:uid="{00000000-0005-0000-0000-000070040000}"/>
    <cellStyle name="NormalRightPercent" xfId="1121" xr:uid="{00000000-0005-0000-0000-000071040000}"/>
    <cellStyle name="nPlode" xfId="1122" xr:uid="{00000000-0005-0000-0000-000072040000}"/>
    <cellStyle name="nPlode1" xfId="1123" xr:uid="{00000000-0005-0000-0000-000073040000}"/>
    <cellStyle name="nPlode2" xfId="1124" xr:uid="{00000000-0005-0000-0000-000074040000}"/>
    <cellStyle name="nPlode3" xfId="1125" xr:uid="{00000000-0005-0000-0000-000075040000}"/>
    <cellStyle name="nPlosion" xfId="1126" xr:uid="{00000000-0005-0000-0000-000076040000}"/>
    <cellStyle name="NPRO" xfId="1127" xr:uid="{00000000-0005-0000-0000-000077040000}"/>
    <cellStyle name="Num0Un" xfId="1128" xr:uid="{00000000-0005-0000-0000-000078040000}"/>
    <cellStyle name="Num1" xfId="1129" xr:uid="{00000000-0005-0000-0000-000079040000}"/>
    <cellStyle name="Num1Blue" xfId="1130" xr:uid="{00000000-0005-0000-0000-00007A040000}"/>
    <cellStyle name="Num2" xfId="1131" xr:uid="{00000000-0005-0000-0000-00007B040000}"/>
    <cellStyle name="Num2Un" xfId="1132" xr:uid="{00000000-0005-0000-0000-00007C040000}"/>
    <cellStyle name="Number" xfId="1133" xr:uid="{00000000-0005-0000-0000-00007D040000}"/>
    <cellStyle name="OddBodyShade" xfId="1134" xr:uid="{00000000-0005-0000-0000-00007E040000}"/>
    <cellStyle name="OddBodyShade 2" xfId="1135" xr:uid="{00000000-0005-0000-0000-00007F040000}"/>
    <cellStyle name="OddBodyShade 3" xfId="1136" xr:uid="{00000000-0005-0000-0000-000080040000}"/>
    <cellStyle name="OddBodyShade 4" xfId="1137" xr:uid="{00000000-0005-0000-0000-000081040000}"/>
    <cellStyle name="OddBodyShade 5" xfId="1138" xr:uid="{00000000-0005-0000-0000-000082040000}"/>
    <cellStyle name="OddBodyShade 9" xfId="1139" xr:uid="{00000000-0005-0000-0000-000083040000}"/>
    <cellStyle name="Œ…‹æØ‚è [0.00]_!!!GO" xfId="1140" xr:uid="{00000000-0005-0000-0000-000084040000}"/>
    <cellStyle name="Œ…‹æØ‚è_!!!GO" xfId="1141" xr:uid="{00000000-0005-0000-0000-000085040000}"/>
    <cellStyle name="One Pager Input" xfId="1142" xr:uid="{00000000-0005-0000-0000-000086040000}"/>
    <cellStyle name="OutlineSpec" xfId="1143" xr:uid="{00000000-0005-0000-0000-000087040000}"/>
    <cellStyle name="Output Amounts" xfId="1144" xr:uid="{00000000-0005-0000-0000-000088040000}"/>
    <cellStyle name="Output Column Headings" xfId="1145" xr:uid="{00000000-0005-0000-0000-000089040000}"/>
    <cellStyle name="Output Line Items" xfId="1146" xr:uid="{00000000-0005-0000-0000-00008A040000}"/>
    <cellStyle name="Output Report Heading" xfId="1147" xr:uid="{00000000-0005-0000-0000-00008B040000}"/>
    <cellStyle name="Output Report Title" xfId="1148" xr:uid="{00000000-0005-0000-0000-00008C040000}"/>
    <cellStyle name="Overscore" xfId="1149" xr:uid="{00000000-0005-0000-0000-00008D040000}"/>
    <cellStyle name="Overscore 2" xfId="1150" xr:uid="{00000000-0005-0000-0000-00008E040000}"/>
    <cellStyle name="Overscore 3" xfId="1151" xr:uid="{00000000-0005-0000-0000-00008F040000}"/>
    <cellStyle name="Overscore 4" xfId="1152" xr:uid="{00000000-0005-0000-0000-000090040000}"/>
    <cellStyle name="Overscore 5" xfId="1153" xr:uid="{00000000-0005-0000-0000-000091040000}"/>
    <cellStyle name="Overscore 9" xfId="1154" xr:uid="{00000000-0005-0000-0000-000092040000}"/>
    <cellStyle name="Overunder" xfId="1155" xr:uid="{00000000-0005-0000-0000-000093040000}"/>
    <cellStyle name="P" xfId="1156" xr:uid="{00000000-0005-0000-0000-000094040000}"/>
    <cellStyle name="Page Heading" xfId="1157" xr:uid="{00000000-0005-0000-0000-000095040000}"/>
    <cellStyle name="Page Heading Large" xfId="1158" xr:uid="{00000000-0005-0000-0000-000096040000}"/>
    <cellStyle name="Page Heading Small" xfId="1159" xr:uid="{00000000-0005-0000-0000-000097040000}"/>
    <cellStyle name="Page Number" xfId="1160" xr:uid="{00000000-0005-0000-0000-000098040000}"/>
    <cellStyle name="Page Title (Blue/Gray)" xfId="1161" xr:uid="{00000000-0005-0000-0000-000099040000}"/>
    <cellStyle name="patterns" xfId="1162" xr:uid="{00000000-0005-0000-0000-00009A040000}"/>
    <cellStyle name="PB Table Heading" xfId="1163" xr:uid="{00000000-0005-0000-0000-00009B040000}"/>
    <cellStyle name="PB Table Highlight1" xfId="1164" xr:uid="{00000000-0005-0000-0000-00009C040000}"/>
    <cellStyle name="PB Table Highlight2" xfId="1165" xr:uid="{00000000-0005-0000-0000-00009D040000}"/>
    <cellStyle name="PB Table Highlight3" xfId="1166" xr:uid="{00000000-0005-0000-0000-00009E040000}"/>
    <cellStyle name="PB Table Standard Row" xfId="1167" xr:uid="{00000000-0005-0000-0000-00009F040000}"/>
    <cellStyle name="PB Table Subtotal Row" xfId="1168" xr:uid="{00000000-0005-0000-0000-0000A0040000}"/>
    <cellStyle name="PB Table Total Row" xfId="1169" xr:uid="{00000000-0005-0000-0000-0000A1040000}"/>
    <cellStyle name="pb_page_heading_LS" xfId="1170" xr:uid="{00000000-0005-0000-0000-0000A2040000}"/>
    <cellStyle name="per.style" xfId="1171" xr:uid="{00000000-0005-0000-0000-0000A3040000}"/>
    <cellStyle name="Perc1" xfId="1172" xr:uid="{00000000-0005-0000-0000-0000A4040000}"/>
    <cellStyle name="Percen - Style1" xfId="1173" xr:uid="{00000000-0005-0000-0000-0000A5040000}"/>
    <cellStyle name="Percen - Style2" xfId="1174" xr:uid="{00000000-0005-0000-0000-0000A6040000}"/>
    <cellStyle name="Percen - Style3" xfId="1175" xr:uid="{00000000-0005-0000-0000-0000A7040000}"/>
    <cellStyle name="Percent" xfId="1" builtinId="5"/>
    <cellStyle name="Percent [0%]" xfId="1176" xr:uid="{00000000-0005-0000-0000-0000AB040000}"/>
    <cellStyle name="Percent [0.00%]" xfId="1177" xr:uid="{00000000-0005-0000-0000-0000A9040000}"/>
    <cellStyle name="Percent [0]" xfId="1178" xr:uid="{00000000-0005-0000-0000-0000AA040000}"/>
    <cellStyle name="Percent [00]" xfId="1179" xr:uid="{00000000-0005-0000-0000-0000AC040000}"/>
    <cellStyle name="Percent [2]" xfId="1180" xr:uid="{00000000-0005-0000-0000-0000AD040000}"/>
    <cellStyle name="percent 1 decimal" xfId="1181" xr:uid="{00000000-0005-0000-0000-0000AE040000}"/>
    <cellStyle name="Percent 2" xfId="7" xr:uid="{00000000-0005-0000-0000-0000AF040000}"/>
    <cellStyle name="Percent 2 2" xfId="8" xr:uid="{00000000-0005-0000-0000-0000B0040000}"/>
    <cellStyle name="Percent 2 2 2" xfId="24" xr:uid="{00000000-0005-0000-0000-0000B1040000}"/>
    <cellStyle name="Percent 2 3" xfId="10" xr:uid="{00000000-0005-0000-0000-0000B2040000}"/>
    <cellStyle name="percent 2 decimal" xfId="1182" xr:uid="{00000000-0005-0000-0000-0000B3040000}"/>
    <cellStyle name="Percent 3" xfId="13" xr:uid="{00000000-0005-0000-0000-0000B4040000}"/>
    <cellStyle name="Percent 4" xfId="16" xr:uid="{00000000-0005-0000-0000-0000B5040000}"/>
    <cellStyle name="Percent 5" xfId="128" xr:uid="{00000000-0005-0000-0000-0000B6040000}"/>
    <cellStyle name="Percent 5 2" xfId="1335" xr:uid="{00000000-0005-0000-0000-0000B7040000}"/>
    <cellStyle name="Percent 5 3" xfId="1354" xr:uid="{00000000-0005-0000-0000-0000B8040000}"/>
    <cellStyle name="Percent 6" xfId="130" xr:uid="{00000000-0005-0000-0000-0000B9040000}"/>
    <cellStyle name="Percent 6 2" xfId="1333" xr:uid="{00000000-0005-0000-0000-0000BA040000}"/>
    <cellStyle name="Percent 6 3" xfId="1340" xr:uid="{00000000-0005-0000-0000-0000BB040000}"/>
    <cellStyle name="Percent Hard" xfId="1183" xr:uid="{00000000-0005-0000-0000-0000BC040000}"/>
    <cellStyle name="percent no decimal" xfId="1184" xr:uid="{00000000-0005-0000-0000-0000BD040000}"/>
    <cellStyle name="Percent(4places)TotTop" xfId="1185" xr:uid="{00000000-0005-0000-0000-0000BE040000}"/>
    <cellStyle name="Percent1" xfId="1186" xr:uid="{00000000-0005-0000-0000-0000BF040000}"/>
    <cellStyle name="Percent1Blue" xfId="1187" xr:uid="{00000000-0005-0000-0000-0000C0040000}"/>
    <cellStyle name="Percent2" xfId="1188" xr:uid="{00000000-0005-0000-0000-0000C1040000}"/>
    <cellStyle name="Percent2Blue" xfId="1189" xr:uid="{00000000-0005-0000-0000-0000C2040000}"/>
    <cellStyle name="PercentTotal" xfId="1190" xr:uid="{00000000-0005-0000-0000-0000C3040000}"/>
    <cellStyle name="Pounds" xfId="1191" xr:uid="{00000000-0005-0000-0000-0000C4040000}"/>
    <cellStyle name="Pourcentage_agree" xfId="1192" xr:uid="{00000000-0005-0000-0000-0000C5040000}"/>
    <cellStyle name="PrePop Currency (0)" xfId="1193" xr:uid="{00000000-0005-0000-0000-0000C6040000}"/>
    <cellStyle name="PrePop Currency (2)" xfId="1194" xr:uid="{00000000-0005-0000-0000-0000C7040000}"/>
    <cellStyle name="PrePop Units (0)" xfId="1195" xr:uid="{00000000-0005-0000-0000-0000C8040000}"/>
    <cellStyle name="PrePop Units (1)" xfId="1196" xr:uid="{00000000-0005-0000-0000-0000C9040000}"/>
    <cellStyle name="PrePop Units (2)" xfId="1197" xr:uid="{00000000-0005-0000-0000-0000CA040000}"/>
    <cellStyle name="Price" xfId="1198" xr:uid="{00000000-0005-0000-0000-0000CB040000}"/>
    <cellStyle name="PriceUn" xfId="1199" xr:uid="{00000000-0005-0000-0000-0000CC040000}"/>
    <cellStyle name="pricing" xfId="1200" xr:uid="{00000000-0005-0000-0000-0000CD040000}"/>
    <cellStyle name="PSChar" xfId="1201" xr:uid="{00000000-0005-0000-0000-0000CE040000}"/>
    <cellStyle name="PSDate" xfId="1202" xr:uid="{00000000-0005-0000-0000-0000CF040000}"/>
    <cellStyle name="PSDec" xfId="1203" xr:uid="{00000000-0005-0000-0000-0000D0040000}"/>
    <cellStyle name="PSHeading" xfId="1204" xr:uid="{00000000-0005-0000-0000-0000D1040000}"/>
    <cellStyle name="PSInt" xfId="1205" xr:uid="{00000000-0005-0000-0000-0000D2040000}"/>
    <cellStyle name="PSSpacer" xfId="1206" xr:uid="{00000000-0005-0000-0000-0000D3040000}"/>
    <cellStyle name="Reg1" xfId="1207" xr:uid="{00000000-0005-0000-0000-0000D4040000}"/>
    <cellStyle name="Reg2" xfId="1208" xr:uid="{00000000-0005-0000-0000-0000D5040000}"/>
    <cellStyle name="Reg3" xfId="1209" xr:uid="{00000000-0005-0000-0000-0000D6040000}"/>
    <cellStyle name="Reg4" xfId="1210" xr:uid="{00000000-0005-0000-0000-0000D7040000}"/>
    <cellStyle name="Reg5" xfId="1211" xr:uid="{00000000-0005-0000-0000-0000D8040000}"/>
    <cellStyle name="Reg6" xfId="1212" xr:uid="{00000000-0005-0000-0000-0000D9040000}"/>
    <cellStyle name="Reg7" xfId="1213" xr:uid="{00000000-0005-0000-0000-0000DA040000}"/>
    <cellStyle name="Reg8" xfId="1214" xr:uid="{00000000-0005-0000-0000-0000DB040000}"/>
    <cellStyle name="Reg9" xfId="1215" xr:uid="{00000000-0005-0000-0000-0000DC040000}"/>
    <cellStyle name="regstoresfromspecstores" xfId="1216" xr:uid="{00000000-0005-0000-0000-0000DD040000}"/>
    <cellStyle name="RevList" xfId="1217" xr:uid="{00000000-0005-0000-0000-0000DE040000}"/>
    <cellStyle name="Right" xfId="1218" xr:uid="{00000000-0005-0000-0000-0000DF040000}"/>
    <cellStyle name="s" xfId="1219" xr:uid="{00000000-0005-0000-0000-0000E0040000}"/>
    <cellStyle name="Salomon Logo" xfId="1220" xr:uid="{00000000-0005-0000-0000-0000E1040000}"/>
    <cellStyle name="ScotchRule" xfId="1221" xr:uid="{00000000-0005-0000-0000-0000E2040000}"/>
    <cellStyle name="Second Heading_dynex lihtcperm" xfId="1222" xr:uid="{00000000-0005-0000-0000-0000E3040000}"/>
    <cellStyle name="Separador de milhares [0]_Arrendamiraflores" xfId="1223" xr:uid="{00000000-0005-0000-0000-0000E4040000}"/>
    <cellStyle name="Shaded" xfId="1224" xr:uid="{00000000-0005-0000-0000-0000E5040000}"/>
    <cellStyle name="SHADEDSTORES" xfId="1225" xr:uid="{00000000-0005-0000-0000-0000E6040000}"/>
    <cellStyle name="Single Accounting" xfId="1226" xr:uid="{00000000-0005-0000-0000-0000E7040000}"/>
    <cellStyle name="Small Page Heading" xfId="1227" xr:uid="{00000000-0005-0000-0000-0000E8040000}"/>
    <cellStyle name="Sous-Total" xfId="1228" xr:uid="{00000000-0005-0000-0000-0000E9040000}"/>
    <cellStyle name="SpecialHeader" xfId="1229" xr:uid="{00000000-0005-0000-0000-0000EA040000}"/>
    <cellStyle name="specstores" xfId="1230" xr:uid="{00000000-0005-0000-0000-0000EB040000}"/>
    <cellStyle name="Standaard_Almere" xfId="1231" xr:uid="{00000000-0005-0000-0000-0000EC040000}"/>
    <cellStyle name="Standard_1CC-N-12" xfId="1232" xr:uid="{00000000-0005-0000-0000-0000ED040000}"/>
    <cellStyle name="Style 1" xfId="1233" xr:uid="{00000000-0005-0000-0000-0000EE040000}"/>
    <cellStyle name="Style１" xfId="1234" xr:uid="{00000000-0005-0000-0000-0000EF040000}"/>
    <cellStyle name="subhead" xfId="1235" xr:uid="{00000000-0005-0000-0000-0000F0040000}"/>
    <cellStyle name="SubHeader" xfId="1236" xr:uid="{00000000-0005-0000-0000-0000F1040000}"/>
    <cellStyle name="Subscribers" xfId="1237" xr:uid="{00000000-0005-0000-0000-0000F2040000}"/>
    <cellStyle name="Subtitle" xfId="1238" xr:uid="{00000000-0005-0000-0000-0000F3040000}"/>
    <cellStyle name="SubTotal" xfId="1239" xr:uid="{00000000-0005-0000-0000-0000F4040000}"/>
    <cellStyle name="T" xfId="1240" xr:uid="{00000000-0005-0000-0000-0000F5040000}"/>
    <cellStyle name="Table Col Head" xfId="1241" xr:uid="{00000000-0005-0000-0000-0000F6040000}"/>
    <cellStyle name="Table Head" xfId="1242" xr:uid="{00000000-0005-0000-0000-0000F7040000}"/>
    <cellStyle name="Table Head Aligned" xfId="1243" xr:uid="{00000000-0005-0000-0000-0000F8040000}"/>
    <cellStyle name="Table Head Blue" xfId="1244" xr:uid="{00000000-0005-0000-0000-0000F9040000}"/>
    <cellStyle name="Table Head Green" xfId="1245" xr:uid="{00000000-0005-0000-0000-0000FA040000}"/>
    <cellStyle name="Table Head_Alamosa Bids II" xfId="1246" xr:uid="{00000000-0005-0000-0000-0000FB040000}"/>
    <cellStyle name="Table Heading" xfId="1247" xr:uid="{00000000-0005-0000-0000-0000FC040000}"/>
    <cellStyle name="Table Sub Head" xfId="1248" xr:uid="{00000000-0005-0000-0000-0000FD040000}"/>
    <cellStyle name="Table Text" xfId="1249" xr:uid="{00000000-0005-0000-0000-0000FE040000}"/>
    <cellStyle name="Table Title" xfId="1250" xr:uid="{00000000-0005-0000-0000-0000FF040000}"/>
    <cellStyle name="Table Units" xfId="1251" xr:uid="{00000000-0005-0000-0000-000000050000}"/>
    <cellStyle name="Table_Header" xfId="1252" xr:uid="{00000000-0005-0000-0000-000001050000}"/>
    <cellStyle name="TableBody_sbcpac" xfId="1253" xr:uid="{00000000-0005-0000-0000-000002050000}"/>
    <cellStyle name="Text 1" xfId="1254" xr:uid="{00000000-0005-0000-0000-000003050000}"/>
    <cellStyle name="Text 8" xfId="1255" xr:uid="{00000000-0005-0000-0000-000004050000}"/>
    <cellStyle name="Text Head 1" xfId="1256" xr:uid="{00000000-0005-0000-0000-000005050000}"/>
    <cellStyle name="Text Indent A" xfId="1257" xr:uid="{00000000-0005-0000-0000-000006050000}"/>
    <cellStyle name="Text Indent B" xfId="1258" xr:uid="{00000000-0005-0000-0000-000007050000}"/>
    <cellStyle name="Text Indent C" xfId="1259" xr:uid="{00000000-0005-0000-0000-000008050000}"/>
    <cellStyle name="TIME" xfId="1260" xr:uid="{00000000-0005-0000-0000-000009050000}"/>
    <cellStyle name="Times 10" xfId="1261" xr:uid="{00000000-0005-0000-0000-00000A050000}"/>
    <cellStyle name="Times 12" xfId="1262" xr:uid="{00000000-0005-0000-0000-00000B050000}"/>
    <cellStyle name="Times New Roman" xfId="1263" xr:uid="{00000000-0005-0000-0000-00000C050000}"/>
    <cellStyle name="times roman" xfId="1264" xr:uid="{00000000-0005-0000-0000-00000D050000}"/>
    <cellStyle name="Title1" xfId="1265" xr:uid="{00000000-0005-0000-0000-00000E050000}"/>
    <cellStyle name="Title10" xfId="1266" xr:uid="{00000000-0005-0000-0000-00000F050000}"/>
    <cellStyle name="Title2" xfId="1267" xr:uid="{00000000-0005-0000-0000-000010050000}"/>
    <cellStyle name="Title8" xfId="1268" xr:uid="{00000000-0005-0000-0000-000011050000}"/>
    <cellStyle name="Title8Left" xfId="1269" xr:uid="{00000000-0005-0000-0000-000012050000}"/>
    <cellStyle name="TitleCenter" xfId="1270" xr:uid="{00000000-0005-0000-0000-000013050000}"/>
    <cellStyle name="TitleLeft" xfId="1271" xr:uid="{00000000-0005-0000-0000-000014050000}"/>
    <cellStyle name="TitleOther" xfId="1272" xr:uid="{00000000-0005-0000-0000-000015050000}"/>
    <cellStyle name="Titolo1" xfId="1273" xr:uid="{00000000-0005-0000-0000-000016050000}"/>
    <cellStyle name="Titolo2" xfId="1274" xr:uid="{00000000-0005-0000-0000-000017050000}"/>
    <cellStyle name="Titolo3" xfId="1275" xr:uid="{00000000-0005-0000-0000-000018050000}"/>
    <cellStyle name="topline" xfId="1276" xr:uid="{00000000-0005-0000-0000-000019050000}"/>
    <cellStyle name="TopThick" xfId="1277" xr:uid="{00000000-0005-0000-0000-00001A050000}"/>
    <cellStyle name="Total1" xfId="1278" xr:uid="{00000000-0005-0000-0000-00001B050000}"/>
    <cellStyle name="Total2" xfId="1279" xr:uid="{00000000-0005-0000-0000-00001C050000}"/>
    <cellStyle name="Total3" xfId="1280" xr:uid="{00000000-0005-0000-0000-00001D050000}"/>
    <cellStyle name="Total4" xfId="1281" xr:uid="{00000000-0005-0000-0000-00001E050000}"/>
    <cellStyle name="Total5" xfId="1282" xr:uid="{00000000-0005-0000-0000-00001F050000}"/>
    <cellStyle name="Total6" xfId="1283" xr:uid="{00000000-0005-0000-0000-000020050000}"/>
    <cellStyle name="Total7" xfId="1284" xr:uid="{00000000-0005-0000-0000-000021050000}"/>
    <cellStyle name="Total8" xfId="1285" xr:uid="{00000000-0005-0000-0000-000022050000}"/>
    <cellStyle name="Total9" xfId="1286" xr:uid="{00000000-0005-0000-0000-000023050000}"/>
    <cellStyle name="Totals" xfId="1287" xr:uid="{00000000-0005-0000-0000-000024050000}"/>
    <cellStyle name="TotalsComma" xfId="1288" xr:uid="{00000000-0005-0000-0000-000025050000}"/>
    <cellStyle name="TotShade" xfId="1289" xr:uid="{00000000-0005-0000-0000-000026050000}"/>
    <cellStyle name="TotShade 2" xfId="1290" xr:uid="{00000000-0005-0000-0000-000027050000}"/>
    <cellStyle name="TotShade 3" xfId="1291" xr:uid="{00000000-0005-0000-0000-000028050000}"/>
    <cellStyle name="TotShade 4" xfId="1292" xr:uid="{00000000-0005-0000-0000-000029050000}"/>
    <cellStyle name="TotShade 5" xfId="1293" xr:uid="{00000000-0005-0000-0000-00002A050000}"/>
    <cellStyle name="TotShade 9" xfId="1294" xr:uid="{00000000-0005-0000-0000-00002B050000}"/>
    <cellStyle name="TransVal" xfId="1295" xr:uid="{00000000-0005-0000-0000-00002C050000}"/>
    <cellStyle name="ubordinated Debt" xfId="1296" xr:uid="{00000000-0005-0000-0000-00002D050000}"/>
    <cellStyle name="underline 1 decimal" xfId="1297" xr:uid="{00000000-0005-0000-0000-00002E050000}"/>
    <cellStyle name="underline 2 decimals" xfId="1298" xr:uid="{00000000-0005-0000-0000-00002F050000}"/>
    <cellStyle name="underline flush left" xfId="1299" xr:uid="{00000000-0005-0000-0000-000030050000}"/>
    <cellStyle name="underline no decimals" xfId="1300" xr:uid="{00000000-0005-0000-0000-000031050000}"/>
    <cellStyle name="Underline_Single" xfId="1301" xr:uid="{00000000-0005-0000-0000-000032050000}"/>
    <cellStyle name="Underscore" xfId="1302" xr:uid="{00000000-0005-0000-0000-000033050000}"/>
    <cellStyle name="Underscore 2" xfId="1303" xr:uid="{00000000-0005-0000-0000-000034050000}"/>
    <cellStyle name="Underscore 3" xfId="1304" xr:uid="{00000000-0005-0000-0000-000035050000}"/>
    <cellStyle name="Underscore 4" xfId="1305" xr:uid="{00000000-0005-0000-0000-000036050000}"/>
    <cellStyle name="Underscore 5" xfId="1306" xr:uid="{00000000-0005-0000-0000-000037050000}"/>
    <cellStyle name="Underscore 9" xfId="1307" xr:uid="{00000000-0005-0000-0000-000038050000}"/>
    <cellStyle name="Unprot" xfId="1308" xr:uid="{00000000-0005-0000-0000-000039050000}"/>
    <cellStyle name="Unprot$" xfId="1309" xr:uid="{00000000-0005-0000-0000-00003A050000}"/>
    <cellStyle name="Unprotect" xfId="1310" xr:uid="{00000000-0005-0000-0000-00003B050000}"/>
    <cellStyle name="User_Defined_A" xfId="1311" xr:uid="{00000000-0005-0000-0000-00003C050000}"/>
    <cellStyle name="Valuta (0)_Foglio1 (2)" xfId="1312" xr:uid="{00000000-0005-0000-0000-00003D050000}"/>
    <cellStyle name="Valuta_Foglio1 (2)" xfId="1313" xr:uid="{00000000-0005-0000-0000-00003E050000}"/>
    <cellStyle name="Vírgula_Arrendamiraflores" xfId="1314" xr:uid="{00000000-0005-0000-0000-00003F050000}"/>
    <cellStyle name="White" xfId="1315" xr:uid="{00000000-0005-0000-0000-000040050000}"/>
    <cellStyle name="y" xfId="1316" xr:uid="{00000000-0005-0000-0000-000041050000}"/>
    <cellStyle name="y_Citrix_2pgr2" xfId="1317" xr:uid="{00000000-0005-0000-0000-000042050000}"/>
    <cellStyle name="y_Iron-Steel" xfId="1318" xr:uid="{00000000-0005-0000-0000-000043050000}"/>
    <cellStyle name="y_MERQ_6-14_V8" xfId="1319" xr:uid="{00000000-0005-0000-0000-000044050000}"/>
    <cellStyle name="y_RATL_SRNA synergies" xfId="1320" xr:uid="{00000000-0005-0000-0000-000045050000}"/>
    <cellStyle name="y_Valuation_Jan2" xfId="1321" xr:uid="{00000000-0005-0000-0000-000046050000}"/>
    <cellStyle name="year" xfId="1322" xr:uid="{00000000-0005-0000-0000-000047050000}"/>
    <cellStyle name="Yen" xfId="1323" xr:uid="{00000000-0005-0000-0000-000048050000}"/>
    <cellStyle name="YES NO" xfId="1324" xr:uid="{00000000-0005-0000-0000-000049050000}"/>
    <cellStyle name="型番" xfId="1325" xr:uid="{00000000-0005-0000-0000-00004A050000}"/>
    <cellStyle name="桁区切り [0.00]_Book2" xfId="1326" xr:uid="{00000000-0005-0000-0000-00004B050000}"/>
    <cellStyle name="桁区切り_AssetBalance Template" xfId="1327" xr:uid="{00000000-0005-0000-0000-00004C050000}"/>
    <cellStyle name="標準_1Q01SS-backup_Megalon 3Q2" xfId="1328" xr:uid="{00000000-0005-0000-0000-00004D050000}"/>
    <cellStyle name="通貨 [0.00]_Book2" xfId="1329" xr:uid="{00000000-0005-0000-0000-00004E050000}"/>
    <cellStyle name="通貨_Book2" xfId="1330" xr:uid="{00000000-0005-0000-0000-00004F050000}"/>
  </cellStyles>
  <dxfs count="10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0432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hyperlink" Target="#'Table of Contents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hyperlink" Target="#'Table of Contents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hyperlink" Target="#'Table of Contents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hyperlink" Target="#'Table of Content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hyperlink" Target="#'Table of Content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58000</xdr:colOff>
      <xdr:row>46</xdr:row>
      <xdr:rowOff>113041</xdr:rowOff>
    </xdr:from>
    <xdr:to>
      <xdr:col>11</xdr:col>
      <xdr:colOff>11378</xdr:colOff>
      <xdr:row>67</xdr:row>
      <xdr:rowOff>110006</xdr:rowOff>
    </xdr:to>
    <xdr:pic>
      <xdr:nvPicPr>
        <xdr:cNvPr id="16" name="Picture 15" descr="A graph of different colored lines&#10;&#10;Description automatically generated">
          <a:extLst>
            <a:ext uri="{FF2B5EF4-FFF2-40B4-BE49-F238E27FC236}">
              <a16:creationId xmlns:a16="http://schemas.microsoft.com/office/drawing/2014/main" id="{484F9A4E-63B8-4941-A76B-4B50F8B1B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77375" y="9606291"/>
          <a:ext cx="7349925" cy="4324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106200</xdr:colOff>
      <xdr:row>25</xdr:row>
      <xdr:rowOff>96441</xdr:rowOff>
    </xdr:from>
    <xdr:to>
      <xdr:col>20</xdr:col>
      <xdr:colOff>908974</xdr:colOff>
      <xdr:row>46</xdr:row>
      <xdr:rowOff>58815</xdr:rowOff>
    </xdr:to>
    <xdr:pic>
      <xdr:nvPicPr>
        <xdr:cNvPr id="17" name="Picture 16" descr="A graph of different colored lines&#10;&#10;Description automatically generated">
          <a:extLst>
            <a:ext uri="{FF2B5EF4-FFF2-40B4-BE49-F238E27FC236}">
              <a16:creationId xmlns:a16="http://schemas.microsoft.com/office/drawing/2014/main" id="{EC3EC08F-EACA-4EBA-B50D-FDCE7D837B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2157"/>
        <a:stretch/>
      </xdr:blipFill>
      <xdr:spPr>
        <a:xfrm>
          <a:off x="10139200" y="5255816"/>
          <a:ext cx="7817946" cy="4296248"/>
        </a:xfrm>
        <a:prstGeom prst="rect">
          <a:avLst/>
        </a:prstGeom>
      </xdr:spPr>
    </xdr:pic>
    <xdr:clientData/>
  </xdr:twoCellAnchor>
  <xdr:twoCellAnchor editAs="oneCell">
    <xdr:from>
      <xdr:col>2</xdr:col>
      <xdr:colOff>724297</xdr:colOff>
      <xdr:row>25</xdr:row>
      <xdr:rowOff>56356</xdr:rowOff>
    </xdr:from>
    <xdr:to>
      <xdr:col>11</xdr:col>
      <xdr:colOff>31859</xdr:colOff>
      <xdr:row>45</xdr:row>
      <xdr:rowOff>70518</xdr:rowOff>
    </xdr:to>
    <xdr:pic>
      <xdr:nvPicPr>
        <xdr:cNvPr id="18" name="Picture 17" descr="A graph with orange lines&#10;&#10;Description automatically generated">
          <a:extLst>
            <a:ext uri="{FF2B5EF4-FFF2-40B4-BE49-F238E27FC236}">
              <a16:creationId xmlns:a16="http://schemas.microsoft.com/office/drawing/2014/main" id="{047B8C69-75A4-4353-9975-D96D4F643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70547" y="5215731"/>
          <a:ext cx="7592734" cy="4140083"/>
        </a:xfrm>
        <a:prstGeom prst="rect">
          <a:avLst/>
        </a:prstGeom>
      </xdr:spPr>
    </xdr:pic>
    <xdr:clientData/>
  </xdr:twoCellAnchor>
  <xdr:twoCellAnchor editAs="oneCell">
    <xdr:from>
      <xdr:col>11</xdr:col>
      <xdr:colOff>756677</xdr:colOff>
      <xdr:row>46</xdr:row>
      <xdr:rowOff>135778</xdr:rowOff>
    </xdr:from>
    <xdr:to>
      <xdr:col>20</xdr:col>
      <xdr:colOff>185939</xdr:colOff>
      <xdr:row>69</xdr:row>
      <xdr:rowOff>108254</xdr:rowOff>
    </xdr:to>
    <xdr:pic>
      <xdr:nvPicPr>
        <xdr:cNvPr id="19" name="Picture 18" descr="A map of a city with numbers and points&#10;&#10;Description automatically generated">
          <a:extLst>
            <a:ext uri="{FF2B5EF4-FFF2-40B4-BE49-F238E27FC236}">
              <a16:creationId xmlns:a16="http://schemas.microsoft.com/office/drawing/2014/main" id="{DB8900D2-5220-421C-BE71-D147DF55A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89677" y="9629028"/>
          <a:ext cx="6439671" cy="4717523"/>
        </a:xfrm>
        <a:prstGeom prst="rect">
          <a:avLst/>
        </a:prstGeom>
      </xdr:spPr>
    </xdr:pic>
    <xdr:clientData/>
  </xdr:twoCellAnchor>
  <xdr:oneCellAnchor>
    <xdr:from>
      <xdr:col>22</xdr:col>
      <xdr:colOff>104771</xdr:colOff>
      <xdr:row>49</xdr:row>
      <xdr:rowOff>100142</xdr:rowOff>
    </xdr:from>
    <xdr:ext cx="8430745" cy="2577060"/>
    <xdr:pic>
      <xdr:nvPicPr>
        <xdr:cNvPr id="20" name="Picture 19" descr="A table with numbers and a few tables&#10;&#10;Description automatically generated with medium confidence">
          <a:extLst>
            <a:ext uri="{FF2B5EF4-FFF2-40B4-BE49-F238E27FC236}">
              <a16:creationId xmlns:a16="http://schemas.microsoft.com/office/drawing/2014/main" id="{AED7D430-BCB0-4A7E-9242-9DFE7C1E1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409396" y="10212517"/>
          <a:ext cx="8430745" cy="2577060"/>
        </a:xfrm>
        <a:prstGeom prst="rect">
          <a:avLst/>
        </a:prstGeom>
      </xdr:spPr>
    </xdr:pic>
    <xdr:clientData/>
  </xdr:oneCellAnchor>
  <xdr:oneCellAnchor>
    <xdr:from>
      <xdr:col>26</xdr:col>
      <xdr:colOff>2568034</xdr:colOff>
      <xdr:row>46</xdr:row>
      <xdr:rowOff>163511</xdr:rowOff>
    </xdr:from>
    <xdr:ext cx="8345008" cy="3948568"/>
    <xdr:pic>
      <xdr:nvPicPr>
        <xdr:cNvPr id="21" name="Picture 20" descr="A table with numbers and a few percentages&#10;&#10;Description automatically generated with medium confidence">
          <a:extLst>
            <a:ext uri="{FF2B5EF4-FFF2-40B4-BE49-F238E27FC236}">
              <a16:creationId xmlns:a16="http://schemas.microsoft.com/office/drawing/2014/main" id="{211BAF8E-A6C9-4D52-8B82-CF4818D91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115378" y="9549605"/>
          <a:ext cx="8345008" cy="3948568"/>
        </a:xfrm>
        <a:prstGeom prst="rect">
          <a:avLst/>
        </a:prstGeom>
      </xdr:spPr>
    </xdr:pic>
    <xdr:clientData/>
  </xdr:oneCellAnchor>
  <xdr:twoCellAnchor editAs="oneCell">
    <xdr:from>
      <xdr:col>20</xdr:col>
      <xdr:colOff>624680</xdr:colOff>
      <xdr:row>48</xdr:row>
      <xdr:rowOff>122633</xdr:rowOff>
    </xdr:from>
    <xdr:to>
      <xdr:col>21</xdr:col>
      <xdr:colOff>4208764</xdr:colOff>
      <xdr:row>66</xdr:row>
      <xdr:rowOff>88565</xdr:rowOff>
    </xdr:to>
    <xdr:pic>
      <xdr:nvPicPr>
        <xdr:cNvPr id="22" name="Picture 21" descr="A screenshot of a spreadsheet&#10;&#10;Description automatically generated">
          <a:extLst>
            <a:ext uri="{FF2B5EF4-FFF2-40B4-BE49-F238E27FC236}">
              <a16:creationId xmlns:a16="http://schemas.microsoft.com/office/drawing/2014/main" id="{4D1F3F4E-4FC2-4BD7-8E4B-17C997A4C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674430" y="10028633"/>
          <a:ext cx="6187584" cy="3672754"/>
        </a:xfrm>
        <a:prstGeom prst="rect">
          <a:avLst/>
        </a:prstGeom>
      </xdr:spPr>
    </xdr:pic>
    <xdr:clientData/>
  </xdr:twoCellAnchor>
  <xdr:oneCellAnchor>
    <xdr:from>
      <xdr:col>11</xdr:col>
      <xdr:colOff>1152767</xdr:colOff>
      <xdr:row>94</xdr:row>
      <xdr:rowOff>178096</xdr:rowOff>
    </xdr:from>
    <xdr:ext cx="7372626" cy="4032062"/>
    <xdr:pic>
      <xdr:nvPicPr>
        <xdr:cNvPr id="23" name="Picture 22" descr="A screenshot of a spreadsheet&#10;&#10;Description automatically generated">
          <a:extLst>
            <a:ext uri="{FF2B5EF4-FFF2-40B4-BE49-F238E27FC236}">
              <a16:creationId xmlns:a16="http://schemas.microsoft.com/office/drawing/2014/main" id="{9613010E-F934-4049-9310-EAE1F0412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185767" y="19577346"/>
          <a:ext cx="7372626" cy="4032062"/>
        </a:xfrm>
        <a:prstGeom prst="rect">
          <a:avLst/>
        </a:prstGeom>
      </xdr:spPr>
    </xdr:pic>
    <xdr:clientData/>
  </xdr:oneCellAnchor>
  <xdr:twoCellAnchor editAs="oneCell">
    <xdr:from>
      <xdr:col>3</xdr:col>
      <xdr:colOff>442912</xdr:colOff>
      <xdr:row>95</xdr:row>
      <xdr:rowOff>150951</xdr:rowOff>
    </xdr:from>
    <xdr:to>
      <xdr:col>11</xdr:col>
      <xdr:colOff>305733</xdr:colOff>
      <xdr:row>114</xdr:row>
      <xdr:rowOff>145816</xdr:rowOff>
    </xdr:to>
    <xdr:pic>
      <xdr:nvPicPr>
        <xdr:cNvPr id="24" name="Picture 23" descr="A graph of different colored lines&#10;&#10;Description automatically generated">
          <a:extLst>
            <a:ext uri="{FF2B5EF4-FFF2-40B4-BE49-F238E27FC236}">
              <a16:creationId xmlns:a16="http://schemas.microsoft.com/office/drawing/2014/main" id="{8CE3D368-502C-40EB-9F2C-7B3EFA5F7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62287" y="19260482"/>
          <a:ext cx="7279622" cy="3763599"/>
        </a:xfrm>
        <a:prstGeom prst="rect">
          <a:avLst/>
        </a:prstGeom>
      </xdr:spPr>
    </xdr:pic>
    <xdr:clientData/>
  </xdr:twoCellAnchor>
  <xdr:twoCellAnchor editAs="oneCell">
    <xdr:from>
      <xdr:col>11</xdr:col>
      <xdr:colOff>962957</xdr:colOff>
      <xdr:row>73</xdr:row>
      <xdr:rowOff>27539</xdr:rowOff>
    </xdr:from>
    <xdr:to>
      <xdr:col>20</xdr:col>
      <xdr:colOff>1708160</xdr:colOff>
      <xdr:row>93</xdr:row>
      <xdr:rowOff>125551</xdr:rowOff>
    </xdr:to>
    <xdr:pic>
      <xdr:nvPicPr>
        <xdr:cNvPr id="25" name="Picture 24" descr="A graph of different colored lines&#10;&#10;Description automatically generated">
          <a:extLst>
            <a:ext uri="{FF2B5EF4-FFF2-40B4-BE49-F238E27FC236}">
              <a16:creationId xmlns:a16="http://schemas.microsoft.com/office/drawing/2014/main" id="{955D2D63-DE42-48D5-AD86-B31882A71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995957" y="15092914"/>
          <a:ext cx="7760375" cy="4228697"/>
        </a:xfrm>
        <a:prstGeom prst="rect">
          <a:avLst/>
        </a:prstGeom>
      </xdr:spPr>
    </xdr:pic>
    <xdr:clientData/>
  </xdr:twoCellAnchor>
  <xdr:twoCellAnchor editAs="oneCell">
    <xdr:from>
      <xdr:col>3</xdr:col>
      <xdr:colOff>73023</xdr:colOff>
      <xdr:row>73</xdr:row>
      <xdr:rowOff>46434</xdr:rowOff>
    </xdr:from>
    <xdr:to>
      <xdr:col>11</xdr:col>
      <xdr:colOff>623282</xdr:colOff>
      <xdr:row>93</xdr:row>
      <xdr:rowOff>163650</xdr:rowOff>
    </xdr:to>
    <xdr:pic>
      <xdr:nvPicPr>
        <xdr:cNvPr id="26" name="Picture 25" descr="A graph of different colored lines&#10;&#10;Description automatically generated">
          <a:extLst>
            <a:ext uri="{FF2B5EF4-FFF2-40B4-BE49-F238E27FC236}">
              <a16:creationId xmlns:a16="http://schemas.microsoft.com/office/drawing/2014/main" id="{32C9C698-51D6-4CB1-8EC7-850DF086C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692398" y="15111809"/>
          <a:ext cx="7957543" cy="4247901"/>
        </a:xfrm>
        <a:prstGeom prst="rect">
          <a:avLst/>
        </a:prstGeom>
      </xdr:spPr>
    </xdr:pic>
    <xdr:clientData/>
  </xdr:twoCellAnchor>
  <xdr:oneCellAnchor>
    <xdr:from>
      <xdr:col>20</xdr:col>
      <xdr:colOff>2153838</xdr:colOff>
      <xdr:row>73</xdr:row>
      <xdr:rowOff>22619</xdr:rowOff>
    </xdr:from>
    <xdr:ext cx="7698272" cy="4154597"/>
    <xdr:pic>
      <xdr:nvPicPr>
        <xdr:cNvPr id="27" name="Picture 26" descr="A screenshot of a data sheet&#10;&#10;Description automatically generated">
          <a:extLst>
            <a:ext uri="{FF2B5EF4-FFF2-40B4-BE49-F238E27FC236}">
              <a16:creationId xmlns:a16="http://schemas.microsoft.com/office/drawing/2014/main" id="{13958C01-6728-4AD3-9F96-BCE635DDF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203588" y="15087994"/>
          <a:ext cx="7698272" cy="4154597"/>
        </a:xfrm>
        <a:prstGeom prst="rect">
          <a:avLst/>
        </a:prstGeom>
      </xdr:spPr>
    </xdr:pic>
    <xdr:clientData/>
  </xdr:oneCellAnchor>
  <xdr:oneCellAnchor>
    <xdr:from>
      <xdr:col>2</xdr:col>
      <xdr:colOff>850106</xdr:colOff>
      <xdr:row>120</xdr:row>
      <xdr:rowOff>172242</xdr:rowOff>
    </xdr:from>
    <xdr:ext cx="8477542" cy="4442422"/>
    <xdr:pic>
      <xdr:nvPicPr>
        <xdr:cNvPr id="28" name="Picture 27" descr="A graph of a number of people&#10;&#10;Description automatically generated with medium confidence">
          <a:extLst>
            <a:ext uri="{FF2B5EF4-FFF2-40B4-BE49-F238E27FC236}">
              <a16:creationId xmlns:a16="http://schemas.microsoft.com/office/drawing/2014/main" id="{BFFE37E4-91C1-4715-ABA7-486D420B3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96356" y="24937242"/>
          <a:ext cx="8477542" cy="4442422"/>
        </a:xfrm>
        <a:prstGeom prst="rect">
          <a:avLst/>
        </a:prstGeom>
      </xdr:spPr>
    </xdr:pic>
    <xdr:clientData/>
  </xdr:oneCellAnchor>
  <xdr:oneCellAnchor>
    <xdr:from>
      <xdr:col>11</xdr:col>
      <xdr:colOff>1362922</xdr:colOff>
      <xdr:row>120</xdr:row>
      <xdr:rowOff>159456</xdr:rowOff>
    </xdr:from>
    <xdr:ext cx="8724787" cy="4442422"/>
    <xdr:pic>
      <xdr:nvPicPr>
        <xdr:cNvPr id="29" name="Picture 28">
          <a:extLst>
            <a:ext uri="{FF2B5EF4-FFF2-40B4-BE49-F238E27FC236}">
              <a16:creationId xmlns:a16="http://schemas.microsoft.com/office/drawing/2014/main" id="{79174D4E-E7AA-45CD-9242-23074A1BE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95922" y="24924456"/>
          <a:ext cx="8724787" cy="4442422"/>
        </a:xfrm>
        <a:prstGeom prst="rect">
          <a:avLst/>
        </a:prstGeom>
      </xdr:spPr>
    </xdr:pic>
    <xdr:clientData/>
  </xdr:oneCellAnchor>
  <xdr:oneCellAnchor>
    <xdr:from>
      <xdr:col>11</xdr:col>
      <xdr:colOff>1832615</xdr:colOff>
      <xdr:row>143</xdr:row>
      <xdr:rowOff>157370</xdr:rowOff>
    </xdr:from>
    <xdr:ext cx="7925629" cy="4250994"/>
    <xdr:pic>
      <xdr:nvPicPr>
        <xdr:cNvPr id="30" name="Picture 29">
          <a:extLst>
            <a:ext uri="{FF2B5EF4-FFF2-40B4-BE49-F238E27FC236}">
              <a16:creationId xmlns:a16="http://schemas.microsoft.com/office/drawing/2014/main" id="{6B7717F3-0DE5-49BD-93F7-4550B2E1F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865615" y="29668995"/>
          <a:ext cx="7925629" cy="4250994"/>
        </a:xfrm>
        <a:prstGeom prst="rect">
          <a:avLst/>
        </a:prstGeom>
      </xdr:spPr>
    </xdr:pic>
    <xdr:clientData/>
  </xdr:oneCellAnchor>
  <xdr:oneCellAnchor>
    <xdr:from>
      <xdr:col>3</xdr:col>
      <xdr:colOff>528275</xdr:colOff>
      <xdr:row>144</xdr:row>
      <xdr:rowOff>38642</xdr:rowOff>
    </xdr:from>
    <xdr:ext cx="7970215" cy="4255643"/>
    <xdr:pic>
      <xdr:nvPicPr>
        <xdr:cNvPr id="31" name="Picture 30" descr="A graph of a graph showing the number of companies&#10;&#10;Description automatically generated with medium confidence">
          <a:extLst>
            <a:ext uri="{FF2B5EF4-FFF2-40B4-BE49-F238E27FC236}">
              <a16:creationId xmlns:a16="http://schemas.microsoft.com/office/drawing/2014/main" id="{CD95A801-DC83-4B46-80E5-AE2864E94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147650" y="29756642"/>
          <a:ext cx="7970215" cy="4255643"/>
        </a:xfrm>
        <a:prstGeom prst="rect">
          <a:avLst/>
        </a:prstGeom>
      </xdr:spPr>
    </xdr:pic>
    <xdr:clientData/>
  </xdr:oneCellAnchor>
  <xdr:twoCellAnchor editAs="oneCell">
    <xdr:from>
      <xdr:col>3</xdr:col>
      <xdr:colOff>236934</xdr:colOff>
      <xdr:row>171</xdr:row>
      <xdr:rowOff>29368</xdr:rowOff>
    </xdr:from>
    <xdr:to>
      <xdr:col>11</xdr:col>
      <xdr:colOff>203640</xdr:colOff>
      <xdr:row>192</xdr:row>
      <xdr:rowOff>126227</xdr:rowOff>
    </xdr:to>
    <xdr:pic>
      <xdr:nvPicPr>
        <xdr:cNvPr id="33" name="Picture 32" descr="A screenshot of a graph&#10;&#10;Description automatically generated">
          <a:extLst>
            <a:ext uri="{FF2B5EF4-FFF2-40B4-BE49-F238E27FC236}">
              <a16:creationId xmlns:a16="http://schemas.microsoft.com/office/drawing/2014/main" id="{F7B5787E-979F-7D96-9D9D-F952B1C5A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56309" y="35319493"/>
          <a:ext cx="7378753" cy="4429156"/>
        </a:xfrm>
        <a:prstGeom prst="rect">
          <a:avLst/>
        </a:prstGeom>
      </xdr:spPr>
    </xdr:pic>
    <xdr:clientData/>
  </xdr:twoCellAnchor>
  <xdr:twoCellAnchor editAs="oneCell">
    <xdr:from>
      <xdr:col>3</xdr:col>
      <xdr:colOff>324085</xdr:colOff>
      <xdr:row>201</xdr:row>
      <xdr:rowOff>66526</xdr:rowOff>
    </xdr:from>
    <xdr:to>
      <xdr:col>20</xdr:col>
      <xdr:colOff>2067971</xdr:colOff>
      <xdr:row>242</xdr:row>
      <xdr:rowOff>163139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554003-F177-EEE5-361D-1292974BE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5537" y="41805827"/>
          <a:ext cx="16103561" cy="8488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74983</xdr:colOff>
      <xdr:row>1</xdr:row>
      <xdr:rowOff>0</xdr:rowOff>
    </xdr:from>
    <xdr:to>
      <xdr:col>49</xdr:col>
      <xdr:colOff>16867</xdr:colOff>
      <xdr:row>2</xdr:row>
      <xdr:rowOff>36877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C66196-3AB2-4BCA-9417-1D13171BE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2263" y="5935980"/>
          <a:ext cx="19441144" cy="326437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  <xdr:twoCellAnchor>
    <xdr:from>
      <xdr:col>59</xdr:col>
      <xdr:colOff>97945</xdr:colOff>
      <xdr:row>1</xdr:row>
      <xdr:rowOff>0</xdr:rowOff>
    </xdr:from>
    <xdr:to>
      <xdr:col>71</xdr:col>
      <xdr:colOff>44818</xdr:colOff>
      <xdr:row>2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0ADD84-0EAB-4E8F-A3D7-A065C2CA8A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6" t="15556" r="4002" b="14074"/>
        <a:stretch/>
      </xdr:blipFill>
      <xdr:spPr bwMode="auto">
        <a:xfrm>
          <a:off x="49658425" y="5935980"/>
          <a:ext cx="7262073" cy="2895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59</xdr:col>
      <xdr:colOff>51529</xdr:colOff>
      <xdr:row>3</xdr:row>
      <xdr:rowOff>0</xdr:rowOff>
    </xdr:from>
    <xdr:to>
      <xdr:col>71</xdr:col>
      <xdr:colOff>95096</xdr:colOff>
      <xdr:row>3</xdr:row>
      <xdr:rowOff>85668</xdr:rowOff>
    </xdr:to>
    <xdr:sp macro="" textlink="">
      <xdr:nvSpPr>
        <xdr:cNvPr id="4" name="Text Box 7">
          <a:extLst>
            <a:ext uri="{FF2B5EF4-FFF2-40B4-BE49-F238E27FC236}">
              <a16:creationId xmlns:a16="http://schemas.microsoft.com/office/drawing/2014/main" id="{A6879611-9459-4F79-8FC3-DAEB25299948}"/>
            </a:ext>
          </a:extLst>
        </xdr:cNvPr>
        <xdr:cNvSpPr txBox="1">
          <a:spLocks noChangeArrowheads="1"/>
        </xdr:cNvSpPr>
      </xdr:nvSpPr>
      <xdr:spPr bwMode="auto">
        <a:xfrm>
          <a:off x="49612009" y="6515100"/>
          <a:ext cx="7358767" cy="8566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  <xdr:txBody>
        <a:bodyPr vertOverflow="clip" wrap="square" lIns="36576" tIns="36576" rIns="36576" bIns="36576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Calibri"/>
              <a:cs typeface="Calibri"/>
            </a:rPr>
            <a:t>D  e  v  e  l  o  p  m  e  n  t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FFFF"/>
            </a:solidFill>
            <a:effectLst/>
            <a:uLnTx/>
            <a:uFillTx/>
            <a:latin typeface="Calibri"/>
            <a:cs typeface="Calibri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74983</xdr:colOff>
      <xdr:row>0</xdr:row>
      <xdr:rowOff>0</xdr:rowOff>
    </xdr:from>
    <xdr:to>
      <xdr:col>50</xdr:col>
      <xdr:colOff>10446</xdr:colOff>
      <xdr:row>1</xdr:row>
      <xdr:rowOff>131809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07F4C2-9584-46B6-B514-74E2C9D81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2263" y="0"/>
          <a:ext cx="19441144" cy="334057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74983</xdr:colOff>
      <xdr:row>0</xdr:row>
      <xdr:rowOff>0</xdr:rowOff>
    </xdr:from>
    <xdr:to>
      <xdr:col>49</xdr:col>
      <xdr:colOff>14831</xdr:colOff>
      <xdr:row>1</xdr:row>
      <xdr:rowOff>148194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748AA4-1EDA-476D-BEB6-1B04D5726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2263" y="289560"/>
          <a:ext cx="19441144" cy="326437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74983</xdr:colOff>
      <xdr:row>0</xdr:row>
      <xdr:rowOff>0</xdr:rowOff>
    </xdr:from>
    <xdr:to>
      <xdr:col>50</xdr:col>
      <xdr:colOff>12020</xdr:colOff>
      <xdr:row>1</xdr:row>
      <xdr:rowOff>131809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E15B68-A7E6-4108-BFAE-A074F0FB3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642633" y="0"/>
          <a:ext cx="20053915" cy="328659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74983</xdr:colOff>
      <xdr:row>1</xdr:row>
      <xdr:rowOff>0</xdr:rowOff>
    </xdr:from>
    <xdr:to>
      <xdr:col>49</xdr:col>
      <xdr:colOff>14691</xdr:colOff>
      <xdr:row>2</xdr:row>
      <xdr:rowOff>36877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4D3DDE-3435-4812-9DD2-CC69B3BB0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2263" y="289560"/>
          <a:ext cx="19441144" cy="326437"/>
        </a:xfrm>
        <a:prstGeom prst="rect">
          <a:avLst/>
        </a:prstGeom>
        <a:effectLst>
          <a:reflection blurRad="6350" stA="52000" endA="300" endPos="32000" dist="12700" dir="5400000" sy="-100000" algn="bl" rotWithShape="0"/>
        </a:effectLst>
      </xdr:spPr>
    </xdr:pic>
    <xdr:clientData/>
  </xdr:twoCellAnchor>
  <xdr:twoCellAnchor>
    <xdr:from>
      <xdr:col>59</xdr:col>
      <xdr:colOff>97945</xdr:colOff>
      <xdr:row>1</xdr:row>
      <xdr:rowOff>0</xdr:rowOff>
    </xdr:from>
    <xdr:to>
      <xdr:col>71</xdr:col>
      <xdr:colOff>44818</xdr:colOff>
      <xdr:row>2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BA9ACB-3788-4E36-BA52-3EDD86FBA6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6" t="15556" r="4002" b="14074"/>
        <a:stretch/>
      </xdr:blipFill>
      <xdr:spPr bwMode="auto">
        <a:xfrm>
          <a:off x="49658425" y="289560"/>
          <a:ext cx="7262073" cy="2895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59</xdr:col>
      <xdr:colOff>51529</xdr:colOff>
      <xdr:row>3</xdr:row>
      <xdr:rowOff>0</xdr:rowOff>
    </xdr:from>
    <xdr:to>
      <xdr:col>71</xdr:col>
      <xdr:colOff>95096</xdr:colOff>
      <xdr:row>3</xdr:row>
      <xdr:rowOff>85668</xdr:rowOff>
    </xdr:to>
    <xdr:sp macro="" textlink="">
      <xdr:nvSpPr>
        <xdr:cNvPr id="4" name="Text Box 7">
          <a:extLst>
            <a:ext uri="{FF2B5EF4-FFF2-40B4-BE49-F238E27FC236}">
              <a16:creationId xmlns:a16="http://schemas.microsoft.com/office/drawing/2014/main" id="{75EEBB97-8E1C-47B2-866A-9FEB5E85B221}"/>
            </a:ext>
          </a:extLst>
        </xdr:cNvPr>
        <xdr:cNvSpPr txBox="1">
          <a:spLocks noChangeArrowheads="1"/>
        </xdr:cNvSpPr>
      </xdr:nvSpPr>
      <xdr:spPr bwMode="auto">
        <a:xfrm>
          <a:off x="49612009" y="868680"/>
          <a:ext cx="7358767" cy="8566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  <xdr:txBody>
        <a:bodyPr vertOverflow="clip" wrap="square" lIns="36576" tIns="36576" rIns="36576" bIns="36576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Calibri"/>
              <a:cs typeface="Calibri"/>
            </a:rPr>
            <a:t>D  e  v  e  l  o  p  m  e  n  t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FFFF"/>
            </a:solidFill>
            <a:effectLst/>
            <a:uLnTx/>
            <a:uFillTx/>
            <a:latin typeface="Calibri"/>
            <a:cs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My%20Documents/Closed%20Deals/Mack-Cali%20Portfolio/Investment%20Committee%20Book/$600k%20price%20adjustment%20VI/Section%203%20-%20Mack-Cali%20Portfolio%20FIN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Users/Charles%20A%20Long/Dropbox/Development-L-T/West%20Oakland/1600%207th%20St/Equity%20Book%20and%20Financials/efscluster1/eusersdefpaths/greystar/live/41900914476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Documents%20and%20Settings/ahiggins/Local%20Settings/Temporary%20Internet%20Files/OLK16E/North%20Houston%20Medical%20Base%20Case%208-17-04%20(2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LAXUsers/koura/Analyst%20Bullpen/2%20-%20Seattle%20Deals/Seattle/South%20Lake%20Union/1%208%2012%20-%20Seattle%20282%20-%20AW_KAO_1.10.13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Users/matthewticknor/Dropbox/Development-L-T/Oakland/585%2022nd%20St/Asset%20Management/G:/Real%20Estate/_New%20Deals/NYC%20-%2085%20West%20Broadway/Model/hotel%20model/kimpton%20hotel%20development%20mode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Users/matthewticknor/Dropbox/Development-L-T/Oakland/585%2022nd%20St/Asset%20Management/G:/My%20Documents/Starwood/Models/FiMo%20Clean%203-1-04%20-%20May%20actfor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BCI-FS1/Users/FHC/ESTIMATE/Large%20Projects%20Estimates%202005/Carmichael%20Library%2025006/Bid%20Card%20Carmichael%20Library%201_27_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Documents%20and%20Settings/tpender.CHS/Local%20Settings/Temporary%20Internet%20Files/OLK12F/45760934376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Users/Matt/Dropbox/Greystar/Deals/Menlo%20Park/Equity%20Book/Menlo%20Park%20-%2065%25%20LTC%20-%2011-17-2013%20-%20broken%20links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users/SAMR/Invoices/Greystar%20Investments/GCP%20Invoice-JMIGR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beaconlakes/Shared%20Documents/Beacon%20Lakes/100%20Land%20and%20Feasibility/Project%20Budget/MULE%20and%20Partners%20model%20greystar%20Beacon%20Lakes%203-5-07%20v5/beacon%20MULE2007_Beta2.3/MULE2007_Beta2.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li.sharepoint.com/Documents%20and%20Settings/drbrown.AUSTIN/Local%20Settings/Temporary%20Internet%20Files/OLK1/49864162724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"/>
      <sheetName val="Dealsumm"/>
      <sheetName val="Assm"/>
      <sheetName val="#"/>
      <sheetName val="#debt"/>
      <sheetName val="A"/>
      <sheetName val="B"/>
      <sheetName val="C"/>
      <sheetName val="Profit"/>
      <sheetName val="FeeAnalysis"/>
      <sheetName val="Land Assm"/>
      <sheetName val="Land #"/>
      <sheetName val="Land #debt"/>
      <sheetName val="Mont Assm"/>
      <sheetName val="Mont #"/>
      <sheetName val="Mont #debt"/>
      <sheetName val="Metr Assm"/>
      <sheetName val="Metr #"/>
      <sheetName val="Metr #debt"/>
      <sheetName val="Rep Assm"/>
      <sheetName val="Rep #"/>
      <sheetName val="Rep #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perty taxes-NOI-Prop 13 2538"/>
      <sheetName val="585 22nd NOI reduction-Prop 13"/>
      <sheetName val="471 Fees and allowances"/>
      <sheetName val="Unit mix revised 2538 08-04-16"/>
      <sheetName val="Unit mix revised 585 01-24-17"/>
      <sheetName val="570 Fees and Allowances"/>
      <sheetName val="Operating Expense &amp; Income 2538"/>
      <sheetName val="Rental pro-forma-97 UNITS-2538"/>
      <sheetName val="OVERALL DRAW 2538"/>
      <sheetName val="Equity Investor Sheet 2538"/>
      <sheetName val="26th - PM Budget"/>
      <sheetName val="2538 ALL EXPENSES"/>
      <sheetName val="2538 CONTRACTS"/>
      <sheetName val="Monthly Draw 585&amp;2538"/>
      <sheetName val="Operating Expense &amp; Income-585"/>
      <sheetName val="Rental pro-forma 585"/>
      <sheetName val="OVERALL DRAW 585"/>
      <sheetName val="Equity Investor Sheet 585"/>
      <sheetName val="21st - PM Budget"/>
      <sheetName val="585 ALL EXPENSES"/>
      <sheetName val="585 CONTRACTS"/>
      <sheetName val="UBS Waterfall"/>
      <sheetName val="Return Summary"/>
      <sheetName val="Trended CF-Simple 2538"/>
      <sheetName val="Trended CF-Simple585"/>
      <sheetName val="2538 BID LOG 5-16-17"/>
      <sheetName val="2538 BID LOG 6-6-17"/>
      <sheetName val="COSTS BOTH"/>
      <sheetName val="CONSOLIDATED"/>
      <sheetName val="DESIGN DRAW 585"/>
      <sheetName val="DESIGN DRAW 2538"/>
      <sheetName val="10y Libor"/>
      <sheetName val="60 units-OLD"/>
      <sheetName val="TIC Structure"/>
      <sheetName val="10 Yr. - Cash Flow"/>
      <sheetName val="One Pager - Assumptions"/>
      <sheetName val="NOI Down"/>
      <sheetName val="Rent Roll"/>
      <sheetName val="Rent"/>
      <sheetName val="TI"/>
      <sheetName val="Supporting Info."/>
      <sheetName val="Lease-Up"/>
      <sheetName val="Client Specific"/>
    </sheetNames>
    <sheetDataSet>
      <sheetData sheetId="0"/>
      <sheetData sheetId="1"/>
      <sheetData sheetId="2">
        <row r="31">
          <cell r="H31">
            <v>85471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>
        <row r="31">
          <cell r="H31">
            <v>85471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perty taxes-NOI-Prop 13 2538"/>
      <sheetName val="585 22nd NOI reduction-Prop 13"/>
      <sheetName val="471 Fees and allowances"/>
      <sheetName val="Unit mix revised 2538 08-04-16"/>
      <sheetName val="Unit mix revised 585 01-24-17"/>
      <sheetName val="570 Fees and Allowances"/>
      <sheetName val="Operating Expense &amp; Income 2538"/>
      <sheetName val="Rental pro-forma-97 UNITS-2538"/>
      <sheetName val="OVERALL DRAW 2538"/>
      <sheetName val="Equity Investor Sheet 2538"/>
      <sheetName val="26th - PM Budget"/>
      <sheetName val="2538 ALL EXPENSES"/>
      <sheetName val="2538 CONTRACTS"/>
      <sheetName val="Monthly Draw 585&amp;2538"/>
      <sheetName val="Operating Expense &amp; Income-585"/>
      <sheetName val="Rental pro-forma 585"/>
      <sheetName val="OVERALL DRAW 585"/>
      <sheetName val="Equity Investor Sheet 585"/>
      <sheetName val="21st - PM Budget"/>
      <sheetName val="585 ALL EXPENSES"/>
      <sheetName val="585 CONTRACTS"/>
      <sheetName val="UBS Waterfall"/>
      <sheetName val="Return Summary"/>
      <sheetName val="Trended CF-Simple 2538"/>
      <sheetName val="Trended CF-Simple585"/>
      <sheetName val="2538 BID LOG 5-16-17"/>
      <sheetName val="2538 BID LOG 6-6-17"/>
      <sheetName val="COSTS BOTH"/>
      <sheetName val="CONSOLIDATED"/>
      <sheetName val="DESIGN DRAW 585"/>
      <sheetName val="DESIGN DRAW 2538"/>
      <sheetName val="10y Libor"/>
      <sheetName val="60 units-OLD"/>
      <sheetName val="Updates"/>
      <sheetName val="Negotiations Page"/>
      <sheetName val="Land Flip"/>
      <sheetName val="Parking"/>
      <sheetName val="base case"/>
      <sheetName val="Spent to Date"/>
      <sheetName val="Table of Contents"/>
      <sheetName val="Lanes Analysis"/>
      <sheetName val="Investment Committee Cover"/>
      <sheetName val="Executive Summary"/>
      <sheetName val="Assumptions Tracker"/>
      <sheetName val="Development Images"/>
      <sheetName val="Lanes Summary"/>
      <sheetName val="1 - Location"/>
      <sheetName val="2 - Supply &amp; Demand"/>
      <sheetName val="3 - Basis"/>
      <sheetName val="4 - Rents"/>
      <sheetName val="5 - Rent Growth"/>
      <sheetName val="6 - Development"/>
      <sheetName val="7 - Construction"/>
      <sheetName val="8 - Transaction Timing"/>
      <sheetName val="9 - Partnership Structure"/>
      <sheetName val="10 - Returns"/>
      <sheetName val="NOT IN USE - Detailed Budget"/>
      <sheetName val="Muni Fees"/>
      <sheetName val="New Detailed Budget MT"/>
      <sheetName val="Input"/>
      <sheetName val="Equity Package"/>
      <sheetName val="Coinvest Analysis"/>
      <sheetName val="Pursuit Schedule"/>
      <sheetName val="Comparison IC"/>
      <sheetName val="Sales Analysis"/>
      <sheetName val="REIS 2Q12"/>
      <sheetName val="Untrended Cash Flow"/>
      <sheetName val="Trended Cash Flow"/>
      <sheetName val="Comparison Table"/>
      <sheetName val="REIS YE2011"/>
      <sheetName val="Mgmt Sign Off"/>
      <sheetName val="Capitalization"/>
      <sheetName val="Comparison"/>
      <sheetName val="3Q11 REIS Report"/>
      <sheetName val="Exhibits"/>
      <sheetName val="Develop. Integrated Lifecycle"/>
      <sheetName val="Integrated Checklist"/>
      <sheetName val="Conceptual Design Review"/>
      <sheetName val="Detailed Costs"/>
      <sheetName val="Deposit Dollars"/>
      <sheetName val="Pursuit Costs"/>
      <sheetName val="Tools"/>
      <sheetName val="Generic Cover"/>
      <sheetName val="Notes"/>
      <sheetName val="Protocol &amp; Policy"/>
      <sheetName val="Suggestions"/>
      <sheetName val="Calc Table"/>
      <sheetName val="Project Cost Summary"/>
      <sheetName val="Lease Up"/>
      <sheetName val="Lists"/>
      <sheetName val="Origin"/>
      <sheetName val="Construction Costs"/>
      <sheetName val="Expense Detail"/>
      <sheetName val="Data"/>
      <sheetName val="Operating Expense &amp; Income"/>
      <sheetName val="Property taxes-NOI- Prop 13"/>
      <sheetName val="Rental pro-forma-97 UNITS"/>
      <sheetName val="Schedule-Budgets-2538"/>
      <sheetName val="Monthly Draw 2538"/>
      <sheetName val="Trended CF-Simple"/>
      <sheetName val="Rent Roll table for Equity Book"/>
      <sheetName val="Cost Allocation to commerci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32">
          <cell r="G132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132">
          <cell r="G132">
            <v>282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132">
          <cell r="G132">
            <v>282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-INPU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perty taxes-NOI-Prop 13 2538"/>
      <sheetName val="585 22nd NOI reduction-Prop 13"/>
      <sheetName val="471 Fees and allowances"/>
      <sheetName val="Unit mix revised 2538 08-04-16"/>
      <sheetName val="Unit mix revised 585 01-24-17"/>
      <sheetName val="570 Fees and Allowances"/>
      <sheetName val="Operating Expense &amp; Income 2538"/>
      <sheetName val="Rental pro-forma-97 UNITS-2538"/>
      <sheetName val="OVERALL DRAW 2538"/>
      <sheetName val="Equity Investor Sheet 2538"/>
      <sheetName val="26th - PM Budget"/>
      <sheetName val="2538 ALL EXPENSES"/>
      <sheetName val="2538 CONTRACTS"/>
      <sheetName val="Monthly Draw 585&amp;2538"/>
      <sheetName val="Operating Expense &amp; Income-585"/>
      <sheetName val="Rental pro-forma 585"/>
      <sheetName val="OVERALL DRAW 585"/>
      <sheetName val="Equity Investor Sheet 585"/>
      <sheetName val="21st - PM Budget"/>
      <sheetName val="585 ALL EXPENSES"/>
      <sheetName val="585 CONTRACTS"/>
      <sheetName val="UBS Waterfall"/>
      <sheetName val="Return Summary"/>
      <sheetName val="Trended CF-Simple 2538"/>
      <sheetName val="Trended CF-Simple585"/>
      <sheetName val="2538 BID LOG 5-16-17"/>
      <sheetName val="2538 BID LOG 6-6-17"/>
      <sheetName val="COSTS BOTH"/>
      <sheetName val="CONSOLIDATED"/>
      <sheetName val="DESIGN DRAW 585"/>
      <sheetName val="DESIGN DRAW 2538"/>
      <sheetName val="10y Libor"/>
      <sheetName val="60 units-OLD"/>
      <sheetName val="Frontsheet"/>
      <sheetName val="Bid Form"/>
      <sheetName val="1"/>
      <sheetName val="2"/>
      <sheetName val="3"/>
      <sheetName val="4"/>
      <sheetName val="5"/>
      <sheetName val="6"/>
      <sheetName val="8"/>
      <sheetName val="7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Trade Breakdown"/>
      <sheetName val="Notes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Report"/>
      <sheetName val="Message"/>
      <sheetName val="Operating Expense &amp; Income"/>
      <sheetName val="Property taxes-NOI- Prop 13"/>
      <sheetName val="Rental pro-forma-97 UNITS"/>
      <sheetName val="OVERALL DRAW 2538"/>
      <sheetName val="Schedule-Budgets-2538"/>
      <sheetName val="Equity Investor Sheet 2538"/>
      <sheetName val="Monthly Draw 2538"/>
      <sheetName val="Trended CF-Simple"/>
      <sheetName val="Rent Roll table for Equity Book"/>
      <sheetName val="Cost Allocation to commercial"/>
      <sheetName val="DESIGN DRAW 2538"/>
      <sheetName val="2538 CONTRACTS"/>
      <sheetName val="60 units-OLD"/>
    </sheetNames>
    <sheetDataSet>
      <sheetData sheetId="0">
        <row r="7">
          <cell r="A7" t="str">
            <v>2/2</v>
          </cell>
        </row>
      </sheetData>
      <sheetData sheetId="1">
        <row r="7">
          <cell r="B7" t="str">
            <v>Sample Property Name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7">
          <cell r="A7" t="str">
            <v>2/2</v>
          </cell>
          <cell r="B7">
            <v>27</v>
          </cell>
          <cell r="C7">
            <v>999.88461538461536</v>
          </cell>
          <cell r="D7">
            <v>3.9</v>
          </cell>
          <cell r="E7">
            <v>3899.5499999999997</v>
          </cell>
          <cell r="F7">
            <v>1949.7749999999999</v>
          </cell>
          <cell r="G7">
            <v>105287.84999999999</v>
          </cell>
          <cell r="H7">
            <v>1263454.2</v>
          </cell>
          <cell r="I7">
            <v>54</v>
          </cell>
          <cell r="J7">
            <v>0.27835051546391754</v>
          </cell>
        </row>
        <row r="8">
          <cell r="A8" t="str">
            <v>2/2 loft</v>
          </cell>
          <cell r="B8">
            <v>7</v>
          </cell>
          <cell r="C8">
            <v>1127.2857142857142</v>
          </cell>
          <cell r="D8">
            <v>3.75</v>
          </cell>
          <cell r="E8">
            <v>4227.3214285714284</v>
          </cell>
          <cell r="F8">
            <v>2113.6607142857142</v>
          </cell>
          <cell r="G8">
            <v>29591.25</v>
          </cell>
          <cell r="H8">
            <v>355095</v>
          </cell>
          <cell r="I8">
            <v>14</v>
          </cell>
          <cell r="J8">
            <v>7.2164948453608241E-2</v>
          </cell>
        </row>
        <row r="9">
          <cell r="A9" t="str">
            <v>3/2.5</v>
          </cell>
          <cell r="B9">
            <v>8</v>
          </cell>
          <cell r="C9">
            <v>1224</v>
          </cell>
          <cell r="D9">
            <v>3.7</v>
          </cell>
          <cell r="E9">
            <v>4528.8</v>
          </cell>
          <cell r="F9">
            <v>1509.6000000000001</v>
          </cell>
          <cell r="G9">
            <v>36230.400000000001</v>
          </cell>
          <cell r="H9">
            <v>434764.80000000005</v>
          </cell>
          <cell r="I9">
            <v>24</v>
          </cell>
          <cell r="J9">
            <v>8.247422680412371E-2</v>
          </cell>
        </row>
        <row r="10">
          <cell r="A10" t="str">
            <v>3/3</v>
          </cell>
          <cell r="B10">
            <v>14</v>
          </cell>
          <cell r="C10">
            <v>1279.5384615384614</v>
          </cell>
          <cell r="D10">
            <v>3.6145184561741006</v>
          </cell>
          <cell r="E10">
            <v>4624.9153846153831</v>
          </cell>
          <cell r="F10">
            <v>1541.6384615384611</v>
          </cell>
          <cell r="G10">
            <v>64748.815384615365</v>
          </cell>
          <cell r="H10">
            <v>776985.78461538441</v>
          </cell>
          <cell r="I10">
            <v>42</v>
          </cell>
          <cell r="J10">
            <v>0.14432989690721648</v>
          </cell>
        </row>
        <row r="11">
          <cell r="A11" t="str">
            <v>3/2.5 Lofts</v>
          </cell>
          <cell r="B11">
            <v>2</v>
          </cell>
          <cell r="C11">
            <v>1348.5</v>
          </cell>
          <cell r="D11">
            <v>3.55</v>
          </cell>
          <cell r="E11">
            <v>4787.1750000000002</v>
          </cell>
          <cell r="F11">
            <v>1595.7250000000001</v>
          </cell>
          <cell r="G11">
            <v>9574.35</v>
          </cell>
          <cell r="H11">
            <v>114892.20000000001</v>
          </cell>
          <cell r="I11">
            <v>6</v>
          </cell>
          <cell r="J11">
            <v>0</v>
          </cell>
        </row>
        <row r="12">
          <cell r="A12" t="str">
            <v>3/3 lofts</v>
          </cell>
          <cell r="B12">
            <v>2</v>
          </cell>
          <cell r="C12">
            <v>1441.5</v>
          </cell>
          <cell r="D12">
            <v>3.45</v>
          </cell>
          <cell r="E12">
            <v>4973.1750000000002</v>
          </cell>
          <cell r="F12">
            <v>1657.7250000000001</v>
          </cell>
          <cell r="G12">
            <v>9946.35</v>
          </cell>
          <cell r="H12">
            <v>119356.20000000001</v>
          </cell>
          <cell r="I12">
            <v>6</v>
          </cell>
        </row>
        <row r="13">
          <cell r="A13" t="str">
            <v>Totals:</v>
          </cell>
          <cell r="B13">
            <v>97</v>
          </cell>
          <cell r="C13">
            <v>91041.645299145312</v>
          </cell>
          <cell r="D13">
            <v>0</v>
          </cell>
          <cell r="E13">
            <v>0</v>
          </cell>
          <cell r="F13">
            <v>0</v>
          </cell>
          <cell r="G13">
            <v>367532.25982905983</v>
          </cell>
          <cell r="H13">
            <v>4410387.1179487184</v>
          </cell>
          <cell r="I13">
            <v>183</v>
          </cell>
        </row>
        <row r="14">
          <cell r="A14" t="str">
            <v>Averages:</v>
          </cell>
          <cell r="B14">
            <v>0</v>
          </cell>
          <cell r="C14">
            <v>938.57366287778677</v>
          </cell>
          <cell r="D14">
            <v>4.0369685611614283</v>
          </cell>
          <cell r="E14">
            <v>3788.9923693717506</v>
          </cell>
          <cell r="F14">
            <v>2008.3730045303816</v>
          </cell>
          <cell r="G14">
            <v>0</v>
          </cell>
          <cell r="H14">
            <v>0</v>
          </cell>
        </row>
        <row r="15">
          <cell r="A15" t="str">
            <v>COMMERCIAL SPACE</v>
          </cell>
          <cell r="B15" t="str">
            <v>Square Feet</v>
          </cell>
          <cell r="C15" t="str">
            <v>NNN Rent</v>
          </cell>
          <cell r="D15" t="str">
            <v>Total Annual</v>
          </cell>
          <cell r="E15">
            <v>0</v>
          </cell>
          <cell r="F15">
            <v>0</v>
          </cell>
          <cell r="G15" t="str">
            <v>LOT SIZE=</v>
          </cell>
          <cell r="H15">
            <v>27291</v>
          </cell>
        </row>
        <row r="16">
          <cell r="A16" t="str">
            <v>Retail #1</v>
          </cell>
          <cell r="B16">
            <v>3750</v>
          </cell>
          <cell r="C16">
            <v>36</v>
          </cell>
          <cell r="D16">
            <v>135000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 t="str">
            <v>Retail #2</v>
          </cell>
          <cell r="B17">
            <v>3750</v>
          </cell>
          <cell r="C17">
            <v>36</v>
          </cell>
          <cell r="D17">
            <v>135000</v>
          </cell>
        </row>
        <row r="18">
          <cell r="A18" t="str">
            <v>Total Retail</v>
          </cell>
          <cell r="B18">
            <v>7500</v>
          </cell>
          <cell r="C18">
            <v>36</v>
          </cell>
          <cell r="D18">
            <v>270000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s"/>
      <sheetName val="Lanes Analysis"/>
      <sheetName val="Pursuit Schedule"/>
      <sheetName val="Investment Committee Cover"/>
      <sheetName val="Executive Summary"/>
      <sheetName val="Development Images"/>
      <sheetName val="Lanes Summary"/>
      <sheetName val="1 - Location"/>
      <sheetName val="2 - Supply &amp; Demand"/>
      <sheetName val="3 - Basis"/>
      <sheetName val="4 - Rents"/>
      <sheetName val="5 - Rent Growth"/>
      <sheetName val="6 - Development"/>
      <sheetName val="7 - Construction"/>
      <sheetName val="8 - Transaction Timing"/>
      <sheetName val="10 - Returns"/>
      <sheetName val="9 - Assumptions Tracker"/>
      <sheetName val="Sales Comps"/>
      <sheetName val="Rent Comps"/>
      <sheetName val="Equity Page"/>
      <sheetName val="Mgmt Sign Off"/>
      <sheetName val="Input"/>
      <sheetName val="Trended Cash Flow"/>
      <sheetName val="Coinvest Analysis"/>
      <sheetName val="Sale Value Analysis"/>
      <sheetName val="Pursuit Cost IRR"/>
      <sheetName val="Sheet1"/>
      <sheetName val="Detailed Budget"/>
      <sheetName val="Development Budget"/>
      <sheetName val="Muni Fees"/>
      <sheetName val="Elan San Fran"/>
      <sheetName val="Yardi"/>
      <sheetName val="REIS"/>
      <sheetName val="Project Budget"/>
      <sheetName val="Sensitivity Analysis"/>
      <sheetName val="IRR Bridge"/>
      <sheetName val="Calc Table"/>
      <sheetName val="Unit Matrix"/>
      <sheetName val="Concord Mix"/>
      <sheetName val="Pursuit_Expenses by cost code"/>
      <sheetName val="Tracker"/>
      <sheetName val="Construction"/>
      <sheetName val="Budget"/>
      <sheetName val="Unit Mix"/>
      <sheetName val="Inclusionary Housing"/>
      <sheetName val="Untrended Cash Flow"/>
      <sheetName val="Project Cost Summary"/>
      <sheetName val="Capitalization"/>
      <sheetName val="Lease Up"/>
      <sheetName val="List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47">
          <cell r="K47">
            <v>30514000.000000004</v>
          </cell>
        </row>
        <row r="330">
          <cell r="E330">
            <v>0.2</v>
          </cell>
        </row>
      </sheetData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5">
          <cell r="F5">
            <v>0</v>
          </cell>
        </row>
        <row r="6">
          <cell r="A6">
            <v>50005</v>
          </cell>
          <cell r="B6" t="str">
            <v xml:space="preserve">Land </v>
          </cell>
          <cell r="C6">
            <v>0</v>
          </cell>
          <cell r="D6">
            <v>0</v>
          </cell>
          <cell r="F6">
            <v>0</v>
          </cell>
        </row>
        <row r="7">
          <cell r="A7">
            <v>50010</v>
          </cell>
          <cell r="B7" t="str">
            <v>Extension Fees</v>
          </cell>
          <cell r="C7">
            <v>0</v>
          </cell>
          <cell r="D7">
            <v>0</v>
          </cell>
          <cell r="F7">
            <v>0</v>
          </cell>
        </row>
        <row r="8">
          <cell r="A8">
            <v>50015</v>
          </cell>
          <cell r="B8" t="str">
            <v>Escrow Deposits</v>
          </cell>
          <cell r="C8">
            <v>0</v>
          </cell>
          <cell r="D8">
            <v>0</v>
          </cell>
          <cell r="F8">
            <v>0</v>
          </cell>
        </row>
        <row r="9">
          <cell r="A9">
            <v>50040</v>
          </cell>
          <cell r="B9" t="str">
            <v>Land - Other Related Costs</v>
          </cell>
          <cell r="C9">
            <v>0</v>
          </cell>
          <cell r="D9">
            <v>0</v>
          </cell>
          <cell r="E9">
            <v>100</v>
          </cell>
          <cell r="F9">
            <v>-100</v>
          </cell>
        </row>
        <row r="10">
          <cell r="A10">
            <v>50045</v>
          </cell>
          <cell r="B10" t="str">
            <v>Non-Refundable Escrow Deposits</v>
          </cell>
          <cell r="C10">
            <v>0</v>
          </cell>
          <cell r="D10">
            <v>0</v>
          </cell>
          <cell r="F10">
            <v>0</v>
          </cell>
        </row>
        <row r="11">
          <cell r="A11">
            <v>51280</v>
          </cell>
          <cell r="B11" t="str">
            <v>Environmental Engineer</v>
          </cell>
          <cell r="C11">
            <v>0</v>
          </cell>
          <cell r="D11">
            <v>0</v>
          </cell>
          <cell r="F11">
            <v>0</v>
          </cell>
        </row>
        <row r="12">
          <cell r="A12">
            <v>51410</v>
          </cell>
          <cell r="B12" t="str">
            <v>Hotel/Meals</v>
          </cell>
          <cell r="C12">
            <v>0</v>
          </cell>
          <cell r="D12">
            <v>0</v>
          </cell>
          <cell r="F12">
            <v>0</v>
          </cell>
        </row>
        <row r="13">
          <cell r="A13">
            <v>76005</v>
          </cell>
          <cell r="B13" t="str">
            <v>Property Taxes (realty)</v>
          </cell>
          <cell r="C13">
            <v>0</v>
          </cell>
          <cell r="D13">
            <v>0</v>
          </cell>
          <cell r="F13">
            <v>0</v>
          </cell>
        </row>
        <row r="14">
          <cell r="A14">
            <v>77005</v>
          </cell>
          <cell r="B14" t="str">
            <v>Legal</v>
          </cell>
          <cell r="C14">
            <v>33500</v>
          </cell>
          <cell r="D14">
            <v>16607.849999999999</v>
          </cell>
          <cell r="E14">
            <v>29424.5</v>
          </cell>
          <cell r="F14">
            <v>-12816.650000000001</v>
          </cell>
        </row>
        <row r="15">
          <cell r="A15">
            <v>77020</v>
          </cell>
          <cell r="B15" t="str">
            <v>Equity Partner Legal</v>
          </cell>
          <cell r="C15">
            <v>0</v>
          </cell>
          <cell r="D15">
            <v>0</v>
          </cell>
          <cell r="F15">
            <v>0</v>
          </cell>
        </row>
        <row r="16">
          <cell r="A16">
            <v>77030</v>
          </cell>
          <cell r="B16" t="str">
            <v>Legal - Other</v>
          </cell>
          <cell r="C16">
            <v>0</v>
          </cell>
          <cell r="D16">
            <v>0</v>
          </cell>
          <cell r="F16">
            <v>0</v>
          </cell>
        </row>
        <row r="17">
          <cell r="A17">
            <v>77050</v>
          </cell>
          <cell r="B17" t="str">
            <v xml:space="preserve">Underwriter </v>
          </cell>
          <cell r="C17">
            <v>0</v>
          </cell>
          <cell r="D17">
            <v>0</v>
          </cell>
          <cell r="F17">
            <v>0</v>
          </cell>
        </row>
        <row r="18">
          <cell r="A18">
            <v>77070</v>
          </cell>
          <cell r="B18" t="str">
            <v>Reproductions</v>
          </cell>
          <cell r="C18">
            <v>0</v>
          </cell>
          <cell r="D18">
            <v>0</v>
          </cell>
          <cell r="F18">
            <v>0</v>
          </cell>
        </row>
        <row r="19">
          <cell r="A19">
            <v>77075</v>
          </cell>
          <cell r="B19" t="str">
            <v>Delivery</v>
          </cell>
          <cell r="C19">
            <v>0</v>
          </cell>
          <cell r="D19">
            <v>0</v>
          </cell>
          <cell r="F19">
            <v>0</v>
          </cell>
        </row>
        <row r="20">
          <cell r="A20">
            <v>77080</v>
          </cell>
          <cell r="B20" t="str">
            <v>Organization Costs</v>
          </cell>
          <cell r="C20">
            <v>0</v>
          </cell>
          <cell r="D20">
            <v>0</v>
          </cell>
          <cell r="F20">
            <v>0</v>
          </cell>
        </row>
        <row r="21">
          <cell r="A21">
            <v>77085</v>
          </cell>
          <cell r="B21" t="str">
            <v>Market Research</v>
          </cell>
          <cell r="C21">
            <v>0</v>
          </cell>
          <cell r="D21">
            <v>0</v>
          </cell>
          <cell r="E21">
            <v>5000</v>
          </cell>
          <cell r="F21">
            <v>-5000</v>
          </cell>
        </row>
        <row r="22">
          <cell r="A22">
            <v>77025</v>
          </cell>
          <cell r="B22" t="str">
            <v>Environmental - Legal</v>
          </cell>
          <cell r="C22">
            <v>0</v>
          </cell>
          <cell r="D22">
            <v>0</v>
          </cell>
          <cell r="F22">
            <v>0</v>
          </cell>
        </row>
        <row r="23">
          <cell r="A23">
            <v>77065</v>
          </cell>
          <cell r="B23" t="str">
            <v>Due Diligence</v>
          </cell>
          <cell r="C23">
            <v>0</v>
          </cell>
          <cell r="D23">
            <v>0</v>
          </cell>
          <cell r="F23">
            <v>0</v>
          </cell>
        </row>
        <row r="24">
          <cell r="A24">
            <v>77080</v>
          </cell>
          <cell r="B24" t="str">
            <v>Organization Costs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>
            <v>77090</v>
          </cell>
          <cell r="B25" t="str">
            <v>Zoning</v>
          </cell>
          <cell r="C25">
            <v>0</v>
          </cell>
          <cell r="D25">
            <v>0</v>
          </cell>
          <cell r="F25">
            <v>0</v>
          </cell>
        </row>
        <row r="26">
          <cell r="A26">
            <v>77095</v>
          </cell>
          <cell r="B26" t="str">
            <v>Long Distance</v>
          </cell>
          <cell r="C26">
            <v>0</v>
          </cell>
          <cell r="D26">
            <v>0</v>
          </cell>
          <cell r="F26">
            <v>0</v>
          </cell>
        </row>
        <row r="27">
          <cell r="A27">
            <v>77105</v>
          </cell>
          <cell r="B27" t="str">
            <v>Accounting Fees</v>
          </cell>
          <cell r="C27">
            <v>0</v>
          </cell>
          <cell r="D27">
            <v>0</v>
          </cell>
          <cell r="F27">
            <v>0</v>
          </cell>
        </row>
        <row r="28">
          <cell r="A28">
            <v>78020</v>
          </cell>
          <cell r="B28" t="str">
            <v>Inspection Fee</v>
          </cell>
          <cell r="C28">
            <v>0</v>
          </cell>
          <cell r="D28">
            <v>0</v>
          </cell>
          <cell r="F28">
            <v>0</v>
          </cell>
        </row>
        <row r="29">
          <cell r="A29">
            <v>78030</v>
          </cell>
          <cell r="B29" t="str">
            <v>Builder's Risk Insurance</v>
          </cell>
          <cell r="C29">
            <v>0</v>
          </cell>
          <cell r="D29">
            <v>0</v>
          </cell>
          <cell r="F29">
            <v>0</v>
          </cell>
        </row>
        <row r="30">
          <cell r="A30">
            <v>78035</v>
          </cell>
          <cell r="B30" t="str">
            <v>Closing Costs Other</v>
          </cell>
          <cell r="C30">
            <v>0</v>
          </cell>
          <cell r="D30">
            <v>0</v>
          </cell>
          <cell r="F30">
            <v>0</v>
          </cell>
        </row>
        <row r="31">
          <cell r="A31">
            <v>78040</v>
          </cell>
          <cell r="B31" t="str">
            <v>Interest In Escrow</v>
          </cell>
          <cell r="C31">
            <v>0</v>
          </cell>
          <cell r="D31">
            <v>0</v>
          </cell>
          <cell r="F31">
            <v>0</v>
          </cell>
        </row>
        <row r="32">
          <cell r="A32">
            <v>78045</v>
          </cell>
          <cell r="B32" t="str">
            <v>Application Fees</v>
          </cell>
          <cell r="C32">
            <v>0</v>
          </cell>
          <cell r="D32">
            <v>0</v>
          </cell>
          <cell r="F32">
            <v>0</v>
          </cell>
        </row>
        <row r="33">
          <cell r="A33">
            <v>78050</v>
          </cell>
          <cell r="B33" t="str">
            <v>Commitment Fee</v>
          </cell>
          <cell r="C33">
            <v>0</v>
          </cell>
          <cell r="D33">
            <v>0</v>
          </cell>
          <cell r="F33">
            <v>0</v>
          </cell>
        </row>
        <row r="34">
          <cell r="A34">
            <v>79015</v>
          </cell>
          <cell r="B34" t="str">
            <v>Construction Loan Fees</v>
          </cell>
          <cell r="C34">
            <v>0</v>
          </cell>
          <cell r="D34">
            <v>0</v>
          </cell>
          <cell r="F34">
            <v>0</v>
          </cell>
        </row>
        <row r="35">
          <cell r="A35">
            <v>79055</v>
          </cell>
          <cell r="B35" t="str">
            <v>Equity Placement</v>
          </cell>
          <cell r="C35">
            <v>0</v>
          </cell>
          <cell r="D35">
            <v>0</v>
          </cell>
          <cell r="F35">
            <v>0</v>
          </cell>
        </row>
        <row r="36">
          <cell r="A36">
            <v>79100</v>
          </cell>
          <cell r="B36" t="str">
            <v>Printing</v>
          </cell>
          <cell r="C36">
            <v>0</v>
          </cell>
          <cell r="D36">
            <v>0</v>
          </cell>
          <cell r="F36">
            <v>0</v>
          </cell>
        </row>
        <row r="37">
          <cell r="A37">
            <v>79110</v>
          </cell>
          <cell r="B37" t="str">
            <v>Financing Fee - Other</v>
          </cell>
          <cell r="C37">
            <v>0</v>
          </cell>
          <cell r="D37">
            <v>0</v>
          </cell>
          <cell r="F37">
            <v>0</v>
          </cell>
        </row>
        <row r="38">
          <cell r="A38">
            <v>79135</v>
          </cell>
          <cell r="B38" t="str">
            <v>Appraisal / Review Fee</v>
          </cell>
          <cell r="C38">
            <v>0</v>
          </cell>
          <cell r="D38">
            <v>0</v>
          </cell>
          <cell r="F38">
            <v>0</v>
          </cell>
        </row>
        <row r="39">
          <cell r="A39">
            <v>79160</v>
          </cell>
          <cell r="B39" t="str">
            <v>Pre-Application</v>
          </cell>
          <cell r="C39">
            <v>0</v>
          </cell>
          <cell r="D39">
            <v>0</v>
          </cell>
          <cell r="F39">
            <v>0</v>
          </cell>
        </row>
        <row r="40">
          <cell r="A40">
            <v>79170</v>
          </cell>
          <cell r="B40" t="str">
            <v>Reprographics</v>
          </cell>
          <cell r="C40">
            <v>0</v>
          </cell>
          <cell r="D40">
            <v>0</v>
          </cell>
          <cell r="F40">
            <v>0</v>
          </cell>
        </row>
        <row r="41">
          <cell r="A41">
            <v>79175</v>
          </cell>
          <cell r="B41" t="str">
            <v>Aerials/Photos</v>
          </cell>
          <cell r="C41">
            <v>0</v>
          </cell>
          <cell r="D41">
            <v>0</v>
          </cell>
          <cell r="F41">
            <v>0</v>
          </cell>
        </row>
        <row r="42">
          <cell r="A42">
            <v>79190</v>
          </cell>
          <cell r="B42" t="str">
            <v>Market Research</v>
          </cell>
          <cell r="C42">
            <v>0</v>
          </cell>
          <cell r="D42">
            <v>0</v>
          </cell>
          <cell r="F42">
            <v>0</v>
          </cell>
        </row>
        <row r="43">
          <cell r="A43">
            <v>79195</v>
          </cell>
          <cell r="B43" t="str">
            <v>Mezzanine Loan Fees</v>
          </cell>
          <cell r="C43">
            <v>0</v>
          </cell>
          <cell r="D43">
            <v>0</v>
          </cell>
          <cell r="F43">
            <v>0</v>
          </cell>
        </row>
        <row r="44">
          <cell r="A44">
            <v>79250</v>
          </cell>
          <cell r="B44" t="str">
            <v>Loan Application</v>
          </cell>
          <cell r="C44">
            <v>0</v>
          </cell>
          <cell r="D44">
            <v>0</v>
          </cell>
          <cell r="F44">
            <v>0</v>
          </cell>
        </row>
        <row r="45">
          <cell r="A45">
            <v>80005</v>
          </cell>
          <cell r="B45" t="str">
            <v>Performance Bonds</v>
          </cell>
          <cell r="C45">
            <v>0</v>
          </cell>
          <cell r="D45">
            <v>0</v>
          </cell>
          <cell r="F45">
            <v>0</v>
          </cell>
        </row>
        <row r="46">
          <cell r="A46">
            <v>80010</v>
          </cell>
          <cell r="B46" t="str">
            <v>Permiting Consultant</v>
          </cell>
          <cell r="C46">
            <v>0</v>
          </cell>
          <cell r="D46">
            <v>0</v>
          </cell>
          <cell r="F46">
            <v>0</v>
          </cell>
        </row>
        <row r="47">
          <cell r="A47">
            <v>80015</v>
          </cell>
          <cell r="B47" t="str">
            <v>Municipality Fees</v>
          </cell>
          <cell r="C47">
            <v>0</v>
          </cell>
          <cell r="D47">
            <v>0</v>
          </cell>
          <cell r="E47">
            <v>13913</v>
          </cell>
          <cell r="F47">
            <v>-13913</v>
          </cell>
        </row>
        <row r="48">
          <cell r="A48">
            <v>80010</v>
          </cell>
          <cell r="B48" t="str">
            <v>Permitting Consultant</v>
          </cell>
          <cell r="C48">
            <v>0</v>
          </cell>
          <cell r="D48">
            <v>0</v>
          </cell>
          <cell r="F48">
            <v>0</v>
          </cell>
        </row>
        <row r="49">
          <cell r="A49">
            <v>80020</v>
          </cell>
          <cell r="B49" t="str">
            <v>Planning Fees</v>
          </cell>
          <cell r="C49">
            <v>13913</v>
          </cell>
          <cell r="D49">
            <v>0</v>
          </cell>
          <cell r="F49">
            <v>0</v>
          </cell>
        </row>
        <row r="50">
          <cell r="A50">
            <v>80025</v>
          </cell>
          <cell r="B50" t="str">
            <v>Permit Fees</v>
          </cell>
          <cell r="C50">
            <v>0</v>
          </cell>
          <cell r="D50">
            <v>0</v>
          </cell>
          <cell r="F50">
            <v>0</v>
          </cell>
        </row>
        <row r="51">
          <cell r="A51">
            <v>80055</v>
          </cell>
          <cell r="B51" t="str">
            <v>Engineering Fees</v>
          </cell>
          <cell r="C51">
            <v>0</v>
          </cell>
          <cell r="D51">
            <v>0</v>
          </cell>
          <cell r="F51">
            <v>0</v>
          </cell>
        </row>
        <row r="52">
          <cell r="A52">
            <v>80060</v>
          </cell>
          <cell r="B52" t="str">
            <v>Utility Fees</v>
          </cell>
          <cell r="C52">
            <v>0</v>
          </cell>
          <cell r="D52">
            <v>0</v>
          </cell>
          <cell r="F52">
            <v>0</v>
          </cell>
        </row>
        <row r="53">
          <cell r="A53">
            <v>80080</v>
          </cell>
          <cell r="B53" t="str">
            <v>Other Municipality Fees</v>
          </cell>
          <cell r="C53">
            <v>0</v>
          </cell>
          <cell r="D53">
            <v>0</v>
          </cell>
          <cell r="F53">
            <v>0</v>
          </cell>
        </row>
        <row r="54">
          <cell r="A54">
            <v>80095</v>
          </cell>
          <cell r="B54" t="str">
            <v xml:space="preserve">Rezoning Fees </v>
          </cell>
          <cell r="C54">
            <v>0</v>
          </cell>
          <cell r="D54">
            <v>0</v>
          </cell>
          <cell r="F54">
            <v>0</v>
          </cell>
        </row>
        <row r="55">
          <cell r="A55">
            <v>80120</v>
          </cell>
          <cell r="B55" t="str">
            <v>Impact Fees</v>
          </cell>
          <cell r="C55">
            <v>0</v>
          </cell>
          <cell r="D55">
            <v>0</v>
          </cell>
          <cell r="F55">
            <v>0</v>
          </cell>
        </row>
        <row r="56">
          <cell r="A56">
            <v>80125</v>
          </cell>
          <cell r="B56" t="str">
            <v>Entitlement Consultant</v>
          </cell>
          <cell r="C56">
            <v>0</v>
          </cell>
          <cell r="D56">
            <v>0</v>
          </cell>
          <cell r="E56">
            <v>6000</v>
          </cell>
          <cell r="F56">
            <v>-6000</v>
          </cell>
        </row>
        <row r="57">
          <cell r="A57">
            <v>81005</v>
          </cell>
          <cell r="B57" t="str">
            <v>Architect</v>
          </cell>
          <cell r="C57">
            <v>53000</v>
          </cell>
          <cell r="D57">
            <v>24502.400000000001</v>
          </cell>
          <cell r="E57">
            <v>21600</v>
          </cell>
          <cell r="F57">
            <v>2902.4000000000015</v>
          </cell>
        </row>
        <row r="58">
          <cell r="A58">
            <v>81020</v>
          </cell>
          <cell r="B58" t="str">
            <v>A/E Reimbursables</v>
          </cell>
          <cell r="C58">
            <v>0</v>
          </cell>
          <cell r="D58">
            <v>0</v>
          </cell>
          <cell r="F58">
            <v>0</v>
          </cell>
        </row>
        <row r="59">
          <cell r="A59">
            <v>81025</v>
          </cell>
          <cell r="B59" t="str">
            <v>Preliminary Feasibility</v>
          </cell>
          <cell r="C59">
            <v>0</v>
          </cell>
          <cell r="D59">
            <v>6000</v>
          </cell>
          <cell r="F59">
            <v>6000</v>
          </cell>
        </row>
        <row r="60">
          <cell r="A60">
            <v>81030</v>
          </cell>
          <cell r="B60" t="str">
            <v>Delivery, Postage, Copies, etc</v>
          </cell>
          <cell r="C60">
            <v>0</v>
          </cell>
          <cell r="D60">
            <v>0</v>
          </cell>
          <cell r="F60">
            <v>0</v>
          </cell>
        </row>
        <row r="61">
          <cell r="A61">
            <v>81035</v>
          </cell>
          <cell r="B61" t="str">
            <v>Engineering Feasibility</v>
          </cell>
          <cell r="C61">
            <v>0</v>
          </cell>
          <cell r="D61">
            <v>0</v>
          </cell>
          <cell r="F61">
            <v>0</v>
          </cell>
        </row>
        <row r="62">
          <cell r="A62">
            <v>81040</v>
          </cell>
          <cell r="B62" t="str">
            <v>Geotech Soil Tests</v>
          </cell>
          <cell r="C62">
            <v>65200</v>
          </cell>
          <cell r="D62">
            <v>5631.5</v>
          </cell>
          <cell r="E62">
            <v>5631.5</v>
          </cell>
          <cell r="F62">
            <v>0</v>
          </cell>
        </row>
        <row r="63">
          <cell r="A63">
            <v>81045</v>
          </cell>
          <cell r="B63" t="str">
            <v>Civil Engineering</v>
          </cell>
          <cell r="C63">
            <v>0</v>
          </cell>
          <cell r="D63">
            <v>0</v>
          </cell>
          <cell r="F63">
            <v>0</v>
          </cell>
        </row>
        <row r="64">
          <cell r="A64">
            <v>81050</v>
          </cell>
          <cell r="B64" t="str">
            <v>Structural</v>
          </cell>
          <cell r="C64">
            <v>0</v>
          </cell>
          <cell r="D64">
            <v>0</v>
          </cell>
          <cell r="F64">
            <v>0</v>
          </cell>
        </row>
        <row r="65">
          <cell r="A65">
            <v>81055</v>
          </cell>
          <cell r="B65" t="str">
            <v>Waterproofing Consultant</v>
          </cell>
          <cell r="C65">
            <v>0</v>
          </cell>
          <cell r="D65">
            <v>0</v>
          </cell>
          <cell r="F65">
            <v>0</v>
          </cell>
        </row>
        <row r="66">
          <cell r="A66">
            <v>81060</v>
          </cell>
          <cell r="B66" t="str">
            <v>Landscape Architect</v>
          </cell>
          <cell r="C66">
            <v>0</v>
          </cell>
          <cell r="D66">
            <v>0</v>
          </cell>
          <cell r="F66">
            <v>0</v>
          </cell>
        </row>
        <row r="67">
          <cell r="A67">
            <v>81065</v>
          </cell>
          <cell r="B67" t="str">
            <v>MEP Engineer</v>
          </cell>
          <cell r="C67">
            <v>0</v>
          </cell>
          <cell r="D67">
            <v>0</v>
          </cell>
          <cell r="F67">
            <v>0</v>
          </cell>
        </row>
        <row r="68">
          <cell r="A68">
            <v>81066</v>
          </cell>
          <cell r="B68" t="str">
            <v>MEP Engineer - Title 24</v>
          </cell>
          <cell r="C68">
            <v>0</v>
          </cell>
          <cell r="D68">
            <v>0</v>
          </cell>
          <cell r="F68">
            <v>0</v>
          </cell>
        </row>
        <row r="69">
          <cell r="A69">
            <v>81105</v>
          </cell>
          <cell r="B69" t="str">
            <v>Inspecting Architect</v>
          </cell>
          <cell r="C69">
            <v>0</v>
          </cell>
          <cell r="D69">
            <v>0</v>
          </cell>
          <cell r="F69">
            <v>0</v>
          </cell>
        </row>
        <row r="70">
          <cell r="A70">
            <v>81075</v>
          </cell>
          <cell r="B70" t="str">
            <v>Sound Consultant</v>
          </cell>
          <cell r="C70">
            <v>0</v>
          </cell>
          <cell r="D70">
            <v>0</v>
          </cell>
          <cell r="F70">
            <v>0</v>
          </cell>
        </row>
        <row r="71">
          <cell r="A71">
            <v>81085</v>
          </cell>
          <cell r="B71" t="str">
            <v>Traffic Consultant</v>
          </cell>
          <cell r="C71">
            <v>0</v>
          </cell>
          <cell r="D71">
            <v>0</v>
          </cell>
          <cell r="F71">
            <v>0</v>
          </cell>
        </row>
        <row r="72">
          <cell r="A72">
            <v>81110</v>
          </cell>
          <cell r="B72" t="str">
            <v>Interior Design</v>
          </cell>
          <cell r="C72">
            <v>0</v>
          </cell>
          <cell r="D72">
            <v>0</v>
          </cell>
          <cell r="F72">
            <v>0</v>
          </cell>
        </row>
        <row r="73">
          <cell r="A73">
            <v>81070</v>
          </cell>
          <cell r="B73" t="str">
            <v>Environment Consultant</v>
          </cell>
          <cell r="C73">
            <v>0</v>
          </cell>
          <cell r="D73">
            <v>0</v>
          </cell>
          <cell r="F73">
            <v>0</v>
          </cell>
        </row>
        <row r="74">
          <cell r="A74">
            <v>81090</v>
          </cell>
          <cell r="B74" t="str">
            <v>Utility Consultant</v>
          </cell>
          <cell r="C74">
            <v>0</v>
          </cell>
          <cell r="D74">
            <v>0</v>
          </cell>
          <cell r="F74">
            <v>0</v>
          </cell>
        </row>
        <row r="75">
          <cell r="A75">
            <v>81120</v>
          </cell>
          <cell r="B75" t="str">
            <v>Other Consultant</v>
          </cell>
          <cell r="C75">
            <v>0</v>
          </cell>
          <cell r="D75">
            <v>0</v>
          </cell>
          <cell r="E75">
            <v>5399.6</v>
          </cell>
          <cell r="F75">
            <v>-5399.6</v>
          </cell>
        </row>
        <row r="76">
          <cell r="A76">
            <v>81135</v>
          </cell>
          <cell r="B76" t="str">
            <v>Offsite Improvements</v>
          </cell>
          <cell r="C76">
            <v>0</v>
          </cell>
          <cell r="D76">
            <v>0</v>
          </cell>
          <cell r="F76">
            <v>0</v>
          </cell>
        </row>
        <row r="77">
          <cell r="A77">
            <v>81145</v>
          </cell>
          <cell r="B77" t="str">
            <v>Misc. Reimbursables</v>
          </cell>
          <cell r="C77">
            <v>0</v>
          </cell>
          <cell r="D77">
            <v>0</v>
          </cell>
          <cell r="F77">
            <v>0</v>
          </cell>
        </row>
        <row r="78">
          <cell r="A78">
            <v>81150</v>
          </cell>
          <cell r="B78" t="str">
            <v>Blueprints</v>
          </cell>
          <cell r="C78">
            <v>0</v>
          </cell>
          <cell r="D78">
            <v>0</v>
          </cell>
          <cell r="F78">
            <v>0</v>
          </cell>
        </row>
        <row r="79">
          <cell r="A79">
            <v>81145</v>
          </cell>
          <cell r="B79" t="str">
            <v>Misc. Reimbursables</v>
          </cell>
          <cell r="C79">
            <v>0</v>
          </cell>
          <cell r="D79">
            <v>0</v>
          </cell>
          <cell r="F79">
            <v>0</v>
          </cell>
        </row>
        <row r="80">
          <cell r="A80">
            <v>81155</v>
          </cell>
          <cell r="B80" t="str">
            <v>Aerial Photography</v>
          </cell>
          <cell r="C80">
            <v>0</v>
          </cell>
          <cell r="D80">
            <v>0</v>
          </cell>
          <cell r="F80">
            <v>0</v>
          </cell>
        </row>
        <row r="81">
          <cell r="A81">
            <v>81190</v>
          </cell>
          <cell r="B81" t="str">
            <v>Investigation/Programming</v>
          </cell>
          <cell r="C81">
            <v>0</v>
          </cell>
          <cell r="D81">
            <v>0</v>
          </cell>
          <cell r="F81">
            <v>0</v>
          </cell>
        </row>
        <row r="82">
          <cell r="A82">
            <v>81195</v>
          </cell>
          <cell r="B82" t="str">
            <v>Schematic Design</v>
          </cell>
          <cell r="C82">
            <v>0</v>
          </cell>
          <cell r="D82">
            <v>0</v>
          </cell>
          <cell r="F82">
            <v>0</v>
          </cell>
        </row>
        <row r="83">
          <cell r="A83">
            <v>81196</v>
          </cell>
          <cell r="B83" t="str">
            <v>Landscape Arch Schematic Des</v>
          </cell>
          <cell r="C83">
            <v>0</v>
          </cell>
          <cell r="D83">
            <v>0</v>
          </cell>
          <cell r="F83">
            <v>0</v>
          </cell>
        </row>
        <row r="84">
          <cell r="A84">
            <v>81198</v>
          </cell>
          <cell r="B84" t="str">
            <v>Interior Design: Schematic Des</v>
          </cell>
          <cell r="C84">
            <v>0</v>
          </cell>
          <cell r="D84">
            <v>0</v>
          </cell>
          <cell r="F84">
            <v>0</v>
          </cell>
        </row>
        <row r="85">
          <cell r="A85">
            <v>81200</v>
          </cell>
          <cell r="B85" t="str">
            <v>Design Development</v>
          </cell>
          <cell r="C85">
            <v>0</v>
          </cell>
          <cell r="D85">
            <v>0</v>
          </cell>
          <cell r="F85">
            <v>0</v>
          </cell>
        </row>
        <row r="86">
          <cell r="A86">
            <v>81201</v>
          </cell>
          <cell r="B86" t="str">
            <v>Land Arch:Design Dev</v>
          </cell>
          <cell r="C86">
            <v>0</v>
          </cell>
          <cell r="D86">
            <v>0</v>
          </cell>
          <cell r="F86">
            <v>0</v>
          </cell>
        </row>
        <row r="87">
          <cell r="A87">
            <v>81202</v>
          </cell>
          <cell r="B87" t="str">
            <v>Structural Eng:Design Dev</v>
          </cell>
          <cell r="C87">
            <v>0</v>
          </cell>
          <cell r="D87">
            <v>0</v>
          </cell>
          <cell r="F87">
            <v>0</v>
          </cell>
        </row>
        <row r="88">
          <cell r="A88">
            <v>81203</v>
          </cell>
          <cell r="B88" t="str">
            <v>Interior Design: Design Develo</v>
          </cell>
          <cell r="C88">
            <v>0</v>
          </cell>
          <cell r="D88">
            <v>0</v>
          </cell>
          <cell r="F88">
            <v>0</v>
          </cell>
        </row>
        <row r="89">
          <cell r="A89">
            <v>81204</v>
          </cell>
          <cell r="B89" t="str">
            <v>MEP Engineering:Design Dev</v>
          </cell>
          <cell r="C89">
            <v>0</v>
          </cell>
          <cell r="D89">
            <v>0</v>
          </cell>
          <cell r="F89">
            <v>0</v>
          </cell>
        </row>
        <row r="90">
          <cell r="A90">
            <v>81205</v>
          </cell>
          <cell r="B90" t="str">
            <v>Construction Documents</v>
          </cell>
          <cell r="C90">
            <v>0</v>
          </cell>
          <cell r="D90">
            <v>0</v>
          </cell>
          <cell r="F90">
            <v>0</v>
          </cell>
        </row>
        <row r="91">
          <cell r="A91">
            <v>81220</v>
          </cell>
          <cell r="B91" t="str">
            <v>Telecommunications</v>
          </cell>
          <cell r="C91">
            <v>0</v>
          </cell>
          <cell r="D91">
            <v>0</v>
          </cell>
          <cell r="F91">
            <v>0</v>
          </cell>
        </row>
        <row r="92">
          <cell r="A92">
            <v>81225</v>
          </cell>
          <cell r="B92" t="str">
            <v>Building Code Review</v>
          </cell>
          <cell r="C92">
            <v>0</v>
          </cell>
          <cell r="D92">
            <v>0</v>
          </cell>
          <cell r="F92">
            <v>0</v>
          </cell>
        </row>
        <row r="93">
          <cell r="A93">
            <v>81235</v>
          </cell>
          <cell r="B93" t="str">
            <v>Hotel Rehab Package</v>
          </cell>
          <cell r="C93">
            <v>0</v>
          </cell>
          <cell r="D93">
            <v>0</v>
          </cell>
          <cell r="F93">
            <v>0</v>
          </cell>
        </row>
        <row r="94">
          <cell r="A94">
            <v>81240</v>
          </cell>
          <cell r="B94" t="str">
            <v>Pest Control and Inspection</v>
          </cell>
          <cell r="C94">
            <v>0</v>
          </cell>
          <cell r="D94">
            <v>0</v>
          </cell>
          <cell r="F94">
            <v>0</v>
          </cell>
        </row>
        <row r="95">
          <cell r="A95">
            <v>81245</v>
          </cell>
          <cell r="B95" t="str">
            <v>Property Condition Assessment</v>
          </cell>
          <cell r="C95">
            <v>0</v>
          </cell>
          <cell r="D95">
            <v>0</v>
          </cell>
          <cell r="F95">
            <v>0</v>
          </cell>
        </row>
        <row r="96">
          <cell r="A96">
            <v>81250</v>
          </cell>
          <cell r="B96" t="str">
            <v>Access/Building Code Review</v>
          </cell>
          <cell r="C96">
            <v>0</v>
          </cell>
          <cell r="D96">
            <v>0</v>
          </cell>
          <cell r="F96">
            <v>0</v>
          </cell>
        </row>
        <row r="97">
          <cell r="A97">
            <v>81165</v>
          </cell>
          <cell r="B97" t="str">
            <v>Land Use Consultant</v>
          </cell>
          <cell r="C97">
            <v>0</v>
          </cell>
          <cell r="D97">
            <v>0</v>
          </cell>
          <cell r="F97">
            <v>0</v>
          </cell>
        </row>
        <row r="98">
          <cell r="A98">
            <v>81206</v>
          </cell>
          <cell r="B98" t="str">
            <v>Landscape Arch: Const D</v>
          </cell>
          <cell r="C98">
            <v>0</v>
          </cell>
          <cell r="D98">
            <v>0</v>
          </cell>
          <cell r="F98">
            <v>0</v>
          </cell>
        </row>
        <row r="99">
          <cell r="A99">
            <v>81208</v>
          </cell>
          <cell r="B99" t="str">
            <v>Interior Design: Construction</v>
          </cell>
          <cell r="C99">
            <v>0</v>
          </cell>
          <cell r="D99">
            <v>0</v>
          </cell>
          <cell r="F99">
            <v>0</v>
          </cell>
        </row>
        <row r="100">
          <cell r="A100">
            <v>81209</v>
          </cell>
          <cell r="B100" t="str">
            <v>MEP Eng:Construction D</v>
          </cell>
          <cell r="C100">
            <v>0</v>
          </cell>
          <cell r="D100">
            <v>0</v>
          </cell>
          <cell r="F100">
            <v>0</v>
          </cell>
        </row>
        <row r="101">
          <cell r="A101">
            <v>82107</v>
          </cell>
          <cell r="B101" t="str">
            <v>Structural Eng:Const D</v>
          </cell>
          <cell r="C101">
            <v>0</v>
          </cell>
          <cell r="D101">
            <v>0</v>
          </cell>
          <cell r="F101">
            <v>0</v>
          </cell>
        </row>
        <row r="102">
          <cell r="A102">
            <v>81260</v>
          </cell>
          <cell r="B102" t="str">
            <v>Yield Study</v>
          </cell>
          <cell r="C102">
            <v>0</v>
          </cell>
          <cell r="D102">
            <v>0</v>
          </cell>
          <cell r="F102">
            <v>0</v>
          </cell>
        </row>
        <row r="103">
          <cell r="A103">
            <v>81265</v>
          </cell>
          <cell r="B103" t="str">
            <v>Fire Sprinkler Design</v>
          </cell>
          <cell r="C103">
            <v>0</v>
          </cell>
          <cell r="D103">
            <v>0</v>
          </cell>
          <cell r="F103">
            <v>0</v>
          </cell>
        </row>
        <row r="104">
          <cell r="A104">
            <v>82020</v>
          </cell>
          <cell r="B104" t="str">
            <v>Engineering Feasibility</v>
          </cell>
          <cell r="C104">
            <v>0</v>
          </cell>
          <cell r="D104">
            <v>0</v>
          </cell>
          <cell r="F104">
            <v>0</v>
          </cell>
        </row>
        <row r="105">
          <cell r="A105">
            <v>82025</v>
          </cell>
          <cell r="B105" t="str">
            <v>Geotechnical Soil Tests</v>
          </cell>
          <cell r="C105">
            <v>0</v>
          </cell>
          <cell r="D105">
            <v>0</v>
          </cell>
          <cell r="F105">
            <v>0</v>
          </cell>
        </row>
        <row r="106">
          <cell r="A106">
            <v>82030</v>
          </cell>
          <cell r="B106" t="str">
            <v>Civil Engineering</v>
          </cell>
          <cell r="C106">
            <v>0</v>
          </cell>
          <cell r="D106">
            <v>0</v>
          </cell>
          <cell r="F106">
            <v>0</v>
          </cell>
        </row>
        <row r="107">
          <cell r="A107">
            <v>82031</v>
          </cell>
          <cell r="B107" t="str">
            <v>Civil Engineer:Schematic D</v>
          </cell>
          <cell r="C107">
            <v>22200</v>
          </cell>
          <cell r="D107">
            <v>9892.5</v>
          </cell>
          <cell r="E107">
            <v>9892.5</v>
          </cell>
          <cell r="F107">
            <v>0</v>
          </cell>
        </row>
        <row r="108">
          <cell r="A108">
            <v>82033</v>
          </cell>
          <cell r="B108" t="str">
            <v>Civil Engineer:Const D</v>
          </cell>
          <cell r="C108">
            <v>0</v>
          </cell>
          <cell r="D108">
            <v>0</v>
          </cell>
          <cell r="F108">
            <v>0</v>
          </cell>
        </row>
        <row r="109">
          <cell r="A109">
            <v>82035</v>
          </cell>
          <cell r="B109" t="str">
            <v>Landscape Architect</v>
          </cell>
          <cell r="C109">
            <v>0</v>
          </cell>
          <cell r="D109">
            <v>0</v>
          </cell>
          <cell r="F109">
            <v>0</v>
          </cell>
        </row>
        <row r="110">
          <cell r="A110">
            <v>82040</v>
          </cell>
          <cell r="B110" t="str">
            <v>Environment Consultant</v>
          </cell>
          <cell r="C110">
            <v>11000</v>
          </cell>
          <cell r="D110">
            <v>11000</v>
          </cell>
          <cell r="F110">
            <v>11000</v>
          </cell>
        </row>
        <row r="111">
          <cell r="A111">
            <v>82045</v>
          </cell>
          <cell r="B111" t="str">
            <v>Noise Consultant</v>
          </cell>
          <cell r="C111">
            <v>0</v>
          </cell>
          <cell r="D111">
            <v>0</v>
          </cell>
          <cell r="F111">
            <v>0</v>
          </cell>
        </row>
        <row r="112">
          <cell r="A112">
            <v>82050</v>
          </cell>
          <cell r="B112" t="str">
            <v>Traffic Consultant</v>
          </cell>
          <cell r="C112">
            <v>0</v>
          </cell>
          <cell r="D112">
            <v>0</v>
          </cell>
          <cell r="F112">
            <v>0</v>
          </cell>
        </row>
        <row r="113">
          <cell r="A113">
            <v>82055</v>
          </cell>
          <cell r="B113" t="str">
            <v>3rd Party Market Survey</v>
          </cell>
          <cell r="C113">
            <v>5000</v>
          </cell>
          <cell r="D113">
            <v>5000</v>
          </cell>
          <cell r="F113">
            <v>5000</v>
          </cell>
        </row>
        <row r="114">
          <cell r="A114">
            <v>82060</v>
          </cell>
          <cell r="B114" t="str">
            <v>Other Consultant</v>
          </cell>
          <cell r="C114">
            <v>0</v>
          </cell>
          <cell r="D114">
            <v>0</v>
          </cell>
          <cell r="F114">
            <v>0</v>
          </cell>
        </row>
        <row r="115">
          <cell r="A115">
            <v>82061</v>
          </cell>
          <cell r="B115" t="str">
            <v>Dry Utility Consultant</v>
          </cell>
          <cell r="C115">
            <v>4000</v>
          </cell>
          <cell r="D115">
            <v>4000</v>
          </cell>
          <cell r="F115">
            <v>4000</v>
          </cell>
        </row>
        <row r="116">
          <cell r="A116">
            <v>82065</v>
          </cell>
          <cell r="B116" t="str">
            <v>Wetland Consultant</v>
          </cell>
          <cell r="C116">
            <v>0</v>
          </cell>
          <cell r="D116">
            <v>0</v>
          </cell>
          <cell r="F116">
            <v>0</v>
          </cell>
        </row>
        <row r="117">
          <cell r="A117">
            <v>82075</v>
          </cell>
          <cell r="B117" t="str">
            <v>Land Planner</v>
          </cell>
          <cell r="C117">
            <v>0</v>
          </cell>
          <cell r="D117">
            <v>0</v>
          </cell>
          <cell r="F117">
            <v>0</v>
          </cell>
        </row>
        <row r="118">
          <cell r="A118">
            <v>82080</v>
          </cell>
          <cell r="B118" t="str">
            <v>Blueprints</v>
          </cell>
          <cell r="C118">
            <v>0</v>
          </cell>
          <cell r="D118">
            <v>0</v>
          </cell>
          <cell r="F118">
            <v>0</v>
          </cell>
        </row>
        <row r="119">
          <cell r="A119">
            <v>82110</v>
          </cell>
          <cell r="B119" t="str">
            <v>Archoelogical Study</v>
          </cell>
          <cell r="C119">
            <v>0</v>
          </cell>
          <cell r="D119">
            <v>0</v>
          </cell>
          <cell r="F119">
            <v>0</v>
          </cell>
        </row>
        <row r="120">
          <cell r="A120">
            <v>82115</v>
          </cell>
          <cell r="B120" t="str">
            <v>Survey</v>
          </cell>
          <cell r="C120">
            <v>0</v>
          </cell>
          <cell r="D120">
            <v>0</v>
          </cell>
          <cell r="F120">
            <v>0</v>
          </cell>
        </row>
        <row r="121">
          <cell r="A121">
            <v>82120</v>
          </cell>
          <cell r="B121" t="str">
            <v>Boundary/ALTA Survey</v>
          </cell>
          <cell r="C121">
            <v>0</v>
          </cell>
          <cell r="D121">
            <v>0</v>
          </cell>
          <cell r="E121">
            <v>6200</v>
          </cell>
          <cell r="F121">
            <v>-6200</v>
          </cell>
        </row>
        <row r="122">
          <cell r="A122">
            <v>82135</v>
          </cell>
          <cell r="B122" t="str">
            <v>As Built Surey</v>
          </cell>
          <cell r="C122">
            <v>0</v>
          </cell>
          <cell r="D122">
            <v>0</v>
          </cell>
          <cell r="F122">
            <v>0</v>
          </cell>
        </row>
        <row r="123">
          <cell r="A123">
            <v>82165</v>
          </cell>
          <cell r="B123" t="str">
            <v>Zoning/Land Use Consultant</v>
          </cell>
          <cell r="C123">
            <v>0</v>
          </cell>
          <cell r="D123">
            <v>0</v>
          </cell>
          <cell r="F123">
            <v>0</v>
          </cell>
        </row>
        <row r="124">
          <cell r="A124">
            <v>82130</v>
          </cell>
          <cell r="B124" t="str">
            <v>Wetland Delienation</v>
          </cell>
          <cell r="C124">
            <v>0</v>
          </cell>
          <cell r="D124">
            <v>0</v>
          </cell>
          <cell r="F124">
            <v>0</v>
          </cell>
        </row>
        <row r="125">
          <cell r="A125">
            <v>82145</v>
          </cell>
          <cell r="B125" t="str">
            <v>Waterproofing Consultant</v>
          </cell>
          <cell r="C125">
            <v>0</v>
          </cell>
          <cell r="D125">
            <v>0</v>
          </cell>
          <cell r="F125">
            <v>0</v>
          </cell>
        </row>
        <row r="126">
          <cell r="A126">
            <v>82150</v>
          </cell>
          <cell r="B126" t="str">
            <v>Equity Partner Inspection</v>
          </cell>
          <cell r="C126">
            <v>0</v>
          </cell>
          <cell r="D126">
            <v>0</v>
          </cell>
          <cell r="F126">
            <v>0</v>
          </cell>
        </row>
        <row r="127">
          <cell r="A127">
            <v>82125</v>
          </cell>
          <cell r="B127" t="str">
            <v>Topographical Survey</v>
          </cell>
          <cell r="C127">
            <v>0</v>
          </cell>
          <cell r="D127">
            <v>0</v>
          </cell>
          <cell r="F127">
            <v>0</v>
          </cell>
        </row>
        <row r="128">
          <cell r="A128">
            <v>82140</v>
          </cell>
          <cell r="B128" t="str">
            <v>Tree Survey</v>
          </cell>
          <cell r="C128">
            <v>0</v>
          </cell>
          <cell r="D128">
            <v>0</v>
          </cell>
          <cell r="F128">
            <v>0</v>
          </cell>
        </row>
        <row r="129">
          <cell r="A129">
            <v>82170</v>
          </cell>
          <cell r="B129" t="str">
            <v>Phone/Cable/Peer Review</v>
          </cell>
          <cell r="C129">
            <v>0</v>
          </cell>
          <cell r="D129">
            <v>0</v>
          </cell>
          <cell r="F129">
            <v>0</v>
          </cell>
        </row>
        <row r="130">
          <cell r="A130">
            <v>82175</v>
          </cell>
          <cell r="B130" t="str">
            <v>Access/Building Code Review</v>
          </cell>
          <cell r="C130">
            <v>0</v>
          </cell>
          <cell r="D130">
            <v>0</v>
          </cell>
          <cell r="F130">
            <v>0</v>
          </cell>
        </row>
        <row r="131">
          <cell r="A131">
            <v>82185</v>
          </cell>
          <cell r="B131" t="str">
            <v>LEED Consultant/Inspections</v>
          </cell>
          <cell r="C131">
            <v>0</v>
          </cell>
          <cell r="D131">
            <v>0</v>
          </cell>
          <cell r="F131">
            <v>0</v>
          </cell>
        </row>
        <row r="132">
          <cell r="A132">
            <v>82200</v>
          </cell>
          <cell r="B132" t="str">
            <v>Shoring</v>
          </cell>
          <cell r="C132">
            <v>0</v>
          </cell>
          <cell r="D132">
            <v>0</v>
          </cell>
          <cell r="F132">
            <v>0</v>
          </cell>
        </row>
        <row r="133">
          <cell r="A133">
            <v>83020</v>
          </cell>
          <cell r="B133" t="str">
            <v>Office Supplies</v>
          </cell>
          <cell r="C133">
            <v>0</v>
          </cell>
          <cell r="D133">
            <v>0</v>
          </cell>
          <cell r="F133">
            <v>0</v>
          </cell>
        </row>
        <row r="134">
          <cell r="A134">
            <v>83025</v>
          </cell>
          <cell r="B134" t="str">
            <v>Advertising</v>
          </cell>
          <cell r="C134">
            <v>0</v>
          </cell>
          <cell r="D134">
            <v>0</v>
          </cell>
          <cell r="F134">
            <v>0</v>
          </cell>
        </row>
        <row r="135">
          <cell r="A135">
            <v>83030</v>
          </cell>
          <cell r="B135" t="str">
            <v xml:space="preserve">Marketing   </v>
          </cell>
          <cell r="C135">
            <v>0</v>
          </cell>
          <cell r="D135">
            <v>0</v>
          </cell>
          <cell r="F135">
            <v>0</v>
          </cell>
        </row>
        <row r="136">
          <cell r="A136">
            <v>83050</v>
          </cell>
          <cell r="B136" t="str">
            <v>Payroll</v>
          </cell>
          <cell r="C136">
            <v>0</v>
          </cell>
          <cell r="D136">
            <v>0</v>
          </cell>
          <cell r="F136">
            <v>0</v>
          </cell>
        </row>
        <row r="137">
          <cell r="A137">
            <v>83065</v>
          </cell>
          <cell r="B137" t="str">
            <v>Operating Defecit</v>
          </cell>
          <cell r="C137">
            <v>0</v>
          </cell>
          <cell r="D137">
            <v>0</v>
          </cell>
          <cell r="F137">
            <v>0</v>
          </cell>
        </row>
        <row r="138">
          <cell r="A138">
            <v>84015</v>
          </cell>
          <cell r="B138" t="str">
            <v>Marketing - Leasing</v>
          </cell>
          <cell r="C138">
            <v>0</v>
          </cell>
          <cell r="D138">
            <v>0</v>
          </cell>
          <cell r="F138">
            <v>0</v>
          </cell>
        </row>
        <row r="139">
          <cell r="A139">
            <v>84025</v>
          </cell>
          <cell r="B139" t="str">
            <v>Marketing - Misc</v>
          </cell>
          <cell r="C139">
            <v>0</v>
          </cell>
          <cell r="D139">
            <v>0</v>
          </cell>
          <cell r="F139">
            <v>0</v>
          </cell>
        </row>
        <row r="140">
          <cell r="A140">
            <v>84030</v>
          </cell>
          <cell r="B140" t="str">
            <v>Signage</v>
          </cell>
          <cell r="C140">
            <v>0</v>
          </cell>
          <cell r="D140">
            <v>0</v>
          </cell>
          <cell r="F140">
            <v>0</v>
          </cell>
        </row>
        <row r="141">
          <cell r="A141">
            <v>84035</v>
          </cell>
          <cell r="B141" t="str">
            <v>Interior Design</v>
          </cell>
          <cell r="C141">
            <v>0</v>
          </cell>
          <cell r="D141">
            <v>0</v>
          </cell>
          <cell r="F141">
            <v>0</v>
          </cell>
        </row>
        <row r="142">
          <cell r="A142">
            <v>84075</v>
          </cell>
          <cell r="B142" t="str">
            <v>Other Development Costs</v>
          </cell>
          <cell r="C142">
            <v>0</v>
          </cell>
          <cell r="D142">
            <v>0</v>
          </cell>
          <cell r="E142">
            <v>1775.88</v>
          </cell>
          <cell r="F142">
            <v>-1775.88</v>
          </cell>
        </row>
        <row r="143">
          <cell r="A143">
            <v>84080</v>
          </cell>
          <cell r="B143" t="str">
            <v>Brochures/Printing</v>
          </cell>
          <cell r="C143">
            <v>0</v>
          </cell>
          <cell r="D143">
            <v>0</v>
          </cell>
          <cell r="F143">
            <v>0</v>
          </cell>
        </row>
        <row r="144">
          <cell r="A144">
            <v>84105</v>
          </cell>
          <cell r="B144" t="str">
            <v>Logo/Graphics/Collateral Design</v>
          </cell>
          <cell r="C144">
            <v>0</v>
          </cell>
          <cell r="D144">
            <v>0</v>
          </cell>
          <cell r="F144">
            <v>0</v>
          </cell>
        </row>
        <row r="145">
          <cell r="A145">
            <v>86060</v>
          </cell>
          <cell r="B145" t="str">
            <v>Travel</v>
          </cell>
          <cell r="C145">
            <v>0</v>
          </cell>
          <cell r="D145">
            <v>0</v>
          </cell>
          <cell r="F145">
            <v>0</v>
          </cell>
        </row>
        <row r="146">
          <cell r="A146">
            <v>86065</v>
          </cell>
          <cell r="B146" t="str">
            <v>Pursuit Write Off/Reimb</v>
          </cell>
          <cell r="C146">
            <v>0</v>
          </cell>
          <cell r="D146">
            <v>0</v>
          </cell>
          <cell r="F146">
            <v>0</v>
          </cell>
        </row>
        <row r="147">
          <cell r="A147">
            <v>86075</v>
          </cell>
          <cell r="B147" t="str">
            <v>Reproductions</v>
          </cell>
          <cell r="C147">
            <v>0</v>
          </cell>
          <cell r="D147">
            <v>0</v>
          </cell>
          <cell r="F147">
            <v>0</v>
          </cell>
        </row>
        <row r="148">
          <cell r="A148">
            <v>86080</v>
          </cell>
          <cell r="B148" t="str">
            <v>Postage</v>
          </cell>
          <cell r="C148">
            <v>0</v>
          </cell>
          <cell r="D148">
            <v>0</v>
          </cell>
          <cell r="F148">
            <v>0</v>
          </cell>
        </row>
        <row r="149">
          <cell r="A149">
            <v>86085</v>
          </cell>
          <cell r="B149" t="str">
            <v>Marketing</v>
          </cell>
          <cell r="C149">
            <v>0</v>
          </cell>
          <cell r="D149">
            <v>0</v>
          </cell>
          <cell r="F149">
            <v>0</v>
          </cell>
        </row>
        <row r="150">
          <cell r="A150">
            <v>96650</v>
          </cell>
          <cell r="B150" t="str">
            <v>Drainage &amp; Erosion</v>
          </cell>
          <cell r="C150">
            <v>0</v>
          </cell>
          <cell r="D150">
            <v>0</v>
          </cell>
          <cell r="F150">
            <v>0</v>
          </cell>
        </row>
        <row r="151">
          <cell r="A151">
            <v>86088</v>
          </cell>
          <cell r="B151" t="str">
            <v>Engineering Consultant</v>
          </cell>
          <cell r="C151">
            <v>0</v>
          </cell>
          <cell r="D151">
            <v>0</v>
          </cell>
          <cell r="F151">
            <v>0</v>
          </cell>
        </row>
        <row r="152">
          <cell r="A152">
            <v>98009</v>
          </cell>
          <cell r="B152" t="str">
            <v>Pre Bid Expenses</v>
          </cell>
          <cell r="C152">
            <v>0</v>
          </cell>
          <cell r="D152">
            <v>0</v>
          </cell>
          <cell r="F152">
            <v>0</v>
          </cell>
        </row>
        <row r="153">
          <cell r="B153" t="str">
            <v>TOTAL</v>
          </cell>
          <cell r="C153">
            <v>207813</v>
          </cell>
          <cell r="D153">
            <v>82634.25</v>
          </cell>
          <cell r="E153">
            <v>104936.98000000001</v>
          </cell>
          <cell r="F153">
            <v>-22302.73</v>
          </cell>
        </row>
        <row r="154">
          <cell r="A154">
            <v>97350</v>
          </cell>
          <cell r="B154" t="str">
            <v>Soft Cost Contingency</v>
          </cell>
          <cell r="C154">
            <v>14016</v>
          </cell>
          <cell r="D154">
            <v>0</v>
          </cell>
          <cell r="F154">
            <v>0</v>
          </cell>
        </row>
        <row r="155">
          <cell r="B155" t="str">
            <v>TOTAL + Contingency</v>
          </cell>
          <cell r="C155">
            <v>221829</v>
          </cell>
          <cell r="D155">
            <v>82634.25</v>
          </cell>
          <cell r="E155">
            <v>104936.98000000001</v>
          </cell>
          <cell r="F155">
            <v>-22302.73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>
        <row r="12">
          <cell r="E12">
            <v>41927</v>
          </cell>
          <cell r="F12">
            <v>41958</v>
          </cell>
          <cell r="G12">
            <v>41988</v>
          </cell>
          <cell r="H12">
            <v>42019</v>
          </cell>
          <cell r="I12">
            <v>42050</v>
          </cell>
          <cell r="J12">
            <v>42078</v>
          </cell>
          <cell r="K12">
            <v>42109</v>
          </cell>
          <cell r="L12">
            <v>42139</v>
          </cell>
          <cell r="M12">
            <v>42170</v>
          </cell>
          <cell r="N12">
            <v>42200</v>
          </cell>
          <cell r="O12">
            <v>42231</v>
          </cell>
          <cell r="P12">
            <v>42262</v>
          </cell>
          <cell r="Q12">
            <v>42292</v>
          </cell>
          <cell r="R12">
            <v>42323</v>
          </cell>
          <cell r="S12">
            <v>42353</v>
          </cell>
          <cell r="T12">
            <v>42384</v>
          </cell>
          <cell r="U12">
            <v>42415</v>
          </cell>
          <cell r="V12">
            <v>42444</v>
          </cell>
          <cell r="W12">
            <v>42475</v>
          </cell>
          <cell r="X12">
            <v>42505</v>
          </cell>
          <cell r="Y12">
            <v>42536</v>
          </cell>
          <cell r="Z12">
            <v>42566</v>
          </cell>
          <cell r="AA12">
            <v>42597</v>
          </cell>
          <cell r="AB12">
            <v>42628</v>
          </cell>
          <cell r="AC12">
            <v>42658</v>
          </cell>
          <cell r="AD12">
            <v>42689</v>
          </cell>
          <cell r="AE12">
            <v>42719</v>
          </cell>
          <cell r="AF12">
            <v>42750</v>
          </cell>
          <cell r="AG12">
            <v>42781</v>
          </cell>
          <cell r="AH12">
            <v>42809</v>
          </cell>
          <cell r="AI12">
            <v>42840</v>
          </cell>
          <cell r="AJ12">
            <v>42870</v>
          </cell>
          <cell r="AK12">
            <v>42901</v>
          </cell>
          <cell r="AL12">
            <v>42931</v>
          </cell>
          <cell r="AM12">
            <v>42962</v>
          </cell>
          <cell r="AN12">
            <v>42993</v>
          </cell>
          <cell r="AO12">
            <v>43023</v>
          </cell>
          <cell r="AP12">
            <v>43054</v>
          </cell>
          <cell r="AQ12">
            <v>43084</v>
          </cell>
          <cell r="AR12">
            <v>43115</v>
          </cell>
          <cell r="AS12">
            <v>43146</v>
          </cell>
          <cell r="AT12">
            <v>43174</v>
          </cell>
          <cell r="AU12">
            <v>43205</v>
          </cell>
          <cell r="AV12">
            <v>43235</v>
          </cell>
          <cell r="AW12">
            <v>43266</v>
          </cell>
          <cell r="AX12">
            <v>43296</v>
          </cell>
          <cell r="AY12">
            <v>43327</v>
          </cell>
          <cell r="AZ12">
            <v>43358</v>
          </cell>
          <cell r="BA12">
            <v>43388</v>
          </cell>
          <cell r="BB12">
            <v>43419</v>
          </cell>
          <cell r="BC12">
            <v>43449</v>
          </cell>
          <cell r="BD12">
            <v>43480</v>
          </cell>
          <cell r="BE12">
            <v>43511</v>
          </cell>
          <cell r="BF12">
            <v>43539</v>
          </cell>
          <cell r="BG12">
            <v>43570</v>
          </cell>
          <cell r="BH12">
            <v>43600</v>
          </cell>
          <cell r="BI12">
            <v>43631</v>
          </cell>
          <cell r="BJ12">
            <v>43661</v>
          </cell>
          <cell r="BK12">
            <v>43692</v>
          </cell>
          <cell r="BL12">
            <v>43723</v>
          </cell>
        </row>
        <row r="154">
          <cell r="E154">
            <v>-21428386.645448722</v>
          </cell>
          <cell r="F154" t="e">
            <v>#REF!</v>
          </cell>
          <cell r="G154" t="e">
            <v>#REF!</v>
          </cell>
          <cell r="H154" t="e">
            <v>#REF!</v>
          </cell>
          <cell r="I154" t="e">
            <v>#REF!</v>
          </cell>
          <cell r="J154" t="e">
            <v>#REF!</v>
          </cell>
          <cell r="K154" t="e">
            <v>#REF!</v>
          </cell>
          <cell r="L154" t="e">
            <v>#REF!</v>
          </cell>
          <cell r="M154" t="e">
            <v>#REF!</v>
          </cell>
          <cell r="N154" t="e">
            <v>#REF!</v>
          </cell>
          <cell r="O154" t="e">
            <v>#REF!</v>
          </cell>
          <cell r="P154" t="e">
            <v>#REF!</v>
          </cell>
          <cell r="Q154" t="e">
            <v>#REF!</v>
          </cell>
          <cell r="R154" t="e">
            <v>#REF!</v>
          </cell>
          <cell r="S154" t="e">
            <v>#REF!</v>
          </cell>
          <cell r="T154" t="e">
            <v>#REF!</v>
          </cell>
          <cell r="U154" t="e">
            <v>#REF!</v>
          </cell>
          <cell r="V154" t="e">
            <v>#REF!</v>
          </cell>
          <cell r="W154" t="e">
            <v>#REF!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  <cell r="AD154" t="e">
            <v>#REF!</v>
          </cell>
          <cell r="AE154" t="e">
            <v>#REF!</v>
          </cell>
          <cell r="AF154" t="e">
            <v>#REF!</v>
          </cell>
          <cell r="AG154" t="e">
            <v>#REF!</v>
          </cell>
          <cell r="AH154" t="e">
            <v>#REF!</v>
          </cell>
          <cell r="AI154" t="e">
            <v>#REF!</v>
          </cell>
          <cell r="AJ154" t="e">
            <v>#REF!</v>
          </cell>
          <cell r="AK154" t="e">
            <v>#REF!</v>
          </cell>
          <cell r="AL154" t="e">
            <v>#REF!</v>
          </cell>
          <cell r="AM154" t="e">
            <v>#REF!</v>
          </cell>
          <cell r="AN154" t="e">
            <v>#REF!</v>
          </cell>
          <cell r="AO154" t="e">
            <v>#REF!</v>
          </cell>
          <cell r="AP154" t="e">
            <v>#REF!</v>
          </cell>
          <cell r="AQ154" t="e">
            <v>#REF!</v>
          </cell>
          <cell r="AR154" t="e">
            <v>#REF!</v>
          </cell>
          <cell r="AS154" t="e">
            <v>#REF!</v>
          </cell>
          <cell r="AT154" t="e">
            <v>#REF!</v>
          </cell>
          <cell r="AU154" t="e">
            <v>#REF!</v>
          </cell>
          <cell r="AV154" t="e">
            <v>#REF!</v>
          </cell>
          <cell r="AW154" t="e">
            <v>#REF!</v>
          </cell>
          <cell r="AX154" t="e">
            <v>#REF!</v>
          </cell>
          <cell r="AY154" t="e">
            <v>#REF!</v>
          </cell>
          <cell r="AZ154" t="e">
            <v>#REF!</v>
          </cell>
          <cell r="BA154" t="e">
            <v>#REF!</v>
          </cell>
          <cell r="BB154" t="e">
            <v>#REF!</v>
          </cell>
          <cell r="BC154" t="e">
            <v>#REF!</v>
          </cell>
          <cell r="BD154" t="e">
            <v>#REF!</v>
          </cell>
          <cell r="BE154" t="e">
            <v>#REF!</v>
          </cell>
          <cell r="BF154" t="e">
            <v>#REF!</v>
          </cell>
          <cell r="BG154" t="e">
            <v>#REF!</v>
          </cell>
          <cell r="BH154" t="e">
            <v>#REF!</v>
          </cell>
          <cell r="BI154" t="e">
            <v>#REF!</v>
          </cell>
          <cell r="BJ154" t="e">
            <v>#REF!</v>
          </cell>
          <cell r="BK154" t="e">
            <v>#REF!</v>
          </cell>
          <cell r="BL154" t="e">
            <v>#REF!</v>
          </cell>
        </row>
      </sheetData>
      <sheetData sheetId="46" refreshError="1"/>
      <sheetData sheetId="47" refreshError="1"/>
      <sheetData sheetId="48" refreshError="1"/>
      <sheetData sheetId="49">
        <row r="4">
          <cell r="D4" t="str">
            <v>Initial</v>
          </cell>
          <cell r="F4" t="str">
            <v>Planned</v>
          </cell>
        </row>
        <row r="5">
          <cell r="D5" t="str">
            <v>Final</v>
          </cell>
          <cell r="F5" t="str">
            <v>On Hold</v>
          </cell>
        </row>
        <row r="6">
          <cell r="D6" t="str">
            <v>Update 1</v>
          </cell>
          <cell r="F6" t="str">
            <v>Const.</v>
          </cell>
        </row>
        <row r="7">
          <cell r="D7" t="str">
            <v>Update 2</v>
          </cell>
          <cell r="F7" t="str">
            <v>Leasing</v>
          </cell>
        </row>
        <row r="8">
          <cell r="D8" t="str">
            <v>Update 3</v>
          </cell>
        </row>
        <row r="9">
          <cell r="D9" t="str">
            <v>Update 4</v>
          </cell>
        </row>
        <row r="10">
          <cell r="D10" t="str">
            <v>Update 5</v>
          </cell>
        </row>
      </sheetData>
      <sheetData sheetId="5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omize Your Invoice"/>
      <sheetName val="AutoOpen Stub Data"/>
      <sheetName val="Invoice"/>
      <sheetName val="Macros"/>
      <sheetName val="ATW"/>
      <sheetName val="Lock"/>
      <sheetName val="Intl Data Table"/>
      <sheetName val="TemplateInformation"/>
      <sheetName val="GCP Invoice-JMIGRP"/>
    </sheetNames>
    <sheetDataSet>
      <sheetData sheetId="0" refreshError="1">
        <row r="15">
          <cell r="E15" t="str">
            <v>TX</v>
          </cell>
        </row>
        <row r="22">
          <cell r="E22" t="str">
            <v>State</v>
          </cell>
        </row>
        <row r="28">
          <cell r="D28" t="b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al Input"/>
      <sheetName val="Annual CF Input"/>
      <sheetName val="Monthly CF Input"/>
      <sheetName val="Pools"/>
      <sheetName val="RE Valuation"/>
      <sheetName val="JV Financials"/>
      <sheetName val="GE Economics"/>
      <sheetName val="Metrics"/>
      <sheetName val="Sensitivities"/>
      <sheetName val="Deal Assumptions"/>
      <sheetName val="Property Assumptions"/>
      <sheetName val="Debt Worksheet"/>
      <sheetName val="Equity Worksheet"/>
      <sheetName val="FAS 141"/>
      <sheetName val="Overhead"/>
      <sheetName val="Data Tape"/>
      <sheetName val="Criteria"/>
      <sheetName val="UW vs Actu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45">
          <cell r="G345" t="str">
            <v>Multi-Family</v>
          </cell>
          <cell r="H345" t="str">
            <v>Industrial</v>
          </cell>
          <cell r="I345" t="str">
            <v>Flex</v>
          </cell>
          <cell r="J345" t="str">
            <v>Office - CBD</v>
          </cell>
          <cell r="K345" t="str">
            <v>Office - Suburban</v>
          </cell>
          <cell r="L345" t="str">
            <v>Retail - Community Center</v>
          </cell>
          <cell r="M345" t="str">
            <v>Retail - Power Center</v>
          </cell>
          <cell r="N345" t="str">
            <v>Retail - Regional Mall</v>
          </cell>
          <cell r="O345" t="str">
            <v>Hotel</v>
          </cell>
          <cell r="P345" t="str">
            <v>Ground Lease</v>
          </cell>
          <cell r="Q345" t="str">
            <v>Golf</v>
          </cell>
          <cell r="R345" t="str">
            <v>Marina</v>
          </cell>
          <cell r="S345" t="str">
            <v>Mobile Home Park</v>
          </cell>
          <cell r="T345" t="str">
            <v>Mixed Use</v>
          </cell>
          <cell r="U345" t="str">
            <v>Parking Facility</v>
          </cell>
          <cell r="V345" t="str">
            <v>Senior Living</v>
          </cell>
          <cell r="W345" t="str">
            <v>Self Storage</v>
          </cell>
          <cell r="X345" t="str">
            <v>Condo Conversions</v>
          </cell>
          <cell r="Y345" t="str">
            <v>Other</v>
          </cell>
          <cell r="Z345" t="str">
            <v>Land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98641627242"/>
      <sheetName val="Template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Cabrera, Leah A" id="{1D83A955-C428-4857-AEC1-E6E26C742D43}" userId="S::lcabrera30@gatech.edu::82416dde-1125-4fdc-8244-c2d8ae37b8b1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95" dT="2024-01-18T23:33:25.07" personId="{1D83A955-C428-4857-AEC1-E6E26C742D43}" id="{86F8A2CE-E08B-49E4-A15C-C12A325B7294}">
    <text>https://www.seattle.gov/documents/Departments/Housing/PropertyManagers/IncomeRentLimits/2023_Income_Rent_Limits_Rental.pdf</text>
    <extLst>
      <x:ext xmlns:xltc2="http://schemas.microsoft.com/office/spreadsheetml/2020/threadedcomments2" uri="{F7C98A9C-CBB3-438F-8F68-D28B6AF4A901}">
        <xltc2:checksum>1600482341</xltc2:checksum>
        <xltc2:hyperlink startIndex="0" length="122" url="https://www.seattle.gov/documents/Departments/Housing/PropertyManagers/IncomeRentLimits/2023_Income_Rent_Limits_Rental.pdf"/>
      </x:ext>
    </extLst>
  </threadedComment>
  <threadedComment ref="A95" dT="2024-01-18T23:45:47.39" personId="{1D83A955-C428-4857-AEC1-E6E26C742D43}" id="{4B45E4C3-603A-45DF-B93E-2BFA04CF7083}" parentId="{86F8A2CE-E08B-49E4-A15C-C12A325B7294}">
    <text>https://www.seattle.gov/documents/Departments/Housing/PropertyManagers/IncomeRentLimits/2023_Income_Rent_Limits_Rental.pdf</text>
    <extLst>
      <x:ext xmlns:xltc2="http://schemas.microsoft.com/office/spreadsheetml/2020/threadedcomments2" uri="{F7C98A9C-CBB3-438F-8F68-D28B6AF4A901}">
        <xltc2:checksum>1600482341</xltc2:checksum>
        <xltc2:hyperlink startIndex="0" length="122" url="https://www.seattle.gov/documents/Departments/Housing/PropertyManagers/IncomeRentLimits/2023_Income_Rent_Limits_Rental.pdf"/>
      </x:ext>
    </extLst>
  </threadedComment>
  <threadedComment ref="A111" dT="2024-01-18T15:52:57.13" personId="{1D83A955-C428-4857-AEC1-E6E26C742D43}" id="{07B9C628-9432-473B-A4E0-09ADEA403112}">
    <text>https://www.huduser.gov/portal/datasets/home-datasets/files/HOME_IncomeLmts_State_WA_2023.pdf</text>
    <extLst>
      <x:ext xmlns:xltc2="http://schemas.microsoft.com/office/spreadsheetml/2020/threadedcomments2" uri="{F7C98A9C-CBB3-438F-8F68-D28B6AF4A901}">
        <xltc2:checksum>2284740841</xltc2:checksum>
        <xltc2:hyperlink startIndex="0" length="93" url="https://www.huduser.gov/portal/datasets/home-datasets/files/HOME_IncomeLmts_State_WA_2023.pdf"/>
      </x:ext>
    </extLst>
  </threadedComment>
  <threadedComment ref="A116" dT="2024-01-18T16:46:55.18" personId="{1D83A955-C428-4857-AEC1-E6E26C742D43}" id="{F3F80A3F-A6B0-48A5-A14B-81DDA769F300}">
    <text>https://www.huduser.gov/portal/datasets/home-datasets/files/HOME_RentLimits_State_WA_2023.pdf</text>
    <extLst>
      <x:ext xmlns:xltc2="http://schemas.microsoft.com/office/spreadsheetml/2020/threadedcomments2" uri="{F7C98A9C-CBB3-438F-8F68-D28B6AF4A901}">
        <xltc2:checksum>665741592</xltc2:checksum>
        <xltc2:hyperlink startIndex="0" length="93" url="https://www.huduser.gov/portal/datasets/home-datasets/files/HOME_RentLimits_State_WA_2023.pdf"/>
      </x:ext>
    </extLst>
  </threadedComment>
  <threadedComment ref="A152" dT="2024-01-18T17:13:58.83" personId="{1D83A955-C428-4857-AEC1-E6E26C742D43}" id="{8A2D7B21-BFB9-4AA2-93E9-6C2CFA9B3685}">
    <text>https://deptofcommerce.app.box.com/s/3cjb32ig15x4fntzb1t7qdwpxu868rns</text>
    <extLst>
      <x:ext xmlns:xltc2="http://schemas.microsoft.com/office/spreadsheetml/2020/threadedcomments2" uri="{F7C98A9C-CBB3-438F-8F68-D28B6AF4A901}">
        <xltc2:checksum>1853255840</xltc2:checksum>
        <xltc2:hyperlink startIndex="0" length="69" url="https://deptofcommerce.app.box.com/s/3cjb32ig15x4fntzb1t7qdwpxu868rns"/>
      </x:ext>
    </extLst>
  </threadedComment>
  <threadedComment ref="A171" dT="2024-01-18T22:48:33.00" personId="{1D83A955-C428-4857-AEC1-E6E26C742D43}" id="{5F1FE6C2-D84A-4138-8B29-D5E5E47377BB}">
    <text>https://deptofcommerce.box.com/s/sxe8ml6qkrj1p1c4qkkbcq86ow8wxr9s</text>
    <extLst>
      <x:ext xmlns:xltc2="http://schemas.microsoft.com/office/spreadsheetml/2020/threadedcomments2" uri="{F7C98A9C-CBB3-438F-8F68-D28B6AF4A901}">
        <xltc2:checksum>550127906</xltc2:checksum>
        <xltc2:hyperlink startIndex="0" length="65" url="https://deptofcommerce.box.com/s/sxe8ml6qkrj1p1c4qkkbcq86ow8wxr9s"/>
      </x:ext>
    </extLst>
  </threadedComment>
  <threadedComment ref="A183" dT="2024-01-18T23:01:41.08" personId="{1D83A955-C428-4857-AEC1-E6E26C742D43}" id="{9E466622-795D-4893-9BD6-3551217D4E51}">
    <text>https://www.hudexchange.info/programs/section-108/section-108-program-eligibility-requirements/#section-108-rates-and-fees</text>
    <extLst>
      <x:ext xmlns:xltc2="http://schemas.microsoft.com/office/spreadsheetml/2020/threadedcomments2" uri="{F7C98A9C-CBB3-438F-8F68-D28B6AF4A901}">
        <xltc2:checksum>3415380502</xltc2:checksum>
        <xltc2:hyperlink startIndex="0" length="122" url="https://www.hudexchange.info/programs/section-108/section-108-program-eligibility-requirements/#section-108-rates-and-fees"/>
      </x:ext>
    </extLst>
  </threadedComment>
  <threadedComment ref="A184" dT="2024-01-18T22:58:47.10" personId="{1D83A955-C428-4857-AEC1-E6E26C742D43}" id="{B4CD5F68-F9A7-4963-B189-E5E16FBE39C6}">
    <text>https://www.hudexchange.info/resource/5811/section-108-government-guaranteed-participation-certificates-series-2019-a-offering-circular/</text>
    <extLst>
      <x:ext xmlns:xltc2="http://schemas.microsoft.com/office/spreadsheetml/2020/threadedcomments2" uri="{F7C98A9C-CBB3-438F-8F68-D28B6AF4A901}">
        <xltc2:checksum>402523922</xltc2:checksum>
        <xltc2:hyperlink startIndex="0" length="136" url="https://www.hudexchange.info/resource/5811/section-108-government-guaranteed-participation-certificates-series-2019-a-offering-circular/"/>
      </x:ext>
    </extLst>
  </threadedComment>
  <threadedComment ref="A195" dT="2024-01-18T23:09:15.86" personId="{1D83A955-C428-4857-AEC1-E6E26C742D43}" id="{112DB1A2-8887-417D-A97F-F309BE5CE8B5}">
    <text>https://www.hud.gov/program_offices/comm_planning/cdbg/entitlement-program</text>
    <extLst>
      <x:ext xmlns:xltc2="http://schemas.microsoft.com/office/spreadsheetml/2020/threadedcomments2" uri="{F7C98A9C-CBB3-438F-8F68-D28B6AF4A901}">
        <xltc2:checksum>1301410010</xltc2:checksum>
        <xltc2:hyperlink startIndex="0" length="74" url="https://www.hud.gov/program_offices/comm_planning/cdbg/entitlement-program"/>
      </x:ext>
    </extLst>
  </threadedComment>
  <threadedComment ref="A208" dT="2024-01-19T04:35:28.36" personId="{1D83A955-C428-4857-AEC1-E6E26C742D43}" id="{2F008947-B267-4FDA-BA90-AA81CFA35209}">
    <text xml:space="preserve">https://housing.seattle.gov/seattle-housing-levy-signed/#sthash.1cndSDNi.dpbs
</text>
    <extLst>
      <x:ext xmlns:xltc2="http://schemas.microsoft.com/office/spreadsheetml/2020/threadedcomments2" uri="{F7C98A9C-CBB3-438F-8F68-D28B6AF4A901}">
        <xltc2:checksum>1685831231</xltc2:checksum>
        <xltc2:hyperlink startIndex="0" length="77" url="https://housing.seattle.gov/seattle-housing-levy-signed/#sthash.1cndSDNi.dpbs"/>
      </x:ext>
    </extLs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5" dT="2024-01-15T00:41:14.73" personId="{1D83A955-C428-4857-AEC1-E6E26C742D43}" id="{748F02D8-898E-4E71-8993-DE77FD561708}">
    <text xml:space="preserve">Each component is a tab
</text>
  </threadedComment>
  <threadedComment ref="U17" dT="2024-01-22T19:22:00.59" personId="{1D83A955-C428-4857-AEC1-E6E26C742D43}" id="{67D3A3E7-8D80-4DDF-ADDA-64A1D1C3FB8D}">
    <text xml:space="preserve">Will help offset costs for buyers of 80% AMI or below for home ownership
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V7" dT="2024-01-09T15:45:11.38" personId="{1D83A955-C428-4857-AEC1-E6E26C742D43}" id="{0E1539EA-F04E-4BA4-BD25-FECBFA0055A4}">
    <text xml:space="preserve">Used 4&amp;5 Star
</text>
  </threadedComment>
  <threadedComment ref="V13" dT="2024-01-09T15:36:31.04" personId="{1D83A955-C428-4857-AEC1-E6E26C742D43}" id="{206EDF69-1CBD-4F6C-BDD3-5364156901BA}">
    <text xml:space="preserve">Can we use the projected for when we phase office? 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D29" dT="2024-01-18T15:52:46.81" personId="{1D83A955-C428-4857-AEC1-E6E26C742D43}" id="{248EA966-DB2C-45A6-A304-304645876C50}">
    <text xml:space="preserve">Based off Co-Star Projections
</text>
  </threadedComment>
  <threadedComment ref="G139" dT="2024-01-15T22:53:51.79" personId="{1D83A955-C428-4857-AEC1-E6E26C742D43}" id="{C596F202-8F2A-43E9-A4A5-E62B8656BD31}">
    <text>https://www.seattle.gov/city-light/energy/electrification/transportation-electrification/multifamily-ev-charging</text>
    <extLst>
      <x:ext xmlns:xltc2="http://schemas.microsoft.com/office/spreadsheetml/2020/threadedcomments2" uri="{F7C98A9C-CBB3-438F-8F68-D28B6AF4A901}">
        <xltc2:checksum>1395734917</xltc2:checksum>
        <xltc2:hyperlink startIndex="0" length="112" url="https://www.seattle.gov/city-light/energy/electrification/transportation-electrification/multifamily-ev-charging"/>
      </x:ext>
    </extLst>
  </threadedComment>
  <threadedComment ref="A162" dT="2024-01-22T19:22:00.59" personId="{1D83A955-C428-4857-AEC1-E6E26C742D43}" id="{A12E7A37-3CCA-49A6-9582-07F8AD327D5C}">
    <text xml:space="preserve">Will help offset costs for buyers of 80% AMI or below for home ownership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microsoft.com/office/2017/10/relationships/threadedComment" Target="../threadedComments/threadedComment3.xml"/><Relationship Id="rId2" Type="http://schemas.openxmlformats.org/officeDocument/2006/relationships/hyperlink" Target="https://www.hcd.ca.gov/grants-funding/income-limits/state-and-federal-income-limits.shtml" TargetMode="External"/><Relationship Id="rId1" Type="http://schemas.openxmlformats.org/officeDocument/2006/relationships/hyperlink" Target="https://ccorpinsights.com/costs-per-square-foot/" TargetMode="External"/><Relationship Id="rId6" Type="http://schemas.openxmlformats.org/officeDocument/2006/relationships/comments" Target="../comments3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microsoft.com/office/2017/10/relationships/threadedComment" Target="../threadedComments/threadedComment4.xml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8FE95-4ED2-40C2-A093-ADB7D34F28F5}">
  <sheetPr>
    <tabColor rgb="FF00B0F0"/>
  </sheetPr>
  <dimension ref="A1:L255"/>
  <sheetViews>
    <sheetView tabSelected="1" zoomScaleNormal="100" zoomScaleSheetLayoutView="80" workbookViewId="0">
      <selection activeCell="D26" sqref="D26"/>
    </sheetView>
  </sheetViews>
  <sheetFormatPr defaultColWidth="12.19921875" defaultRowHeight="12.75"/>
  <cols>
    <col min="1" max="1" width="40" style="106" bestFit="1" customWidth="1"/>
    <col min="2" max="2" width="12.19921875" style="106"/>
    <col min="3" max="3" width="19.46484375" style="106" customWidth="1"/>
    <col min="4" max="4" width="21.796875" style="106" customWidth="1"/>
    <col min="5" max="5" width="28.6640625" style="106" bestFit="1" customWidth="1"/>
    <col min="6" max="6" width="33.19921875" style="106" customWidth="1"/>
    <col min="7" max="7" width="26.46484375" style="106" customWidth="1"/>
    <col min="8" max="9" width="12.19921875" style="106"/>
    <col min="10" max="10" width="20.46484375" style="106" bestFit="1" customWidth="1"/>
    <col min="11" max="11" width="21.796875" style="106" bestFit="1" customWidth="1"/>
    <col min="12" max="16384" width="12.19921875" style="106"/>
  </cols>
  <sheetData>
    <row r="1" spans="1:10" ht="13.9">
      <c r="C1" s="636" t="s">
        <v>582</v>
      </c>
    </row>
    <row r="2" spans="1:10" ht="13.15">
      <c r="C2" s="1317"/>
      <c r="D2" s="1317"/>
    </row>
    <row r="3" spans="1:10" ht="13.15" thickBot="1">
      <c r="B3" s="107"/>
      <c r="C3" s="108"/>
      <c r="D3" s="108"/>
      <c r="E3" s="108"/>
      <c r="F3" s="108"/>
    </row>
    <row r="4" spans="1:10" ht="13.5" thickBot="1">
      <c r="A4" s="1327" t="s">
        <v>59</v>
      </c>
      <c r="B4" s="1328"/>
      <c r="C4" s="1328"/>
      <c r="D4" s="1328"/>
      <c r="E4" s="1328"/>
      <c r="F4" s="1328"/>
      <c r="G4" s="1328"/>
      <c r="H4" s="1329"/>
      <c r="I4" s="108"/>
      <c r="J4" s="109"/>
    </row>
    <row r="5" spans="1:10" ht="13.5" thickBot="1">
      <c r="A5" s="110" t="s">
        <v>60</v>
      </c>
      <c r="B5" s="111"/>
      <c r="C5" s="112"/>
      <c r="D5" s="113"/>
      <c r="E5" s="114" t="s">
        <v>4</v>
      </c>
      <c r="F5" s="655" t="s">
        <v>61</v>
      </c>
      <c r="G5" s="115" t="s">
        <v>62</v>
      </c>
      <c r="H5" s="116"/>
    </row>
    <row r="6" spans="1:10" ht="25.05" customHeight="1">
      <c r="A6" s="302" t="s">
        <v>48</v>
      </c>
      <c r="B6" s="117"/>
      <c r="C6" s="303" t="s">
        <v>63</v>
      </c>
      <c r="D6" s="304" t="s">
        <v>64</v>
      </c>
      <c r="E6" s="118" t="s">
        <v>65</v>
      </c>
      <c r="F6" s="656">
        <v>39</v>
      </c>
      <c r="G6" s="686" t="s">
        <v>66</v>
      </c>
      <c r="H6" s="687"/>
    </row>
    <row r="7" spans="1:10" ht="25.05" customHeight="1">
      <c r="A7" s="120" t="s">
        <v>67</v>
      </c>
      <c r="B7" s="121"/>
      <c r="C7" s="648">
        <v>500</v>
      </c>
      <c r="D7" s="649">
        <v>500</v>
      </c>
      <c r="E7" s="122" t="s">
        <v>68</v>
      </c>
      <c r="F7" s="656">
        <v>65</v>
      </c>
      <c r="G7" s="123" t="s">
        <v>69</v>
      </c>
      <c r="H7" s="684">
        <v>4.7500000000000001E-2</v>
      </c>
    </row>
    <row r="8" spans="1:10" ht="13.15">
      <c r="A8" s="120" t="s">
        <v>70</v>
      </c>
      <c r="B8" s="121"/>
      <c r="C8" s="650">
        <v>3.2</v>
      </c>
      <c r="D8" s="651">
        <v>700</v>
      </c>
      <c r="E8" s="118" t="s">
        <v>71</v>
      </c>
      <c r="F8" s="656">
        <v>20</v>
      </c>
      <c r="G8" s="123" t="s">
        <v>72</v>
      </c>
      <c r="H8" s="684">
        <v>4.1000000000000002E-2</v>
      </c>
    </row>
    <row r="9" spans="1:10" ht="13.5" thickBot="1">
      <c r="A9" s="124" t="s">
        <v>49</v>
      </c>
      <c r="B9" s="125"/>
      <c r="C9" s="305"/>
      <c r="D9" s="306"/>
      <c r="E9" s="126" t="s">
        <v>73</v>
      </c>
      <c r="F9" s="657">
        <v>25</v>
      </c>
      <c r="G9" s="123" t="s">
        <v>4</v>
      </c>
      <c r="H9" s="684">
        <v>6.0999999999999999E-2</v>
      </c>
      <c r="I9" s="37"/>
    </row>
    <row r="10" spans="1:10" ht="13.5" thickBot="1">
      <c r="A10" s="120" t="s">
        <v>67</v>
      </c>
      <c r="B10" s="121"/>
      <c r="C10" s="648">
        <v>700</v>
      </c>
      <c r="D10" s="652">
        <v>680</v>
      </c>
      <c r="E10" s="307" t="s">
        <v>5</v>
      </c>
      <c r="F10" s="241" t="s">
        <v>61</v>
      </c>
      <c r="G10" s="123" t="s">
        <v>5</v>
      </c>
      <c r="H10" s="684">
        <v>5.8000000000000003E-2</v>
      </c>
      <c r="I10" s="37"/>
    </row>
    <row r="11" spans="1:10" ht="13.15">
      <c r="A11" s="120" t="s">
        <v>70</v>
      </c>
      <c r="B11" s="121"/>
      <c r="C11" s="650">
        <f>'Market Research'!V10/Assumptions!C10</f>
        <v>3.1428571428571428</v>
      </c>
      <c r="D11" s="651">
        <v>710</v>
      </c>
      <c r="E11" s="308" t="s">
        <v>74</v>
      </c>
      <c r="F11" s="658">
        <v>46</v>
      </c>
      <c r="G11" s="123" t="s">
        <v>75</v>
      </c>
      <c r="H11" s="684">
        <v>5.5E-2</v>
      </c>
    </row>
    <row r="12" spans="1:10" ht="13.5" thickBot="1">
      <c r="A12" s="127" t="s">
        <v>50</v>
      </c>
      <c r="B12" s="125"/>
      <c r="C12" s="305"/>
      <c r="D12" s="309"/>
      <c r="E12" s="122" t="s">
        <v>76</v>
      </c>
      <c r="F12" s="656">
        <v>30</v>
      </c>
      <c r="G12" s="128" t="s">
        <v>77</v>
      </c>
      <c r="H12" s="685">
        <v>0.02</v>
      </c>
    </row>
    <row r="13" spans="1:10" ht="13.5" thickBot="1">
      <c r="A13" s="120" t="s">
        <v>67</v>
      </c>
      <c r="B13" s="129"/>
      <c r="C13" s="648">
        <v>1000</v>
      </c>
      <c r="D13" s="653">
        <v>1100</v>
      </c>
      <c r="E13" s="682"/>
      <c r="F13" s="683"/>
      <c r="H13" s="130"/>
    </row>
    <row r="14" spans="1:10" ht="46.8" customHeight="1" thickBot="1">
      <c r="A14" s="120" t="s">
        <v>70</v>
      </c>
      <c r="B14" s="129"/>
      <c r="C14" s="650">
        <f>'Market Research'!V11/Assumptions!C13</f>
        <v>3.5</v>
      </c>
      <c r="D14" s="1277">
        <v>720</v>
      </c>
      <c r="E14" s="1281" t="s">
        <v>78</v>
      </c>
      <c r="F14" s="1284"/>
      <c r="G14" s="1330" t="s">
        <v>80</v>
      </c>
      <c r="H14" s="1331"/>
    </row>
    <row r="15" spans="1:10" ht="25.5">
      <c r="A15" s="127" t="s">
        <v>51</v>
      </c>
      <c r="B15" s="125"/>
      <c r="C15" s="305"/>
      <c r="D15" s="1278"/>
      <c r="E15" s="1282" t="s">
        <v>79</v>
      </c>
      <c r="F15" s="1285">
        <v>7.0000000000000007E-2</v>
      </c>
      <c r="G15" s="119" t="s">
        <v>82</v>
      </c>
      <c r="H15" s="688"/>
    </row>
    <row r="16" spans="1:10" ht="13.15">
      <c r="A16" s="120" t="s">
        <v>67</v>
      </c>
      <c r="B16" s="129"/>
      <c r="C16" s="648">
        <v>1800</v>
      </c>
      <c r="D16" s="1279">
        <v>1700</v>
      </c>
      <c r="E16" s="122" t="s">
        <v>81</v>
      </c>
      <c r="F16" s="1285">
        <v>3.5000000000000003E-2</v>
      </c>
      <c r="G16" s="123" t="s">
        <v>84</v>
      </c>
      <c r="H16" s="689">
        <v>0.6</v>
      </c>
    </row>
    <row r="17" spans="1:9" ht="13.5" thickBot="1">
      <c r="A17" s="131" t="s">
        <v>70</v>
      </c>
      <c r="B17" s="132"/>
      <c r="C17" s="654">
        <f>'Market Research'!V12/Assumptions!C16</f>
        <v>3.4444444444444446</v>
      </c>
      <c r="D17" s="1280">
        <v>750</v>
      </c>
      <c r="E17" s="1283" t="s">
        <v>83</v>
      </c>
      <c r="F17" s="1286">
        <v>0.3</v>
      </c>
      <c r="G17" s="123" t="s">
        <v>85</v>
      </c>
      <c r="H17" s="689">
        <v>0.6</v>
      </c>
    </row>
    <row r="18" spans="1:9" ht="26.55" customHeight="1" thickBot="1">
      <c r="A18" s="133"/>
      <c r="B18" s="134"/>
      <c r="C18" s="134"/>
      <c r="D18" s="135"/>
      <c r="E18" s="108"/>
      <c r="F18" s="108"/>
      <c r="G18" s="123" t="s">
        <v>4</v>
      </c>
      <c r="H18" s="689">
        <v>0.6</v>
      </c>
    </row>
    <row r="19" spans="1:9" ht="26.65" thickBot="1">
      <c r="A19" s="1324" t="s">
        <v>87</v>
      </c>
      <c r="B19" s="1325"/>
      <c r="C19" s="1326"/>
      <c r="D19" s="135"/>
      <c r="E19" s="1274" t="s">
        <v>86</v>
      </c>
      <c r="F19" s="1287"/>
      <c r="G19" s="1288" t="s">
        <v>5</v>
      </c>
      <c r="H19" s="690">
        <v>0.6</v>
      </c>
    </row>
    <row r="20" spans="1:9" ht="13.5" thickBot="1">
      <c r="A20" s="136" t="s">
        <v>90</v>
      </c>
      <c r="B20" s="137"/>
      <c r="C20" s="241"/>
      <c r="D20" s="135"/>
      <c r="E20" s="711" t="s">
        <v>88</v>
      </c>
      <c r="F20" s="712" t="s">
        <v>89</v>
      </c>
      <c r="G20" s="109"/>
      <c r="H20" s="138"/>
    </row>
    <row r="21" spans="1:9" ht="25.9">
      <c r="A21" s="139" t="s">
        <v>92</v>
      </c>
      <c r="B21" s="134"/>
      <c r="C21" s="659" t="s">
        <v>381</v>
      </c>
      <c r="D21" s="135"/>
      <c r="E21" s="1275" t="s">
        <v>91</v>
      </c>
      <c r="F21" s="1276">
        <v>300</v>
      </c>
      <c r="G21" s="625"/>
      <c r="H21" s="138"/>
    </row>
    <row r="22" spans="1:9" ht="13.15" customHeight="1">
      <c r="A22" s="139" t="s">
        <v>94</v>
      </c>
      <c r="B22" s="134"/>
      <c r="C22" s="659" t="s">
        <v>95</v>
      </c>
      <c r="D22" s="135"/>
      <c r="E22" s="310" t="s">
        <v>93</v>
      </c>
      <c r="F22" s="669">
        <v>375</v>
      </c>
      <c r="G22" s="626"/>
      <c r="H22" s="130"/>
    </row>
    <row r="23" spans="1:9" ht="13.15">
      <c r="A23" s="140" t="s">
        <v>97</v>
      </c>
      <c r="B23" s="112"/>
      <c r="C23" s="660"/>
      <c r="D23" s="135"/>
      <c r="E23" s="311" t="s">
        <v>96</v>
      </c>
      <c r="F23" s="670">
        <v>450</v>
      </c>
      <c r="G23" s="109"/>
      <c r="H23" s="627"/>
    </row>
    <row r="24" spans="1:9" ht="13.15">
      <c r="A24" s="141" t="s">
        <v>100</v>
      </c>
      <c r="B24" s="112"/>
      <c r="C24" s="661">
        <v>350</v>
      </c>
      <c r="D24" s="135"/>
      <c r="E24" s="312" t="s">
        <v>98</v>
      </c>
      <c r="F24" s="671" t="s">
        <v>99</v>
      </c>
      <c r="G24" s="109"/>
      <c r="H24" s="628"/>
    </row>
    <row r="25" spans="1:9" ht="13.5" thickBot="1">
      <c r="A25" s="140" t="s">
        <v>102</v>
      </c>
      <c r="B25" s="112"/>
      <c r="C25" s="662"/>
      <c r="D25" s="135"/>
      <c r="E25" s="310" t="s">
        <v>101</v>
      </c>
      <c r="F25" s="672">
        <v>0.05</v>
      </c>
      <c r="G25" s="109"/>
      <c r="H25" s="627"/>
    </row>
    <row r="26" spans="1:9" ht="25.9">
      <c r="A26" s="141" t="s">
        <v>401</v>
      </c>
      <c r="B26" s="112"/>
      <c r="C26" s="663">
        <v>45000</v>
      </c>
      <c r="D26" s="135"/>
      <c r="E26" s="310" t="s">
        <v>358</v>
      </c>
      <c r="F26" s="1276">
        <v>300</v>
      </c>
      <c r="G26" s="109"/>
      <c r="H26" s="629"/>
    </row>
    <row r="27" spans="1:9" ht="13.15">
      <c r="A27" s="141" t="s">
        <v>105</v>
      </c>
      <c r="B27" s="112"/>
      <c r="C27" s="664">
        <v>10000</v>
      </c>
      <c r="D27" s="135"/>
      <c r="E27" s="310" t="s">
        <v>103</v>
      </c>
      <c r="F27" s="673" t="s">
        <v>104</v>
      </c>
      <c r="G27" s="630"/>
      <c r="H27" s="627"/>
      <c r="I27" s="708"/>
    </row>
    <row r="28" spans="1:9" ht="13.15">
      <c r="A28" s="140" t="s">
        <v>108</v>
      </c>
      <c r="B28" s="112"/>
      <c r="C28" s="665"/>
      <c r="D28" s="135"/>
      <c r="E28" s="312" t="s">
        <v>106</v>
      </c>
      <c r="F28" s="673" t="s">
        <v>107</v>
      </c>
      <c r="G28" s="109"/>
      <c r="H28" s="631"/>
    </row>
    <row r="29" spans="1:9" ht="13.15">
      <c r="A29" s="141" t="s">
        <v>100</v>
      </c>
      <c r="B29" s="112"/>
      <c r="C29" s="666">
        <v>150</v>
      </c>
      <c r="D29" s="135"/>
      <c r="E29" s="313" t="s">
        <v>109</v>
      </c>
      <c r="F29" s="674" t="s">
        <v>110</v>
      </c>
      <c r="G29" s="109"/>
      <c r="H29" s="1272"/>
    </row>
    <row r="30" spans="1:9" ht="13.15">
      <c r="A30" s="141" t="s">
        <v>112</v>
      </c>
      <c r="B30" s="112"/>
      <c r="C30" s="664">
        <v>12500</v>
      </c>
      <c r="D30" s="135"/>
      <c r="E30" s="313" t="s">
        <v>111</v>
      </c>
      <c r="F30" s="674" t="s">
        <v>110</v>
      </c>
      <c r="G30" s="109"/>
      <c r="H30" s="627"/>
    </row>
    <row r="31" spans="1:9" ht="13.15">
      <c r="A31" s="141" t="s">
        <v>114</v>
      </c>
      <c r="B31" s="112"/>
      <c r="C31" s="665"/>
      <c r="D31" s="135"/>
      <c r="E31" s="313" t="s">
        <v>113</v>
      </c>
      <c r="F31" s="675">
        <v>0.04</v>
      </c>
      <c r="G31" s="109"/>
      <c r="H31" s="628"/>
    </row>
    <row r="32" spans="1:9" ht="13.15">
      <c r="A32" s="122" t="s">
        <v>116</v>
      </c>
      <c r="B32" s="112"/>
      <c r="C32" s="667">
        <v>250</v>
      </c>
      <c r="D32" s="135"/>
      <c r="E32" s="313" t="s">
        <v>115</v>
      </c>
      <c r="F32" s="676">
        <v>0.03</v>
      </c>
      <c r="G32" s="1273"/>
      <c r="H32" s="627"/>
    </row>
    <row r="33" spans="1:8" ht="13.15">
      <c r="A33" s="142" t="s">
        <v>118</v>
      </c>
      <c r="B33" s="143"/>
      <c r="C33" s="667">
        <v>250</v>
      </c>
      <c r="D33" s="135"/>
      <c r="E33" s="313" t="s">
        <v>117</v>
      </c>
      <c r="F33" s="675">
        <v>0.02</v>
      </c>
      <c r="G33" s="1273"/>
      <c r="H33" s="130"/>
    </row>
    <row r="34" spans="1:8" ht="13.15">
      <c r="A34" s="141"/>
      <c r="B34" s="134"/>
      <c r="C34" s="663"/>
      <c r="D34" s="135"/>
      <c r="E34" s="313" t="s">
        <v>119</v>
      </c>
      <c r="F34" s="677" t="s">
        <v>110</v>
      </c>
      <c r="G34" s="626"/>
      <c r="H34" s="130"/>
    </row>
    <row r="35" spans="1:8" ht="13.5" thickBot="1">
      <c r="A35" s="144"/>
      <c r="B35" s="145"/>
      <c r="C35" s="668"/>
      <c r="D35" s="135"/>
      <c r="E35" s="313" t="s">
        <v>120</v>
      </c>
      <c r="F35" s="673">
        <v>6000</v>
      </c>
      <c r="G35" s="109"/>
      <c r="H35" s="631"/>
    </row>
    <row r="36" spans="1:8" ht="13.15">
      <c r="A36" s="133"/>
      <c r="B36" s="134"/>
      <c r="C36" s="134"/>
      <c r="D36" s="135"/>
      <c r="E36" s="313" t="s">
        <v>121</v>
      </c>
      <c r="F36" s="674" t="s">
        <v>110</v>
      </c>
      <c r="G36" s="109"/>
      <c r="H36" s="627"/>
    </row>
    <row r="37" spans="1:8" ht="13.15">
      <c r="A37" s="133"/>
      <c r="B37" s="134"/>
      <c r="C37" s="134"/>
      <c r="D37" s="135"/>
      <c r="E37" s="313" t="s">
        <v>122</v>
      </c>
      <c r="F37" s="678">
        <v>6</v>
      </c>
      <c r="G37" s="109"/>
      <c r="H37" s="628"/>
    </row>
    <row r="38" spans="1:8" ht="13.15">
      <c r="A38" s="133"/>
      <c r="B38" s="134"/>
      <c r="C38" s="134"/>
      <c r="D38" s="135"/>
      <c r="E38" s="313" t="s">
        <v>123</v>
      </c>
      <c r="F38" s="679">
        <v>40</v>
      </c>
      <c r="G38" s="1273"/>
      <c r="H38" s="627"/>
    </row>
    <row r="39" spans="1:8" ht="13.15">
      <c r="A39" s="133"/>
      <c r="B39" s="134"/>
      <c r="C39" s="134"/>
      <c r="D39" s="135"/>
      <c r="E39" s="313" t="s">
        <v>124</v>
      </c>
      <c r="F39" s="680">
        <v>0.06</v>
      </c>
      <c r="G39" s="109"/>
      <c r="H39" s="130"/>
    </row>
    <row r="40" spans="1:8" ht="13.15">
      <c r="A40" s="133"/>
      <c r="B40" s="134"/>
      <c r="C40" s="134"/>
      <c r="D40" s="135"/>
      <c r="E40" s="313" t="s">
        <v>125</v>
      </c>
      <c r="F40" s="681">
        <v>1.4999999999999999E-2</v>
      </c>
      <c r="G40" s="109"/>
      <c r="H40" s="130"/>
    </row>
    <row r="41" spans="1:8" ht="13.15">
      <c r="A41" s="133"/>
      <c r="B41" s="134"/>
      <c r="C41" s="134"/>
      <c r="D41" s="135"/>
      <c r="E41" s="412" t="s">
        <v>126</v>
      </c>
      <c r="F41" s="709">
        <v>7.0000000000000007E-2</v>
      </c>
      <c r="G41" s="109"/>
      <c r="H41" s="130"/>
    </row>
    <row r="42" spans="1:8" ht="13.15">
      <c r="E42" s="165" t="s">
        <v>411</v>
      </c>
      <c r="F42" s="710">
        <v>250000</v>
      </c>
    </row>
    <row r="43" spans="1:8" ht="13.15">
      <c r="E43" s="313" t="s">
        <v>412</v>
      </c>
      <c r="F43" s="710">
        <v>500000</v>
      </c>
    </row>
    <row r="44" spans="1:8" ht="13.5" thickBot="1">
      <c r="E44" s="314" t="s">
        <v>413</v>
      </c>
      <c r="F44" s="713">
        <v>1000000</v>
      </c>
    </row>
    <row r="50" spans="1:10" ht="13.15" thickBot="1"/>
    <row r="51" spans="1:10" ht="13.15">
      <c r="A51" s="1318" t="s">
        <v>472</v>
      </c>
      <c r="B51" s="1319"/>
      <c r="C51" s="1319"/>
      <c r="D51" s="1319"/>
      <c r="E51" s="1320"/>
      <c r="F51" s="1321" t="s">
        <v>127</v>
      </c>
      <c r="G51" s="1322"/>
      <c r="H51" s="1322"/>
      <c r="I51" s="1322"/>
      <c r="J51" s="1323"/>
    </row>
    <row r="52" spans="1:10" ht="13.15">
      <c r="A52" s="146" t="s">
        <v>128</v>
      </c>
      <c r="B52" s="147">
        <v>1</v>
      </c>
      <c r="C52" s="147">
        <v>2</v>
      </c>
      <c r="D52" s="147">
        <v>3</v>
      </c>
      <c r="E52" s="916">
        <v>4</v>
      </c>
      <c r="F52" s="315" t="s">
        <v>128</v>
      </c>
      <c r="G52" s="316">
        <v>1</v>
      </c>
      <c r="H52" s="316">
        <v>2</v>
      </c>
      <c r="I52" s="316">
        <v>3</v>
      </c>
      <c r="J52" s="317">
        <v>4</v>
      </c>
    </row>
    <row r="53" spans="1:10" ht="13.5" thickBot="1">
      <c r="A53" s="315" t="s">
        <v>352</v>
      </c>
      <c r="B53" s="318">
        <f>44220*2</f>
        <v>88440</v>
      </c>
      <c r="C53" s="318">
        <f>50540*2</f>
        <v>101080</v>
      </c>
      <c r="D53" s="318">
        <f>56860*2</f>
        <v>113720</v>
      </c>
      <c r="E53" s="607">
        <f>63170*2</f>
        <v>126340</v>
      </c>
      <c r="F53" s="315" t="s">
        <v>352</v>
      </c>
      <c r="G53" s="320">
        <v>82040</v>
      </c>
      <c r="H53" s="320">
        <v>93760</v>
      </c>
      <c r="I53" s="320">
        <v>105480</v>
      </c>
      <c r="J53" s="321">
        <v>117200</v>
      </c>
    </row>
    <row r="54" spans="1:10" ht="13.15">
      <c r="A54" s="322" t="s">
        <v>384</v>
      </c>
      <c r="B54" s="318">
        <f>0.8*B$53</f>
        <v>70752</v>
      </c>
      <c r="C54" s="318">
        <f t="shared" ref="C54:E54" si="0">0.8*C$53</f>
        <v>80864</v>
      </c>
      <c r="D54" s="318">
        <f t="shared" si="0"/>
        <v>90976</v>
      </c>
      <c r="E54" s="607">
        <f t="shared" si="0"/>
        <v>101072</v>
      </c>
      <c r="F54" s="323" t="s">
        <v>383</v>
      </c>
      <c r="G54" s="324">
        <f>0.8*G$53</f>
        <v>65632</v>
      </c>
      <c r="H54" s="324">
        <f t="shared" ref="H54:J54" si="1">0.8*H$53</f>
        <v>75008</v>
      </c>
      <c r="I54" s="324">
        <f t="shared" si="1"/>
        <v>84384</v>
      </c>
      <c r="J54" s="325">
        <f t="shared" si="1"/>
        <v>93760</v>
      </c>
    </row>
    <row r="55" spans="1:10">
      <c r="A55" s="313" t="s">
        <v>130</v>
      </c>
      <c r="B55" s="318">
        <f>0.3*B54</f>
        <v>21225.599999999999</v>
      </c>
      <c r="C55" s="318">
        <f>0.3*C54</f>
        <v>24259.200000000001</v>
      </c>
      <c r="D55" s="318">
        <f>0.3*D54</f>
        <v>27292.799999999999</v>
      </c>
      <c r="E55" s="607">
        <f>0.3*E54</f>
        <v>30321.599999999999</v>
      </c>
      <c r="F55" s="149" t="s">
        <v>131</v>
      </c>
      <c r="G55" s="955">
        <f>0.35*G54</f>
        <v>22971.199999999997</v>
      </c>
      <c r="H55" s="955">
        <f t="shared" ref="H55:J55" si="2">0.35*H54</f>
        <v>26252.799999999999</v>
      </c>
      <c r="I55" s="955">
        <f t="shared" si="2"/>
        <v>29534.399999999998</v>
      </c>
      <c r="J55" s="150">
        <f t="shared" si="2"/>
        <v>32816</v>
      </c>
    </row>
    <row r="56" spans="1:10" ht="13.15" thickBot="1">
      <c r="A56" s="326" t="s">
        <v>132</v>
      </c>
      <c r="B56" s="327">
        <v>400</v>
      </c>
      <c r="C56" s="327">
        <v>400</v>
      </c>
      <c r="D56" s="327">
        <v>400</v>
      </c>
      <c r="E56" s="917">
        <v>400</v>
      </c>
      <c r="F56" s="149" t="s">
        <v>132</v>
      </c>
      <c r="G56" s="955">
        <f>-12*100</f>
        <v>-1200</v>
      </c>
      <c r="H56" s="955">
        <f t="shared" ref="H56:J56" si="3">-12*200</f>
        <v>-2400</v>
      </c>
      <c r="I56" s="955">
        <f t="shared" si="3"/>
        <v>-2400</v>
      </c>
      <c r="J56" s="150">
        <f t="shared" si="3"/>
        <v>-2400</v>
      </c>
    </row>
    <row r="57" spans="1:10" ht="13.15" thickTop="1">
      <c r="A57" s="151" t="s">
        <v>133</v>
      </c>
      <c r="B57" s="152">
        <f>B55-B56</f>
        <v>20825.599999999999</v>
      </c>
      <c r="C57" s="152">
        <f>C55-C56</f>
        <v>23859.200000000001</v>
      </c>
      <c r="D57" s="152">
        <f>D55-D56</f>
        <v>26892.799999999999</v>
      </c>
      <c r="E57" s="918">
        <f>E55-E56</f>
        <v>29921.599999999999</v>
      </c>
      <c r="F57" s="149" t="s">
        <v>134</v>
      </c>
      <c r="G57" s="955">
        <v>-600</v>
      </c>
      <c r="H57" s="955">
        <v>-600</v>
      </c>
      <c r="I57" s="955">
        <v>-600</v>
      </c>
      <c r="J57" s="150">
        <v>-600</v>
      </c>
    </row>
    <row r="58" spans="1:10" ht="13.5" thickBot="1">
      <c r="A58" s="322" t="s">
        <v>135</v>
      </c>
      <c r="B58" s="328">
        <f>B57/12</f>
        <v>1735.4666666666665</v>
      </c>
      <c r="C58" s="328">
        <f>C57/12</f>
        <v>1988.2666666666667</v>
      </c>
      <c r="D58" s="328">
        <f>D57/12</f>
        <v>2241.0666666666666</v>
      </c>
      <c r="E58" s="919">
        <f>E57/12</f>
        <v>2493.4666666666667</v>
      </c>
      <c r="F58" s="153" t="s">
        <v>136</v>
      </c>
      <c r="G58" s="154">
        <f>-0.014*200000</f>
        <v>-2800</v>
      </c>
      <c r="H58" s="154">
        <f t="shared" ref="H58:J58" si="4">-0.014*200000</f>
        <v>-2800</v>
      </c>
      <c r="I58" s="154">
        <f t="shared" si="4"/>
        <v>-2800</v>
      </c>
      <c r="J58" s="155">
        <f t="shared" si="4"/>
        <v>-2800</v>
      </c>
    </row>
    <row r="59" spans="1:10" ht="13.5" thickTop="1">
      <c r="A59" s="322"/>
      <c r="B59" s="318"/>
      <c r="C59" s="318"/>
      <c r="D59" s="318"/>
      <c r="E59" s="607"/>
      <c r="F59" s="149" t="s">
        <v>137</v>
      </c>
      <c r="G59" s="955">
        <f>SUM(G55:G58)</f>
        <v>18371.199999999997</v>
      </c>
      <c r="H59" s="955">
        <f t="shared" ref="H59:J59" si="5">SUM(H55:H58)</f>
        <v>20452.8</v>
      </c>
      <c r="I59" s="955">
        <f t="shared" si="5"/>
        <v>23734.399999999998</v>
      </c>
      <c r="J59" s="150">
        <f t="shared" si="5"/>
        <v>27016</v>
      </c>
    </row>
    <row r="60" spans="1:10" ht="13.15">
      <c r="A60" s="322" t="s">
        <v>478</v>
      </c>
      <c r="B60" s="318">
        <f>0.6*B$53</f>
        <v>53064</v>
      </c>
      <c r="C60" s="318">
        <f>0.6*C$53</f>
        <v>60648</v>
      </c>
      <c r="D60" s="318">
        <f t="shared" ref="D60:E60" si="6">0.6*D$53</f>
        <v>68232</v>
      </c>
      <c r="E60" s="607">
        <f t="shared" si="6"/>
        <v>75804</v>
      </c>
      <c r="F60" s="156">
        <v>0.04</v>
      </c>
      <c r="G60" s="956">
        <f>-PV($F60,30,G59)</f>
        <v>317675.40217316744</v>
      </c>
      <c r="H60" s="956">
        <f>-PV($F60,30,H59)</f>
        <v>353670.49869183073</v>
      </c>
      <c r="I60" s="956">
        <f>-PV($F60,30,I59)</f>
        <v>410416.03517129121</v>
      </c>
      <c r="J60" s="157">
        <f>-PV($F60,30,J59)</f>
        <v>467161.57165075187</v>
      </c>
    </row>
    <row r="61" spans="1:10" ht="13.15" thickBot="1">
      <c r="A61" s="313" t="s">
        <v>130</v>
      </c>
      <c r="B61" s="318">
        <f>0.3*B60</f>
        <v>15919.199999999999</v>
      </c>
      <c r="C61" s="318">
        <f>0.3*C60</f>
        <v>18194.399999999998</v>
      </c>
      <c r="D61" s="318">
        <f>0.3*D60</f>
        <v>20469.599999999999</v>
      </c>
      <c r="E61" s="607">
        <f>0.3*E60</f>
        <v>22741.200000000001</v>
      </c>
      <c r="F61" s="158">
        <v>0.03</v>
      </c>
      <c r="G61" s="159">
        <f>$F61*(G60/(1-$F61))</f>
        <v>9825.0124383453858</v>
      </c>
      <c r="H61" s="159">
        <f>$F61*(H60/(1-$F61))</f>
        <v>10938.262846139094</v>
      </c>
      <c r="I61" s="159">
        <f>$F61*(I60/(1-$F61))</f>
        <v>12693.279438287356</v>
      </c>
      <c r="J61" s="160">
        <f>$F61*(J60/(1-$F61))</f>
        <v>14448.296030435626</v>
      </c>
    </row>
    <row r="62" spans="1:10" ht="13.9" thickTop="1" thickBot="1">
      <c r="A62" s="326" t="s">
        <v>132</v>
      </c>
      <c r="B62" s="327">
        <v>400</v>
      </c>
      <c r="C62" s="327">
        <v>400</v>
      </c>
      <c r="D62" s="327">
        <v>400</v>
      </c>
      <c r="E62" s="917">
        <v>400</v>
      </c>
      <c r="F62" s="161" t="s">
        <v>138</v>
      </c>
      <c r="G62" s="329">
        <f>SUM(G60:G61)</f>
        <v>327500.41461151285</v>
      </c>
      <c r="H62" s="329">
        <f t="shared" ref="H62:J62" si="7">SUM(H60:H61)</f>
        <v>364608.76153796981</v>
      </c>
      <c r="I62" s="329">
        <f t="shared" si="7"/>
        <v>423109.31460957858</v>
      </c>
      <c r="J62" s="162">
        <f t="shared" si="7"/>
        <v>481609.86768118752</v>
      </c>
    </row>
    <row r="63" spans="1:10" ht="13.9" thickTop="1" thickBot="1">
      <c r="A63" s="151" t="s">
        <v>133</v>
      </c>
      <c r="B63" s="152">
        <f>B61-B62</f>
        <v>15519.199999999999</v>
      </c>
      <c r="C63" s="152">
        <f>C61-C62</f>
        <v>17794.399999999998</v>
      </c>
      <c r="D63" s="152">
        <f>D61-D62</f>
        <v>20069.599999999999</v>
      </c>
      <c r="E63" s="918">
        <f>E61-E62</f>
        <v>22341.200000000001</v>
      </c>
      <c r="F63" s="163"/>
      <c r="G63" s="915"/>
      <c r="H63" s="915"/>
      <c r="I63" s="915"/>
      <c r="J63" s="164"/>
    </row>
    <row r="64" spans="1:10" ht="13.15">
      <c r="A64" s="322" t="s">
        <v>135</v>
      </c>
      <c r="B64" s="328">
        <f>B63/12</f>
        <v>1293.2666666666667</v>
      </c>
      <c r="C64" s="328">
        <f>C63/12</f>
        <v>1482.8666666666666</v>
      </c>
      <c r="D64" s="328">
        <f>D63/12</f>
        <v>1672.4666666666665</v>
      </c>
      <c r="E64" s="919">
        <f>E63/12</f>
        <v>1861.7666666666667</v>
      </c>
      <c r="F64" s="330" t="s">
        <v>139</v>
      </c>
      <c r="G64" s="324">
        <f>1*G$53</f>
        <v>82040</v>
      </c>
      <c r="H64" s="324">
        <f>1*H$53</f>
        <v>93760</v>
      </c>
      <c r="I64" s="324">
        <f>1*I$53</f>
        <v>105480</v>
      </c>
      <c r="J64" s="325">
        <f>1*J$53</f>
        <v>117200</v>
      </c>
    </row>
    <row r="65" spans="1:10" ht="13.15">
      <c r="A65" s="322"/>
      <c r="B65" s="331"/>
      <c r="C65" s="331"/>
      <c r="D65" s="331"/>
      <c r="E65" s="953"/>
      <c r="F65" s="149" t="s">
        <v>131</v>
      </c>
      <c r="G65" s="955">
        <f>0.35*G64</f>
        <v>28713.999999999996</v>
      </c>
      <c r="H65" s="955">
        <f t="shared" ref="H65:J65" si="8">0.35*H64</f>
        <v>32816</v>
      </c>
      <c r="I65" s="955">
        <f t="shared" si="8"/>
        <v>36918</v>
      </c>
      <c r="J65" s="150">
        <f t="shared" si="8"/>
        <v>41020</v>
      </c>
    </row>
    <row r="66" spans="1:10" ht="13.15">
      <c r="A66" s="322" t="s">
        <v>129</v>
      </c>
      <c r="B66" s="318">
        <f>0.5*B53</f>
        <v>44220</v>
      </c>
      <c r="C66" s="318">
        <f t="shared" ref="C66:E66" si="9">0.5*C53</f>
        <v>50540</v>
      </c>
      <c r="D66" s="318">
        <f t="shared" si="9"/>
        <v>56860</v>
      </c>
      <c r="E66" s="607">
        <f t="shared" si="9"/>
        <v>63170</v>
      </c>
      <c r="F66" s="149" t="s">
        <v>132</v>
      </c>
      <c r="G66" s="955">
        <f>-12*200</f>
        <v>-2400</v>
      </c>
      <c r="H66" s="955">
        <f t="shared" ref="H66:J66" si="10">-12*200</f>
        <v>-2400</v>
      </c>
      <c r="I66" s="955">
        <f t="shared" si="10"/>
        <v>-2400</v>
      </c>
      <c r="J66" s="150">
        <f t="shared" si="10"/>
        <v>-2400</v>
      </c>
    </row>
    <row r="67" spans="1:10">
      <c r="A67" s="313" t="s">
        <v>131</v>
      </c>
      <c r="B67" s="318">
        <f>0.35*B66</f>
        <v>15476.999999999998</v>
      </c>
      <c r="C67" s="318">
        <f>0.35*C66</f>
        <v>17689</v>
      </c>
      <c r="D67" s="318">
        <f>0.35*D66</f>
        <v>19901</v>
      </c>
      <c r="E67" s="607">
        <f>0.35*E66</f>
        <v>22109.5</v>
      </c>
      <c r="F67" s="149" t="s">
        <v>134</v>
      </c>
      <c r="G67" s="955">
        <v>-1000</v>
      </c>
      <c r="H67" s="955">
        <v>-1000</v>
      </c>
      <c r="I67" s="955">
        <v>-1000</v>
      </c>
      <c r="J67" s="150">
        <v>-1000</v>
      </c>
    </row>
    <row r="68" spans="1:10" ht="13.15" thickBot="1">
      <c r="A68" s="326" t="s">
        <v>132</v>
      </c>
      <c r="B68" s="327">
        <v>400</v>
      </c>
      <c r="C68" s="327">
        <v>400</v>
      </c>
      <c r="D68" s="327">
        <v>400</v>
      </c>
      <c r="E68" s="917">
        <v>400</v>
      </c>
      <c r="F68" s="153" t="s">
        <v>136</v>
      </c>
      <c r="G68" s="154">
        <f>-0.014*200000</f>
        <v>-2800</v>
      </c>
      <c r="H68" s="154">
        <f t="shared" ref="H68:J68" si="11">-0.014*200000</f>
        <v>-2800</v>
      </c>
      <c r="I68" s="154">
        <f t="shared" si="11"/>
        <v>-2800</v>
      </c>
      <c r="J68" s="155">
        <f t="shared" si="11"/>
        <v>-2800</v>
      </c>
    </row>
    <row r="69" spans="1:10" ht="13.5" thickTop="1">
      <c r="A69" s="151" t="s">
        <v>137</v>
      </c>
      <c r="B69" s="152">
        <f>B67-B68</f>
        <v>15076.999999999998</v>
      </c>
      <c r="C69" s="152">
        <f>C67-C68</f>
        <v>17289</v>
      </c>
      <c r="D69" s="152">
        <f>D67-D68</f>
        <v>19501</v>
      </c>
      <c r="E69" s="918">
        <f>E67-E68</f>
        <v>21709.5</v>
      </c>
      <c r="F69" s="163" t="s">
        <v>137</v>
      </c>
      <c r="G69" s="915">
        <f>SUM(G65:G68)</f>
        <v>22513.999999999996</v>
      </c>
      <c r="H69" s="915">
        <f t="shared" ref="H69:J69" si="12">SUM(H65:H68)</f>
        <v>26616</v>
      </c>
      <c r="I69" s="915">
        <f t="shared" si="12"/>
        <v>30718</v>
      </c>
      <c r="J69" s="164">
        <f t="shared" si="12"/>
        <v>34820</v>
      </c>
    </row>
    <row r="70" spans="1:10" ht="13.15">
      <c r="A70" s="322" t="s">
        <v>135</v>
      </c>
      <c r="B70" s="328">
        <f>B69/12</f>
        <v>1256.4166666666665</v>
      </c>
      <c r="C70" s="328">
        <f>C69/12</f>
        <v>1440.75</v>
      </c>
      <c r="D70" s="328">
        <f>D69/12</f>
        <v>1625.0833333333333</v>
      </c>
      <c r="E70" s="919">
        <f>E69/12</f>
        <v>1809.125</v>
      </c>
      <c r="F70" s="156">
        <v>0.04</v>
      </c>
      <c r="G70" s="956">
        <f>-PV($F70,30,G69)</f>
        <v>389312.83773116028</v>
      </c>
      <c r="H70" s="956">
        <f>-PV($F70,30,H69)</f>
        <v>460244.75833048607</v>
      </c>
      <c r="I70" s="956">
        <f>-PV($F70,30,I69)</f>
        <v>531176.67892981181</v>
      </c>
      <c r="J70" s="157">
        <f>-PV($F70,30,J69)</f>
        <v>602108.5995291376</v>
      </c>
    </row>
    <row r="71" spans="1:10" ht="13.5" thickBot="1">
      <c r="A71" s="322"/>
      <c r="B71" s="318"/>
      <c r="C71" s="318"/>
      <c r="D71" s="318"/>
      <c r="E71" s="607"/>
      <c r="F71" s="158">
        <v>0.03</v>
      </c>
      <c r="G71" s="159">
        <f>$F71*(G70/(1-$F71))</f>
        <v>12040.603228798771</v>
      </c>
      <c r="H71" s="159">
        <f>$F71*(H70/(1-$F71))</f>
        <v>14234.373968984106</v>
      </c>
      <c r="I71" s="159">
        <f>$F71*(I70/(1-$F71))</f>
        <v>16428.144709169435</v>
      </c>
      <c r="J71" s="160">
        <f>$F71*(J70/(1-$F71))</f>
        <v>18621.915449354772</v>
      </c>
    </row>
    <row r="72" spans="1:10" ht="13.9" thickTop="1" thickBot="1">
      <c r="A72" s="322" t="s">
        <v>382</v>
      </c>
      <c r="B72" s="318">
        <f>0.3*B$53</f>
        <v>26532</v>
      </c>
      <c r="C72" s="318">
        <f t="shared" ref="C72:E72" si="13">0.3*C$53</f>
        <v>30324</v>
      </c>
      <c r="D72" s="318">
        <f t="shared" si="13"/>
        <v>34116</v>
      </c>
      <c r="E72" s="607">
        <f t="shared" si="13"/>
        <v>37902</v>
      </c>
      <c r="F72" s="161" t="s">
        <v>138</v>
      </c>
      <c r="G72" s="329">
        <f>SUM(G70:G71)</f>
        <v>401353.44095995906</v>
      </c>
      <c r="H72" s="329">
        <f t="shared" ref="H72:J72" si="14">SUM(H70:H71)</f>
        <v>474479.13229947019</v>
      </c>
      <c r="I72" s="329">
        <f t="shared" si="14"/>
        <v>547604.82363898121</v>
      </c>
      <c r="J72" s="162">
        <f t="shared" si="14"/>
        <v>620730.5149784924</v>
      </c>
    </row>
    <row r="73" spans="1:10" ht="13.5" thickBot="1">
      <c r="A73" s="313" t="s">
        <v>130</v>
      </c>
      <c r="B73" s="318">
        <f>0.3*B72</f>
        <v>7959.5999999999995</v>
      </c>
      <c r="C73" s="318">
        <f>0.3*C72</f>
        <v>9097.1999999999989</v>
      </c>
      <c r="D73" s="318">
        <f>0.3*D72</f>
        <v>10234.799999999999</v>
      </c>
      <c r="E73" s="607">
        <f>0.3*E72</f>
        <v>11370.6</v>
      </c>
      <c r="F73" s="163"/>
      <c r="G73" s="915"/>
      <c r="H73" s="915"/>
      <c r="I73" s="915"/>
      <c r="J73" s="164"/>
    </row>
    <row r="74" spans="1:10" ht="13.5" thickBot="1">
      <c r="A74" s="326" t="s">
        <v>132</v>
      </c>
      <c r="B74" s="327">
        <v>0</v>
      </c>
      <c r="C74" s="327">
        <v>0</v>
      </c>
      <c r="D74" s="327">
        <v>0</v>
      </c>
      <c r="E74" s="917">
        <v>0</v>
      </c>
      <c r="F74" s="330" t="s">
        <v>140</v>
      </c>
      <c r="G74" s="324">
        <f>1.2*G$53</f>
        <v>98448</v>
      </c>
      <c r="H74" s="324">
        <f>1.2*H$53</f>
        <v>112512</v>
      </c>
      <c r="I74" s="324">
        <f>1.2*I$53</f>
        <v>126576</v>
      </c>
      <c r="J74" s="325">
        <f>1.2*J$53</f>
        <v>140640</v>
      </c>
    </row>
    <row r="75" spans="1:10" ht="13.15" thickTop="1">
      <c r="A75" s="165" t="s">
        <v>133</v>
      </c>
      <c r="B75" s="152">
        <f>B73-B74</f>
        <v>7959.5999999999995</v>
      </c>
      <c r="C75" s="152">
        <f>C73-C74</f>
        <v>9097.1999999999989</v>
      </c>
      <c r="D75" s="152">
        <f>D73-D74</f>
        <v>10234.799999999999</v>
      </c>
      <c r="E75" s="918">
        <f>E73-E74</f>
        <v>11370.6</v>
      </c>
      <c r="F75" s="149" t="s">
        <v>131</v>
      </c>
      <c r="G75" s="955">
        <f>0.35*G74</f>
        <v>34456.799999999996</v>
      </c>
      <c r="H75" s="955">
        <f t="shared" ref="H75:J75" si="15">0.35*H74</f>
        <v>39379.199999999997</v>
      </c>
      <c r="I75" s="955">
        <f t="shared" si="15"/>
        <v>44301.599999999999</v>
      </c>
      <c r="J75" s="150">
        <f t="shared" si="15"/>
        <v>49224</v>
      </c>
    </row>
    <row r="76" spans="1:10" ht="13.5" thickBot="1">
      <c r="A76" s="332" t="s">
        <v>135</v>
      </c>
      <c r="B76" s="333">
        <f>B75/12</f>
        <v>663.3</v>
      </c>
      <c r="C76" s="333">
        <f>C75/12</f>
        <v>758.09999999999991</v>
      </c>
      <c r="D76" s="333">
        <f>D75/12</f>
        <v>852.9</v>
      </c>
      <c r="E76" s="954">
        <f>E75/12</f>
        <v>947.55000000000007</v>
      </c>
      <c r="F76" s="149" t="s">
        <v>132</v>
      </c>
      <c r="G76" s="955">
        <f>-12*200</f>
        <v>-2400</v>
      </c>
      <c r="H76" s="955">
        <f t="shared" ref="H76:J76" si="16">-12*200</f>
        <v>-2400</v>
      </c>
      <c r="I76" s="955">
        <f t="shared" si="16"/>
        <v>-2400</v>
      </c>
      <c r="J76" s="150">
        <f t="shared" si="16"/>
        <v>-2400</v>
      </c>
    </row>
    <row r="77" spans="1:10">
      <c r="F77" s="149" t="s">
        <v>134</v>
      </c>
      <c r="G77" s="955">
        <v>-1000</v>
      </c>
      <c r="H77" s="955">
        <v>-1000</v>
      </c>
      <c r="I77" s="955">
        <v>-1000</v>
      </c>
      <c r="J77" s="150">
        <v>-1000</v>
      </c>
    </row>
    <row r="78" spans="1:10" ht="13.15" thickBot="1">
      <c r="A78" s="133"/>
      <c r="B78" s="134"/>
      <c r="C78" s="134"/>
      <c r="D78" s="135"/>
      <c r="E78" s="108"/>
      <c r="F78" s="153" t="s">
        <v>136</v>
      </c>
      <c r="G78" s="154">
        <f>-0.014*200000</f>
        <v>-2800</v>
      </c>
      <c r="H78" s="154">
        <f t="shared" ref="H78:J78" si="17">-0.014*200000</f>
        <v>-2800</v>
      </c>
      <c r="I78" s="154">
        <f t="shared" si="17"/>
        <v>-2800</v>
      </c>
      <c r="J78" s="155">
        <f t="shared" si="17"/>
        <v>-2800</v>
      </c>
    </row>
    <row r="79" spans="1:10" ht="13.5" thickTop="1">
      <c r="A79" s="133"/>
      <c r="B79" s="134"/>
      <c r="C79" s="134"/>
      <c r="D79" s="135"/>
      <c r="E79" s="108"/>
      <c r="F79" s="163" t="s">
        <v>137</v>
      </c>
      <c r="G79" s="915">
        <f>SUM(G75:G78)</f>
        <v>28256.799999999996</v>
      </c>
      <c r="H79" s="915">
        <f t="shared" ref="H79:J79" si="18">SUM(H75:H78)</f>
        <v>33179.199999999997</v>
      </c>
      <c r="I79" s="915">
        <f t="shared" si="18"/>
        <v>38101.599999999999</v>
      </c>
      <c r="J79" s="164">
        <f t="shared" si="18"/>
        <v>43024</v>
      </c>
    </row>
    <row r="80" spans="1:10">
      <c r="A80" s="133"/>
      <c r="B80" s="134"/>
      <c r="C80" s="134"/>
      <c r="D80" s="135"/>
      <c r="E80" s="108"/>
      <c r="F80" s="156">
        <v>0.05</v>
      </c>
      <c r="G80" s="956">
        <f>-PV($F80,30,G79)</f>
        <v>434376.27417642291</v>
      </c>
      <c r="H80" s="956">
        <f>-PV($F80,30,H79)</f>
        <v>510045.627111151</v>
      </c>
      <c r="I80" s="956">
        <f>-PV($F80,30,I79)</f>
        <v>585714.98004587903</v>
      </c>
      <c r="J80" s="157">
        <f>-PV($F80,30,J79)</f>
        <v>661384.33298060717</v>
      </c>
    </row>
    <row r="81" spans="1:10" ht="13.15" thickBot="1">
      <c r="A81" s="133"/>
      <c r="B81" s="134"/>
      <c r="C81" s="134"/>
      <c r="D81" s="135"/>
      <c r="E81" s="108"/>
      <c r="F81" s="158">
        <v>0.03</v>
      </c>
      <c r="G81" s="159">
        <f>$F81*(G80/(1-$F81))</f>
        <v>13434.317758033698</v>
      </c>
      <c r="H81" s="159">
        <f>$F81*(H80/(1-$F81))</f>
        <v>15774.607024056217</v>
      </c>
      <c r="I81" s="159">
        <f>$F81*(I80/(1-$F81))</f>
        <v>18114.896290078734</v>
      </c>
      <c r="J81" s="160">
        <f>$F81*(J80/(1-$F81))</f>
        <v>20455.185556101253</v>
      </c>
    </row>
    <row r="82" spans="1:10" ht="13.9" thickTop="1" thickBot="1">
      <c r="A82" s="133"/>
      <c r="B82" s="134"/>
      <c r="C82" s="134"/>
      <c r="D82" s="135"/>
      <c r="E82" s="108"/>
      <c r="F82" s="161" t="s">
        <v>138</v>
      </c>
      <c r="G82" s="329">
        <f>SUM(G80:G81)</f>
        <v>447810.59193445661</v>
      </c>
      <c r="H82" s="329">
        <f t="shared" ref="H82:J82" si="19">SUM(H80:H81)</f>
        <v>525820.23413520725</v>
      </c>
      <c r="I82" s="329">
        <f t="shared" si="19"/>
        <v>603829.87633595779</v>
      </c>
      <c r="J82" s="162">
        <f t="shared" si="19"/>
        <v>681839.51853670843</v>
      </c>
    </row>
    <row r="83" spans="1:10" ht="13.15">
      <c r="A83" s="133"/>
      <c r="B83" s="134"/>
      <c r="C83" s="134"/>
      <c r="D83" s="135"/>
      <c r="E83" s="108"/>
      <c r="F83" s="330" t="s">
        <v>476</v>
      </c>
      <c r="G83" s="324">
        <f>0.6*G$53</f>
        <v>49224</v>
      </c>
      <c r="H83" s="324">
        <f t="shared" ref="H83:J83" si="20">0.6*H$53</f>
        <v>56256</v>
      </c>
      <c r="I83" s="324">
        <f t="shared" si="20"/>
        <v>63288</v>
      </c>
      <c r="J83" s="325">
        <f t="shared" si="20"/>
        <v>70320</v>
      </c>
    </row>
    <row r="84" spans="1:10" ht="14.65" customHeight="1">
      <c r="A84" s="1302"/>
      <c r="B84" s="1302"/>
      <c r="C84" s="1302"/>
      <c r="D84" s="1302"/>
      <c r="E84" s="1302"/>
      <c r="F84" s="149" t="s">
        <v>131</v>
      </c>
      <c r="G84" s="955">
        <f>0.35*G83</f>
        <v>17228.399999999998</v>
      </c>
      <c r="H84" s="955">
        <f t="shared" ref="H84:J84" si="21">0.35*H83</f>
        <v>19689.599999999999</v>
      </c>
      <c r="I84" s="955">
        <f t="shared" si="21"/>
        <v>22150.799999999999</v>
      </c>
      <c r="J84" s="150">
        <f t="shared" si="21"/>
        <v>24612</v>
      </c>
    </row>
    <row r="85" spans="1:10" ht="13.15">
      <c r="A85" s="951"/>
      <c r="B85" s="170"/>
      <c r="C85" s="170"/>
      <c r="D85" s="170"/>
      <c r="E85" s="170"/>
      <c r="F85" s="149" t="s">
        <v>132</v>
      </c>
      <c r="G85" s="955">
        <f>-12*200</f>
        <v>-2400</v>
      </c>
      <c r="H85" s="955">
        <f t="shared" ref="H85:J85" si="22">-12*200</f>
        <v>-2400</v>
      </c>
      <c r="I85" s="955">
        <f t="shared" si="22"/>
        <v>-2400</v>
      </c>
      <c r="J85" s="150">
        <f t="shared" si="22"/>
        <v>-2400</v>
      </c>
    </row>
    <row r="86" spans="1:10" ht="13.15">
      <c r="A86" s="951"/>
      <c r="B86" s="734"/>
      <c r="C86" s="734"/>
      <c r="D86" s="734"/>
      <c r="E86" s="734"/>
      <c r="F86" s="149" t="s">
        <v>134</v>
      </c>
      <c r="G86" s="955">
        <v>-1000</v>
      </c>
      <c r="H86" s="955">
        <v>-1000</v>
      </c>
      <c r="I86" s="955">
        <v>-1000</v>
      </c>
      <c r="J86" s="150">
        <v>-1000</v>
      </c>
    </row>
    <row r="87" spans="1:10" ht="13.5" thickBot="1">
      <c r="A87" s="914"/>
      <c r="B87" s="734"/>
      <c r="C87" s="734"/>
      <c r="D87" s="734"/>
      <c r="E87" s="734"/>
      <c r="F87" s="153" t="s">
        <v>136</v>
      </c>
      <c r="G87" s="154">
        <f>-0.014*200000</f>
        <v>-2800</v>
      </c>
      <c r="H87" s="154">
        <f t="shared" ref="H87:J87" si="23">-0.014*200000</f>
        <v>-2800</v>
      </c>
      <c r="I87" s="154">
        <f t="shared" si="23"/>
        <v>-2800</v>
      </c>
      <c r="J87" s="155">
        <f t="shared" si="23"/>
        <v>-2800</v>
      </c>
    </row>
    <row r="88" spans="1:10" ht="13.5" thickTop="1">
      <c r="A88" s="62"/>
      <c r="B88" s="734"/>
      <c r="C88" s="734"/>
      <c r="D88" s="734"/>
      <c r="E88" s="734"/>
      <c r="F88" s="163" t="s">
        <v>137</v>
      </c>
      <c r="G88" s="915">
        <f>SUM(G84:G87)</f>
        <v>11028.399999999998</v>
      </c>
      <c r="H88" s="915">
        <f t="shared" ref="H88:J88" si="24">SUM(H84:H87)</f>
        <v>13489.599999999999</v>
      </c>
      <c r="I88" s="915">
        <f t="shared" si="24"/>
        <v>15950.8</v>
      </c>
      <c r="J88" s="164">
        <f t="shared" si="24"/>
        <v>18412</v>
      </c>
    </row>
    <row r="89" spans="1:10">
      <c r="A89" s="62"/>
      <c r="B89" s="734"/>
      <c r="C89" s="734"/>
      <c r="D89" s="734"/>
      <c r="E89" s="734"/>
      <c r="F89" s="156">
        <v>0.05</v>
      </c>
      <c r="G89" s="956">
        <f>-PV($F89,30,G88)</f>
        <v>169533.53890487464</v>
      </c>
      <c r="H89" s="956">
        <f>-PV($F89,30,H88)</f>
        <v>207368.21537223872</v>
      </c>
      <c r="I89" s="956">
        <f>-PV($F89,30,I88)</f>
        <v>245202.89183960273</v>
      </c>
      <c r="J89" s="157">
        <f>-PV($F89,30,J88)</f>
        <v>283037.5683069668</v>
      </c>
    </row>
    <row r="90" spans="1:10" ht="13.15" thickBot="1">
      <c r="A90" s="37"/>
      <c r="B90" s="734"/>
      <c r="C90" s="734"/>
      <c r="D90" s="734"/>
      <c r="E90" s="734"/>
      <c r="F90" s="158">
        <v>0.03</v>
      </c>
      <c r="G90" s="159">
        <f>$F90*(G89/(1-$F90))</f>
        <v>5243.3053269548864</v>
      </c>
      <c r="H90" s="159">
        <f>$F90*(H89/(1-$F90))</f>
        <v>6413.4499599661458</v>
      </c>
      <c r="I90" s="159">
        <f>$F90*(I89/(1-$F90))</f>
        <v>7583.5945929774034</v>
      </c>
      <c r="J90" s="160">
        <f>$F90*(J89/(1-$F90))</f>
        <v>8753.7392259886637</v>
      </c>
    </row>
    <row r="91" spans="1:10" ht="13.9" thickTop="1" thickBot="1">
      <c r="A91" s="914"/>
      <c r="B91" s="952"/>
      <c r="C91" s="952"/>
      <c r="D91" s="952"/>
      <c r="E91" s="952"/>
      <c r="F91" s="161" t="s">
        <v>138</v>
      </c>
      <c r="G91" s="329">
        <f>SUM(G89:G90)</f>
        <v>174776.84423182954</v>
      </c>
      <c r="H91" s="329">
        <f t="shared" ref="H91:J91" si="25">SUM(H89:H90)</f>
        <v>213781.66533220487</v>
      </c>
      <c r="I91" s="329">
        <f t="shared" si="25"/>
        <v>252786.48643258013</v>
      </c>
      <c r="J91" s="162">
        <f t="shared" si="25"/>
        <v>291791.30753295548</v>
      </c>
    </row>
    <row r="92" spans="1:10" ht="13.15">
      <c r="A92" s="914"/>
      <c r="B92" s="734"/>
      <c r="C92" s="734"/>
      <c r="D92" s="734"/>
      <c r="E92" s="734"/>
      <c r="F92" s="792"/>
      <c r="G92" s="915"/>
      <c r="H92" s="915"/>
      <c r="I92" s="915"/>
      <c r="J92" s="915"/>
    </row>
    <row r="93" spans="1:10" ht="13.15">
      <c r="A93" s="914"/>
      <c r="B93" s="734"/>
      <c r="C93" s="734"/>
      <c r="D93" s="734"/>
      <c r="E93" s="734"/>
      <c r="F93" s="914"/>
      <c r="G93" s="915"/>
      <c r="H93" s="915"/>
      <c r="I93" s="915"/>
      <c r="J93" s="915"/>
    </row>
    <row r="94" spans="1:10" ht="13.5" thickBot="1">
      <c r="A94" s="62"/>
      <c r="B94" s="734"/>
      <c r="C94" s="734"/>
      <c r="D94" s="734"/>
      <c r="E94" s="734"/>
      <c r="F94" s="914"/>
      <c r="G94" s="915"/>
      <c r="H94" s="915"/>
      <c r="I94" s="915"/>
      <c r="J94" s="915"/>
    </row>
    <row r="95" spans="1:10" ht="13.5" thickBot="1">
      <c r="A95" s="920" t="s">
        <v>474</v>
      </c>
      <c r="B95" s="921"/>
      <c r="C95" s="921"/>
      <c r="D95" s="921"/>
      <c r="E95" s="922"/>
      <c r="F95" s="914"/>
      <c r="G95" s="915"/>
      <c r="H95" s="915"/>
      <c r="I95" s="915"/>
      <c r="J95" s="915"/>
    </row>
    <row r="96" spans="1:10" ht="13.15">
      <c r="A96" s="146" t="s">
        <v>128</v>
      </c>
      <c r="B96" s="147">
        <v>1</v>
      </c>
      <c r="C96" s="147">
        <v>2</v>
      </c>
      <c r="D96" s="147">
        <v>3</v>
      </c>
      <c r="E96" s="148">
        <v>4</v>
      </c>
      <c r="F96" s="914"/>
      <c r="G96" s="915"/>
      <c r="H96" s="915"/>
      <c r="I96" s="915"/>
      <c r="J96" s="915"/>
    </row>
    <row r="97" spans="1:10" ht="13.15">
      <c r="A97" s="923">
        <v>0.8</v>
      </c>
      <c r="B97" s="318">
        <v>1892</v>
      </c>
      <c r="C97" s="318">
        <v>2271</v>
      </c>
      <c r="D97" s="318">
        <v>2623</v>
      </c>
      <c r="E97" s="319">
        <v>2926</v>
      </c>
      <c r="F97" s="914"/>
      <c r="G97" s="915"/>
      <c r="H97" s="915"/>
      <c r="I97" s="915"/>
      <c r="J97" s="915"/>
    </row>
    <row r="98" spans="1:10" ht="13.15">
      <c r="A98" s="322"/>
      <c r="B98" s="318"/>
      <c r="C98" s="318"/>
      <c r="D98" s="318"/>
      <c r="E98" s="319"/>
      <c r="F98" s="914"/>
      <c r="G98" s="915"/>
      <c r="H98" s="915"/>
      <c r="I98" s="915"/>
      <c r="J98" s="915"/>
    </row>
    <row r="99" spans="1:10" ht="13.15">
      <c r="A99" s="923">
        <v>0.6</v>
      </c>
      <c r="B99" s="318">
        <v>1541</v>
      </c>
      <c r="C99" s="318">
        <v>1850</v>
      </c>
      <c r="D99" s="318">
        <v>2137</v>
      </c>
      <c r="E99" s="319">
        <v>2383</v>
      </c>
      <c r="F99" s="914"/>
      <c r="G99" s="915"/>
      <c r="H99" s="915"/>
      <c r="I99" s="915"/>
      <c r="J99" s="915"/>
    </row>
    <row r="100" spans="1:10" ht="13.15">
      <c r="A100" s="724"/>
      <c r="B100" s="734"/>
      <c r="C100" s="734"/>
      <c r="D100" s="734"/>
      <c r="E100" s="924"/>
      <c r="F100" s="914"/>
      <c r="G100" s="915"/>
      <c r="H100" s="915"/>
      <c r="I100" s="915"/>
      <c r="J100" s="915"/>
    </row>
    <row r="101" spans="1:10" ht="13.15">
      <c r="A101" s="923">
        <v>0.5</v>
      </c>
      <c r="B101" s="318">
        <v>1284</v>
      </c>
      <c r="C101" s="318">
        <v>1541</v>
      </c>
      <c r="D101" s="318">
        <v>1781</v>
      </c>
      <c r="E101" s="319">
        <v>1987</v>
      </c>
      <c r="F101" s="914"/>
      <c r="G101" s="915"/>
      <c r="H101" s="915"/>
      <c r="I101" s="915"/>
      <c r="J101" s="915"/>
    </row>
    <row r="102" spans="1:10" ht="13.15">
      <c r="A102" s="724"/>
      <c r="B102" s="734"/>
      <c r="C102" s="734"/>
      <c r="D102" s="734"/>
      <c r="E102" s="924"/>
      <c r="F102" s="914"/>
      <c r="G102" s="915"/>
      <c r="H102" s="915"/>
      <c r="I102" s="915"/>
      <c r="J102" s="915"/>
    </row>
    <row r="103" spans="1:10" ht="13.15">
      <c r="A103" s="923">
        <v>0.3</v>
      </c>
      <c r="B103" s="318">
        <v>771</v>
      </c>
      <c r="C103" s="318">
        <v>925</v>
      </c>
      <c r="D103" s="318">
        <v>1068</v>
      </c>
      <c r="E103" s="319">
        <v>1192</v>
      </c>
      <c r="F103" s="914"/>
      <c r="G103" s="915"/>
      <c r="H103" s="915"/>
      <c r="I103" s="915"/>
      <c r="J103" s="915"/>
    </row>
    <row r="104" spans="1:10" ht="14.25">
      <c r="A104" t="s">
        <v>473</v>
      </c>
      <c r="B104" s="134"/>
      <c r="C104" s="134"/>
      <c r="D104" s="135"/>
      <c r="E104" s="108"/>
      <c r="F104" s="914"/>
      <c r="G104" s="915"/>
      <c r="H104" s="915"/>
      <c r="I104" s="915"/>
      <c r="J104" s="915"/>
    </row>
    <row r="105" spans="1:10" ht="13.15">
      <c r="A105" s="106" t="s">
        <v>475</v>
      </c>
      <c r="B105" s="134"/>
      <c r="C105" s="134"/>
      <c r="D105" s="135"/>
      <c r="E105" s="108"/>
      <c r="F105" s="914"/>
      <c r="G105" s="915"/>
      <c r="H105" s="915"/>
      <c r="I105" s="915"/>
      <c r="J105" s="915"/>
    </row>
    <row r="106" spans="1:10" ht="13.15">
      <c r="F106" s="914"/>
      <c r="G106" s="915"/>
      <c r="H106" s="915"/>
      <c r="I106" s="915"/>
      <c r="J106" s="915"/>
    </row>
    <row r="107" spans="1:10" ht="13.15">
      <c r="F107" s="914"/>
      <c r="G107" s="915"/>
      <c r="H107" s="915"/>
      <c r="I107" s="915"/>
      <c r="J107" s="915"/>
    </row>
    <row r="109" spans="1:10" ht="13.15" thickBot="1"/>
    <row r="110" spans="1:10" ht="13.5" thickBot="1">
      <c r="A110" s="788" t="s">
        <v>451</v>
      </c>
      <c r="B110" s="789"/>
      <c r="C110" s="789"/>
      <c r="D110" s="789"/>
      <c r="E110" s="789"/>
      <c r="F110" s="790"/>
      <c r="G110" s="915"/>
      <c r="H110" s="915"/>
      <c r="I110" s="915"/>
      <c r="J110" s="915"/>
    </row>
    <row r="111" spans="1:10" ht="13.5" thickBot="1">
      <c r="A111" s="785" t="s">
        <v>443</v>
      </c>
      <c r="B111" s="791" t="s">
        <v>454</v>
      </c>
      <c r="C111" s="786" t="s">
        <v>444</v>
      </c>
      <c r="D111" s="786" t="s">
        <v>445</v>
      </c>
      <c r="E111" s="786" t="s">
        <v>446</v>
      </c>
      <c r="F111" s="787" t="s">
        <v>447</v>
      </c>
      <c r="G111" s="915"/>
      <c r="H111" s="915"/>
      <c r="I111" s="915"/>
      <c r="J111" s="915"/>
    </row>
    <row r="112" spans="1:10" ht="14.25">
      <c r="A112" s="122" t="s">
        <v>448</v>
      </c>
      <c r="B112" s="803"/>
      <c r="C112" s="781">
        <v>28800</v>
      </c>
      <c r="D112" s="782">
        <v>32900</v>
      </c>
      <c r="E112" s="782">
        <v>37000</v>
      </c>
      <c r="F112" s="783">
        <v>41100</v>
      </c>
      <c r="G112" s="915"/>
      <c r="H112" s="915"/>
      <c r="I112" s="915"/>
      <c r="J112" s="915"/>
    </row>
    <row r="113" spans="1:10" ht="14.25">
      <c r="A113" s="122" t="s">
        <v>449</v>
      </c>
      <c r="B113" s="803"/>
      <c r="C113" s="781">
        <v>47950</v>
      </c>
      <c r="D113" s="782">
        <v>54800</v>
      </c>
      <c r="E113" s="782">
        <v>61650</v>
      </c>
      <c r="F113" s="783">
        <v>68500</v>
      </c>
      <c r="G113" s="915"/>
      <c r="H113" s="915"/>
      <c r="I113" s="915"/>
      <c r="J113" s="915"/>
    </row>
    <row r="114" spans="1:10" ht="14.65" customHeight="1">
      <c r="A114" s="122" t="s">
        <v>450</v>
      </c>
      <c r="B114" s="803"/>
      <c r="C114" s="782">
        <v>57540</v>
      </c>
      <c r="D114" s="782">
        <v>65760</v>
      </c>
      <c r="E114" s="782">
        <v>73980</v>
      </c>
      <c r="F114" s="783">
        <v>82200</v>
      </c>
    </row>
    <row r="115" spans="1:10" ht="13.15" thickBot="1">
      <c r="A115" s="122" t="s">
        <v>455</v>
      </c>
      <c r="B115" s="803"/>
      <c r="C115" s="782">
        <v>70650</v>
      </c>
      <c r="D115" s="782">
        <v>80750</v>
      </c>
      <c r="E115" s="782">
        <v>90850</v>
      </c>
      <c r="F115" s="783">
        <v>100900</v>
      </c>
    </row>
    <row r="116" spans="1:10" ht="13.15">
      <c r="A116" s="1311" t="s">
        <v>452</v>
      </c>
      <c r="B116" s="1312"/>
      <c r="C116" s="1312"/>
      <c r="D116" s="1312"/>
      <c r="E116" s="1312"/>
      <c r="F116" s="1313"/>
    </row>
    <row r="117" spans="1:10" ht="14.25">
      <c r="A117" s="122" t="s">
        <v>528</v>
      </c>
      <c r="B117">
        <v>1198</v>
      </c>
      <c r="C117" s="782">
        <v>1284</v>
      </c>
      <c r="D117" s="782">
        <v>1541</v>
      </c>
      <c r="E117" s="782">
        <v>1781</v>
      </c>
      <c r="F117" s="778">
        <v>1987</v>
      </c>
    </row>
    <row r="118" spans="1:10" ht="14.65" thickBot="1">
      <c r="A118" s="779" t="s">
        <v>532</v>
      </c>
      <c r="B118" s="793">
        <v>1539</v>
      </c>
      <c r="C118" s="784">
        <v>1650</v>
      </c>
      <c r="D118" s="784">
        <v>1982</v>
      </c>
      <c r="E118" s="784">
        <v>2282</v>
      </c>
      <c r="F118" s="780">
        <v>2525</v>
      </c>
    </row>
    <row r="121" spans="1:10" ht="13.15" thickBot="1"/>
    <row r="122" spans="1:10" ht="13.5" thickBot="1">
      <c r="A122" s="1306" t="s">
        <v>458</v>
      </c>
      <c r="B122" s="1307"/>
      <c r="C122" s="1307"/>
      <c r="D122" s="1307"/>
      <c r="E122" s="1307"/>
      <c r="F122" s="1308"/>
    </row>
    <row r="123" spans="1:10" ht="13.5" thickBot="1">
      <c r="A123" s="796" t="s">
        <v>459</v>
      </c>
      <c r="B123" s="797" t="s">
        <v>457</v>
      </c>
      <c r="C123" s="797" t="s">
        <v>444</v>
      </c>
      <c r="D123" s="797" t="s">
        <v>445</v>
      </c>
      <c r="E123" s="797" t="s">
        <v>446</v>
      </c>
      <c r="F123" s="798" t="s">
        <v>447</v>
      </c>
    </row>
    <row r="124" spans="1:10" ht="14.65" thickBot="1">
      <c r="A124" s="122" t="s">
        <v>456</v>
      </c>
      <c r="B124" s="803"/>
      <c r="C124" s="781">
        <v>32900</v>
      </c>
      <c r="D124" s="782">
        <v>37000</v>
      </c>
      <c r="E124" s="782">
        <v>41100</v>
      </c>
      <c r="F124" s="795">
        <v>44400</v>
      </c>
    </row>
    <row r="125" spans="1:10" ht="13.5" thickBot="1">
      <c r="A125" s="1314" t="s">
        <v>452</v>
      </c>
      <c r="B125" s="1315"/>
      <c r="C125" s="1315"/>
      <c r="D125" s="1315"/>
      <c r="E125" s="1315"/>
      <c r="F125" s="1316"/>
    </row>
    <row r="126" spans="1:10" ht="14.65" thickBot="1">
      <c r="A126" s="799" t="s">
        <v>453</v>
      </c>
      <c r="B126" s="800">
        <v>720</v>
      </c>
      <c r="C126" s="801">
        <v>771</v>
      </c>
      <c r="D126" s="801">
        <v>925</v>
      </c>
      <c r="E126" s="801">
        <v>1068</v>
      </c>
      <c r="F126" s="802">
        <v>1192</v>
      </c>
    </row>
    <row r="127" spans="1:10" ht="14.25">
      <c r="A127" s="1310"/>
      <c r="B127" s="1310"/>
      <c r="C127" s="1310"/>
      <c r="D127" s="1310"/>
      <c r="E127" s="1310"/>
    </row>
    <row r="128" spans="1:10" ht="14.25">
      <c r="A128" s="1300"/>
      <c r="B128" s="1300"/>
      <c r="C128" s="1300"/>
      <c r="D128" s="1300"/>
      <c r="E128" s="1300"/>
    </row>
    <row r="129" spans="1:5">
      <c r="A129" s="1304"/>
      <c r="B129" s="1304"/>
      <c r="C129" s="1304"/>
      <c r="D129" s="1304"/>
      <c r="E129" s="1304"/>
    </row>
    <row r="132" spans="1:5" ht="14.65" customHeight="1"/>
    <row r="133" spans="1:5" ht="14.65" customHeight="1"/>
    <row r="135" spans="1:5" ht="14.25" customHeight="1"/>
    <row r="136" spans="1:5">
      <c r="A136" s="794"/>
      <c r="B136" s="794"/>
      <c r="C136" s="794"/>
      <c r="D136" s="794"/>
      <c r="E136" s="794"/>
    </row>
    <row r="137" spans="1:5" s="794" customFormat="1" ht="14.25">
      <c r="B137"/>
      <c r="C137" s="795"/>
      <c r="D137" s="795"/>
      <c r="E137" s="795"/>
    </row>
    <row r="138" spans="1:5" s="794" customFormat="1" ht="13.15">
      <c r="A138" s="792"/>
      <c r="B138" s="792"/>
      <c r="C138" s="792"/>
      <c r="D138" s="792"/>
      <c r="E138" s="792"/>
    </row>
    <row r="139" spans="1:5" s="794" customFormat="1" ht="13.15">
      <c r="A139" s="792"/>
      <c r="B139" s="792"/>
      <c r="C139" s="792"/>
      <c r="D139" s="792"/>
      <c r="E139" s="792"/>
    </row>
    <row r="140" spans="1:5">
      <c r="A140" s="1303"/>
      <c r="B140" s="1303"/>
      <c r="C140" s="1303"/>
      <c r="D140" s="1303"/>
      <c r="E140" s="1303"/>
    </row>
    <row r="141" spans="1:5">
      <c r="A141" s="1303"/>
      <c r="B141" s="1303"/>
      <c r="C141" s="1303"/>
      <c r="D141" s="1303"/>
      <c r="E141" s="1303"/>
    </row>
    <row r="142" spans="1:5">
      <c r="A142" s="1303"/>
      <c r="B142" s="1303"/>
      <c r="C142" s="1303"/>
      <c r="D142" s="1303"/>
      <c r="E142" s="1303"/>
    </row>
    <row r="143" spans="1:5">
      <c r="A143" s="1303"/>
      <c r="B143" s="1303"/>
      <c r="C143" s="1303"/>
      <c r="D143" s="1303"/>
      <c r="E143" s="1303"/>
    </row>
    <row r="144" spans="1:5">
      <c r="A144" s="1303"/>
      <c r="B144" s="1303"/>
      <c r="C144" s="1303"/>
      <c r="D144" s="1303"/>
      <c r="E144" s="1303"/>
    </row>
    <row r="145" spans="1:5">
      <c r="A145" s="1303"/>
      <c r="B145" s="1303"/>
      <c r="C145" s="1303"/>
      <c r="D145" s="1303"/>
      <c r="E145" s="1303"/>
    </row>
    <row r="146" spans="1:5" ht="14.25" customHeight="1">
      <c r="A146" s="1309"/>
      <c r="B146" s="1309"/>
      <c r="C146" s="1309"/>
      <c r="D146" s="1309"/>
      <c r="E146" s="1309"/>
    </row>
    <row r="147" spans="1:5" ht="12.75" customHeight="1">
      <c r="A147" s="1309"/>
      <c r="B147" s="1309"/>
      <c r="C147" s="1309"/>
      <c r="D147" s="1309"/>
      <c r="E147" s="1309"/>
    </row>
    <row r="148" spans="1:5" ht="12.75" customHeight="1">
      <c r="A148" s="1305"/>
      <c r="B148" s="1305"/>
      <c r="C148" s="1305"/>
      <c r="D148" s="1305"/>
      <c r="E148" s="1305"/>
    </row>
    <row r="149" spans="1:5">
      <c r="A149" s="1305"/>
      <c r="B149" s="1305"/>
      <c r="C149" s="1305"/>
      <c r="D149" s="1305"/>
      <c r="E149" s="1305"/>
    </row>
    <row r="150" spans="1:5">
      <c r="A150" s="794"/>
      <c r="B150" s="794"/>
      <c r="C150" s="794"/>
      <c r="D150" s="794"/>
      <c r="E150" s="794"/>
    </row>
    <row r="151" spans="1:5">
      <c r="A151" s="794"/>
      <c r="B151" s="794"/>
      <c r="C151" s="794"/>
      <c r="D151" s="794"/>
      <c r="E151" s="794"/>
    </row>
    <row r="152" spans="1:5" ht="13.15">
      <c r="A152" s="826"/>
      <c r="B152" s="794"/>
      <c r="C152" s="794"/>
      <c r="D152" s="794"/>
      <c r="E152" s="794"/>
    </row>
    <row r="153" spans="1:5">
      <c r="A153" s="794"/>
      <c r="B153" s="1106"/>
      <c r="C153" s="1106"/>
      <c r="D153" s="794"/>
      <c r="E153" s="794"/>
    </row>
    <row r="154" spans="1:5">
      <c r="A154" s="794"/>
      <c r="B154" s="1106"/>
      <c r="C154" s="794"/>
      <c r="D154" s="794"/>
      <c r="E154" s="794"/>
    </row>
    <row r="155" spans="1:5">
      <c r="A155" s="794"/>
      <c r="B155" s="1106"/>
      <c r="C155" s="794"/>
      <c r="D155" s="794"/>
      <c r="E155" s="794"/>
    </row>
    <row r="156" spans="1:5">
      <c r="A156" s="794"/>
      <c r="B156" s="1106"/>
      <c r="C156" s="794"/>
      <c r="D156" s="794"/>
      <c r="E156" s="794"/>
    </row>
    <row r="157" spans="1:5">
      <c r="A157" s="794"/>
      <c r="B157" s="1106"/>
      <c r="C157" s="794"/>
      <c r="D157" s="794"/>
      <c r="E157" s="794"/>
    </row>
    <row r="158" spans="1:5">
      <c r="A158" s="794"/>
      <c r="B158" s="1106"/>
      <c r="C158" s="794"/>
      <c r="D158" s="794"/>
      <c r="E158" s="794"/>
    </row>
    <row r="159" spans="1:5">
      <c r="A159" s="794"/>
      <c r="B159" s="794"/>
      <c r="C159" s="794"/>
      <c r="D159" s="794"/>
      <c r="E159" s="794"/>
    </row>
    <row r="160" spans="1:5" ht="13.15">
      <c r="A160" s="1302"/>
      <c r="B160" s="1302"/>
      <c r="C160" s="1302"/>
      <c r="D160" s="1302"/>
      <c r="E160" s="1302"/>
    </row>
    <row r="161" spans="1:12">
      <c r="A161" s="1303"/>
      <c r="B161" s="1303"/>
      <c r="C161" s="1303"/>
      <c r="D161" s="1303"/>
      <c r="E161" s="1303"/>
    </row>
    <row r="162" spans="1:12">
      <c r="A162" s="794"/>
      <c r="B162" s="794"/>
      <c r="C162" s="794"/>
      <c r="D162" s="794"/>
      <c r="E162" s="794"/>
    </row>
    <row r="163" spans="1:12">
      <c r="A163" s="794"/>
      <c r="B163" s="794"/>
      <c r="C163" s="794"/>
      <c r="D163" s="794"/>
      <c r="E163" s="794"/>
    </row>
    <row r="164" spans="1:12">
      <c r="A164" s="794"/>
      <c r="B164" s="1271"/>
      <c r="C164" s="794"/>
      <c r="D164" s="794"/>
      <c r="E164" s="794"/>
    </row>
    <row r="165" spans="1:12">
      <c r="A165" s="794"/>
      <c r="B165" s="1271"/>
      <c r="C165" s="794"/>
      <c r="D165" s="794"/>
      <c r="E165" s="794"/>
    </row>
    <row r="166" spans="1:12">
      <c r="A166" s="794"/>
      <c r="B166" s="1271"/>
      <c r="C166" s="794"/>
      <c r="D166" s="794"/>
      <c r="E166" s="794"/>
    </row>
    <row r="167" spans="1:12">
      <c r="A167" s="794"/>
      <c r="B167" s="1271"/>
      <c r="C167" s="794"/>
      <c r="D167" s="794"/>
      <c r="E167" s="794"/>
    </row>
    <row r="168" spans="1:12">
      <c r="A168" s="794"/>
      <c r="B168" s="1271"/>
      <c r="C168" s="794"/>
      <c r="D168" s="794"/>
      <c r="E168" s="794"/>
    </row>
    <row r="169" spans="1:12">
      <c r="A169" s="794"/>
      <c r="B169" s="794"/>
      <c r="C169" s="794"/>
      <c r="D169" s="794"/>
      <c r="E169" s="794"/>
    </row>
    <row r="170" spans="1:12">
      <c r="A170" s="794"/>
      <c r="B170" s="794"/>
      <c r="C170" s="794"/>
      <c r="D170" s="794"/>
      <c r="E170" s="794"/>
      <c r="F170" s="794"/>
      <c r="G170" s="794"/>
      <c r="H170" s="794"/>
      <c r="I170" s="794"/>
      <c r="J170" s="794"/>
      <c r="K170" s="794"/>
      <c r="L170" s="794"/>
    </row>
    <row r="171" spans="1:12" ht="13.15">
      <c r="A171" s="1302"/>
      <c r="B171" s="1302"/>
      <c r="C171" s="1302"/>
      <c r="D171" s="1302"/>
      <c r="E171" s="1302"/>
      <c r="F171" s="794"/>
      <c r="G171" s="794"/>
      <c r="H171" s="794"/>
      <c r="I171" s="794"/>
      <c r="J171" s="794"/>
      <c r="K171" s="794"/>
      <c r="L171" s="794"/>
    </row>
    <row r="172" spans="1:12">
      <c r="A172" s="794"/>
      <c r="B172" s="794"/>
      <c r="C172" s="794"/>
      <c r="D172" s="794"/>
      <c r="E172" s="794"/>
      <c r="F172" s="794"/>
      <c r="G172" s="794"/>
      <c r="H172" s="794"/>
      <c r="I172" s="794"/>
      <c r="J172" s="794"/>
      <c r="K172" s="794"/>
      <c r="L172" s="794"/>
    </row>
    <row r="173" spans="1:12">
      <c r="A173" s="1304"/>
      <c r="B173" s="1304"/>
      <c r="C173" s="1304"/>
      <c r="D173" s="1304"/>
      <c r="E173" s="1304"/>
      <c r="F173" s="1304"/>
      <c r="G173" s="1304"/>
      <c r="H173" s="1304"/>
      <c r="I173" s="1304"/>
      <c r="J173" s="1304"/>
      <c r="K173" s="794"/>
      <c r="L173" s="794"/>
    </row>
    <row r="174" spans="1:12" ht="14.25">
      <c r="A174" s="1262"/>
      <c r="B174" s="1262"/>
      <c r="C174" s="1262"/>
      <c r="D174" s="1262"/>
      <c r="E174" s="1263"/>
      <c r="F174" s="1264"/>
      <c r="G174" s="1264"/>
      <c r="H174" s="1264"/>
      <c r="I174" s="1265"/>
      <c r="J174" s="1266"/>
      <c r="K174" s="794"/>
      <c r="L174" s="794"/>
    </row>
    <row r="175" spans="1:12" ht="14.25">
      <c r="A175"/>
      <c r="B175"/>
      <c r="C175"/>
      <c r="D175"/>
      <c r="E175"/>
      <c r="F175" s="1267"/>
      <c r="G175" s="1267"/>
      <c r="H175" s="1267"/>
      <c r="I175" s="1268"/>
      <c r="J175"/>
      <c r="K175" s="794"/>
      <c r="L175" s="794"/>
    </row>
    <row r="176" spans="1:12">
      <c r="A176" s="794"/>
      <c r="B176" s="794"/>
      <c r="C176" s="794"/>
      <c r="D176" s="794"/>
      <c r="E176" s="794"/>
      <c r="F176" s="794"/>
      <c r="G176" s="794"/>
      <c r="H176" s="794"/>
      <c r="I176" s="794"/>
      <c r="J176" s="794"/>
      <c r="K176" s="794"/>
      <c r="L176" s="794"/>
    </row>
    <row r="177" spans="1:12">
      <c r="A177" s="794"/>
      <c r="B177" s="794"/>
      <c r="C177" s="794"/>
      <c r="D177" s="794"/>
      <c r="E177" s="794"/>
      <c r="F177" s="794"/>
      <c r="G177" s="794"/>
      <c r="H177" s="794"/>
      <c r="I177" s="794"/>
      <c r="J177" s="794"/>
      <c r="K177" s="794"/>
      <c r="L177" s="794"/>
    </row>
    <row r="178" spans="1:12">
      <c r="A178" s="1304"/>
      <c r="B178" s="1304"/>
      <c r="C178" s="1304"/>
      <c r="D178" s="1304"/>
      <c r="E178" s="1304"/>
      <c r="F178" s="1304"/>
      <c r="G178" s="1304"/>
      <c r="H178" s="1304"/>
      <c r="I178" s="1304"/>
      <c r="J178" s="1304"/>
      <c r="K178" s="794"/>
      <c r="L178" s="794"/>
    </row>
    <row r="179" spans="1:12">
      <c r="A179" s="794"/>
      <c r="B179" s="794"/>
      <c r="C179" s="794"/>
      <c r="D179" s="794"/>
      <c r="E179" s="794"/>
      <c r="F179" s="794"/>
      <c r="G179" s="794"/>
      <c r="H179" s="794"/>
      <c r="I179" s="794"/>
      <c r="J179" s="794"/>
      <c r="K179" s="794"/>
      <c r="L179" s="794"/>
    </row>
    <row r="180" spans="1:12">
      <c r="A180" s="794"/>
      <c r="B180" s="794"/>
      <c r="C180" s="794"/>
      <c r="D180" s="794"/>
      <c r="E180" s="794"/>
      <c r="F180" s="794"/>
      <c r="G180" s="794"/>
      <c r="H180" s="794"/>
      <c r="I180" s="794"/>
      <c r="J180" s="794"/>
      <c r="K180" s="794"/>
      <c r="L180" s="794"/>
    </row>
    <row r="181" spans="1:12">
      <c r="A181" s="794"/>
      <c r="B181" s="794"/>
      <c r="C181" s="794"/>
      <c r="D181" s="794"/>
      <c r="E181" s="794"/>
      <c r="F181" s="794"/>
      <c r="G181" s="794"/>
      <c r="H181" s="794"/>
      <c r="I181" s="794"/>
      <c r="J181" s="794"/>
      <c r="K181" s="794"/>
      <c r="L181" s="794"/>
    </row>
    <row r="182" spans="1:12">
      <c r="A182" s="794"/>
      <c r="B182" s="794"/>
      <c r="C182" s="794"/>
      <c r="D182" s="794"/>
      <c r="E182" s="794"/>
      <c r="F182" s="794"/>
      <c r="G182" s="794"/>
      <c r="H182" s="794"/>
      <c r="I182" s="794"/>
      <c r="J182" s="794"/>
      <c r="K182" s="794"/>
      <c r="L182" s="794"/>
    </row>
    <row r="183" spans="1:12" ht="14.25">
      <c r="A183" s="794"/>
      <c r="B183" s="794"/>
      <c r="C183" s="794"/>
      <c r="D183" s="1269"/>
      <c r="E183" s="794"/>
      <c r="F183" s="794"/>
      <c r="G183" s="794"/>
      <c r="H183" s="794"/>
      <c r="I183" s="794"/>
      <c r="J183" s="794"/>
      <c r="K183" s="794"/>
      <c r="L183" s="794"/>
    </row>
    <row r="184" spans="1:12">
      <c r="A184" s="794"/>
      <c r="B184" s="794"/>
      <c r="C184" s="794"/>
      <c r="D184" s="794"/>
      <c r="E184" s="794"/>
      <c r="F184" s="794"/>
      <c r="G184" s="794"/>
      <c r="H184" s="794"/>
      <c r="I184" s="794"/>
      <c r="J184" s="794"/>
      <c r="K184" s="794"/>
      <c r="L184" s="794"/>
    </row>
    <row r="185" spans="1:12">
      <c r="A185" s="794"/>
      <c r="B185" s="794"/>
      <c r="C185" s="794"/>
      <c r="D185" s="794"/>
      <c r="E185" s="794"/>
      <c r="F185" s="794"/>
      <c r="G185" s="794"/>
      <c r="H185" s="794"/>
      <c r="I185" s="794"/>
      <c r="J185" s="794"/>
      <c r="K185" s="794"/>
      <c r="L185" s="794"/>
    </row>
    <row r="186" spans="1:12">
      <c r="A186" s="794"/>
      <c r="B186" s="794"/>
      <c r="C186" s="794"/>
      <c r="D186" s="794"/>
      <c r="E186" s="794"/>
      <c r="F186" s="794"/>
      <c r="G186" s="794"/>
      <c r="H186" s="794"/>
      <c r="I186" s="794"/>
      <c r="J186" s="794"/>
      <c r="K186" s="794"/>
      <c r="L186" s="794"/>
    </row>
    <row r="187" spans="1:12">
      <c r="A187" s="794"/>
      <c r="B187" s="794"/>
      <c r="C187" s="794"/>
      <c r="D187" s="794"/>
      <c r="E187" s="794"/>
      <c r="F187" s="794"/>
      <c r="G187" s="794"/>
      <c r="H187" s="794"/>
      <c r="I187" s="794"/>
      <c r="J187" s="794"/>
      <c r="K187" s="794"/>
      <c r="L187" s="794"/>
    </row>
    <row r="188" spans="1:12" ht="13.15">
      <c r="A188" s="826"/>
      <c r="B188" s="794"/>
      <c r="C188" s="794"/>
      <c r="D188" s="794"/>
      <c r="E188" s="794"/>
      <c r="F188" s="794"/>
      <c r="G188" s="794"/>
      <c r="H188" s="794"/>
      <c r="I188" s="794"/>
      <c r="J188" s="794"/>
      <c r="K188" s="794"/>
      <c r="L188" s="794"/>
    </row>
    <row r="189" spans="1:12" ht="13.15">
      <c r="A189" s="826"/>
      <c r="B189" s="794"/>
      <c r="C189" s="794"/>
      <c r="D189" s="794"/>
      <c r="E189" s="794"/>
      <c r="F189" s="794"/>
      <c r="G189" s="794"/>
      <c r="H189" s="794"/>
      <c r="I189" s="794"/>
      <c r="J189" s="794"/>
      <c r="K189" s="794"/>
      <c r="L189" s="794"/>
    </row>
    <row r="190" spans="1:12" ht="13.15">
      <c r="A190" s="826"/>
      <c r="B190" s="794"/>
      <c r="C190" s="794"/>
      <c r="D190" s="794"/>
      <c r="E190" s="794"/>
      <c r="F190" s="794"/>
      <c r="G190" s="794"/>
      <c r="H190" s="794"/>
      <c r="I190" s="794"/>
      <c r="J190" s="794"/>
      <c r="K190" s="794"/>
      <c r="L190" s="794"/>
    </row>
    <row r="191" spans="1:12">
      <c r="A191" s="794"/>
      <c r="B191" s="794"/>
      <c r="C191" s="794"/>
      <c r="D191" s="794"/>
      <c r="E191" s="794"/>
      <c r="F191" s="794"/>
      <c r="G191" s="794"/>
      <c r="H191" s="794"/>
      <c r="I191" s="794"/>
      <c r="J191" s="794"/>
      <c r="K191" s="794"/>
      <c r="L191" s="794"/>
    </row>
    <row r="192" spans="1:12">
      <c r="A192" s="1270"/>
      <c r="B192" s="794"/>
      <c r="C192" s="794"/>
      <c r="D192" s="794"/>
      <c r="E192" s="794"/>
      <c r="F192" s="794"/>
      <c r="G192" s="794"/>
      <c r="H192" s="794"/>
      <c r="I192" s="794"/>
      <c r="J192" s="794"/>
      <c r="K192" s="794"/>
      <c r="L192" s="794"/>
    </row>
    <row r="193" spans="1:12">
      <c r="A193" s="794"/>
      <c r="B193" s="794"/>
      <c r="C193" s="794"/>
      <c r="D193" s="794"/>
      <c r="E193" s="794"/>
      <c r="F193" s="794"/>
      <c r="G193" s="794"/>
      <c r="H193" s="794"/>
      <c r="I193" s="794"/>
      <c r="J193" s="794"/>
      <c r="K193" s="794"/>
      <c r="L193" s="794"/>
    </row>
    <row r="194" spans="1:12">
      <c r="A194" s="794"/>
      <c r="B194" s="794"/>
      <c r="C194" s="794"/>
      <c r="D194" s="794"/>
      <c r="E194" s="794"/>
      <c r="F194" s="794"/>
      <c r="G194" s="794"/>
      <c r="H194" s="794"/>
      <c r="I194" s="794"/>
      <c r="J194" s="794"/>
      <c r="K194" s="794"/>
      <c r="L194" s="794"/>
    </row>
    <row r="195" spans="1:12">
      <c r="A195" s="1301"/>
      <c r="B195" s="1301"/>
      <c r="C195" s="1301"/>
      <c r="D195" s="1301"/>
      <c r="E195" s="1301"/>
      <c r="F195" s="1301"/>
      <c r="G195" s="1301"/>
      <c r="H195" s="1301"/>
      <c r="I195" s="1301"/>
      <c r="J195" s="1301"/>
      <c r="K195" s="794"/>
      <c r="L195" s="794"/>
    </row>
    <row r="196" spans="1:12">
      <c r="A196" s="794"/>
      <c r="B196" s="794"/>
      <c r="C196" s="794"/>
      <c r="D196" s="794"/>
      <c r="E196" s="794"/>
      <c r="F196" s="794"/>
      <c r="G196" s="794"/>
      <c r="H196" s="794"/>
      <c r="I196" s="794"/>
      <c r="J196" s="794"/>
      <c r="K196" s="794"/>
      <c r="L196" s="794"/>
    </row>
    <row r="197" spans="1:12">
      <c r="A197" s="794"/>
      <c r="B197" s="794"/>
      <c r="C197" s="794"/>
      <c r="D197" s="794"/>
      <c r="E197" s="794"/>
      <c r="F197" s="794"/>
      <c r="G197" s="794"/>
      <c r="H197" s="794"/>
      <c r="I197" s="794"/>
      <c r="J197" s="794"/>
      <c r="K197" s="794"/>
      <c r="L197" s="794"/>
    </row>
    <row r="198" spans="1:12">
      <c r="A198" s="794"/>
      <c r="B198" s="794"/>
      <c r="C198" s="794"/>
      <c r="D198" s="794"/>
      <c r="E198" s="794"/>
      <c r="F198" s="794"/>
      <c r="G198" s="794"/>
      <c r="H198" s="794"/>
      <c r="I198" s="794"/>
      <c r="J198" s="794"/>
      <c r="K198" s="794"/>
      <c r="L198" s="794"/>
    </row>
    <row r="199" spans="1:12">
      <c r="A199" s="794"/>
      <c r="B199" s="794"/>
      <c r="C199" s="794"/>
      <c r="D199" s="794"/>
      <c r="E199" s="794"/>
      <c r="F199" s="794"/>
      <c r="G199" s="794"/>
      <c r="H199" s="794"/>
      <c r="I199" s="794"/>
      <c r="J199" s="794"/>
      <c r="K199" s="794"/>
      <c r="L199" s="794"/>
    </row>
    <row r="200" spans="1:12">
      <c r="A200" s="794"/>
      <c r="B200" s="794"/>
      <c r="C200" s="794"/>
      <c r="D200" s="794"/>
      <c r="E200" s="794"/>
      <c r="F200" s="794"/>
      <c r="G200" s="794"/>
      <c r="H200" s="794"/>
      <c r="I200" s="794"/>
      <c r="J200" s="794"/>
      <c r="K200" s="794"/>
      <c r="L200" s="794"/>
    </row>
    <row r="201" spans="1:12">
      <c r="A201" s="794"/>
      <c r="B201" s="794"/>
      <c r="C201" s="794"/>
      <c r="D201" s="794"/>
      <c r="E201" s="794"/>
      <c r="F201" s="794"/>
      <c r="G201" s="794"/>
      <c r="H201" s="794"/>
      <c r="I201" s="794"/>
      <c r="J201" s="794"/>
      <c r="K201" s="794"/>
      <c r="L201" s="794"/>
    </row>
    <row r="202" spans="1:12">
      <c r="A202" s="794"/>
      <c r="B202" s="794"/>
      <c r="C202" s="794"/>
      <c r="D202" s="794"/>
      <c r="E202" s="794"/>
      <c r="F202" s="794"/>
      <c r="G202" s="794"/>
      <c r="H202" s="794"/>
      <c r="I202" s="794"/>
      <c r="J202" s="794"/>
      <c r="K202" s="794"/>
      <c r="L202" s="794"/>
    </row>
    <row r="203" spans="1:12">
      <c r="A203" s="794"/>
      <c r="B203" s="794"/>
      <c r="C203" s="794"/>
      <c r="D203" s="794"/>
      <c r="E203" s="794"/>
      <c r="F203" s="794"/>
      <c r="G203" s="794"/>
      <c r="H203" s="794"/>
      <c r="I203" s="794"/>
      <c r="J203" s="794"/>
      <c r="K203" s="794"/>
      <c r="L203" s="794"/>
    </row>
    <row r="204" spans="1:12">
      <c r="A204" s="794"/>
      <c r="B204" s="1106"/>
      <c r="C204" s="794"/>
      <c r="D204" s="794"/>
      <c r="E204" s="794"/>
      <c r="F204" s="794"/>
      <c r="G204" s="794"/>
      <c r="H204" s="794"/>
      <c r="I204" s="794"/>
      <c r="J204" s="794"/>
      <c r="K204" s="794"/>
      <c r="L204" s="794"/>
    </row>
    <row r="205" spans="1:12">
      <c r="A205" s="794"/>
      <c r="B205" s="1106"/>
      <c r="C205" s="794"/>
      <c r="D205" s="794"/>
      <c r="E205" s="794"/>
      <c r="F205" s="794"/>
      <c r="G205" s="794"/>
      <c r="H205" s="794"/>
      <c r="I205" s="794"/>
      <c r="J205" s="794"/>
      <c r="K205" s="794"/>
      <c r="L205" s="794"/>
    </row>
    <row r="206" spans="1:12">
      <c r="A206" s="794"/>
      <c r="B206" s="794"/>
      <c r="C206" s="794"/>
      <c r="D206" s="794"/>
      <c r="E206" s="794"/>
      <c r="F206" s="794"/>
      <c r="G206" s="794"/>
      <c r="H206" s="794"/>
      <c r="I206" s="794"/>
      <c r="J206" s="794"/>
      <c r="K206" s="794"/>
      <c r="L206" s="794"/>
    </row>
    <row r="207" spans="1:12">
      <c r="A207" s="794"/>
      <c r="B207" s="794"/>
      <c r="C207" s="794"/>
      <c r="D207" s="794"/>
      <c r="E207" s="794"/>
      <c r="F207" s="794"/>
      <c r="G207" s="794"/>
      <c r="H207" s="794"/>
      <c r="I207" s="794"/>
      <c r="J207" s="794"/>
      <c r="K207" s="794"/>
      <c r="L207" s="794"/>
    </row>
    <row r="208" spans="1:12" ht="14.65" customHeight="1">
      <c r="A208" s="1302"/>
      <c r="B208" s="1302"/>
      <c r="C208" s="1302"/>
      <c r="D208" s="1302"/>
      <c r="E208" s="1302"/>
      <c r="F208" s="1302"/>
      <c r="G208" s="1302"/>
      <c r="H208" s="794"/>
      <c r="I208" s="794"/>
      <c r="J208" s="794"/>
      <c r="K208" s="794"/>
      <c r="L208" s="794"/>
    </row>
    <row r="209" spans="1:12">
      <c r="A209" s="794"/>
      <c r="B209" s="794"/>
      <c r="C209" s="794"/>
      <c r="D209" s="794"/>
      <c r="E209" s="794"/>
      <c r="F209" s="794"/>
      <c r="G209" s="794"/>
      <c r="H209" s="794"/>
      <c r="I209" s="794"/>
      <c r="J209" s="794"/>
      <c r="K209" s="794"/>
      <c r="L209" s="794"/>
    </row>
    <row r="210" spans="1:12">
      <c r="A210" s="794"/>
      <c r="B210" s="794"/>
      <c r="C210" s="794"/>
      <c r="D210" s="794"/>
      <c r="E210" s="794"/>
      <c r="F210" s="794"/>
      <c r="G210" s="794"/>
      <c r="H210" s="794"/>
      <c r="I210" s="794"/>
      <c r="J210" s="794"/>
      <c r="K210" s="794"/>
      <c r="L210" s="794"/>
    </row>
    <row r="211" spans="1:12">
      <c r="A211" s="794"/>
      <c r="B211" s="794"/>
      <c r="C211" s="794"/>
      <c r="D211" s="794"/>
      <c r="E211" s="794"/>
      <c r="F211" s="794"/>
      <c r="G211" s="794"/>
      <c r="H211" s="794"/>
      <c r="I211" s="794"/>
      <c r="J211" s="794"/>
      <c r="K211" s="794"/>
      <c r="L211" s="794"/>
    </row>
    <row r="212" spans="1:12">
      <c r="A212" s="794"/>
      <c r="B212" s="794"/>
      <c r="C212" s="794"/>
      <c r="D212" s="794"/>
      <c r="E212" s="794"/>
      <c r="F212" s="794"/>
      <c r="G212" s="794"/>
      <c r="H212" s="794"/>
      <c r="I212" s="794"/>
      <c r="J212" s="794"/>
      <c r="K212" s="794"/>
      <c r="L212" s="794"/>
    </row>
    <row r="213" spans="1:12">
      <c r="A213" s="794"/>
      <c r="B213" s="794"/>
      <c r="C213" s="794"/>
      <c r="D213" s="794"/>
      <c r="E213" s="794"/>
      <c r="F213" s="794"/>
      <c r="G213" s="794"/>
      <c r="H213" s="794"/>
      <c r="I213" s="794"/>
      <c r="J213" s="794"/>
      <c r="K213" s="794"/>
      <c r="L213" s="794"/>
    </row>
    <row r="214" spans="1:12" ht="13.15">
      <c r="A214" s="826"/>
      <c r="B214" s="794"/>
      <c r="C214" s="794"/>
      <c r="D214" s="794"/>
      <c r="E214" s="794"/>
      <c r="F214" s="794"/>
      <c r="G214" s="794"/>
      <c r="H214" s="794"/>
      <c r="I214" s="794"/>
      <c r="J214" s="794"/>
      <c r="K214" s="794"/>
      <c r="L214" s="794"/>
    </row>
    <row r="215" spans="1:12">
      <c r="A215" s="794"/>
      <c r="B215" s="794"/>
      <c r="C215" s="794"/>
      <c r="D215" s="794"/>
      <c r="E215" s="794"/>
      <c r="F215" s="794"/>
      <c r="G215" s="794"/>
      <c r="H215" s="794"/>
      <c r="I215" s="794"/>
      <c r="J215" s="794"/>
      <c r="K215" s="794"/>
      <c r="L215" s="794"/>
    </row>
    <row r="216" spans="1:12">
      <c r="A216" s="794"/>
      <c r="B216" s="794"/>
      <c r="C216" s="794"/>
      <c r="D216" s="794"/>
      <c r="E216" s="794"/>
      <c r="F216" s="794"/>
      <c r="G216" s="794"/>
      <c r="H216" s="794"/>
      <c r="I216" s="794"/>
      <c r="J216" s="794"/>
      <c r="K216" s="794"/>
      <c r="L216" s="794"/>
    </row>
    <row r="217" spans="1:12">
      <c r="A217" s="794"/>
      <c r="B217" s="794"/>
      <c r="C217" s="794"/>
      <c r="D217" s="794"/>
      <c r="E217" s="794"/>
      <c r="F217" s="794"/>
      <c r="G217" s="794"/>
      <c r="H217" s="794"/>
      <c r="I217" s="794"/>
      <c r="J217" s="794"/>
      <c r="K217" s="794"/>
      <c r="L217" s="794"/>
    </row>
    <row r="218" spans="1:12">
      <c r="A218" s="794"/>
      <c r="B218" s="794"/>
      <c r="C218" s="794"/>
      <c r="D218" s="794"/>
      <c r="E218" s="794"/>
      <c r="F218" s="794"/>
      <c r="G218" s="794"/>
      <c r="H218" s="794"/>
      <c r="I218" s="794"/>
      <c r="J218" s="794"/>
      <c r="K218" s="794"/>
      <c r="L218" s="794"/>
    </row>
    <row r="219" spans="1:12">
      <c r="A219" s="794"/>
      <c r="B219" s="794"/>
      <c r="C219" s="794"/>
      <c r="D219" s="794"/>
      <c r="E219" s="794"/>
      <c r="F219" s="794"/>
      <c r="G219" s="794"/>
      <c r="H219" s="794"/>
      <c r="I219" s="794"/>
      <c r="J219" s="794"/>
      <c r="K219" s="794"/>
      <c r="L219" s="794"/>
    </row>
    <row r="220" spans="1:12">
      <c r="A220" s="794"/>
      <c r="B220" s="794"/>
      <c r="C220" s="794"/>
      <c r="D220" s="794"/>
      <c r="E220" s="794"/>
      <c r="F220" s="794"/>
      <c r="G220" s="794"/>
      <c r="H220" s="794"/>
      <c r="I220" s="794"/>
      <c r="J220" s="794"/>
      <c r="K220" s="794"/>
      <c r="L220" s="794"/>
    </row>
    <row r="221" spans="1:12">
      <c r="A221" s="794"/>
      <c r="B221" s="794"/>
      <c r="C221" s="794"/>
      <c r="D221" s="794"/>
      <c r="E221" s="794"/>
      <c r="F221" s="794"/>
      <c r="G221" s="794"/>
      <c r="H221" s="794"/>
      <c r="I221" s="794"/>
      <c r="J221" s="794"/>
      <c r="K221" s="794"/>
      <c r="L221" s="794"/>
    </row>
    <row r="222" spans="1:12">
      <c r="A222" s="794"/>
      <c r="B222" s="794"/>
      <c r="C222" s="794"/>
      <c r="D222" s="794"/>
      <c r="E222" s="794"/>
      <c r="F222" s="794"/>
      <c r="G222" s="794"/>
      <c r="H222" s="794"/>
      <c r="I222" s="794"/>
      <c r="J222" s="794"/>
      <c r="K222" s="794"/>
      <c r="L222" s="794"/>
    </row>
    <row r="223" spans="1:12" ht="13.15">
      <c r="A223" s="826"/>
      <c r="B223" s="826"/>
      <c r="C223" s="826"/>
      <c r="D223" s="826"/>
      <c r="E223" s="826"/>
      <c r="F223" s="826"/>
      <c r="G223" s="826"/>
      <c r="H223" s="794"/>
      <c r="I223" s="794"/>
      <c r="J223" s="794"/>
      <c r="K223" s="794"/>
      <c r="L223" s="794"/>
    </row>
    <row r="224" spans="1:12">
      <c r="A224" s="794"/>
      <c r="B224" s="794"/>
      <c r="C224" s="794"/>
      <c r="D224" s="794"/>
      <c r="E224" s="794"/>
      <c r="F224" s="794"/>
      <c r="G224" s="794"/>
      <c r="H224" s="794"/>
      <c r="I224" s="794"/>
      <c r="J224" s="794"/>
      <c r="K224" s="794"/>
      <c r="L224" s="794"/>
    </row>
    <row r="225" spans="1:12">
      <c r="A225" s="794"/>
      <c r="B225" s="794"/>
      <c r="C225" s="794"/>
      <c r="D225" s="794"/>
      <c r="E225" s="794"/>
      <c r="F225" s="794"/>
      <c r="G225" s="794"/>
      <c r="H225" s="794"/>
      <c r="I225" s="794"/>
      <c r="J225" s="794"/>
      <c r="K225" s="794"/>
      <c r="L225" s="794"/>
    </row>
    <row r="226" spans="1:12">
      <c r="A226" s="794"/>
      <c r="B226" s="794"/>
      <c r="C226" s="794"/>
      <c r="D226" s="794"/>
      <c r="E226" s="794"/>
      <c r="F226" s="794"/>
      <c r="G226" s="794"/>
      <c r="H226" s="794"/>
      <c r="I226" s="794"/>
      <c r="J226" s="794"/>
      <c r="K226" s="794"/>
      <c r="L226" s="794"/>
    </row>
    <row r="227" spans="1:12">
      <c r="A227" s="794"/>
      <c r="B227" s="794"/>
      <c r="C227" s="794"/>
      <c r="D227" s="794"/>
      <c r="E227" s="794"/>
      <c r="F227" s="794"/>
      <c r="G227" s="794"/>
      <c r="H227" s="794"/>
      <c r="I227" s="794"/>
      <c r="J227" s="794"/>
      <c r="K227" s="794"/>
      <c r="L227" s="794"/>
    </row>
    <row r="228" spans="1:12">
      <c r="A228" s="794"/>
      <c r="B228" s="794"/>
      <c r="C228" s="794"/>
      <c r="D228" s="794"/>
      <c r="E228" s="794"/>
      <c r="F228" s="794"/>
      <c r="G228" s="794"/>
      <c r="H228" s="794"/>
      <c r="I228" s="794"/>
      <c r="J228" s="794"/>
      <c r="K228" s="794"/>
      <c r="L228" s="794"/>
    </row>
    <row r="229" spans="1:12">
      <c r="A229" s="794"/>
      <c r="B229" s="794"/>
      <c r="C229" s="794"/>
      <c r="D229" s="794"/>
      <c r="E229" s="794"/>
      <c r="F229" s="794"/>
      <c r="G229" s="794"/>
      <c r="H229" s="794"/>
      <c r="I229" s="794"/>
      <c r="J229" s="794"/>
      <c r="K229" s="794"/>
      <c r="L229" s="794"/>
    </row>
    <row r="230" spans="1:12">
      <c r="A230" s="794"/>
      <c r="B230" s="794"/>
      <c r="C230" s="794"/>
      <c r="D230" s="794"/>
      <c r="E230" s="794"/>
      <c r="F230" s="794"/>
      <c r="G230" s="794"/>
      <c r="H230" s="794"/>
      <c r="I230" s="794"/>
      <c r="J230" s="794"/>
      <c r="K230" s="794"/>
      <c r="L230" s="794"/>
    </row>
    <row r="231" spans="1:12">
      <c r="A231" s="794"/>
      <c r="B231" s="794"/>
      <c r="C231" s="794"/>
      <c r="D231" s="794"/>
      <c r="E231" s="794"/>
      <c r="F231" s="794"/>
      <c r="G231" s="794"/>
      <c r="H231" s="794"/>
      <c r="I231" s="794"/>
      <c r="J231" s="794"/>
      <c r="K231" s="794"/>
      <c r="L231" s="794"/>
    </row>
    <row r="232" spans="1:12">
      <c r="A232" s="794"/>
      <c r="B232" s="794"/>
      <c r="C232" s="794"/>
      <c r="D232" s="794"/>
      <c r="E232" s="794"/>
      <c r="F232" s="794"/>
      <c r="G232" s="794"/>
      <c r="H232" s="794"/>
      <c r="I232" s="794"/>
      <c r="J232" s="794"/>
      <c r="K232" s="794"/>
      <c r="L232" s="794"/>
    </row>
    <row r="233" spans="1:12" ht="13.15">
      <c r="A233" s="826"/>
      <c r="B233" s="794"/>
      <c r="C233" s="794"/>
      <c r="D233" s="794"/>
      <c r="E233" s="794"/>
      <c r="F233" s="794"/>
      <c r="G233" s="794"/>
      <c r="H233" s="794"/>
      <c r="I233" s="794"/>
      <c r="J233" s="794"/>
      <c r="K233" s="794"/>
      <c r="L233" s="794"/>
    </row>
    <row r="234" spans="1:12">
      <c r="A234" s="794"/>
      <c r="B234" s="794"/>
      <c r="C234" s="794"/>
      <c r="D234" s="794"/>
      <c r="E234" s="794"/>
      <c r="F234" s="794"/>
      <c r="G234" s="794"/>
      <c r="H234" s="794"/>
      <c r="I234" s="794"/>
      <c r="J234" s="794"/>
      <c r="K234" s="794"/>
      <c r="L234" s="794"/>
    </row>
    <row r="235" spans="1:12">
      <c r="A235" s="794"/>
      <c r="B235" s="794"/>
      <c r="C235" s="794"/>
      <c r="D235" s="794"/>
      <c r="E235" s="794"/>
      <c r="F235" s="794"/>
      <c r="G235" s="794"/>
      <c r="H235" s="794"/>
      <c r="I235" s="794"/>
      <c r="J235" s="794"/>
      <c r="K235" s="794"/>
      <c r="L235" s="794"/>
    </row>
    <row r="236" spans="1:12">
      <c r="A236" s="794"/>
      <c r="B236" s="794"/>
      <c r="C236" s="794"/>
      <c r="D236" s="794"/>
      <c r="E236" s="794"/>
      <c r="F236" s="794"/>
      <c r="G236" s="794"/>
      <c r="H236" s="794"/>
      <c r="I236" s="794"/>
      <c r="J236" s="794"/>
      <c r="K236" s="794"/>
      <c r="L236" s="794"/>
    </row>
    <row r="237" spans="1:12">
      <c r="A237" s="794"/>
      <c r="B237" s="794"/>
      <c r="C237" s="794"/>
      <c r="D237" s="794"/>
      <c r="E237" s="794"/>
      <c r="F237" s="794"/>
      <c r="G237" s="794"/>
      <c r="H237" s="794"/>
      <c r="I237" s="794"/>
      <c r="J237" s="794"/>
      <c r="K237" s="794"/>
      <c r="L237" s="794"/>
    </row>
    <row r="238" spans="1:12">
      <c r="A238" s="794"/>
      <c r="B238" s="794"/>
      <c r="C238" s="794"/>
      <c r="D238" s="794"/>
      <c r="E238" s="794"/>
      <c r="F238" s="794"/>
      <c r="G238" s="794"/>
      <c r="H238" s="794"/>
      <c r="I238" s="794"/>
      <c r="J238" s="794"/>
      <c r="K238" s="794"/>
      <c r="L238" s="794"/>
    </row>
    <row r="239" spans="1:12">
      <c r="A239" s="794"/>
      <c r="B239" s="794"/>
      <c r="C239" s="794"/>
      <c r="D239" s="794"/>
      <c r="E239" s="794"/>
      <c r="F239" s="794"/>
      <c r="G239" s="794"/>
      <c r="H239" s="794"/>
      <c r="I239" s="794"/>
      <c r="J239" s="794"/>
      <c r="K239" s="794"/>
      <c r="L239" s="794"/>
    </row>
    <row r="240" spans="1:12">
      <c r="A240" s="794"/>
      <c r="B240" s="794"/>
      <c r="C240" s="794"/>
      <c r="D240" s="794"/>
      <c r="E240" s="794"/>
      <c r="F240" s="794"/>
      <c r="G240" s="794"/>
      <c r="H240" s="794"/>
      <c r="I240" s="794"/>
      <c r="J240" s="794"/>
      <c r="K240" s="794"/>
      <c r="L240" s="794"/>
    </row>
    <row r="241" spans="1:12" ht="13.15">
      <c r="A241" s="826"/>
      <c r="B241" s="794"/>
      <c r="C241" s="794"/>
      <c r="D241" s="794"/>
      <c r="E241" s="794"/>
      <c r="F241" s="794"/>
      <c r="G241" s="794"/>
      <c r="H241" s="794"/>
      <c r="I241" s="794"/>
      <c r="J241" s="794"/>
      <c r="K241" s="794"/>
      <c r="L241" s="794"/>
    </row>
    <row r="242" spans="1:12">
      <c r="A242" s="794"/>
      <c r="B242" s="794"/>
      <c r="C242" s="794"/>
      <c r="D242" s="794"/>
      <c r="E242" s="794"/>
      <c r="F242" s="794"/>
      <c r="G242" s="794"/>
      <c r="H242" s="794"/>
      <c r="I242" s="794"/>
      <c r="J242" s="794"/>
      <c r="K242" s="794"/>
      <c r="L242" s="794"/>
    </row>
    <row r="243" spans="1:12">
      <c r="A243" s="794"/>
      <c r="B243" s="794"/>
      <c r="C243" s="794"/>
      <c r="D243" s="794"/>
      <c r="E243" s="794"/>
      <c r="F243" s="794"/>
      <c r="G243" s="794"/>
      <c r="H243" s="794"/>
      <c r="I243" s="794"/>
      <c r="J243" s="794"/>
      <c r="K243" s="794"/>
      <c r="L243" s="794"/>
    </row>
    <row r="244" spans="1:12">
      <c r="A244" s="794"/>
      <c r="B244" s="794"/>
      <c r="C244" s="794"/>
      <c r="D244" s="794"/>
      <c r="E244" s="794"/>
      <c r="F244" s="794"/>
      <c r="G244" s="794"/>
      <c r="H244" s="794"/>
      <c r="I244" s="794"/>
      <c r="J244" s="794"/>
      <c r="K244" s="794"/>
      <c r="L244" s="794"/>
    </row>
    <row r="245" spans="1:12">
      <c r="A245" s="794"/>
      <c r="B245" s="794"/>
      <c r="C245" s="794"/>
      <c r="D245" s="794"/>
      <c r="E245" s="794"/>
      <c r="F245" s="794"/>
      <c r="G245" s="794"/>
      <c r="H245" s="794"/>
      <c r="I245" s="794"/>
      <c r="J245" s="794"/>
      <c r="K245" s="794"/>
      <c r="L245" s="794"/>
    </row>
    <row r="246" spans="1:12">
      <c r="A246" s="794"/>
      <c r="B246" s="794"/>
      <c r="C246" s="794"/>
      <c r="D246" s="794"/>
      <c r="E246" s="794"/>
      <c r="F246" s="794"/>
      <c r="G246" s="794"/>
      <c r="H246" s="794"/>
      <c r="I246" s="794"/>
      <c r="J246" s="794"/>
      <c r="K246" s="794"/>
      <c r="L246" s="794"/>
    </row>
    <row r="247" spans="1:12">
      <c r="A247" s="794"/>
      <c r="B247" s="794"/>
      <c r="C247" s="794"/>
      <c r="D247" s="794"/>
      <c r="E247" s="794"/>
      <c r="F247" s="794"/>
      <c r="G247" s="794"/>
      <c r="H247" s="794"/>
      <c r="I247" s="794"/>
      <c r="J247" s="794"/>
      <c r="K247" s="794"/>
      <c r="L247" s="794"/>
    </row>
    <row r="248" spans="1:12">
      <c r="A248" s="794"/>
      <c r="B248" s="794"/>
      <c r="C248" s="794"/>
      <c r="D248" s="794"/>
      <c r="E248" s="794"/>
      <c r="F248" s="794"/>
      <c r="G248" s="794"/>
      <c r="H248" s="794"/>
      <c r="I248" s="794"/>
      <c r="J248" s="794"/>
      <c r="K248" s="794"/>
      <c r="L248" s="794"/>
    </row>
    <row r="249" spans="1:12">
      <c r="A249" s="794"/>
      <c r="B249" s="794"/>
      <c r="C249" s="794"/>
      <c r="D249" s="794"/>
      <c r="E249" s="794"/>
      <c r="F249" s="794"/>
      <c r="G249" s="794"/>
      <c r="H249" s="794"/>
      <c r="I249" s="794"/>
      <c r="J249" s="794"/>
      <c r="K249" s="794"/>
      <c r="L249" s="794"/>
    </row>
    <row r="250" spans="1:12">
      <c r="A250" s="794"/>
      <c r="B250" s="794"/>
      <c r="C250" s="794"/>
      <c r="D250" s="794"/>
      <c r="E250" s="794"/>
      <c r="F250" s="794"/>
      <c r="G250" s="794"/>
      <c r="H250" s="794"/>
      <c r="I250" s="794"/>
      <c r="J250" s="794"/>
      <c r="K250" s="794"/>
      <c r="L250" s="794"/>
    </row>
    <row r="251" spans="1:12">
      <c r="A251" s="794"/>
      <c r="B251" s="794"/>
      <c r="C251" s="794"/>
      <c r="D251" s="794"/>
      <c r="E251" s="794"/>
      <c r="F251" s="794"/>
      <c r="G251" s="794"/>
      <c r="H251" s="794"/>
      <c r="I251" s="794"/>
      <c r="J251" s="794"/>
      <c r="K251" s="794"/>
      <c r="L251" s="794"/>
    </row>
    <row r="252" spans="1:12">
      <c r="A252" s="794"/>
      <c r="B252" s="794"/>
      <c r="C252" s="794"/>
      <c r="D252" s="794"/>
      <c r="E252" s="794"/>
      <c r="F252" s="794"/>
      <c r="G252" s="794"/>
      <c r="H252" s="794"/>
      <c r="I252" s="794"/>
      <c r="J252" s="794"/>
      <c r="K252" s="794"/>
      <c r="L252" s="794"/>
    </row>
    <row r="253" spans="1:12">
      <c r="A253" s="794"/>
      <c r="B253" s="794"/>
      <c r="C253" s="794"/>
      <c r="D253" s="794"/>
      <c r="E253" s="794"/>
      <c r="F253" s="794"/>
      <c r="G253" s="794"/>
      <c r="H253" s="794"/>
      <c r="I253" s="794"/>
      <c r="J253" s="794"/>
      <c r="K253" s="794"/>
      <c r="L253" s="794"/>
    </row>
    <row r="254" spans="1:12">
      <c r="A254" s="794"/>
      <c r="B254" s="794"/>
      <c r="C254" s="794"/>
      <c r="D254" s="794"/>
      <c r="E254" s="794"/>
      <c r="F254" s="794"/>
      <c r="G254" s="794"/>
      <c r="H254" s="794"/>
      <c r="I254" s="794"/>
      <c r="J254" s="794"/>
      <c r="K254" s="794"/>
      <c r="L254" s="794"/>
    </row>
    <row r="255" spans="1:12">
      <c r="A255" s="794"/>
      <c r="B255" s="794"/>
      <c r="C255" s="794"/>
      <c r="D255" s="794"/>
      <c r="E255" s="794"/>
      <c r="F255" s="794"/>
      <c r="G255" s="794"/>
      <c r="H255" s="794"/>
      <c r="I255" s="794"/>
      <c r="J255" s="794"/>
      <c r="K255" s="794"/>
      <c r="L255" s="794"/>
    </row>
  </sheetData>
  <mergeCells count="24">
    <mergeCell ref="C2:D2"/>
    <mergeCell ref="A51:E51"/>
    <mergeCell ref="F51:J51"/>
    <mergeCell ref="A19:C19"/>
    <mergeCell ref="A4:H4"/>
    <mergeCell ref="G14:H14"/>
    <mergeCell ref="A84:E84"/>
    <mergeCell ref="A148:E149"/>
    <mergeCell ref="A140:E141"/>
    <mergeCell ref="A142:E145"/>
    <mergeCell ref="A122:F122"/>
    <mergeCell ref="A146:E146"/>
    <mergeCell ref="A147:E147"/>
    <mergeCell ref="A127:E127"/>
    <mergeCell ref="A116:F116"/>
    <mergeCell ref="A129:E129"/>
    <mergeCell ref="A125:F125"/>
    <mergeCell ref="A195:J195"/>
    <mergeCell ref="A208:G208"/>
    <mergeCell ref="A161:E161"/>
    <mergeCell ref="A160:E160"/>
    <mergeCell ref="A171:E171"/>
    <mergeCell ref="A173:J173"/>
    <mergeCell ref="A178:J178"/>
  </mergeCells>
  <phoneticPr fontId="168" type="noConversion"/>
  <pageMargins left="0.7" right="0.7" top="0.75" bottom="0.75" header="0.3" footer="0.3"/>
  <pageSetup scale="23" pageOrder="overThenDown" orientation="landscape" r:id="rId1"/>
  <rowBreaks count="1" manualBreakCount="1">
    <brk id="151" max="16383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4AF4B-AA19-44C8-886E-4B0199F2ACBD}">
  <sheetPr>
    <tabColor rgb="FF0070C0"/>
  </sheetPr>
  <dimension ref="A1:AZ598"/>
  <sheetViews>
    <sheetView zoomScaleNormal="100" zoomScalePageLayoutView="12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26" sqref="C26"/>
    </sheetView>
  </sheetViews>
  <sheetFormatPr defaultColWidth="8.796875" defaultRowHeight="12.75"/>
  <cols>
    <col min="1" max="1" width="45.53125" style="37" customWidth="1"/>
    <col min="2" max="2" width="14.796875" style="37" customWidth="1"/>
    <col min="3" max="3" width="18.19921875" style="37" customWidth="1"/>
    <col min="4" max="4" width="15.53125" style="37" customWidth="1"/>
    <col min="5" max="5" width="17.19921875" style="37" bestFit="1" customWidth="1"/>
    <col min="6" max="6" width="17.796875" style="37" customWidth="1"/>
    <col min="7" max="7" width="18.33203125" style="167" bestFit="1" customWidth="1"/>
    <col min="8" max="8" width="19" style="37" customWidth="1"/>
    <col min="9" max="9" width="16.59765625" style="37" bestFit="1" customWidth="1"/>
    <col min="10" max="10" width="16.46484375" style="37" customWidth="1"/>
    <col min="11" max="11" width="21.33203125" style="37" bestFit="1" customWidth="1"/>
    <col min="12" max="12" width="14.19921875" style="37" customWidth="1"/>
    <col min="13" max="13" width="14.46484375" style="37" customWidth="1"/>
    <col min="14" max="14" width="15.46484375" style="37" customWidth="1"/>
    <col min="15" max="15" width="18.19921875" style="37" bestFit="1" customWidth="1"/>
    <col min="16" max="16" width="15.46484375" style="37" customWidth="1"/>
    <col min="17" max="17" width="16.59765625" style="37" bestFit="1" customWidth="1"/>
    <col min="18" max="19" width="14" style="37" customWidth="1"/>
    <col min="20" max="20" width="12.796875" style="37" customWidth="1"/>
    <col min="21" max="21" width="14.46484375" style="37" customWidth="1"/>
    <col min="22" max="22" width="16" style="37" customWidth="1"/>
    <col min="23" max="23" width="17" style="37" customWidth="1"/>
    <col min="24" max="24" width="16.46484375" style="37" customWidth="1"/>
    <col min="25" max="25" width="13.46484375" style="37" customWidth="1"/>
    <col min="26" max="26" width="15" style="37" customWidth="1"/>
    <col min="27" max="27" width="13.46484375" style="37" customWidth="1"/>
    <col min="28" max="28" width="16.796875" style="168" customWidth="1"/>
    <col min="29" max="29" width="15" style="37" customWidth="1"/>
    <col min="30" max="30" width="16.19921875" style="37" customWidth="1"/>
    <col min="31" max="31" width="13.46484375" style="168" customWidth="1"/>
    <col min="32" max="32" width="17.19921875" style="37" hidden="1" customWidth="1"/>
    <col min="33" max="33" width="14.46484375" style="37" hidden="1" customWidth="1"/>
    <col min="34" max="34" width="17.53125" style="37" hidden="1" customWidth="1"/>
    <col min="35" max="35" width="14.46484375" style="169" hidden="1" customWidth="1"/>
    <col min="36" max="36" width="14.796875" style="37" hidden="1" customWidth="1"/>
    <col min="37" max="37" width="15" style="37" hidden="1" customWidth="1"/>
    <col min="38" max="38" width="15.19921875" style="37" hidden="1" customWidth="1"/>
    <col min="39" max="39" width="13.53125" style="37" hidden="1" customWidth="1"/>
    <col min="40" max="40" width="13.796875" style="37" hidden="1" customWidth="1"/>
    <col min="41" max="41" width="15.53125" style="37" hidden="1" customWidth="1"/>
    <col min="42" max="43" width="15" style="37" hidden="1" customWidth="1"/>
    <col min="44" max="47" width="15.19921875" style="37" hidden="1" customWidth="1"/>
    <col min="48" max="50" width="17" style="37" customWidth="1"/>
    <col min="51" max="51" width="15" style="37" customWidth="1"/>
    <col min="52" max="52" width="17.796875" style="37" bestFit="1" customWidth="1"/>
    <col min="53" max="53" width="9.53125" style="37" bestFit="1" customWidth="1"/>
    <col min="54" max="54" width="11.796875" style="37" bestFit="1" customWidth="1"/>
    <col min="55" max="56" width="9.53125" style="37" bestFit="1" customWidth="1"/>
    <col min="57" max="16384" width="8.796875" style="37"/>
  </cols>
  <sheetData>
    <row r="1" spans="1:52" ht="14.65" thickBot="1">
      <c r="A1" s="1425" t="str">
        <f>'Development Program'!A50</f>
        <v>Phase 2</v>
      </c>
      <c r="B1" s="253" t="s">
        <v>280</v>
      </c>
      <c r="C1" s="242" t="str">
        <f>'Development Program'!B48</f>
        <v>Pre-Development</v>
      </c>
      <c r="D1" s="242" t="str">
        <f>'Development Program'!C48</f>
        <v>Demolition</v>
      </c>
      <c r="E1" s="242" t="str">
        <f>'Development Program'!D48</f>
        <v>Construction</v>
      </c>
      <c r="F1" s="243" t="str">
        <f>'Development Program'!E48</f>
        <v>Close-out</v>
      </c>
      <c r="O1" s="254" t="s">
        <v>282</v>
      </c>
      <c r="Q1" s="254" t="s">
        <v>283</v>
      </c>
      <c r="AC1" s="287" t="s">
        <v>314</v>
      </c>
      <c r="AE1" s="37"/>
      <c r="AI1" s="37"/>
      <c r="AY1"/>
      <c r="AZ1"/>
    </row>
    <row r="2" spans="1:52" ht="14.65" thickBot="1">
      <c r="A2" s="1426"/>
      <c r="B2" s="456" t="s">
        <v>281</v>
      </c>
      <c r="C2" s="457" t="s">
        <v>530</v>
      </c>
      <c r="D2" s="457" t="s">
        <v>160</v>
      </c>
      <c r="E2" s="457" t="s">
        <v>376</v>
      </c>
      <c r="F2" s="459" t="s">
        <v>377</v>
      </c>
      <c r="K2" s="254" t="s">
        <v>561</v>
      </c>
      <c r="O2" s="254" t="s">
        <v>518</v>
      </c>
      <c r="P2" s="1179"/>
      <c r="Q2" s="254" t="s">
        <v>312</v>
      </c>
      <c r="AC2" s="287" t="s">
        <v>313</v>
      </c>
      <c r="AE2" s="287" t="s">
        <v>315</v>
      </c>
      <c r="AI2" s="37"/>
      <c r="AV2" s="1432" t="s">
        <v>287</v>
      </c>
      <c r="AW2" s="1432"/>
      <c r="AX2" s="1432"/>
      <c r="AY2"/>
      <c r="AZ2"/>
    </row>
    <row r="3" spans="1:52" s="246" customFormat="1" ht="14.65" thickBot="1">
      <c r="A3" s="1451"/>
      <c r="B3" s="247" t="s">
        <v>155</v>
      </c>
      <c r="C3" s="244">
        <v>45658</v>
      </c>
      <c r="D3" s="245">
        <f>EOMONTH(C3,3)</f>
        <v>45777</v>
      </c>
      <c r="E3" s="245">
        <f t="shared" ref="E3:AK3" si="0">EOMONTH(D3,3)</f>
        <v>45869</v>
      </c>
      <c r="F3" s="245">
        <f t="shared" si="0"/>
        <v>45961</v>
      </c>
      <c r="G3" s="245">
        <f t="shared" si="0"/>
        <v>46053</v>
      </c>
      <c r="H3" s="245">
        <f t="shared" si="0"/>
        <v>46142</v>
      </c>
      <c r="I3" s="245">
        <f t="shared" si="0"/>
        <v>46234</v>
      </c>
      <c r="J3" s="289">
        <f t="shared" si="0"/>
        <v>46326</v>
      </c>
      <c r="K3" s="289">
        <f t="shared" si="0"/>
        <v>46418</v>
      </c>
      <c r="L3" s="289">
        <f t="shared" si="0"/>
        <v>46507</v>
      </c>
      <c r="M3" s="289">
        <f t="shared" si="0"/>
        <v>46599</v>
      </c>
      <c r="N3" s="289">
        <f t="shared" si="0"/>
        <v>46691</v>
      </c>
      <c r="O3" s="289">
        <f t="shared" si="0"/>
        <v>46783</v>
      </c>
      <c r="P3" s="289">
        <f t="shared" si="0"/>
        <v>46873</v>
      </c>
      <c r="Q3" s="289">
        <f t="shared" si="0"/>
        <v>46965</v>
      </c>
      <c r="R3" s="289">
        <f t="shared" si="0"/>
        <v>47057</v>
      </c>
      <c r="S3" s="289">
        <f t="shared" si="0"/>
        <v>47149</v>
      </c>
      <c r="T3" s="289">
        <f t="shared" si="0"/>
        <v>47238</v>
      </c>
      <c r="U3" s="289">
        <f t="shared" si="0"/>
        <v>47330</v>
      </c>
      <c r="V3" s="289">
        <f t="shared" si="0"/>
        <v>47422</v>
      </c>
      <c r="W3" s="289">
        <f t="shared" si="0"/>
        <v>47514</v>
      </c>
      <c r="X3" s="289">
        <f t="shared" si="0"/>
        <v>47603</v>
      </c>
      <c r="Y3" s="289">
        <f t="shared" si="0"/>
        <v>47695</v>
      </c>
      <c r="Z3" s="289">
        <f t="shared" si="0"/>
        <v>47787</v>
      </c>
      <c r="AA3" s="289">
        <f t="shared" si="0"/>
        <v>47879</v>
      </c>
      <c r="AB3" s="289">
        <f t="shared" si="0"/>
        <v>47968</v>
      </c>
      <c r="AC3" s="289">
        <f t="shared" si="0"/>
        <v>48060</v>
      </c>
      <c r="AD3" s="289">
        <f t="shared" si="0"/>
        <v>48152</v>
      </c>
      <c r="AE3" s="289">
        <f t="shared" si="0"/>
        <v>48244</v>
      </c>
      <c r="AF3" s="289">
        <f t="shared" si="0"/>
        <v>48334</v>
      </c>
      <c r="AG3" s="289">
        <f t="shared" si="0"/>
        <v>48426</v>
      </c>
      <c r="AH3" s="289">
        <f t="shared" si="0"/>
        <v>48518</v>
      </c>
      <c r="AI3" s="289">
        <f t="shared" si="0"/>
        <v>48610</v>
      </c>
      <c r="AJ3" s="289">
        <f t="shared" si="0"/>
        <v>48699</v>
      </c>
      <c r="AK3" s="289">
        <f t="shared" si="0"/>
        <v>48791</v>
      </c>
      <c r="AL3" s="289">
        <f>EOMONTH(AK3,3)</f>
        <v>48883</v>
      </c>
      <c r="AM3" s="289">
        <f t="shared" ref="AM3:AU3" si="1">EOMONTH(AL3,3)</f>
        <v>48975</v>
      </c>
      <c r="AN3" s="289">
        <f t="shared" si="1"/>
        <v>49064</v>
      </c>
      <c r="AO3" s="289">
        <f t="shared" si="1"/>
        <v>49156</v>
      </c>
      <c r="AP3" s="289">
        <f t="shared" si="1"/>
        <v>49248</v>
      </c>
      <c r="AQ3" s="289">
        <f t="shared" si="1"/>
        <v>49340</v>
      </c>
      <c r="AR3" s="289">
        <f t="shared" si="1"/>
        <v>49429</v>
      </c>
      <c r="AS3" s="289">
        <f>EOMONTH(AR3,3)</f>
        <v>49521</v>
      </c>
      <c r="AT3" s="289">
        <f t="shared" si="1"/>
        <v>49613</v>
      </c>
      <c r="AU3" s="289">
        <f t="shared" si="1"/>
        <v>49705</v>
      </c>
      <c r="AV3" s="289" t="s">
        <v>288</v>
      </c>
      <c r="AW3" s="539" t="s">
        <v>289</v>
      </c>
      <c r="AX3" s="539"/>
      <c r="AY3"/>
      <c r="AZ3"/>
    </row>
    <row r="4" spans="1:52" ht="14.65" thickBot="1">
      <c r="A4" s="248" t="s">
        <v>290</v>
      </c>
      <c r="B4" s="249">
        <v>1</v>
      </c>
      <c r="C4" s="281">
        <v>0</v>
      </c>
      <c r="D4" s="281">
        <v>0</v>
      </c>
      <c r="E4" s="281">
        <v>0</v>
      </c>
      <c r="F4" s="281">
        <f t="shared" ref="F4:J4" si="2">E4</f>
        <v>0</v>
      </c>
      <c r="G4" s="280">
        <f t="shared" si="2"/>
        <v>0</v>
      </c>
      <c r="H4" s="280">
        <v>0</v>
      </c>
      <c r="I4" s="280">
        <v>0</v>
      </c>
      <c r="J4" s="280">
        <f t="shared" si="2"/>
        <v>0</v>
      </c>
      <c r="K4" s="280">
        <v>0</v>
      </c>
      <c r="L4" s="280">
        <v>0</v>
      </c>
      <c r="M4" s="280">
        <v>0</v>
      </c>
      <c r="N4" s="280">
        <v>0</v>
      </c>
      <c r="O4" s="280">
        <v>0</v>
      </c>
      <c r="P4" s="280">
        <v>0</v>
      </c>
      <c r="Q4" s="280">
        <v>0.06</v>
      </c>
      <c r="R4" s="280">
        <v>0.06</v>
      </c>
      <c r="S4" s="280">
        <v>0.06</v>
      </c>
      <c r="T4" s="280">
        <v>0.06</v>
      </c>
      <c r="U4" s="280">
        <v>0.06</v>
      </c>
      <c r="V4" s="280">
        <v>0.06</v>
      </c>
      <c r="W4" s="280">
        <v>0.06</v>
      </c>
      <c r="X4" s="280">
        <v>0.08</v>
      </c>
      <c r="Y4" s="280">
        <v>0.1</v>
      </c>
      <c r="Z4" s="280">
        <v>0.1</v>
      </c>
      <c r="AA4" s="280">
        <v>0.1</v>
      </c>
      <c r="AB4" s="280">
        <v>0.1</v>
      </c>
      <c r="AC4" s="280">
        <v>0.1</v>
      </c>
      <c r="AD4" s="280"/>
      <c r="AE4" s="280"/>
      <c r="AF4" s="280"/>
      <c r="AG4" s="280"/>
      <c r="AH4" s="280"/>
      <c r="AI4" s="280"/>
      <c r="AJ4" s="280"/>
      <c r="AK4" s="280"/>
      <c r="AL4" s="280"/>
      <c r="AM4" s="280"/>
      <c r="AN4" s="280"/>
      <c r="AO4" s="280"/>
      <c r="AP4" s="280"/>
      <c r="AQ4" s="280"/>
      <c r="AR4" s="280"/>
      <c r="AS4" s="291"/>
      <c r="AT4" s="291"/>
      <c r="AU4" s="291"/>
      <c r="AV4" s="464">
        <f>SUM(C4:AR4)</f>
        <v>0.99999999999999989</v>
      </c>
      <c r="AW4" s="465"/>
      <c r="AX4" s="255" t="s">
        <v>291</v>
      </c>
      <c r="AY4"/>
      <c r="AZ4"/>
    </row>
    <row r="5" spans="1:52" ht="14.25">
      <c r="A5" s="202" t="str">
        <f>'Phase 2a Financial'!A63</f>
        <v>Hard Costs for Construction</v>
      </c>
      <c r="B5" s="250">
        <f>'Phase 2a Financial'!C63</f>
        <v>562301100</v>
      </c>
      <c r="C5" s="468">
        <f t="shared" ref="C5:AC5" si="3">$B$5*C4</f>
        <v>0</v>
      </c>
      <c r="D5" s="468">
        <f t="shared" si="3"/>
        <v>0</v>
      </c>
      <c r="E5" s="468">
        <f t="shared" si="3"/>
        <v>0</v>
      </c>
      <c r="F5" s="468">
        <f t="shared" si="3"/>
        <v>0</v>
      </c>
      <c r="G5" s="468">
        <f t="shared" si="3"/>
        <v>0</v>
      </c>
      <c r="H5" s="468">
        <f t="shared" si="3"/>
        <v>0</v>
      </c>
      <c r="I5" s="468">
        <f t="shared" si="3"/>
        <v>0</v>
      </c>
      <c r="J5" s="468">
        <f t="shared" si="3"/>
        <v>0</v>
      </c>
      <c r="K5" s="468">
        <f t="shared" si="3"/>
        <v>0</v>
      </c>
      <c r="L5" s="468">
        <f t="shared" si="3"/>
        <v>0</v>
      </c>
      <c r="M5" s="468">
        <f t="shared" si="3"/>
        <v>0</v>
      </c>
      <c r="N5" s="468">
        <f t="shared" si="3"/>
        <v>0</v>
      </c>
      <c r="O5" s="468">
        <f t="shared" si="3"/>
        <v>0</v>
      </c>
      <c r="P5" s="468">
        <f t="shared" si="3"/>
        <v>0</v>
      </c>
      <c r="Q5" s="468">
        <f t="shared" si="3"/>
        <v>33738066</v>
      </c>
      <c r="R5" s="468">
        <f t="shared" si="3"/>
        <v>33738066</v>
      </c>
      <c r="S5" s="468">
        <f t="shared" si="3"/>
        <v>33738066</v>
      </c>
      <c r="T5" s="468">
        <f t="shared" si="3"/>
        <v>33738066</v>
      </c>
      <c r="U5" s="468">
        <f t="shared" si="3"/>
        <v>33738066</v>
      </c>
      <c r="V5" s="468">
        <f t="shared" si="3"/>
        <v>33738066</v>
      </c>
      <c r="W5" s="468">
        <f t="shared" si="3"/>
        <v>33738066</v>
      </c>
      <c r="X5" s="468">
        <f t="shared" si="3"/>
        <v>44984088</v>
      </c>
      <c r="Y5" s="468">
        <f t="shared" si="3"/>
        <v>56230110</v>
      </c>
      <c r="Z5" s="468">
        <f t="shared" si="3"/>
        <v>56230110</v>
      </c>
      <c r="AA5" s="468">
        <f t="shared" si="3"/>
        <v>56230110</v>
      </c>
      <c r="AB5" s="468">
        <f t="shared" si="3"/>
        <v>56230110</v>
      </c>
      <c r="AC5" s="468">
        <f t="shared" si="3"/>
        <v>56230110</v>
      </c>
      <c r="AD5" s="468"/>
      <c r="AE5" s="468"/>
      <c r="AF5" s="468"/>
      <c r="AG5" s="468"/>
      <c r="AH5" s="468"/>
      <c r="AI5" s="468"/>
      <c r="AJ5" s="468"/>
      <c r="AK5" s="468"/>
      <c r="AL5" s="468"/>
      <c r="AM5" s="468"/>
      <c r="AN5" s="468"/>
      <c r="AO5" s="468"/>
      <c r="AP5" s="468"/>
      <c r="AQ5" s="468"/>
      <c r="AR5" s="468"/>
      <c r="AS5" s="468"/>
      <c r="AT5" s="468"/>
      <c r="AU5" s="468"/>
      <c r="AV5" s="469">
        <f>SUM(C5:AU5)</f>
        <v>562301100</v>
      </c>
      <c r="AW5" s="469">
        <f t="shared" ref="AW5:AW25" si="4">B5</f>
        <v>562301100</v>
      </c>
      <c r="AX5" s="469">
        <f>AW5-AV5</f>
        <v>0</v>
      </c>
      <c r="AY5"/>
      <c r="AZ5"/>
    </row>
    <row r="6" spans="1:52" ht="14.25">
      <c r="A6" s="466" t="str">
        <f>'Phase 2a Financial'!A64</f>
        <v>Parking stalls</v>
      </c>
      <c r="B6" s="500">
        <f>'Phase 2a Financial'!C64</f>
        <v>25515000</v>
      </c>
      <c r="C6" s="468">
        <f>$B$6*C4</f>
        <v>0</v>
      </c>
      <c r="D6" s="468">
        <f t="shared" ref="D6:AC6" si="5">$B$6*D4</f>
        <v>0</v>
      </c>
      <c r="E6" s="468">
        <f t="shared" si="5"/>
        <v>0</v>
      </c>
      <c r="F6" s="468">
        <f t="shared" si="5"/>
        <v>0</v>
      </c>
      <c r="G6" s="468">
        <f t="shared" si="5"/>
        <v>0</v>
      </c>
      <c r="H6" s="468">
        <f t="shared" si="5"/>
        <v>0</v>
      </c>
      <c r="I6" s="468">
        <f t="shared" si="5"/>
        <v>0</v>
      </c>
      <c r="J6" s="468">
        <f t="shared" si="5"/>
        <v>0</v>
      </c>
      <c r="K6" s="468">
        <f t="shared" si="5"/>
        <v>0</v>
      </c>
      <c r="L6" s="468">
        <f t="shared" si="5"/>
        <v>0</v>
      </c>
      <c r="M6" s="468">
        <f t="shared" si="5"/>
        <v>0</v>
      </c>
      <c r="N6" s="468">
        <f t="shared" si="5"/>
        <v>0</v>
      </c>
      <c r="O6" s="468">
        <f t="shared" si="5"/>
        <v>0</v>
      </c>
      <c r="P6" s="468">
        <f t="shared" si="5"/>
        <v>0</v>
      </c>
      <c r="Q6" s="468">
        <f t="shared" si="5"/>
        <v>1530900</v>
      </c>
      <c r="R6" s="468">
        <f t="shared" si="5"/>
        <v>1530900</v>
      </c>
      <c r="S6" s="468">
        <f t="shared" si="5"/>
        <v>1530900</v>
      </c>
      <c r="T6" s="468">
        <f t="shared" si="5"/>
        <v>1530900</v>
      </c>
      <c r="U6" s="468">
        <f t="shared" si="5"/>
        <v>1530900</v>
      </c>
      <c r="V6" s="468">
        <f t="shared" si="5"/>
        <v>1530900</v>
      </c>
      <c r="W6" s="468">
        <f t="shared" si="5"/>
        <v>1530900</v>
      </c>
      <c r="X6" s="468">
        <f t="shared" si="5"/>
        <v>2041200</v>
      </c>
      <c r="Y6" s="468">
        <f t="shared" si="5"/>
        <v>2551500</v>
      </c>
      <c r="Z6" s="468">
        <f t="shared" si="5"/>
        <v>2551500</v>
      </c>
      <c r="AA6" s="468">
        <f t="shared" si="5"/>
        <v>2551500</v>
      </c>
      <c r="AB6" s="468">
        <f t="shared" si="5"/>
        <v>2551500</v>
      </c>
      <c r="AC6" s="468">
        <f t="shared" si="5"/>
        <v>2551500</v>
      </c>
      <c r="AD6" s="468"/>
      <c r="AE6" s="468"/>
      <c r="AF6" s="468"/>
      <c r="AG6" s="468"/>
      <c r="AH6" s="468"/>
      <c r="AI6" s="468"/>
      <c r="AJ6" s="468"/>
      <c r="AK6" s="468"/>
      <c r="AL6" s="468"/>
      <c r="AM6" s="468"/>
      <c r="AN6" s="468"/>
      <c r="AO6" s="468"/>
      <c r="AP6" s="468"/>
      <c r="AQ6" s="468"/>
      <c r="AR6" s="468"/>
      <c r="AS6" s="468"/>
      <c r="AT6" s="468"/>
      <c r="AU6" s="468"/>
      <c r="AV6" s="469">
        <f t="shared" ref="AV6:AV25" si="6">SUM(C6:AU6)</f>
        <v>25515000</v>
      </c>
      <c r="AW6" s="469">
        <f t="shared" si="4"/>
        <v>25515000</v>
      </c>
      <c r="AX6" s="469">
        <f t="shared" ref="AX6:AX25" si="7">AW6-AV6</f>
        <v>0</v>
      </c>
      <c r="AY6"/>
      <c r="AZ6"/>
    </row>
    <row r="7" spans="1:52" ht="14.25">
      <c r="A7" s="466" t="str">
        <f>'Phase 2a Financial'!A65</f>
        <v>Hard Cost Contingency</v>
      </c>
      <c r="B7" s="500">
        <f>'Phase 2a Financial'!C65</f>
        <v>28115055</v>
      </c>
      <c r="C7" s="468">
        <f t="shared" ref="C7:AC7" si="8">$B7*C$4</f>
        <v>0</v>
      </c>
      <c r="D7" s="468">
        <f t="shared" si="8"/>
        <v>0</v>
      </c>
      <c r="E7" s="468">
        <f t="shared" si="8"/>
        <v>0</v>
      </c>
      <c r="F7" s="468">
        <f t="shared" si="8"/>
        <v>0</v>
      </c>
      <c r="G7" s="468">
        <f t="shared" si="8"/>
        <v>0</v>
      </c>
      <c r="H7" s="468">
        <f t="shared" si="8"/>
        <v>0</v>
      </c>
      <c r="I7" s="468">
        <f t="shared" si="8"/>
        <v>0</v>
      </c>
      <c r="J7" s="468">
        <f t="shared" si="8"/>
        <v>0</v>
      </c>
      <c r="K7" s="468">
        <f t="shared" si="8"/>
        <v>0</v>
      </c>
      <c r="L7" s="468">
        <f t="shared" si="8"/>
        <v>0</v>
      </c>
      <c r="M7" s="468">
        <f t="shared" si="8"/>
        <v>0</v>
      </c>
      <c r="N7" s="468">
        <f t="shared" si="8"/>
        <v>0</v>
      </c>
      <c r="O7" s="468">
        <f t="shared" si="8"/>
        <v>0</v>
      </c>
      <c r="P7" s="468">
        <f t="shared" si="8"/>
        <v>0</v>
      </c>
      <c r="Q7" s="468">
        <f t="shared" si="8"/>
        <v>1686903.3</v>
      </c>
      <c r="R7" s="468">
        <f t="shared" si="8"/>
        <v>1686903.3</v>
      </c>
      <c r="S7" s="468">
        <f t="shared" si="8"/>
        <v>1686903.3</v>
      </c>
      <c r="T7" s="468">
        <f t="shared" si="8"/>
        <v>1686903.3</v>
      </c>
      <c r="U7" s="468">
        <f t="shared" si="8"/>
        <v>1686903.3</v>
      </c>
      <c r="V7" s="468">
        <f t="shared" si="8"/>
        <v>1686903.3</v>
      </c>
      <c r="W7" s="468">
        <f t="shared" si="8"/>
        <v>1686903.3</v>
      </c>
      <c r="X7" s="468">
        <f t="shared" si="8"/>
        <v>2249204.4</v>
      </c>
      <c r="Y7" s="468">
        <f t="shared" si="8"/>
        <v>2811505.5</v>
      </c>
      <c r="Z7" s="468">
        <f t="shared" si="8"/>
        <v>2811505.5</v>
      </c>
      <c r="AA7" s="468">
        <f t="shared" si="8"/>
        <v>2811505.5</v>
      </c>
      <c r="AB7" s="468">
        <f t="shared" si="8"/>
        <v>2811505.5</v>
      </c>
      <c r="AC7" s="468">
        <f t="shared" si="8"/>
        <v>2811505.5</v>
      </c>
      <c r="AD7" s="468"/>
      <c r="AE7" s="468"/>
      <c r="AF7" s="468"/>
      <c r="AG7" s="468"/>
      <c r="AH7" s="468"/>
      <c r="AI7" s="468"/>
      <c r="AJ7" s="468"/>
      <c r="AK7" s="468"/>
      <c r="AL7" s="468"/>
      <c r="AM7" s="468"/>
      <c r="AN7" s="468"/>
      <c r="AO7" s="468"/>
      <c r="AP7" s="468"/>
      <c r="AQ7" s="468"/>
      <c r="AR7" s="468"/>
      <c r="AS7" s="468"/>
      <c r="AT7" s="468"/>
      <c r="AU7" s="468"/>
      <c r="AV7" s="469">
        <f t="shared" si="6"/>
        <v>28115055</v>
      </c>
      <c r="AW7" s="469">
        <f t="shared" si="4"/>
        <v>28115055</v>
      </c>
      <c r="AX7" s="469">
        <f t="shared" si="7"/>
        <v>0</v>
      </c>
      <c r="AY7"/>
      <c r="AZ7"/>
    </row>
    <row r="8" spans="1:52" ht="14.25">
      <c r="A8" s="466" t="str">
        <f>'Phase 2a Financial'!A66</f>
        <v>Demolition</v>
      </c>
      <c r="B8" s="500">
        <f>'Phase 2a Financial'!C66</f>
        <v>1500000</v>
      </c>
      <c r="C8" s="468"/>
      <c r="D8" s="468"/>
      <c r="E8" s="468"/>
      <c r="F8" s="468"/>
      <c r="G8" s="468">
        <v>1500000</v>
      </c>
      <c r="H8" s="468"/>
      <c r="I8" s="468"/>
      <c r="J8" s="468"/>
      <c r="K8" s="468"/>
      <c r="L8" s="468"/>
      <c r="M8" s="468"/>
      <c r="N8" s="468"/>
      <c r="O8" s="468"/>
      <c r="P8" s="468"/>
      <c r="Q8" s="468"/>
      <c r="R8" s="468"/>
      <c r="S8" s="468"/>
      <c r="T8" s="468"/>
      <c r="U8" s="468"/>
      <c r="V8" s="468"/>
      <c r="W8" s="468"/>
      <c r="X8" s="468"/>
      <c r="Y8" s="468"/>
      <c r="Z8" s="468"/>
      <c r="AA8" s="468"/>
      <c r="AB8" s="468"/>
      <c r="AC8" s="468"/>
      <c r="AD8" s="468"/>
      <c r="AE8" s="468"/>
      <c r="AF8" s="468"/>
      <c r="AG8" s="468"/>
      <c r="AH8" s="468"/>
      <c r="AI8" s="468"/>
      <c r="AJ8" s="468"/>
      <c r="AK8" s="468"/>
      <c r="AL8" s="468"/>
      <c r="AM8" s="468"/>
      <c r="AN8" s="468"/>
      <c r="AO8" s="468"/>
      <c r="AP8" s="468"/>
      <c r="AQ8" s="468"/>
      <c r="AR8" s="468"/>
      <c r="AS8" s="468"/>
      <c r="AT8" s="468"/>
      <c r="AU8" s="468"/>
      <c r="AV8" s="469">
        <f t="shared" si="6"/>
        <v>1500000</v>
      </c>
      <c r="AW8" s="469">
        <f t="shared" si="4"/>
        <v>1500000</v>
      </c>
      <c r="AX8" s="469">
        <f t="shared" si="7"/>
        <v>0</v>
      </c>
      <c r="AY8"/>
      <c r="AZ8"/>
    </row>
    <row r="9" spans="1:52" ht="14.25">
      <c r="A9" s="466" t="str">
        <f>'Phase 2a Financial'!A67</f>
        <v>LAND</v>
      </c>
      <c r="B9" s="500">
        <f>'Phase 2a Financial'!C67</f>
        <v>0</v>
      </c>
      <c r="C9" s="282"/>
      <c r="D9" s="470"/>
      <c r="E9" s="472"/>
      <c r="F9" s="468"/>
      <c r="G9" s="471"/>
      <c r="H9" s="472">
        <f>$B9-$E9</f>
        <v>0</v>
      </c>
      <c r="I9" s="471"/>
      <c r="J9" s="472"/>
      <c r="K9" s="468"/>
      <c r="L9" s="470"/>
      <c r="M9" s="473"/>
      <c r="N9" s="470"/>
      <c r="O9" s="470"/>
      <c r="P9" s="470"/>
      <c r="Q9" s="470"/>
      <c r="R9" s="470"/>
      <c r="S9" s="470"/>
      <c r="T9" s="470"/>
      <c r="U9" s="470"/>
      <c r="V9" s="470"/>
      <c r="W9" s="470"/>
      <c r="X9" s="470"/>
      <c r="Y9" s="470"/>
      <c r="Z9" s="470"/>
      <c r="AA9" s="470"/>
      <c r="AB9" s="470"/>
      <c r="AC9" s="470"/>
      <c r="AD9" s="470"/>
      <c r="AE9" s="540"/>
      <c r="AF9" s="540"/>
      <c r="AG9" s="540"/>
      <c r="AH9" s="540"/>
      <c r="AI9" s="540"/>
      <c r="AJ9" s="540"/>
      <c r="AK9" s="540"/>
      <c r="AL9" s="540"/>
      <c r="AM9" s="540"/>
      <c r="AN9" s="540"/>
      <c r="AO9" s="540"/>
      <c r="AP9" s="540"/>
      <c r="AQ9" s="540"/>
      <c r="AR9" s="540"/>
      <c r="AS9" s="540"/>
      <c r="AT9" s="540"/>
      <c r="AU9" s="540"/>
      <c r="AV9" s="469">
        <f t="shared" si="6"/>
        <v>0</v>
      </c>
      <c r="AW9" s="469">
        <f t="shared" si="4"/>
        <v>0</v>
      </c>
      <c r="AX9" s="469">
        <f t="shared" si="7"/>
        <v>0</v>
      </c>
      <c r="AY9"/>
      <c r="AZ9"/>
    </row>
    <row r="10" spans="1:52" ht="14.25">
      <c r="A10" s="466" t="str">
        <f>'Phase 2a Financial'!A68</f>
        <v>Municipal Fees and Allowances</v>
      </c>
      <c r="B10" s="500">
        <f>'Phase 2a Financial'!C68</f>
        <v>2203600</v>
      </c>
      <c r="C10" s="473"/>
      <c r="D10" s="470"/>
      <c r="E10" s="468"/>
      <c r="F10" s="468"/>
      <c r="G10" s="468"/>
      <c r="H10" s="468"/>
      <c r="I10" s="468"/>
      <c r="J10" s="468"/>
      <c r="L10" s="470"/>
      <c r="M10" s="470"/>
      <c r="N10" s="470"/>
      <c r="P10" s="470"/>
      <c r="Q10" s="468">
        <f>B10</f>
        <v>2203600</v>
      </c>
      <c r="R10" s="470"/>
      <c r="S10" s="471"/>
      <c r="T10" s="468"/>
      <c r="U10" s="470"/>
      <c r="V10" s="470"/>
      <c r="W10" s="470"/>
      <c r="X10" s="470"/>
      <c r="Y10" s="470"/>
      <c r="Z10" s="470"/>
      <c r="AA10" s="470"/>
      <c r="AB10" s="470"/>
      <c r="AC10" s="470"/>
      <c r="AD10" s="470"/>
      <c r="AE10" s="540"/>
      <c r="AF10" s="540"/>
      <c r="AG10" s="540"/>
      <c r="AH10" s="540"/>
      <c r="AI10" s="540"/>
      <c r="AJ10" s="540"/>
      <c r="AK10" s="541"/>
      <c r="AL10" s="542"/>
      <c r="AM10" s="540"/>
      <c r="AN10" s="540"/>
      <c r="AO10" s="540"/>
      <c r="AP10" s="541"/>
      <c r="AQ10" s="540"/>
      <c r="AR10" s="540"/>
      <c r="AS10" s="540"/>
      <c r="AT10" s="540"/>
      <c r="AU10" s="540"/>
      <c r="AV10" s="469">
        <f t="shared" si="6"/>
        <v>2203600</v>
      </c>
      <c r="AW10" s="469">
        <f t="shared" si="4"/>
        <v>2203600</v>
      </c>
      <c r="AX10" s="469">
        <f t="shared" si="7"/>
        <v>0</v>
      </c>
      <c r="AY10"/>
      <c r="AZ10"/>
    </row>
    <row r="11" spans="1:52" ht="14.25">
      <c r="A11" s="466" t="str">
        <f>'Phase 2a Financial'!A69</f>
        <v>Infrastructure allocation</v>
      </c>
      <c r="B11" s="500">
        <f>'Phase 2a Financial'!C69</f>
        <v>7768183.333333333</v>
      </c>
      <c r="C11" s="473"/>
      <c r="D11" s="470"/>
      <c r="E11" s="468"/>
      <c r="F11" s="468"/>
      <c r="G11" s="468"/>
      <c r="H11" s="468"/>
      <c r="I11" s="468"/>
      <c r="J11" s="468"/>
      <c r="K11" s="468"/>
      <c r="L11" s="470"/>
      <c r="M11" s="470"/>
      <c r="N11" s="470"/>
      <c r="O11" s="470"/>
      <c r="P11" s="470"/>
      <c r="Q11" s="470"/>
      <c r="R11" s="470"/>
      <c r="S11" s="468">
        <f>$B11/2</f>
        <v>3884091.6666666665</v>
      </c>
      <c r="T11" s="468">
        <f>$B11/2</f>
        <v>3884091.6666666665</v>
      </c>
      <c r="U11" s="470"/>
      <c r="V11" s="470"/>
      <c r="W11" s="470"/>
      <c r="X11" s="470"/>
      <c r="Y11" s="470"/>
      <c r="Z11" s="470"/>
      <c r="AA11" s="470"/>
      <c r="AB11" s="470"/>
      <c r="AC11" s="470"/>
      <c r="AD11" s="470"/>
      <c r="AE11" s="540"/>
      <c r="AF11" s="540"/>
      <c r="AG11" s="540"/>
      <c r="AH11" s="540"/>
      <c r="AI11" s="540"/>
      <c r="AJ11" s="540"/>
      <c r="AK11" s="541"/>
      <c r="AL11" s="542"/>
      <c r="AM11" s="540"/>
      <c r="AN11" s="540"/>
      <c r="AO11" s="540"/>
      <c r="AP11" s="541"/>
      <c r="AQ11" s="540"/>
      <c r="AR11" s="543"/>
      <c r="AS11" s="543"/>
      <c r="AT11" s="543"/>
      <c r="AU11" s="543"/>
      <c r="AV11" s="469">
        <f t="shared" si="6"/>
        <v>7768183.333333333</v>
      </c>
      <c r="AW11" s="469">
        <f t="shared" si="4"/>
        <v>7768183.333333333</v>
      </c>
      <c r="AX11" s="469">
        <f t="shared" si="7"/>
        <v>0</v>
      </c>
      <c r="AY11"/>
      <c r="AZ11"/>
    </row>
    <row r="12" spans="1:52" ht="14.25">
      <c r="A12" s="466" t="str">
        <f>'Phase 2a Financial'!A70</f>
        <v>Legal</v>
      </c>
      <c r="B12" s="500">
        <f>'Phase 2a Financial'!C70</f>
        <v>400000</v>
      </c>
      <c r="C12" s="473"/>
      <c r="D12" s="473"/>
      <c r="E12" s="477"/>
      <c r="F12" s="477"/>
      <c r="G12" s="477"/>
      <c r="H12" s="477"/>
      <c r="I12" s="477"/>
      <c r="J12" s="477"/>
      <c r="K12" s="472">
        <v>100000</v>
      </c>
      <c r="L12" s="472">
        <v>100000</v>
      </c>
      <c r="M12" s="472">
        <v>50000</v>
      </c>
      <c r="N12" s="472">
        <v>50000</v>
      </c>
      <c r="O12" s="472">
        <v>50000</v>
      </c>
      <c r="P12" s="472">
        <v>50000</v>
      </c>
      <c r="Q12" s="470"/>
      <c r="R12" s="470"/>
      <c r="S12" s="470"/>
      <c r="T12" s="470"/>
      <c r="U12" s="470"/>
      <c r="V12" s="470"/>
      <c r="W12" s="470"/>
      <c r="X12" s="470"/>
      <c r="Y12" s="470"/>
      <c r="Z12" s="470"/>
      <c r="AA12" s="470"/>
      <c r="AB12" s="470"/>
      <c r="AC12" s="470"/>
      <c r="AD12" s="470"/>
      <c r="AE12" s="470"/>
      <c r="AF12" s="470"/>
      <c r="AG12" s="470"/>
      <c r="AH12" s="470"/>
      <c r="AI12" s="470"/>
      <c r="AJ12" s="470"/>
      <c r="AK12" s="544"/>
      <c r="AL12" s="545"/>
      <c r="AM12" s="470"/>
      <c r="AN12" s="470"/>
      <c r="AO12" s="470"/>
      <c r="AP12" s="544"/>
      <c r="AQ12" s="470"/>
      <c r="AR12" s="470"/>
      <c r="AS12" s="470"/>
      <c r="AT12" s="470"/>
      <c r="AU12" s="470"/>
      <c r="AV12" s="469">
        <f t="shared" si="6"/>
        <v>400000</v>
      </c>
      <c r="AW12" s="469">
        <f t="shared" si="4"/>
        <v>400000</v>
      </c>
      <c r="AX12" s="469">
        <f t="shared" si="7"/>
        <v>0</v>
      </c>
      <c r="AY12"/>
      <c r="AZ12"/>
    </row>
    <row r="13" spans="1:52" ht="14.25">
      <c r="A13" s="466" t="str">
        <f>'Phase 2a Financial'!A71</f>
        <v>Land Closing Costs/commissions</v>
      </c>
      <c r="B13" s="500">
        <f>'Phase 2a Financial'!C71</f>
        <v>1101.8</v>
      </c>
      <c r="C13" s="472"/>
      <c r="D13" s="468"/>
      <c r="E13" s="468"/>
      <c r="F13" s="468"/>
      <c r="G13" s="471"/>
      <c r="H13" s="477"/>
      <c r="I13" s="468"/>
      <c r="J13" s="468"/>
      <c r="K13" s="468"/>
      <c r="L13" s="468"/>
      <c r="M13" s="468"/>
      <c r="N13" s="468"/>
      <c r="O13" s="468">
        <f>B13</f>
        <v>1101.8</v>
      </c>
      <c r="P13" s="468"/>
      <c r="Q13" s="468"/>
      <c r="R13" s="468"/>
      <c r="S13" s="468"/>
      <c r="T13" s="468"/>
      <c r="U13" s="468"/>
      <c r="V13" s="468"/>
      <c r="W13" s="468"/>
      <c r="X13" s="468"/>
      <c r="Y13" s="468"/>
      <c r="Z13" s="468"/>
      <c r="AA13" s="468"/>
      <c r="AB13" s="468"/>
      <c r="AC13" s="468"/>
      <c r="AD13" s="468"/>
      <c r="AE13" s="471"/>
      <c r="AF13" s="471"/>
      <c r="AG13" s="471"/>
      <c r="AH13" s="471"/>
      <c r="AI13" s="471"/>
      <c r="AJ13" s="471"/>
      <c r="AK13" s="546"/>
      <c r="AL13" s="547"/>
      <c r="AM13" s="471"/>
      <c r="AN13" s="471"/>
      <c r="AO13" s="471"/>
      <c r="AP13" s="546"/>
      <c r="AQ13" s="471"/>
      <c r="AR13" s="471"/>
      <c r="AS13" s="471"/>
      <c r="AT13" s="471"/>
      <c r="AU13" s="471"/>
      <c r="AV13" s="469">
        <f t="shared" si="6"/>
        <v>1101.8</v>
      </c>
      <c r="AW13" s="469">
        <f t="shared" si="4"/>
        <v>1101.8</v>
      </c>
      <c r="AX13" s="469">
        <f t="shared" si="7"/>
        <v>0</v>
      </c>
      <c r="AY13"/>
      <c r="AZ13"/>
    </row>
    <row r="14" spans="1:52" ht="14.25">
      <c r="A14" s="466" t="str">
        <f>'Phase 2a Financial'!A72</f>
        <v xml:space="preserve">Design </v>
      </c>
      <c r="B14" s="500">
        <f>'Phase 2a Financial'!C72</f>
        <v>23616646.199999999</v>
      </c>
      <c r="C14" s="468"/>
      <c r="D14" s="468"/>
      <c r="E14" s="477"/>
      <c r="F14" s="477"/>
      <c r="G14" s="477"/>
      <c r="H14" s="477"/>
      <c r="I14" s="477"/>
      <c r="J14" s="477"/>
      <c r="K14" s="468">
        <f>0.3*$B14</f>
        <v>7084993.8599999994</v>
      </c>
      <c r="L14" s="468">
        <f>0.3*$B14</f>
        <v>7084993.8599999994</v>
      </c>
      <c r="M14" s="468">
        <f>0.1*$B14</f>
        <v>2361664.62</v>
      </c>
      <c r="N14" s="468">
        <f>0.1*$B14</f>
        <v>2361664.62</v>
      </c>
      <c r="O14" s="468">
        <f>0.05*$B14</f>
        <v>1180832.31</v>
      </c>
      <c r="P14" s="468">
        <f>0.02*$B14</f>
        <v>472332.924</v>
      </c>
      <c r="Q14" s="468">
        <f t="shared" ref="Q14:T14" si="9">0.02*$B14</f>
        <v>472332.924</v>
      </c>
      <c r="R14" s="468">
        <f t="shared" si="9"/>
        <v>472332.924</v>
      </c>
      <c r="S14" s="468">
        <f t="shared" si="9"/>
        <v>472332.924</v>
      </c>
      <c r="T14" s="468">
        <f t="shared" si="9"/>
        <v>472332.924</v>
      </c>
      <c r="U14" s="468">
        <f>0.01*$B14</f>
        <v>236166.462</v>
      </c>
      <c r="V14" s="468">
        <f t="shared" ref="V14:Y14" si="10">0.01*$B14</f>
        <v>236166.462</v>
      </c>
      <c r="W14" s="468">
        <f t="shared" si="10"/>
        <v>236166.462</v>
      </c>
      <c r="X14" s="468">
        <f t="shared" si="10"/>
        <v>236166.462</v>
      </c>
      <c r="Y14" s="468">
        <f t="shared" si="10"/>
        <v>236166.462</v>
      </c>
      <c r="Z14" s="468"/>
      <c r="AA14" s="468"/>
      <c r="AB14" s="468"/>
      <c r="AC14" s="468"/>
      <c r="AD14" s="468"/>
      <c r="AE14" s="468"/>
      <c r="AF14" s="468"/>
      <c r="AG14" s="468"/>
      <c r="AH14" s="468"/>
      <c r="AI14" s="468"/>
      <c r="AJ14" s="468"/>
      <c r="AK14" s="468"/>
      <c r="AL14" s="468"/>
      <c r="AM14" s="468"/>
      <c r="AN14" s="468"/>
      <c r="AO14" s="468"/>
      <c r="AP14" s="468"/>
      <c r="AQ14" s="471"/>
      <c r="AR14" s="471"/>
      <c r="AS14" s="471"/>
      <c r="AT14" s="471"/>
      <c r="AU14" s="471"/>
      <c r="AV14" s="469">
        <f t="shared" si="6"/>
        <v>23616646.199999999</v>
      </c>
      <c r="AW14" s="469">
        <f t="shared" si="4"/>
        <v>23616646.199999999</v>
      </c>
      <c r="AX14" s="469">
        <f t="shared" si="7"/>
        <v>0</v>
      </c>
      <c r="AY14"/>
      <c r="AZ14"/>
    </row>
    <row r="15" spans="1:52" ht="14.25">
      <c r="A15" s="466" t="str">
        <f>'Phase 2a Financial'!A73</f>
        <v>Developer Fee</v>
      </c>
      <c r="B15" s="500">
        <f>'Phase 2a Financial'!C73</f>
        <v>19542620.59</v>
      </c>
      <c r="C15" s="468"/>
      <c r="D15" s="468"/>
      <c r="E15" s="468">
        <f t="shared" ref="E15:G15" si="11">$B15*E4</f>
        <v>0</v>
      </c>
      <c r="F15" s="468">
        <f t="shared" si="11"/>
        <v>0</v>
      </c>
      <c r="G15" s="468">
        <f t="shared" si="11"/>
        <v>0</v>
      </c>
      <c r="H15" s="468"/>
      <c r="I15" s="468"/>
      <c r="J15" s="468"/>
      <c r="K15" s="477"/>
      <c r="L15" s="477"/>
      <c r="M15" s="477"/>
      <c r="N15" s="477"/>
      <c r="O15" s="477"/>
      <c r="P15" s="477"/>
      <c r="Q15" s="468">
        <f>$B15*Q4</f>
        <v>1172557.2353999999</v>
      </c>
      <c r="R15" s="468">
        <f t="shared" ref="R15:AC15" si="12">$B15*R4</f>
        <v>1172557.2353999999</v>
      </c>
      <c r="S15" s="468">
        <f t="shared" si="12"/>
        <v>1172557.2353999999</v>
      </c>
      <c r="T15" s="468">
        <f t="shared" si="12"/>
        <v>1172557.2353999999</v>
      </c>
      <c r="U15" s="468">
        <f t="shared" si="12"/>
        <v>1172557.2353999999</v>
      </c>
      <c r="V15" s="468">
        <f t="shared" si="12"/>
        <v>1172557.2353999999</v>
      </c>
      <c r="W15" s="468">
        <f t="shared" si="12"/>
        <v>1172557.2353999999</v>
      </c>
      <c r="X15" s="468">
        <f t="shared" si="12"/>
        <v>1563409.6472</v>
      </c>
      <c r="Y15" s="468">
        <f t="shared" si="12"/>
        <v>1954262.0590000001</v>
      </c>
      <c r="Z15" s="468">
        <f t="shared" si="12"/>
        <v>1954262.0590000001</v>
      </c>
      <c r="AA15" s="468">
        <f t="shared" si="12"/>
        <v>1954262.0590000001</v>
      </c>
      <c r="AB15" s="468">
        <f t="shared" si="12"/>
        <v>1954262.0590000001</v>
      </c>
      <c r="AC15" s="468">
        <f t="shared" si="12"/>
        <v>1954262.0590000001</v>
      </c>
      <c r="AD15" s="468"/>
      <c r="AE15" s="468"/>
      <c r="AF15" s="468"/>
      <c r="AG15" s="468"/>
      <c r="AH15" s="468"/>
      <c r="AI15" s="468"/>
      <c r="AJ15" s="468"/>
      <c r="AK15" s="468"/>
      <c r="AL15" s="468"/>
      <c r="AM15" s="468"/>
      <c r="AN15" s="468"/>
      <c r="AO15" s="468"/>
      <c r="AP15" s="468"/>
      <c r="AQ15" s="468"/>
      <c r="AR15" s="468"/>
      <c r="AS15" s="468"/>
      <c r="AT15" s="468"/>
      <c r="AU15" s="468"/>
      <c r="AV15" s="469">
        <f t="shared" si="6"/>
        <v>19542620.59</v>
      </c>
      <c r="AW15" s="469">
        <f t="shared" si="4"/>
        <v>19542620.59</v>
      </c>
      <c r="AX15" s="469">
        <f t="shared" si="7"/>
        <v>0</v>
      </c>
      <c r="AY15"/>
      <c r="AZ15"/>
    </row>
    <row r="16" spans="1:52" ht="14.25">
      <c r="A16" s="466" t="str">
        <f>'Phase 2a Financial'!A74</f>
        <v>Construction Management Fee</v>
      </c>
      <c r="B16" s="500">
        <f>'Phase 2a Financial'!C74</f>
        <v>11808323.1</v>
      </c>
      <c r="C16" s="468">
        <f>$B16*C$4</f>
        <v>0</v>
      </c>
      <c r="D16" s="468">
        <f t="shared" ref="D16:G16" si="13">$B16*D$4</f>
        <v>0</v>
      </c>
      <c r="E16" s="468">
        <f t="shared" si="13"/>
        <v>0</v>
      </c>
      <c r="F16" s="468">
        <f t="shared" si="13"/>
        <v>0</v>
      </c>
      <c r="G16" s="468">
        <f t="shared" si="13"/>
        <v>0</v>
      </c>
      <c r="H16" s="468"/>
      <c r="I16" s="468"/>
      <c r="J16" s="468"/>
      <c r="K16" s="477"/>
      <c r="L16" s="477"/>
      <c r="M16" s="477"/>
      <c r="N16" s="477"/>
      <c r="O16" s="477"/>
      <c r="P16" s="477"/>
      <c r="Q16" s="468">
        <f>$B16*Q4</f>
        <v>708499.38599999994</v>
      </c>
      <c r="R16" s="468">
        <f t="shared" ref="R16:AC16" si="14">$B16*R4</f>
        <v>708499.38599999994</v>
      </c>
      <c r="S16" s="468">
        <f t="shared" si="14"/>
        <v>708499.38599999994</v>
      </c>
      <c r="T16" s="468">
        <f t="shared" si="14"/>
        <v>708499.38599999994</v>
      </c>
      <c r="U16" s="468">
        <f t="shared" si="14"/>
        <v>708499.38599999994</v>
      </c>
      <c r="V16" s="468">
        <f t="shared" si="14"/>
        <v>708499.38599999994</v>
      </c>
      <c r="W16" s="468">
        <f t="shared" si="14"/>
        <v>708499.38599999994</v>
      </c>
      <c r="X16" s="468">
        <f t="shared" si="14"/>
        <v>944665.848</v>
      </c>
      <c r="Y16" s="468">
        <f t="shared" si="14"/>
        <v>1180832.31</v>
      </c>
      <c r="Z16" s="468">
        <f t="shared" si="14"/>
        <v>1180832.31</v>
      </c>
      <c r="AA16" s="468">
        <f t="shared" si="14"/>
        <v>1180832.31</v>
      </c>
      <c r="AB16" s="468">
        <f t="shared" si="14"/>
        <v>1180832.31</v>
      </c>
      <c r="AC16" s="468">
        <f t="shared" si="14"/>
        <v>1180832.31</v>
      </c>
      <c r="AD16" s="468"/>
      <c r="AE16" s="468"/>
      <c r="AF16" s="468"/>
      <c r="AG16" s="468"/>
      <c r="AH16" s="468"/>
      <c r="AI16" s="468"/>
      <c r="AJ16" s="468"/>
      <c r="AK16" s="468"/>
      <c r="AL16" s="468"/>
      <c r="AM16" s="468"/>
      <c r="AN16" s="468"/>
      <c r="AO16" s="468"/>
      <c r="AP16" s="468"/>
      <c r="AQ16" s="468"/>
      <c r="AR16" s="468"/>
      <c r="AS16" s="468"/>
      <c r="AT16" s="468"/>
      <c r="AU16" s="468"/>
      <c r="AV16" s="469">
        <f t="shared" si="6"/>
        <v>11808323.100000001</v>
      </c>
      <c r="AW16" s="469">
        <f t="shared" si="4"/>
        <v>11808323.1</v>
      </c>
      <c r="AX16" s="469">
        <f t="shared" si="7"/>
        <v>0</v>
      </c>
      <c r="AY16"/>
      <c r="AZ16"/>
    </row>
    <row r="17" spans="1:52" ht="14.25">
      <c r="A17" s="466" t="str">
        <f>'Phase 2a Financial'!A75</f>
        <v>Taxes</v>
      </c>
      <c r="B17" s="500">
        <f>'Phase 2a Financial'!C75</f>
        <v>0</v>
      </c>
      <c r="C17" s="472"/>
      <c r="D17" s="468"/>
      <c r="E17" s="468"/>
      <c r="F17" s="468"/>
      <c r="G17" s="471"/>
      <c r="H17" s="468"/>
      <c r="I17" s="468"/>
      <c r="J17" s="468"/>
      <c r="K17" s="468"/>
      <c r="L17" s="1176"/>
      <c r="M17" s="468"/>
      <c r="N17" s="468"/>
      <c r="O17" s="468"/>
      <c r="P17" s="468"/>
      <c r="Q17" s="468"/>
      <c r="R17" s="468"/>
      <c r="S17" s="282"/>
      <c r="T17" s="468"/>
      <c r="U17" s="282"/>
      <c r="V17" s="468"/>
      <c r="W17" s="468"/>
      <c r="X17" s="282"/>
      <c r="Y17" s="468"/>
      <c r="Z17" s="468"/>
      <c r="AA17" s="468"/>
      <c r="AB17" s="468"/>
      <c r="AC17" s="468"/>
      <c r="AD17" s="468"/>
      <c r="AE17" s="282"/>
      <c r="AF17" s="468"/>
      <c r="AG17" s="282"/>
      <c r="AH17" s="468"/>
      <c r="AI17" s="471"/>
      <c r="AJ17" s="468"/>
      <c r="AK17" s="468"/>
      <c r="AL17" s="468"/>
      <c r="AM17" s="468"/>
      <c r="AN17" s="468"/>
      <c r="AO17" s="468"/>
      <c r="AP17" s="548"/>
      <c r="AQ17" s="468"/>
      <c r="AR17" s="468"/>
      <c r="AS17" s="468"/>
      <c r="AT17" s="468"/>
      <c r="AU17" s="468"/>
      <c r="AV17" s="469">
        <f t="shared" si="6"/>
        <v>0</v>
      </c>
      <c r="AW17" s="469">
        <f t="shared" si="4"/>
        <v>0</v>
      </c>
      <c r="AX17" s="469">
        <f t="shared" si="7"/>
        <v>0</v>
      </c>
      <c r="AY17"/>
      <c r="AZ17"/>
    </row>
    <row r="18" spans="1:52" ht="14.25">
      <c r="A18" s="466" t="str">
        <f>'Phase 2a Financial'!A76</f>
        <v>Insurance</v>
      </c>
      <c r="B18" s="500">
        <f>'Phase 2a Financial'!C76</f>
        <v>7870000</v>
      </c>
      <c r="C18" s="472"/>
      <c r="D18" s="471"/>
      <c r="E18" s="471"/>
      <c r="F18" s="468"/>
      <c r="G18" s="468"/>
      <c r="H18" s="477"/>
      <c r="I18" s="477"/>
      <c r="J18" s="477"/>
      <c r="K18" s="468">
        <v>10000</v>
      </c>
      <c r="L18" s="468">
        <v>10000</v>
      </c>
      <c r="M18" s="468"/>
      <c r="N18" s="468"/>
      <c r="O18" s="472">
        <f>$B18-SUM(C18:N18)</f>
        <v>7850000</v>
      </c>
      <c r="P18" s="468"/>
      <c r="Q18" s="468"/>
      <c r="R18" s="468"/>
      <c r="S18" s="468"/>
      <c r="T18" s="471"/>
      <c r="U18" s="468"/>
      <c r="V18" s="468">
        <f>$B18-SUM(C18:U18)</f>
        <v>0</v>
      </c>
      <c r="W18" s="468"/>
      <c r="X18" s="468"/>
      <c r="Y18" s="468"/>
      <c r="Z18" s="468"/>
      <c r="AA18" s="468"/>
      <c r="AB18" s="468"/>
      <c r="AC18" s="468"/>
      <c r="AD18" s="468"/>
      <c r="AE18" s="468"/>
      <c r="AF18" s="468"/>
      <c r="AG18" s="468"/>
      <c r="AH18" s="468"/>
      <c r="AI18" s="468"/>
      <c r="AJ18" s="468"/>
      <c r="AK18" s="548"/>
      <c r="AL18" s="549"/>
      <c r="AM18" s="468"/>
      <c r="AN18" s="468"/>
      <c r="AO18" s="468"/>
      <c r="AP18" s="548"/>
      <c r="AQ18" s="468"/>
      <c r="AR18" s="468"/>
      <c r="AS18" s="468"/>
      <c r="AT18" s="468"/>
      <c r="AU18" s="468"/>
      <c r="AV18" s="469">
        <f t="shared" si="6"/>
        <v>7870000</v>
      </c>
      <c r="AW18" s="469">
        <f t="shared" si="4"/>
        <v>7870000</v>
      </c>
      <c r="AX18" s="469">
        <f t="shared" si="7"/>
        <v>0</v>
      </c>
      <c r="AY18"/>
      <c r="AZ18"/>
    </row>
    <row r="19" spans="1:52" ht="14.25">
      <c r="A19" s="466" t="str">
        <f>'Phase 2a Financial'!A77</f>
        <v>Marketing, FFE and Preleasing</v>
      </c>
      <c r="B19" s="500">
        <f>'Phase 2a Financial'!C77</f>
        <v>800000</v>
      </c>
      <c r="C19" s="472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468"/>
      <c r="Q19" s="468"/>
      <c r="R19" s="468"/>
      <c r="S19" s="468"/>
      <c r="T19" s="468"/>
      <c r="U19" s="477"/>
      <c r="V19" s="477"/>
      <c r="W19" s="468"/>
      <c r="X19" s="478"/>
      <c r="Y19" s="468">
        <f>$B19/2</f>
        <v>400000</v>
      </c>
      <c r="Z19" s="468">
        <f>$B19/2</f>
        <v>400000</v>
      </c>
      <c r="AA19" s="478"/>
      <c r="AB19" s="550"/>
      <c r="AC19" s="471"/>
      <c r="AD19" s="471"/>
      <c r="AE19" s="468"/>
      <c r="AF19" s="282"/>
      <c r="AG19" s="282"/>
      <c r="AH19" s="282"/>
      <c r="AI19" s="478"/>
      <c r="AJ19" s="478"/>
      <c r="AK19" s="478"/>
      <c r="AL19" s="478"/>
      <c r="AM19" s="471"/>
      <c r="AN19" s="471"/>
      <c r="AO19" s="471"/>
      <c r="AP19" s="546"/>
      <c r="AQ19" s="471"/>
      <c r="AR19" s="471"/>
      <c r="AS19" s="471"/>
      <c r="AT19" s="471"/>
      <c r="AU19" s="471"/>
      <c r="AV19" s="469">
        <f t="shared" si="6"/>
        <v>800000</v>
      </c>
      <c r="AW19" s="469">
        <f t="shared" si="4"/>
        <v>800000</v>
      </c>
      <c r="AX19" s="469">
        <f t="shared" si="7"/>
        <v>0</v>
      </c>
      <c r="AY19"/>
      <c r="AZ19"/>
    </row>
    <row r="20" spans="1:52" ht="14.25">
      <c r="A20" s="466" t="str">
        <f>'Phase 2a Financial'!A78</f>
        <v>Operating Deficit</v>
      </c>
      <c r="B20" s="500">
        <f>'Phase 2a Financial'!C78</f>
        <v>6900412.067999999</v>
      </c>
      <c r="C20" s="472"/>
      <c r="D20" s="468"/>
      <c r="E20" s="468"/>
      <c r="F20" s="468"/>
      <c r="G20" s="468"/>
      <c r="H20" s="468"/>
      <c r="I20" s="468"/>
      <c r="J20" s="468"/>
      <c r="K20" s="468"/>
      <c r="L20" s="468"/>
      <c r="M20" s="468"/>
      <c r="N20" s="468"/>
      <c r="O20" s="468"/>
      <c r="P20" s="468"/>
      <c r="Q20" s="468"/>
      <c r="R20" s="468"/>
      <c r="S20" s="468"/>
      <c r="T20" s="468"/>
      <c r="U20" s="477"/>
      <c r="V20" s="477"/>
      <c r="W20" s="468"/>
      <c r="X20" s="468"/>
      <c r="Y20" s="468">
        <f>$B20/2</f>
        <v>3450206.0339999995</v>
      </c>
      <c r="Z20" s="468">
        <f>$B20/2</f>
        <v>3450206.0339999995</v>
      </c>
      <c r="AA20" s="551"/>
      <c r="AB20" s="550"/>
      <c r="AC20" s="471"/>
      <c r="AD20" s="471"/>
      <c r="AE20" s="468"/>
      <c r="AF20" s="478"/>
      <c r="AG20" s="478"/>
      <c r="AH20" s="478"/>
      <c r="AI20" s="478"/>
      <c r="AJ20" s="282"/>
      <c r="AK20" s="290"/>
      <c r="AL20" s="290"/>
      <c r="AM20" s="290"/>
      <c r="AN20" s="290"/>
      <c r="AO20" s="290"/>
      <c r="AP20" s="290"/>
      <c r="AQ20" s="471"/>
      <c r="AR20" s="472"/>
      <c r="AS20" s="472"/>
      <c r="AT20" s="472"/>
      <c r="AU20" s="472"/>
      <c r="AV20" s="469">
        <f t="shared" si="6"/>
        <v>6900412.067999999</v>
      </c>
      <c r="AW20" s="469">
        <f t="shared" si="4"/>
        <v>6900412.067999999</v>
      </c>
      <c r="AX20" s="469">
        <f t="shared" si="7"/>
        <v>0</v>
      </c>
      <c r="AY20"/>
      <c r="AZ20"/>
    </row>
    <row r="21" spans="1:52" ht="14.25">
      <c r="A21" s="466" t="str">
        <f>'Phase 2a Financial'!A79</f>
        <v>Retail Tenant Improvements</v>
      </c>
      <c r="B21" s="500">
        <f>'Phase 2a Financial'!C79</f>
        <v>10320000</v>
      </c>
      <c r="C21" s="472"/>
      <c r="D21" s="468"/>
      <c r="E21" s="468"/>
      <c r="F21" s="468"/>
      <c r="G21" s="468"/>
      <c r="H21" s="468"/>
      <c r="I21" s="468"/>
      <c r="J21" s="468"/>
      <c r="K21" s="468"/>
      <c r="L21" s="468"/>
      <c r="M21" s="468"/>
      <c r="N21" s="468"/>
      <c r="O21" s="468"/>
      <c r="P21" s="468"/>
      <c r="Q21" s="468"/>
      <c r="R21" s="468"/>
      <c r="S21" s="468"/>
      <c r="T21" s="468"/>
      <c r="U21" s="468"/>
      <c r="V21" s="468"/>
      <c r="W21" s="468"/>
      <c r="X21" s="468"/>
      <c r="Y21" s="468"/>
      <c r="Z21" s="468"/>
      <c r="AA21" s="471"/>
      <c r="AB21" s="550"/>
      <c r="AC21" s="472"/>
      <c r="AD21" s="471"/>
      <c r="AE21" s="468"/>
      <c r="AF21" s="478"/>
      <c r="AG21" s="478"/>
      <c r="AH21" s="478"/>
      <c r="AI21" s="478"/>
      <c r="AJ21" s="551"/>
      <c r="AK21" s="552"/>
      <c r="AL21" s="547"/>
      <c r="AM21" s="471"/>
      <c r="AN21" s="471"/>
      <c r="AO21" s="471"/>
      <c r="AP21" s="546"/>
      <c r="AQ21" s="471"/>
      <c r="AR21" s="471"/>
      <c r="AS21" s="471"/>
      <c r="AT21" s="471"/>
      <c r="AU21" s="471"/>
      <c r="AV21" s="469">
        <f t="shared" si="6"/>
        <v>0</v>
      </c>
      <c r="AW21" s="469">
        <f t="shared" si="4"/>
        <v>10320000</v>
      </c>
      <c r="AX21" s="469">
        <f t="shared" si="7"/>
        <v>10320000</v>
      </c>
      <c r="AY21"/>
      <c r="AZ21"/>
    </row>
    <row r="22" spans="1:52" ht="14.25">
      <c r="A22" s="466" t="str">
        <f>'Phase 2a Financial'!A80</f>
        <v>Retail brokerage</v>
      </c>
      <c r="B22" s="500">
        <f>'Phase 2a Financial'!C80</f>
        <v>2823900</v>
      </c>
      <c r="C22" s="472"/>
      <c r="D22" s="468"/>
      <c r="E22" s="468"/>
      <c r="F22" s="468"/>
      <c r="G22" s="468"/>
      <c r="H22" s="468"/>
      <c r="I22" s="468"/>
      <c r="J22" s="468"/>
      <c r="K22" s="468"/>
      <c r="L22" s="468"/>
      <c r="M22" s="468"/>
      <c r="N22" s="468"/>
      <c r="O22" s="468"/>
      <c r="P22" s="468"/>
      <c r="Q22" s="468"/>
      <c r="R22" s="468"/>
      <c r="S22" s="468"/>
      <c r="T22" s="468"/>
      <c r="U22" s="468"/>
      <c r="V22" s="468"/>
      <c r="W22" s="468"/>
      <c r="X22" s="468"/>
      <c r="Y22" s="468"/>
      <c r="Z22" s="468"/>
      <c r="AA22" s="468"/>
      <c r="AB22" s="468"/>
      <c r="AC22" s="468"/>
      <c r="AD22" s="468"/>
      <c r="AE22" s="468"/>
      <c r="AF22" s="468"/>
      <c r="AG22" s="468"/>
      <c r="AH22" s="468"/>
      <c r="AI22" s="468"/>
      <c r="AJ22" s="468"/>
      <c r="AK22" s="548"/>
      <c r="AL22" s="547"/>
      <c r="AM22" s="471"/>
      <c r="AN22" s="468"/>
      <c r="AO22" s="468"/>
      <c r="AP22" s="548"/>
      <c r="AQ22" s="468"/>
      <c r="AR22" s="468"/>
      <c r="AS22" s="468"/>
      <c r="AT22" s="468"/>
      <c r="AU22" s="468"/>
      <c r="AV22" s="469">
        <f t="shared" si="6"/>
        <v>0</v>
      </c>
      <c r="AW22" s="469">
        <f t="shared" si="4"/>
        <v>2823900</v>
      </c>
      <c r="AX22" s="469">
        <f t="shared" si="7"/>
        <v>2823900</v>
      </c>
      <c r="AY22"/>
      <c r="AZ22"/>
    </row>
    <row r="23" spans="1:52" ht="14.25">
      <c r="A23" s="466" t="str">
        <f>'Phase 2a Financial'!A81</f>
        <v>Construction Loan Origination</v>
      </c>
      <c r="B23" s="500">
        <f>'Phase 2a Financial'!C81</f>
        <v>6421380</v>
      </c>
      <c r="C23" s="468">
        <f>$B$23*C4</f>
        <v>0</v>
      </c>
      <c r="D23" s="468">
        <f>$B$23*D4</f>
        <v>0</v>
      </c>
      <c r="E23" s="468">
        <v>0</v>
      </c>
      <c r="F23" s="468">
        <v>0</v>
      </c>
      <c r="G23" s="468">
        <v>0</v>
      </c>
      <c r="H23" s="468">
        <v>0</v>
      </c>
      <c r="I23" s="468">
        <v>0</v>
      </c>
      <c r="J23" s="468">
        <v>0</v>
      </c>
      <c r="K23" s="468">
        <f>$B23</f>
        <v>6421380</v>
      </c>
      <c r="L23" s="468">
        <v>0</v>
      </c>
      <c r="M23" s="282"/>
      <c r="N23" s="468">
        <v>0</v>
      </c>
      <c r="O23" s="468">
        <v>0</v>
      </c>
      <c r="P23" s="468"/>
      <c r="Q23" s="468"/>
      <c r="R23" s="468"/>
      <c r="S23" s="468"/>
      <c r="T23" s="468"/>
      <c r="U23" s="468"/>
      <c r="V23" s="468"/>
      <c r="W23" s="282"/>
      <c r="X23" s="468"/>
      <c r="Y23" s="468"/>
      <c r="Z23" s="468"/>
      <c r="AA23" s="468"/>
      <c r="AB23" s="468"/>
      <c r="AC23" s="468"/>
      <c r="AD23" s="468"/>
      <c r="AE23" s="468"/>
      <c r="AF23" s="468"/>
      <c r="AG23" s="468"/>
      <c r="AH23" s="468"/>
      <c r="AI23" s="468"/>
      <c r="AJ23" s="468"/>
      <c r="AK23" s="548"/>
      <c r="AL23" s="549"/>
      <c r="AM23" s="468"/>
      <c r="AN23" s="468"/>
      <c r="AO23" s="468"/>
      <c r="AP23" s="548"/>
      <c r="AQ23" s="468"/>
      <c r="AR23" s="468"/>
      <c r="AS23" s="468"/>
      <c r="AT23" s="468"/>
      <c r="AU23" s="468"/>
      <c r="AV23" s="469">
        <f t="shared" si="6"/>
        <v>6421380</v>
      </c>
      <c r="AW23" s="469">
        <f t="shared" si="4"/>
        <v>6421380</v>
      </c>
      <c r="AX23" s="469">
        <f t="shared" si="7"/>
        <v>0</v>
      </c>
      <c r="AY23"/>
      <c r="AZ23"/>
    </row>
    <row r="24" spans="1:52" ht="14.25">
      <c r="A24" s="466" t="str">
        <f>'Phase 2a Financial'!A82</f>
        <v>Construction Interest</v>
      </c>
      <c r="B24" s="500">
        <f>'Phase 2a Financial'!C82</f>
        <v>29966440.000000004</v>
      </c>
      <c r="C24" s="480"/>
      <c r="D24" s="468"/>
      <c r="E24" s="468"/>
      <c r="F24" s="468"/>
      <c r="G24" s="468"/>
      <c r="H24" s="468"/>
      <c r="I24" s="468"/>
      <c r="J24" s="468"/>
      <c r="K24" s="468"/>
      <c r="L24" s="468"/>
      <c r="M24" s="468"/>
      <c r="O24" s="468">
        <f>$B24/16</f>
        <v>1872902.5000000002</v>
      </c>
      <c r="P24" s="468">
        <f t="shared" ref="P24:Q24" si="15">$B24/16</f>
        <v>1872902.5000000002</v>
      </c>
      <c r="Q24" s="468">
        <f t="shared" si="15"/>
        <v>1872902.5000000002</v>
      </c>
      <c r="R24" s="468">
        <f t="shared" ref="R24:W24" si="16">$B24/10</f>
        <v>2996644.0000000005</v>
      </c>
      <c r="S24" s="468">
        <f t="shared" si="16"/>
        <v>2996644.0000000005</v>
      </c>
      <c r="T24" s="468">
        <f t="shared" si="16"/>
        <v>2996644.0000000005</v>
      </c>
      <c r="U24" s="468">
        <f t="shared" si="16"/>
        <v>2996644.0000000005</v>
      </c>
      <c r="V24" s="468">
        <f t="shared" si="16"/>
        <v>2996644.0000000005</v>
      </c>
      <c r="W24" s="468">
        <f t="shared" si="16"/>
        <v>2996644.0000000005</v>
      </c>
      <c r="X24" s="468">
        <f>$B24/10+4725</f>
        <v>3001369.0000000005</v>
      </c>
      <c r="Y24" s="468">
        <f>$B24/9</f>
        <v>3329604.444444445</v>
      </c>
      <c r="Z24" s="468"/>
      <c r="AA24" s="468"/>
      <c r="AB24" s="468"/>
      <c r="AC24" s="468"/>
      <c r="AD24" s="468"/>
      <c r="AE24" s="468"/>
      <c r="AF24" s="468"/>
      <c r="AG24" s="468"/>
      <c r="AH24" s="468"/>
      <c r="AI24" s="468"/>
      <c r="AJ24" s="468"/>
      <c r="AK24" s="468"/>
      <c r="AL24" s="468"/>
      <c r="AM24" s="468"/>
      <c r="AN24" s="468"/>
      <c r="AO24" s="468"/>
      <c r="AP24" s="468"/>
      <c r="AQ24" s="468"/>
      <c r="AR24" s="468"/>
      <c r="AS24" s="468"/>
      <c r="AT24" s="468"/>
      <c r="AU24" s="468"/>
      <c r="AV24" s="469">
        <f t="shared" si="6"/>
        <v>29929544.944444448</v>
      </c>
      <c r="AW24" s="469">
        <f t="shared" si="4"/>
        <v>29966440.000000004</v>
      </c>
      <c r="AX24" s="469">
        <f t="shared" si="7"/>
        <v>36895.055555555969</v>
      </c>
      <c r="AY24"/>
      <c r="AZ24"/>
    </row>
    <row r="25" spans="1:52" ht="26.25" customHeight="1" thickBot="1">
      <c r="A25" s="553" t="str">
        <f>'Phase 2a Financial'!A83</f>
        <v>Additional Contingency</v>
      </c>
      <c r="B25" s="483">
        <f>'Phase 2a Financial'!C83</f>
        <v>2000000</v>
      </c>
      <c r="C25" s="482">
        <v>0</v>
      </c>
      <c r="D25" s="482">
        <v>0</v>
      </c>
      <c r="E25" s="482">
        <v>0</v>
      </c>
      <c r="F25" s="482"/>
      <c r="G25" s="482">
        <v>0</v>
      </c>
      <c r="H25" s="482">
        <v>0</v>
      </c>
      <c r="I25" s="482">
        <v>0</v>
      </c>
      <c r="J25" s="482">
        <v>0</v>
      </c>
      <c r="K25" s="482">
        <f t="shared" ref="K25:U25" si="17">$B25*K4</f>
        <v>0</v>
      </c>
      <c r="L25" s="482">
        <f t="shared" si="17"/>
        <v>0</v>
      </c>
      <c r="M25" s="482">
        <f t="shared" si="17"/>
        <v>0</v>
      </c>
      <c r="N25" s="482">
        <f t="shared" si="17"/>
        <v>0</v>
      </c>
      <c r="O25" s="482">
        <f t="shared" si="17"/>
        <v>0</v>
      </c>
      <c r="P25" s="482">
        <f t="shared" si="17"/>
        <v>0</v>
      </c>
      <c r="Q25" s="482">
        <f t="shared" si="17"/>
        <v>120000</v>
      </c>
      <c r="R25" s="482">
        <f t="shared" si="17"/>
        <v>120000</v>
      </c>
      <c r="S25" s="482">
        <f t="shared" si="17"/>
        <v>120000</v>
      </c>
      <c r="T25" s="482">
        <f t="shared" si="17"/>
        <v>120000</v>
      </c>
      <c r="U25" s="482">
        <f t="shared" si="17"/>
        <v>120000</v>
      </c>
      <c r="V25" s="482">
        <f>$B25*V4</f>
        <v>120000</v>
      </c>
      <c r="W25" s="482"/>
      <c r="X25" s="482"/>
      <c r="Y25" s="482"/>
      <c r="Z25" s="482"/>
      <c r="AA25" s="482"/>
      <c r="AB25" s="482"/>
      <c r="AC25" s="482"/>
      <c r="AD25" s="482"/>
      <c r="AE25" s="482"/>
      <c r="AF25" s="482"/>
      <c r="AG25" s="482"/>
      <c r="AH25" s="482"/>
      <c r="AI25" s="482"/>
      <c r="AJ25" s="482"/>
      <c r="AK25" s="482"/>
      <c r="AL25" s="482"/>
      <c r="AM25" s="554"/>
      <c r="AN25" s="554"/>
      <c r="AO25" s="554"/>
      <c r="AP25" s="554"/>
      <c r="AQ25" s="555"/>
      <c r="AR25" s="555"/>
      <c r="AS25" s="555"/>
      <c r="AT25" s="555"/>
      <c r="AU25" s="555"/>
      <c r="AV25" s="469">
        <f t="shared" si="6"/>
        <v>720000</v>
      </c>
      <c r="AW25" s="469">
        <f t="shared" si="4"/>
        <v>2000000</v>
      </c>
      <c r="AX25" s="469">
        <f t="shared" si="7"/>
        <v>1280000</v>
      </c>
      <c r="AY25"/>
      <c r="AZ25"/>
    </row>
    <row r="26" spans="1:52" ht="15" thickTop="1" thickBot="1">
      <c r="A26" s="198" t="str">
        <f>'Phase 1a Financial'!A113</f>
        <v>Total Project Cost</v>
      </c>
      <c r="B26" s="199">
        <f t="shared" ref="B26:X26" si="18">SUM(B5:B25)</f>
        <v>749873762.09133339</v>
      </c>
      <c r="C26" s="195">
        <f t="shared" si="18"/>
        <v>0</v>
      </c>
      <c r="D26" s="195">
        <f t="shared" si="18"/>
        <v>0</v>
      </c>
      <c r="E26" s="195">
        <f t="shared" si="18"/>
        <v>0</v>
      </c>
      <c r="F26" s="195">
        <f t="shared" si="18"/>
        <v>0</v>
      </c>
      <c r="G26" s="195">
        <f t="shared" si="18"/>
        <v>1500000</v>
      </c>
      <c r="H26" s="195">
        <f t="shared" si="18"/>
        <v>0</v>
      </c>
      <c r="I26" s="195">
        <f t="shared" si="18"/>
        <v>0</v>
      </c>
      <c r="J26" s="195">
        <f t="shared" si="18"/>
        <v>0</v>
      </c>
      <c r="K26" s="195">
        <f t="shared" si="18"/>
        <v>13616373.859999999</v>
      </c>
      <c r="L26" s="195">
        <f t="shared" si="18"/>
        <v>7194993.8599999994</v>
      </c>
      <c r="M26" s="195">
        <f t="shared" si="18"/>
        <v>2411664.62</v>
      </c>
      <c r="N26" s="195">
        <f t="shared" si="18"/>
        <v>2411664.62</v>
      </c>
      <c r="O26" s="195">
        <f t="shared" si="18"/>
        <v>10954836.609999999</v>
      </c>
      <c r="P26" s="195">
        <f t="shared" si="18"/>
        <v>2395235.4240000001</v>
      </c>
      <c r="Q26" s="195">
        <f t="shared" si="18"/>
        <v>43505761.345399998</v>
      </c>
      <c r="R26" s="195">
        <f t="shared" si="18"/>
        <v>42425902.845399998</v>
      </c>
      <c r="S26" s="195">
        <f t="shared" si="18"/>
        <v>46309994.512066662</v>
      </c>
      <c r="T26" s="195">
        <f t="shared" si="18"/>
        <v>46309994.512066662</v>
      </c>
      <c r="U26" s="195">
        <f t="shared" si="18"/>
        <v>42189736.383399993</v>
      </c>
      <c r="V26" s="195">
        <f t="shared" si="18"/>
        <v>42189736.383399993</v>
      </c>
      <c r="W26" s="195">
        <f t="shared" si="18"/>
        <v>42069736.383399993</v>
      </c>
      <c r="X26" s="195">
        <f t="shared" si="18"/>
        <v>55020103.357199997</v>
      </c>
      <c r="Y26" s="195"/>
      <c r="Z26" s="195"/>
      <c r="AA26" s="195"/>
      <c r="AB26" s="195"/>
      <c r="AC26" s="195"/>
      <c r="AD26" s="195"/>
      <c r="AE26" s="195"/>
      <c r="AF26" s="195"/>
      <c r="AG26" s="195"/>
      <c r="AH26" s="195"/>
      <c r="AI26" s="195"/>
      <c r="AJ26" s="195"/>
      <c r="AK26" s="195"/>
      <c r="AL26" s="195"/>
      <c r="AM26" s="195"/>
      <c r="AN26" s="195"/>
      <c r="AO26" s="195"/>
      <c r="AP26" s="195"/>
      <c r="AQ26" s="195"/>
      <c r="AR26" s="200"/>
      <c r="AS26" s="258"/>
      <c r="AT26" s="258"/>
      <c r="AU26" s="258"/>
      <c r="AV26" s="201">
        <f>SUM(AV5:AV25)</f>
        <v>735412967.03577781</v>
      </c>
      <c r="AW26" s="182">
        <f>SUM(AW5:AW25)</f>
        <v>749873762.09133339</v>
      </c>
      <c r="AX26" s="177"/>
      <c r="AY26"/>
      <c r="AZ26"/>
    </row>
    <row r="27" spans="1:52" ht="14.25">
      <c r="A27" s="179" t="s">
        <v>292</v>
      </c>
      <c r="B27" s="251">
        <f>'Phase 2a Financial'!B92</f>
        <v>-231829000</v>
      </c>
      <c r="C27" s="503"/>
      <c r="D27" s="503"/>
      <c r="E27" s="503"/>
      <c r="F27" s="503"/>
      <c r="G27" s="503"/>
      <c r="H27" s="503"/>
      <c r="I27" s="503"/>
      <c r="J27" s="503"/>
      <c r="K27" s="503"/>
      <c r="L27" s="503"/>
      <c r="M27" s="503"/>
      <c r="N27" s="503"/>
      <c r="O27" s="503"/>
      <c r="P27" s="503"/>
      <c r="Q27" s="503"/>
      <c r="R27" s="503"/>
      <c r="S27" s="503"/>
      <c r="T27" s="503"/>
      <c r="U27" s="503"/>
      <c r="V27" s="503"/>
      <c r="W27" s="503"/>
      <c r="X27" s="503"/>
      <c r="Y27" s="503"/>
      <c r="Z27" s="503"/>
      <c r="AA27" s="503"/>
      <c r="AB27" s="503"/>
      <c r="AC27" s="503"/>
      <c r="AD27" s="503"/>
      <c r="AE27" s="503"/>
      <c r="AF27" s="503"/>
      <c r="AG27" s="503"/>
      <c r="AH27" s="503"/>
      <c r="AI27" s="503"/>
      <c r="AJ27" s="503"/>
      <c r="AK27" s="503"/>
      <c r="AL27" s="503"/>
      <c r="AM27" s="503"/>
      <c r="AN27" s="503"/>
      <c r="AO27" s="503"/>
      <c r="AP27" s="503"/>
      <c r="AQ27" s="503"/>
      <c r="AR27" s="503"/>
      <c r="AS27" s="503"/>
      <c r="AT27" s="503"/>
      <c r="AU27" s="503"/>
      <c r="AV27" s="556"/>
      <c r="AW27" s="503"/>
      <c r="AX27" s="177"/>
      <c r="AY27"/>
      <c r="AZ27"/>
    </row>
    <row r="28" spans="1:52" ht="14.65" thickBot="1">
      <c r="A28" s="484" t="s">
        <v>293</v>
      </c>
      <c r="B28" s="557">
        <f>B26+B27</f>
        <v>518044762.09133339</v>
      </c>
      <c r="C28" s="497"/>
      <c r="D28" s="497"/>
      <c r="E28" s="497"/>
      <c r="F28" s="497"/>
      <c r="G28" s="497"/>
      <c r="H28" s="497"/>
      <c r="I28" s="497"/>
      <c r="J28" s="497"/>
      <c r="K28" s="497"/>
      <c r="L28" s="497"/>
      <c r="M28" s="497"/>
      <c r="N28" s="497"/>
      <c r="O28" s="497"/>
      <c r="P28" s="497"/>
      <c r="Q28" s="497"/>
      <c r="R28" s="497"/>
      <c r="S28" s="497"/>
      <c r="T28" s="497"/>
      <c r="U28" s="497"/>
      <c r="V28" s="497"/>
      <c r="W28" s="497"/>
      <c r="X28" s="497"/>
      <c r="Y28" s="497"/>
      <c r="Z28" s="495"/>
      <c r="AA28" s="495"/>
      <c r="AB28" s="495"/>
      <c r="AC28" s="495"/>
      <c r="AD28" s="495"/>
      <c r="AE28" s="495"/>
      <c r="AF28" s="495"/>
      <c r="AG28" s="495"/>
      <c r="AH28" s="497"/>
      <c r="AI28" s="497"/>
      <c r="AJ28" s="497"/>
      <c r="AK28" s="497"/>
      <c r="AL28" s="497"/>
      <c r="AM28" s="497"/>
      <c r="AN28" s="497"/>
      <c r="AO28" s="497"/>
      <c r="AP28" s="497"/>
      <c r="AQ28" s="497"/>
      <c r="AR28" s="497"/>
      <c r="AS28" s="497"/>
      <c r="AT28" s="497"/>
      <c r="AU28" s="497"/>
      <c r="AV28" s="497"/>
      <c r="AW28" s="497"/>
      <c r="AX28" s="486"/>
      <c r="AY28"/>
      <c r="AZ28"/>
    </row>
    <row r="29" spans="1:52" ht="14.25">
      <c r="A29" s="487" t="s">
        <v>294</v>
      </c>
      <c r="B29" s="488">
        <f>SUM(C29:AR29)</f>
        <v>259497523.78562105</v>
      </c>
      <c r="C29" s="469">
        <f>C26</f>
        <v>0</v>
      </c>
      <c r="D29" s="469">
        <f t="shared" ref="D29:X29" si="19">IF(C30+D26&lt;=$B$30,D26,($B$30-C30))</f>
        <v>0</v>
      </c>
      <c r="E29" s="469">
        <f t="shared" si="19"/>
        <v>0</v>
      </c>
      <c r="F29" s="469">
        <f t="shared" si="19"/>
        <v>0</v>
      </c>
      <c r="G29" s="469">
        <f t="shared" si="19"/>
        <v>1500000</v>
      </c>
      <c r="H29" s="469">
        <f t="shared" si="19"/>
        <v>0</v>
      </c>
      <c r="I29" s="469">
        <f t="shared" si="19"/>
        <v>0</v>
      </c>
      <c r="J29" s="469">
        <f t="shared" si="19"/>
        <v>0</v>
      </c>
      <c r="K29" s="469">
        <f t="shared" si="19"/>
        <v>13616373.859999999</v>
      </c>
      <c r="L29" s="469">
        <f t="shared" si="19"/>
        <v>7194993.8599999994</v>
      </c>
      <c r="M29" s="469">
        <f t="shared" si="19"/>
        <v>2411664.62</v>
      </c>
      <c r="N29" s="469">
        <f t="shared" si="19"/>
        <v>2411664.62</v>
      </c>
      <c r="O29" s="469">
        <f t="shared" si="19"/>
        <v>10954836.609999999</v>
      </c>
      <c r="P29" s="469">
        <f t="shared" si="19"/>
        <v>2395235.4240000001</v>
      </c>
      <c r="Q29" s="469">
        <f t="shared" si="19"/>
        <v>43505761.345399998</v>
      </c>
      <c r="R29" s="469">
        <f t="shared" si="19"/>
        <v>42425902.845399998</v>
      </c>
      <c r="S29" s="469">
        <f t="shared" si="19"/>
        <v>46309994.512066662</v>
      </c>
      <c r="T29" s="469">
        <f t="shared" si="19"/>
        <v>46309994.512066662</v>
      </c>
      <c r="U29" s="469">
        <f t="shared" si="19"/>
        <v>40461101.576687723</v>
      </c>
      <c r="V29" s="469">
        <f t="shared" si="19"/>
        <v>0</v>
      </c>
      <c r="W29" s="469">
        <f t="shared" si="19"/>
        <v>0</v>
      </c>
      <c r="X29" s="469">
        <f t="shared" si="19"/>
        <v>0</v>
      </c>
      <c r="Y29" s="469"/>
      <c r="Z29" s="469"/>
      <c r="AA29" s="469"/>
      <c r="AB29" s="469"/>
      <c r="AC29" s="469"/>
      <c r="AD29" s="469"/>
      <c r="AE29" s="469"/>
      <c r="AF29" s="469"/>
      <c r="AG29" s="469"/>
      <c r="AH29" s="469"/>
      <c r="AI29" s="469"/>
      <c r="AJ29" s="469"/>
      <c r="AK29" s="469"/>
      <c r="AL29" s="469"/>
      <c r="AM29" s="469"/>
      <c r="AN29" s="469"/>
      <c r="AO29" s="469"/>
      <c r="AP29" s="469"/>
      <c r="AQ29" s="469"/>
      <c r="AR29" s="469"/>
      <c r="AS29" s="489"/>
      <c r="AT29" s="489"/>
      <c r="AU29" s="489"/>
      <c r="AV29" s="489"/>
      <c r="AW29" s="489"/>
      <c r="AX29" s="489"/>
      <c r="AY29"/>
      <c r="AZ29"/>
    </row>
    <row r="30" spans="1:52" ht="14.65" thickBot="1">
      <c r="A30" s="466" t="s">
        <v>295</v>
      </c>
      <c r="B30" s="183">
        <f>'Phase 2a Financial'!B99</f>
        <v>259497523.78562105</v>
      </c>
      <c r="C30" s="469">
        <f>C29</f>
        <v>0</v>
      </c>
      <c r="D30" s="469">
        <f>IF(SUM($C$29:D29)&lt;=$B30,SUM($C$29:D29),0)</f>
        <v>0</v>
      </c>
      <c r="E30" s="469">
        <f>IF(SUM($C$29:E29)&lt;=$B30,SUM($C$29:E29),0)</f>
        <v>0</v>
      </c>
      <c r="F30" s="469">
        <f>IF(SUM($C$29:F29)&lt;=$B30,SUM($C$29:F29),0)</f>
        <v>0</v>
      </c>
      <c r="G30" s="469">
        <f>IF(SUM($C$29:G29)&lt;=$B30,SUM($C$29:G29),0)</f>
        <v>1500000</v>
      </c>
      <c r="H30" s="469">
        <f>IF(SUM($C$29:H29)&lt;=$B30,SUM($C$29:H29),0)</f>
        <v>1500000</v>
      </c>
      <c r="I30" s="469">
        <f>IF(SUM($C$29:I29)&lt;=$B30,SUM($C$29:I29),0)</f>
        <v>1500000</v>
      </c>
      <c r="J30" s="469">
        <f>IF(SUM($C$29:J29)&lt;=$B30,SUM($C$29:J29),0)</f>
        <v>1500000</v>
      </c>
      <c r="K30" s="469">
        <f>IF(SUM($C$29:K29)&lt;=$B30,SUM($C$29:K29),0)</f>
        <v>15116373.859999999</v>
      </c>
      <c r="L30" s="469">
        <f>IF(SUM($C$29:L29)&lt;=$B30,SUM($C$29:L29),0)</f>
        <v>22311367.719999999</v>
      </c>
      <c r="M30" s="469">
        <f>IF(SUM($C$29:M29)&lt;=$B30,SUM($C$29:M29),0)</f>
        <v>24723032.34</v>
      </c>
      <c r="N30" s="469">
        <f>IF(SUM($C$29:N29)&lt;=$B30,SUM($C$29:N29),0)</f>
        <v>27134696.960000001</v>
      </c>
      <c r="O30" s="469">
        <f>IF(SUM($C$29:O29)&lt;=$B30,SUM($C$29:O29),0)</f>
        <v>38089533.57</v>
      </c>
      <c r="P30" s="469">
        <f>IF(SUM($C$29:P29)&lt;=$B30,SUM($C$29:P29),0)</f>
        <v>40484768.994000003</v>
      </c>
      <c r="Q30" s="469">
        <f>IF(SUM($C$29:Q29)&lt;=$B30,SUM($C$29:Q29),0)</f>
        <v>83990530.339399993</v>
      </c>
      <c r="R30" s="469">
        <f>IF(SUM($C$29:R29)&lt;=$B30,SUM($C$29:R29),0)</f>
        <v>126416433.1848</v>
      </c>
      <c r="S30" s="469">
        <f>IF(SUM($C$29:S29)&lt;=$B30,SUM($C$29:S29),0)</f>
        <v>172726427.69686666</v>
      </c>
      <c r="T30" s="469">
        <f>IF(SUM($C$29:T29)&lt;=$B30,SUM($C$29:T29),0)</f>
        <v>219036422.20893332</v>
      </c>
      <c r="U30" s="469">
        <f>IF(SUM($C$29:U29)&lt;=$B30,SUM($C$29:U29),0)</f>
        <v>259497523.78562105</v>
      </c>
      <c r="V30" s="469">
        <f>IF(SUM($C$29:V29)&lt;=$B30,SUM($C$29:V29),0)</f>
        <v>259497523.78562105</v>
      </c>
      <c r="W30" s="469">
        <f>IF(SUM($C$29:W29)&lt;=$B30,SUM($C$29:W29),0)</f>
        <v>259497523.78562105</v>
      </c>
      <c r="X30" s="504">
        <f>IF(SUM($C$29:X29)&lt;=$B30,SUM($C$29:X29),0)</f>
        <v>259497523.78562105</v>
      </c>
      <c r="Y30" s="469"/>
      <c r="Z30" s="469"/>
      <c r="AA30" s="469"/>
      <c r="AB30" s="469"/>
      <c r="AC30" s="469"/>
      <c r="AD30" s="469"/>
      <c r="AE30" s="469"/>
      <c r="AF30" s="469"/>
      <c r="AG30" s="469"/>
      <c r="AH30" s="469"/>
      <c r="AI30" s="469"/>
      <c r="AJ30" s="469"/>
      <c r="AK30" s="469"/>
      <c r="AL30" s="469"/>
      <c r="AM30" s="469"/>
      <c r="AN30" s="469"/>
      <c r="AO30" s="469"/>
      <c r="AP30" s="469"/>
      <c r="AQ30" s="469"/>
      <c r="AR30" s="469"/>
      <c r="AS30" s="489"/>
      <c r="AT30" s="489"/>
      <c r="AU30" s="489"/>
      <c r="AV30" s="489"/>
      <c r="AW30" s="489"/>
      <c r="AX30" s="489"/>
      <c r="AY30"/>
      <c r="AZ30"/>
    </row>
    <row r="31" spans="1:52" ht="14.25">
      <c r="A31" s="184" t="s">
        <v>296</v>
      </c>
      <c r="B31" s="185">
        <f>'Phase 2a Financial'!B94</f>
        <v>449924000</v>
      </c>
      <c r="C31" s="490"/>
      <c r="D31" s="491"/>
      <c r="E31" s="491"/>
      <c r="F31" s="491"/>
      <c r="G31" s="491"/>
      <c r="H31" s="491"/>
      <c r="I31" s="491"/>
      <c r="J31" s="491"/>
      <c r="K31" s="491"/>
      <c r="L31" s="491"/>
      <c r="M31" s="491"/>
      <c r="N31" s="491"/>
      <c r="O31" s="491"/>
      <c r="P31" s="491"/>
      <c r="Q31" s="491"/>
      <c r="R31" s="491"/>
      <c r="S31" s="491"/>
      <c r="T31" s="491"/>
      <c r="U31" s="491"/>
      <c r="V31" s="491"/>
      <c r="W31" s="491"/>
      <c r="X31" s="491"/>
      <c r="Y31" s="491"/>
      <c r="Z31" s="491"/>
      <c r="AA31" s="491"/>
      <c r="AB31" s="491"/>
      <c r="AC31" s="491"/>
      <c r="AD31" s="491"/>
      <c r="AE31" s="491"/>
      <c r="AF31" s="491"/>
      <c r="AG31" s="491"/>
      <c r="AH31" s="491"/>
      <c r="AI31" s="491"/>
      <c r="AJ31" s="491"/>
      <c r="AK31" s="491"/>
      <c r="AL31" s="491"/>
      <c r="AM31" s="491"/>
      <c r="AN31" s="491"/>
      <c r="AO31" s="491"/>
      <c r="AP31" s="491"/>
      <c r="AQ31" s="491"/>
      <c r="AR31" s="491"/>
      <c r="AS31" s="490"/>
      <c r="AT31" s="490"/>
      <c r="AU31" s="490"/>
      <c r="AV31" s="490"/>
      <c r="AW31" s="490"/>
      <c r="AX31" s="489"/>
      <c r="AY31"/>
      <c r="AZ31"/>
    </row>
    <row r="32" spans="1:52" ht="14.65" thickBot="1">
      <c r="A32" s="492" t="s">
        <v>297</v>
      </c>
      <c r="B32" s="493">
        <f>PMT(0.045,30,(B31))</f>
        <v>-27621528.551605865</v>
      </c>
      <c r="C32" s="490"/>
      <c r="D32" s="491"/>
      <c r="E32" s="491"/>
      <c r="F32" s="491"/>
      <c r="G32" s="491"/>
      <c r="H32" s="491"/>
      <c r="I32" s="491"/>
      <c r="J32" s="491"/>
      <c r="K32" s="491"/>
      <c r="L32" s="491"/>
      <c r="M32" s="491"/>
      <c r="N32" s="491"/>
      <c r="O32" s="491"/>
      <c r="P32" s="491"/>
      <c r="Q32" s="491"/>
      <c r="R32" s="491"/>
      <c r="S32" s="491"/>
      <c r="T32" s="491"/>
      <c r="U32" s="491"/>
      <c r="V32" s="491"/>
      <c r="W32" s="491"/>
      <c r="X32" s="491"/>
      <c r="Y32" s="491"/>
      <c r="Z32" s="491"/>
      <c r="AA32" s="491"/>
      <c r="AB32" s="491"/>
      <c r="AC32" s="491"/>
      <c r="AD32" s="491"/>
      <c r="AE32" s="491"/>
      <c r="AF32" s="491"/>
      <c r="AG32" s="491"/>
      <c r="AH32" s="491"/>
      <c r="AI32" s="491"/>
      <c r="AJ32" s="491"/>
      <c r="AK32" s="491"/>
      <c r="AL32" s="491"/>
      <c r="AM32" s="491"/>
      <c r="AN32" s="491"/>
      <c r="AO32" s="491"/>
      <c r="AP32" s="491"/>
      <c r="AQ32" s="491"/>
      <c r="AR32" s="491"/>
      <c r="AS32" s="490"/>
      <c r="AT32" s="490"/>
      <c r="AU32" s="490"/>
      <c r="AV32" s="490"/>
      <c r="AW32" s="490"/>
      <c r="AX32" s="489"/>
      <c r="AY32"/>
      <c r="AZ32"/>
    </row>
    <row r="33" spans="1:52" ht="14.25">
      <c r="A33" s="186" t="s">
        <v>298</v>
      </c>
      <c r="B33" s="187">
        <f>SUM(C33:AV33)</f>
        <v>0</v>
      </c>
      <c r="C33" s="469"/>
      <c r="D33" s="469"/>
      <c r="E33" s="469"/>
      <c r="F33" s="469"/>
      <c r="G33" s="469"/>
      <c r="H33" s="469"/>
      <c r="I33" s="469"/>
      <c r="J33" s="469"/>
      <c r="K33" s="469"/>
      <c r="L33" s="469"/>
      <c r="M33" s="469"/>
      <c r="N33" s="469"/>
      <c r="O33" s="469"/>
      <c r="P33" s="469"/>
      <c r="Q33" s="469"/>
      <c r="R33" s="469"/>
      <c r="S33" s="469"/>
      <c r="T33" s="469"/>
      <c r="U33" s="469"/>
      <c r="V33" s="469"/>
      <c r="W33" s="469"/>
      <c r="X33" s="469"/>
      <c r="Y33" s="469"/>
      <c r="Z33" s="469"/>
      <c r="AA33" s="469"/>
      <c r="AB33" s="469"/>
      <c r="AC33" s="469"/>
      <c r="AD33" s="469"/>
      <c r="AE33" s="469"/>
      <c r="AF33" s="469"/>
      <c r="AG33" s="469"/>
      <c r="AH33" s="469"/>
      <c r="AI33" s="469"/>
      <c r="AJ33" s="469"/>
      <c r="AK33" s="469"/>
      <c r="AL33" s="469"/>
      <c r="AM33" s="469"/>
      <c r="AN33" s="469"/>
      <c r="AO33" s="469"/>
      <c r="AP33" s="469"/>
      <c r="AQ33" s="469"/>
      <c r="AR33" s="469"/>
      <c r="AS33" s="469"/>
      <c r="AT33" s="469"/>
      <c r="AU33" s="469"/>
      <c r="AV33" s="495"/>
      <c r="AW33" s="490"/>
      <c r="AX33" s="489"/>
      <c r="AY33"/>
      <c r="AZ33"/>
    </row>
    <row r="34" spans="1:52" ht="14.25">
      <c r="A34" s="1430" t="s">
        <v>299</v>
      </c>
      <c r="B34" s="1431"/>
      <c r="C34" s="469"/>
      <c r="D34" s="469"/>
      <c r="E34" s="469"/>
      <c r="F34" s="469"/>
      <c r="G34" s="469"/>
      <c r="H34" s="469"/>
      <c r="I34" s="469"/>
      <c r="J34" s="469"/>
      <c r="K34" s="469"/>
      <c r="L34" s="469"/>
      <c r="M34" s="469"/>
      <c r="N34" s="469"/>
      <c r="O34" s="469"/>
      <c r="P34" s="469"/>
      <c r="Q34" s="469"/>
      <c r="R34" s="469"/>
      <c r="S34" s="469"/>
      <c r="T34" s="469"/>
      <c r="U34" s="469"/>
      <c r="V34" s="469"/>
      <c r="W34" s="469"/>
      <c r="X34" s="469"/>
      <c r="Y34" s="469"/>
      <c r="Z34" s="469"/>
      <c r="AA34" s="469"/>
      <c r="AB34" s="469"/>
      <c r="AC34" s="469"/>
      <c r="AD34" s="469"/>
      <c r="AE34" s="469"/>
      <c r="AF34" s="469"/>
      <c r="AG34" s="469"/>
      <c r="AH34" s="469"/>
      <c r="AI34" s="469"/>
      <c r="AJ34" s="469"/>
      <c r="AK34" s="469"/>
      <c r="AL34" s="469"/>
      <c r="AM34" s="469"/>
      <c r="AN34" s="469"/>
      <c r="AO34" s="469"/>
      <c r="AP34" s="469"/>
      <c r="AQ34" s="469"/>
      <c r="AR34" s="469"/>
      <c r="AS34" s="101"/>
      <c r="AT34" s="101"/>
      <c r="AU34" s="101"/>
      <c r="AV34" s="495"/>
      <c r="AW34" s="491"/>
      <c r="AX34" s="489"/>
      <c r="AY34"/>
      <c r="AZ34"/>
    </row>
    <row r="35" spans="1:52" ht="14.25">
      <c r="A35" s="487" t="s">
        <v>300</v>
      </c>
      <c r="B35" s="488">
        <f>'Phase 2a Financial'!B106+'Phase 2a Financial'!B107</f>
        <v>210065300</v>
      </c>
      <c r="C35" s="495"/>
      <c r="D35" s="496"/>
      <c r="E35" s="496"/>
      <c r="F35" s="496"/>
      <c r="G35" s="496"/>
      <c r="H35" s="496"/>
      <c r="I35" s="496"/>
      <c r="J35" s="496"/>
      <c r="K35" s="496"/>
      <c r="L35" s="496"/>
      <c r="M35" s="496"/>
      <c r="N35" s="496"/>
      <c r="O35" s="496"/>
      <c r="P35" s="496"/>
      <c r="Q35" s="496"/>
      <c r="R35" s="496"/>
      <c r="S35" s="496"/>
      <c r="T35" s="496"/>
      <c r="U35" s="496"/>
      <c r="V35" s="496"/>
      <c r="W35" s="496"/>
      <c r="X35" s="496"/>
      <c r="Y35" s="496"/>
      <c r="Z35" s="496"/>
      <c r="AA35" s="496"/>
      <c r="AB35" s="496"/>
      <c r="AC35" s="496"/>
      <c r="AD35" s="496"/>
      <c r="AE35" s="496"/>
      <c r="AF35" s="496"/>
      <c r="AG35" s="558"/>
      <c r="AH35" s="496"/>
      <c r="AI35" s="496"/>
      <c r="AJ35" s="496"/>
      <c r="AK35" s="496"/>
      <c r="AL35" s="496"/>
      <c r="AM35" s="496"/>
      <c r="AN35" s="496"/>
      <c r="AO35" s="496"/>
      <c r="AP35" s="496"/>
      <c r="AQ35" s="496"/>
      <c r="AR35" s="496"/>
      <c r="AS35" s="259"/>
      <c r="AT35" s="259"/>
      <c r="AU35" s="259"/>
      <c r="AV35" s="497"/>
      <c r="AW35" s="498"/>
      <c r="AX35" s="499"/>
      <c r="AY35"/>
      <c r="AZ35"/>
    </row>
    <row r="36" spans="1:52" ht="14.25">
      <c r="A36" s="487" t="s">
        <v>316</v>
      </c>
      <c r="B36" s="271">
        <f>SUM(C36:AU36)</f>
        <v>-49432223.785621047</v>
      </c>
      <c r="C36" s="500">
        <f t="shared" ref="C36:W36" si="20">-C29</f>
        <v>0</v>
      </c>
      <c r="D36" s="500">
        <f t="shared" si="20"/>
        <v>0</v>
      </c>
      <c r="E36" s="500">
        <f t="shared" si="20"/>
        <v>0</v>
      </c>
      <c r="F36" s="500">
        <f t="shared" si="20"/>
        <v>0</v>
      </c>
      <c r="G36" s="500">
        <f t="shared" si="20"/>
        <v>-1500000</v>
      </c>
      <c r="H36" s="500">
        <f t="shared" si="20"/>
        <v>0</v>
      </c>
      <c r="I36" s="500">
        <f t="shared" si="20"/>
        <v>0</v>
      </c>
      <c r="J36" s="500">
        <f t="shared" si="20"/>
        <v>0</v>
      </c>
      <c r="K36" s="500">
        <f t="shared" si="20"/>
        <v>-13616373.859999999</v>
      </c>
      <c r="L36" s="500">
        <f t="shared" si="20"/>
        <v>-7194993.8599999994</v>
      </c>
      <c r="M36" s="500">
        <f t="shared" si="20"/>
        <v>-2411664.62</v>
      </c>
      <c r="N36" s="500">
        <f t="shared" si="20"/>
        <v>-2411664.62</v>
      </c>
      <c r="O36" s="500">
        <f t="shared" si="20"/>
        <v>-10954836.609999999</v>
      </c>
      <c r="P36" s="500">
        <f t="shared" si="20"/>
        <v>-2395235.4240000001</v>
      </c>
      <c r="Q36" s="500">
        <f t="shared" si="20"/>
        <v>-43505761.345399998</v>
      </c>
      <c r="R36" s="500">
        <f t="shared" si="20"/>
        <v>-42425902.845399998</v>
      </c>
      <c r="S36" s="500">
        <f t="shared" si="20"/>
        <v>-46309994.512066662</v>
      </c>
      <c r="T36" s="500">
        <f t="shared" si="20"/>
        <v>-46309994.512066662</v>
      </c>
      <c r="U36" s="500">
        <f t="shared" si="20"/>
        <v>-40461101.576687723</v>
      </c>
      <c r="V36" s="500">
        <f t="shared" si="20"/>
        <v>0</v>
      </c>
      <c r="W36" s="500">
        <f t="shared" si="20"/>
        <v>0</v>
      </c>
      <c r="X36" s="501">
        <f>B35</f>
        <v>210065300</v>
      </c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189"/>
      <c r="AL36" s="190"/>
      <c r="AM36" s="190"/>
      <c r="AN36" s="190"/>
      <c r="AO36" s="190"/>
      <c r="AP36" s="190"/>
      <c r="AQ36" s="190"/>
      <c r="AR36" s="190"/>
      <c r="AS36" s="260"/>
      <c r="AT36" s="260"/>
      <c r="AU36" s="260"/>
      <c r="AV36" s="192"/>
      <c r="AW36" s="500"/>
      <c r="AX36" s="469"/>
      <c r="AY36"/>
      <c r="AZ36"/>
    </row>
    <row r="37" spans="1:52" ht="14.25">
      <c r="A37" s="487" t="s">
        <v>302</v>
      </c>
      <c r="B37" s="269">
        <f>IF(B36&lt;0,0,IRR(C36:AIW36))</f>
        <v>0</v>
      </c>
      <c r="C37" s="503"/>
      <c r="D37" s="503"/>
      <c r="E37" s="503"/>
      <c r="F37" s="503"/>
      <c r="G37" s="503"/>
      <c r="H37" s="503"/>
      <c r="I37" s="503"/>
      <c r="J37" s="503"/>
      <c r="K37" s="503"/>
      <c r="L37" s="503"/>
      <c r="M37" s="503"/>
      <c r="N37" s="503"/>
      <c r="O37" s="503"/>
      <c r="P37" s="503"/>
      <c r="Q37" s="503"/>
      <c r="R37" s="503"/>
      <c r="S37" s="503"/>
      <c r="T37" s="503"/>
      <c r="U37" s="503"/>
      <c r="V37" s="503"/>
      <c r="W37" s="503"/>
      <c r="X37" s="503"/>
      <c r="Y37" s="503"/>
      <c r="Z37" s="503"/>
      <c r="AA37" s="503"/>
      <c r="AB37" s="503"/>
      <c r="AC37" s="503"/>
      <c r="AD37" s="503"/>
      <c r="AE37" s="503"/>
      <c r="AF37" s="503"/>
      <c r="AG37" s="503"/>
      <c r="AH37" s="503"/>
      <c r="AI37" s="503"/>
      <c r="AJ37" s="503"/>
      <c r="AK37" s="503"/>
      <c r="AL37" s="503"/>
      <c r="AM37" s="503"/>
      <c r="AN37" s="503"/>
      <c r="AO37" s="503"/>
      <c r="AP37" s="503"/>
      <c r="AQ37" s="503"/>
      <c r="AR37" s="503"/>
      <c r="AS37" s="503"/>
      <c r="AT37" s="503"/>
      <c r="AU37" s="503"/>
      <c r="AV37" s="497"/>
      <c r="AW37" s="503"/>
      <c r="AX37" s="504"/>
      <c r="AY37"/>
      <c r="AZ37"/>
    </row>
    <row r="38" spans="1:52" ht="14.25">
      <c r="A38" s="477" t="s">
        <v>303</v>
      </c>
      <c r="B38" s="270">
        <f>POWER((1+B37),4)-1</f>
        <v>0</v>
      </c>
      <c r="C38" s="497"/>
      <c r="D38" s="497"/>
      <c r="E38" s="506"/>
      <c r="F38" s="506"/>
      <c r="G38" s="506"/>
      <c r="H38" s="506"/>
      <c r="I38" s="506"/>
      <c r="J38" s="506"/>
      <c r="K38" s="506"/>
      <c r="L38" s="506"/>
      <c r="M38" s="506"/>
      <c r="N38" s="506"/>
      <c r="O38" s="506"/>
      <c r="P38" s="507"/>
      <c r="Q38" s="506"/>
      <c r="R38" s="506"/>
      <c r="S38" s="506"/>
      <c r="T38" s="506"/>
      <c r="U38" s="506"/>
      <c r="V38" s="507"/>
      <c r="W38" s="506"/>
      <c r="X38" s="506"/>
      <c r="Y38" s="506"/>
      <c r="Z38" s="506"/>
      <c r="AA38" s="506"/>
      <c r="AB38" s="506"/>
      <c r="AC38" s="506"/>
      <c r="AD38" s="506"/>
      <c r="AE38" s="506"/>
      <c r="AF38" s="506"/>
      <c r="AG38" s="506"/>
      <c r="AH38" s="506"/>
      <c r="AI38" s="506"/>
      <c r="AJ38" s="506"/>
      <c r="AK38" s="506"/>
      <c r="AL38" s="506"/>
      <c r="AM38" s="506"/>
      <c r="AN38" s="506"/>
      <c r="AO38" s="506"/>
      <c r="AP38" s="506"/>
      <c r="AQ38" s="506"/>
      <c r="AR38" s="559"/>
      <c r="AS38" s="559"/>
      <c r="AT38" s="559"/>
      <c r="AU38" s="559"/>
      <c r="AV38" s="506"/>
      <c r="AW38" s="506"/>
      <c r="AX38" s="508"/>
      <c r="AY38"/>
      <c r="AZ38"/>
    </row>
    <row r="39" spans="1:52" ht="13.15">
      <c r="A39" s="1452" t="s">
        <v>304</v>
      </c>
      <c r="B39" s="1430"/>
      <c r="C39" s="497"/>
      <c r="D39" s="497"/>
      <c r="E39" s="497"/>
      <c r="F39" s="497"/>
      <c r="G39" s="497"/>
      <c r="H39" s="497"/>
      <c r="I39" s="497"/>
      <c r="J39" s="497"/>
      <c r="K39" s="497"/>
      <c r="L39" s="497"/>
      <c r="M39" s="497"/>
      <c r="N39" s="497"/>
      <c r="O39" s="497"/>
      <c r="P39" s="497"/>
      <c r="Q39" s="497"/>
      <c r="R39" s="497"/>
      <c r="S39" s="497"/>
      <c r="T39" s="497"/>
      <c r="U39" s="497"/>
      <c r="V39" s="497"/>
      <c r="W39" s="497"/>
      <c r="X39" s="497"/>
      <c r="Y39" s="497"/>
      <c r="Z39" s="497"/>
      <c r="AA39" s="497"/>
      <c r="AB39" s="497"/>
      <c r="AC39" s="497"/>
      <c r="AD39" s="497"/>
      <c r="AE39" s="497"/>
      <c r="AF39" s="497"/>
      <c r="AG39" s="497"/>
      <c r="AH39" s="497"/>
      <c r="AI39" s="497"/>
      <c r="AJ39" s="497"/>
      <c r="AK39" s="497"/>
      <c r="AL39" s="497"/>
      <c r="AM39" s="497"/>
      <c r="AN39" s="497"/>
      <c r="AO39" s="497"/>
      <c r="AP39" s="497"/>
      <c r="AQ39" s="497"/>
      <c r="AR39" s="497"/>
      <c r="AS39" s="497"/>
      <c r="AT39" s="497"/>
      <c r="AU39" s="497"/>
      <c r="AV39" s="497"/>
      <c r="AW39" s="497"/>
      <c r="AX39" s="477"/>
    </row>
    <row r="40" spans="1:52">
      <c r="A40" s="487" t="s">
        <v>305</v>
      </c>
      <c r="B40" s="561">
        <f>'Phase 2a Financial'!B106-B27</f>
        <v>891818300</v>
      </c>
      <c r="C40" s="497"/>
      <c r="D40" s="497"/>
      <c r="E40" s="497"/>
      <c r="F40" s="497"/>
      <c r="G40" s="497"/>
      <c r="H40" s="497"/>
      <c r="I40" s="497"/>
      <c r="J40" s="497"/>
      <c r="K40" s="497"/>
      <c r="L40" s="497"/>
      <c r="M40" s="491"/>
      <c r="N40" s="497"/>
      <c r="O40" s="497"/>
      <c r="P40" s="497"/>
      <c r="Q40" s="497"/>
      <c r="R40" s="497"/>
      <c r="S40" s="491"/>
      <c r="T40" s="497"/>
      <c r="U40" s="497"/>
      <c r="V40" s="497"/>
      <c r="W40" s="497"/>
      <c r="X40" s="497"/>
      <c r="Y40" s="497"/>
      <c r="Z40" s="497"/>
      <c r="AA40" s="497"/>
      <c r="AB40" s="497"/>
      <c r="AC40" s="497"/>
      <c r="AD40" s="497"/>
      <c r="AE40" s="497"/>
      <c r="AF40" s="497"/>
      <c r="AG40" s="497"/>
      <c r="AH40" s="497"/>
      <c r="AI40" s="497"/>
      <c r="AJ40" s="497"/>
      <c r="AK40" s="497"/>
      <c r="AL40" s="497"/>
      <c r="AM40" s="497"/>
      <c r="AN40" s="497"/>
      <c r="AO40" s="497"/>
      <c r="AP40" s="497"/>
      <c r="AQ40" s="497"/>
      <c r="AR40" s="497"/>
      <c r="AS40" s="497"/>
      <c r="AT40" s="497"/>
      <c r="AU40" s="497"/>
      <c r="AV40" s="497"/>
      <c r="AW40" s="497"/>
      <c r="AX40" s="477"/>
    </row>
    <row r="41" spans="1:52" ht="13.15">
      <c r="A41" s="487" t="s">
        <v>306</v>
      </c>
      <c r="B41" s="271">
        <f>SUM(C41:AU41)</f>
        <v>491312565.28366673</v>
      </c>
      <c r="C41" s="469">
        <f>-C26</f>
        <v>0</v>
      </c>
      <c r="D41" s="469">
        <f t="shared" ref="D41:W41" si="21">-D26</f>
        <v>0</v>
      </c>
      <c r="E41" s="469">
        <f t="shared" si="21"/>
        <v>0</v>
      </c>
      <c r="F41" s="469">
        <f t="shared" si="21"/>
        <v>0</v>
      </c>
      <c r="G41" s="469">
        <f t="shared" si="21"/>
        <v>-1500000</v>
      </c>
      <c r="H41" s="469">
        <f t="shared" si="21"/>
        <v>0</v>
      </c>
      <c r="I41" s="469">
        <f t="shared" si="21"/>
        <v>0</v>
      </c>
      <c r="J41" s="469">
        <f t="shared" si="21"/>
        <v>0</v>
      </c>
      <c r="K41" s="469">
        <f t="shared" si="21"/>
        <v>-13616373.859999999</v>
      </c>
      <c r="L41" s="469">
        <f t="shared" si="21"/>
        <v>-7194993.8599999994</v>
      </c>
      <c r="M41" s="469">
        <f t="shared" si="21"/>
        <v>-2411664.62</v>
      </c>
      <c r="N41" s="469">
        <f t="shared" si="21"/>
        <v>-2411664.62</v>
      </c>
      <c r="O41" s="469">
        <f t="shared" si="21"/>
        <v>-10954836.609999999</v>
      </c>
      <c r="P41" s="469">
        <f t="shared" si="21"/>
        <v>-2395235.4240000001</v>
      </c>
      <c r="Q41" s="469">
        <f t="shared" si="21"/>
        <v>-43505761.345399998</v>
      </c>
      <c r="R41" s="469">
        <f t="shared" si="21"/>
        <v>-42425902.845399998</v>
      </c>
      <c r="S41" s="469">
        <f t="shared" si="21"/>
        <v>-46309994.512066662</v>
      </c>
      <c r="T41" s="469">
        <f t="shared" si="21"/>
        <v>-46309994.512066662</v>
      </c>
      <c r="U41" s="469">
        <f t="shared" si="21"/>
        <v>-42189736.383399993</v>
      </c>
      <c r="V41" s="469">
        <f t="shared" si="21"/>
        <v>-42189736.383399993</v>
      </c>
      <c r="W41" s="469">
        <f t="shared" si="21"/>
        <v>-42069736.383399993</v>
      </c>
      <c r="X41" s="504">
        <f>-X26+B40</f>
        <v>836798196.64279997</v>
      </c>
      <c r="Y41" s="469">
        <f t="shared" ref="Y41:AR41" si="22">IF(Y30&gt;=$B$30,-(Y26+Y36),Y36)</f>
        <v>0</v>
      </c>
      <c r="Z41" s="469">
        <f t="shared" si="22"/>
        <v>0</v>
      </c>
      <c r="AA41" s="469">
        <f t="shared" si="22"/>
        <v>0</v>
      </c>
      <c r="AB41" s="469">
        <f t="shared" si="22"/>
        <v>0</v>
      </c>
      <c r="AC41" s="469">
        <f t="shared" si="22"/>
        <v>0</v>
      </c>
      <c r="AD41" s="469">
        <f t="shared" si="22"/>
        <v>0</v>
      </c>
      <c r="AE41" s="469">
        <f t="shared" si="22"/>
        <v>0</v>
      </c>
      <c r="AF41" s="469">
        <f t="shared" si="22"/>
        <v>0</v>
      </c>
      <c r="AG41" s="469">
        <f t="shared" si="22"/>
        <v>0</v>
      </c>
      <c r="AH41" s="469">
        <f t="shared" si="22"/>
        <v>0</v>
      </c>
      <c r="AI41" s="469">
        <f t="shared" si="22"/>
        <v>0</v>
      </c>
      <c r="AJ41" s="469">
        <f t="shared" si="22"/>
        <v>0</v>
      </c>
      <c r="AK41" s="469">
        <f t="shared" si="22"/>
        <v>0</v>
      </c>
      <c r="AL41" s="469">
        <f t="shared" si="22"/>
        <v>0</v>
      </c>
      <c r="AM41" s="469">
        <f t="shared" si="22"/>
        <v>0</v>
      </c>
      <c r="AN41" s="469">
        <f t="shared" si="22"/>
        <v>0</v>
      </c>
      <c r="AO41" s="469">
        <f t="shared" si="22"/>
        <v>0</v>
      </c>
      <c r="AP41" s="469">
        <f t="shared" si="22"/>
        <v>0</v>
      </c>
      <c r="AQ41" s="469">
        <f t="shared" si="22"/>
        <v>0</v>
      </c>
      <c r="AR41" s="469">
        <f t="shared" si="22"/>
        <v>0</v>
      </c>
      <c r="AS41" s="469"/>
      <c r="AT41" s="469"/>
      <c r="AU41" s="469"/>
      <c r="AV41" s="562"/>
      <c r="AW41" s="477"/>
      <c r="AX41" s="477"/>
    </row>
    <row r="42" spans="1:52">
      <c r="A42" s="487" t="s">
        <v>307</v>
      </c>
      <c r="B42" s="269">
        <f>IF(B41&lt;0,0,IRR(C41:AU41))</f>
        <v>0.16637071771155876</v>
      </c>
      <c r="C42" s="497"/>
      <c r="D42" s="497"/>
      <c r="E42" s="497"/>
      <c r="F42" s="497"/>
      <c r="G42" s="497"/>
      <c r="H42" s="497"/>
      <c r="I42" s="497"/>
      <c r="J42" s="497"/>
      <c r="K42" s="497"/>
      <c r="L42" s="497"/>
      <c r="M42" s="497"/>
      <c r="N42" s="497"/>
      <c r="O42" s="497"/>
      <c r="P42" s="497"/>
      <c r="Q42" s="497"/>
      <c r="R42" s="497"/>
      <c r="S42" s="497"/>
      <c r="T42" s="497"/>
      <c r="U42" s="497"/>
      <c r="V42" s="497"/>
      <c r="W42" s="497"/>
      <c r="X42" s="497"/>
      <c r="Y42" s="497"/>
      <c r="Z42" s="497"/>
      <c r="AA42" s="497"/>
      <c r="AB42" s="497"/>
      <c r="AC42" s="497"/>
      <c r="AD42" s="497"/>
      <c r="AE42" s="497"/>
      <c r="AF42" s="497"/>
      <c r="AG42" s="497"/>
      <c r="AH42" s="497"/>
      <c r="AI42" s="497"/>
      <c r="AJ42" s="497"/>
      <c r="AK42" s="497"/>
      <c r="AL42" s="497"/>
      <c r="AM42" s="497"/>
      <c r="AN42" s="497"/>
      <c r="AO42" s="497"/>
      <c r="AP42" s="497"/>
      <c r="AQ42" s="497"/>
      <c r="AR42" s="497"/>
      <c r="AS42" s="497"/>
      <c r="AT42" s="497"/>
      <c r="AU42" s="497"/>
      <c r="AV42" s="497"/>
      <c r="AW42" s="497"/>
      <c r="AX42" s="477"/>
    </row>
    <row r="43" spans="1:52" ht="13.15">
      <c r="A43" s="477" t="s">
        <v>308</v>
      </c>
      <c r="B43" s="505">
        <f>POWER((1+B42),4)-1</f>
        <v>0.85074434803451426</v>
      </c>
      <c r="C43" s="497"/>
      <c r="D43" s="497"/>
      <c r="E43" s="497"/>
      <c r="F43" s="497"/>
      <c r="G43" s="497"/>
      <c r="H43" s="497"/>
      <c r="I43" s="497"/>
      <c r="J43" s="497"/>
      <c r="K43" s="497"/>
      <c r="L43" s="497"/>
      <c r="M43" s="497"/>
      <c r="N43" s="497"/>
      <c r="O43" s="497"/>
      <c r="P43" s="497"/>
      <c r="Q43" s="497"/>
      <c r="R43" s="497"/>
      <c r="S43" s="497"/>
      <c r="T43" s="497"/>
      <c r="U43" s="497"/>
      <c r="V43" s="497"/>
      <c r="W43" s="497"/>
      <c r="X43" s="497"/>
      <c r="Y43" s="497"/>
      <c r="Z43" s="497"/>
      <c r="AA43" s="497"/>
      <c r="AB43" s="497"/>
      <c r="AC43" s="497"/>
      <c r="AD43" s="497"/>
      <c r="AE43" s="497"/>
      <c r="AF43" s="497"/>
      <c r="AG43" s="497"/>
      <c r="AH43" s="497"/>
      <c r="AI43" s="497"/>
      <c r="AJ43" s="497"/>
      <c r="AK43" s="497"/>
      <c r="AL43" s="497"/>
      <c r="AM43" s="497"/>
      <c r="AN43" s="497"/>
      <c r="AO43" s="497"/>
      <c r="AP43" s="497"/>
      <c r="AQ43" s="497"/>
      <c r="AR43" s="497"/>
      <c r="AS43" s="497"/>
      <c r="AT43" s="497"/>
      <c r="AU43" s="497"/>
      <c r="AV43" s="497"/>
      <c r="AW43" s="497"/>
      <c r="AX43" s="477"/>
    </row>
    <row r="44" spans="1:52">
      <c r="G44" s="37"/>
      <c r="AB44" s="37"/>
      <c r="AE44" s="37"/>
      <c r="AI44" s="37"/>
    </row>
    <row r="45" spans="1:52">
      <c r="G45" s="37"/>
      <c r="AB45" s="37"/>
      <c r="AE45" s="37"/>
      <c r="AI45" s="37"/>
    </row>
    <row r="46" spans="1:52">
      <c r="G46" s="37"/>
      <c r="AB46" s="37"/>
      <c r="AE46" s="37"/>
      <c r="AI46" s="37"/>
    </row>
    <row r="47" spans="1:52">
      <c r="G47" s="37"/>
      <c r="AB47" s="37"/>
      <c r="AE47" s="37"/>
      <c r="AI47" s="37"/>
    </row>
    <row r="48" spans="1:52">
      <c r="G48" s="37"/>
      <c r="AB48" s="37"/>
      <c r="AE48" s="37"/>
      <c r="AI48" s="37"/>
    </row>
    <row r="49" spans="7:35">
      <c r="G49" s="37"/>
      <c r="AB49" s="37"/>
      <c r="AE49" s="37"/>
      <c r="AI49" s="37"/>
    </row>
    <row r="50" spans="7:35">
      <c r="G50" s="37"/>
      <c r="AB50" s="37"/>
      <c r="AE50" s="37"/>
      <c r="AI50" s="37"/>
    </row>
    <row r="51" spans="7:35">
      <c r="G51" s="37"/>
    </row>
    <row r="52" spans="7:35">
      <c r="G52" s="37"/>
    </row>
    <row r="53" spans="7:35">
      <c r="G53" s="37"/>
    </row>
    <row r="54" spans="7:35">
      <c r="G54" s="37"/>
    </row>
    <row r="55" spans="7:35">
      <c r="G55" s="37"/>
    </row>
    <row r="56" spans="7:35">
      <c r="G56" s="37"/>
    </row>
    <row r="57" spans="7:35">
      <c r="G57" s="37"/>
    </row>
    <row r="58" spans="7:35">
      <c r="G58" s="37"/>
    </row>
    <row r="59" spans="7:35">
      <c r="G59" s="37"/>
    </row>
    <row r="60" spans="7:35">
      <c r="G60" s="37"/>
    </row>
    <row r="61" spans="7:35">
      <c r="G61" s="37"/>
    </row>
    <row r="62" spans="7:35">
      <c r="G62" s="37"/>
    </row>
    <row r="63" spans="7:35">
      <c r="G63" s="37"/>
    </row>
    <row r="64" spans="7:35">
      <c r="G64" s="37"/>
    </row>
    <row r="65" spans="7:7">
      <c r="G65" s="37"/>
    </row>
    <row r="66" spans="7:7">
      <c r="G66" s="37"/>
    </row>
    <row r="67" spans="7:7">
      <c r="G67" s="37"/>
    </row>
    <row r="68" spans="7:7">
      <c r="G68" s="37"/>
    </row>
    <row r="69" spans="7:7">
      <c r="G69" s="37"/>
    </row>
    <row r="70" spans="7:7">
      <c r="G70" s="37"/>
    </row>
    <row r="71" spans="7:7">
      <c r="G71" s="37"/>
    </row>
    <row r="72" spans="7:7">
      <c r="G72" s="37"/>
    </row>
    <row r="73" spans="7:7">
      <c r="G73" s="37"/>
    </row>
    <row r="74" spans="7:7">
      <c r="G74" s="37"/>
    </row>
    <row r="75" spans="7:7">
      <c r="G75" s="37"/>
    </row>
    <row r="76" spans="7:7">
      <c r="G76" s="37"/>
    </row>
    <row r="77" spans="7:7">
      <c r="G77" s="37"/>
    </row>
    <row r="78" spans="7:7">
      <c r="G78" s="37"/>
    </row>
    <row r="79" spans="7:7">
      <c r="G79" s="37"/>
    </row>
    <row r="80" spans="7:7">
      <c r="G80" s="37"/>
    </row>
    <row r="81" spans="7:7">
      <c r="G81" s="37"/>
    </row>
    <row r="82" spans="7:7">
      <c r="G82" s="37"/>
    </row>
    <row r="83" spans="7:7">
      <c r="G83" s="37"/>
    </row>
    <row r="84" spans="7:7">
      <c r="G84" s="37"/>
    </row>
    <row r="85" spans="7:7">
      <c r="G85" s="37"/>
    </row>
    <row r="86" spans="7:7">
      <c r="G86" s="37"/>
    </row>
    <row r="87" spans="7:7">
      <c r="G87" s="37"/>
    </row>
    <row r="88" spans="7:7">
      <c r="G88" s="37"/>
    </row>
    <row r="89" spans="7:7">
      <c r="G89" s="37"/>
    </row>
    <row r="90" spans="7:7">
      <c r="G90" s="37"/>
    </row>
    <row r="91" spans="7:7">
      <c r="G91" s="37"/>
    </row>
    <row r="92" spans="7:7">
      <c r="G92" s="37"/>
    </row>
    <row r="93" spans="7:7">
      <c r="G93" s="37"/>
    </row>
    <row r="94" spans="7:7">
      <c r="G94" s="37"/>
    </row>
    <row r="95" spans="7:7">
      <c r="G95" s="37"/>
    </row>
    <row r="96" spans="7:7">
      <c r="G96" s="37"/>
    </row>
    <row r="97" spans="7:7">
      <c r="G97" s="37"/>
    </row>
    <row r="98" spans="7:7">
      <c r="G98" s="37"/>
    </row>
    <row r="99" spans="7:7">
      <c r="G99" s="37"/>
    </row>
    <row r="100" spans="7:7">
      <c r="G100" s="37"/>
    </row>
    <row r="101" spans="7:7">
      <c r="G101" s="37"/>
    </row>
    <row r="102" spans="7:7">
      <c r="G102" s="37"/>
    </row>
    <row r="103" spans="7:7">
      <c r="G103" s="37"/>
    </row>
    <row r="104" spans="7:7">
      <c r="G104" s="37"/>
    </row>
    <row r="105" spans="7:7">
      <c r="G105" s="37"/>
    </row>
    <row r="106" spans="7:7">
      <c r="G106" s="37"/>
    </row>
    <row r="107" spans="7:7">
      <c r="G107" s="37"/>
    </row>
    <row r="108" spans="7:7">
      <c r="G108" s="37"/>
    </row>
    <row r="109" spans="7:7">
      <c r="G109" s="37"/>
    </row>
    <row r="110" spans="7:7">
      <c r="G110" s="37"/>
    </row>
    <row r="111" spans="7:7">
      <c r="G111" s="37"/>
    </row>
    <row r="112" spans="7:7">
      <c r="G112" s="37"/>
    </row>
    <row r="113" spans="7:7">
      <c r="G113" s="37"/>
    </row>
    <row r="114" spans="7:7">
      <c r="G114" s="37"/>
    </row>
    <row r="115" spans="7:7">
      <c r="G115" s="37"/>
    </row>
    <row r="116" spans="7:7">
      <c r="G116" s="37"/>
    </row>
    <row r="117" spans="7:7">
      <c r="G117" s="37"/>
    </row>
    <row r="118" spans="7:7">
      <c r="G118" s="37"/>
    </row>
    <row r="119" spans="7:7">
      <c r="G119" s="37"/>
    </row>
    <row r="120" spans="7:7">
      <c r="G120" s="37"/>
    </row>
    <row r="121" spans="7:7">
      <c r="G121" s="37"/>
    </row>
    <row r="122" spans="7:7">
      <c r="G122" s="37"/>
    </row>
    <row r="123" spans="7:7">
      <c r="G123" s="37"/>
    </row>
    <row r="124" spans="7:7">
      <c r="G124" s="37"/>
    </row>
    <row r="125" spans="7:7">
      <c r="G125" s="37"/>
    </row>
    <row r="126" spans="7:7">
      <c r="G126" s="37"/>
    </row>
    <row r="127" spans="7:7">
      <c r="G127" s="37"/>
    </row>
    <row r="128" spans="7:7">
      <c r="G128" s="37"/>
    </row>
    <row r="129" spans="7:7">
      <c r="G129" s="37"/>
    </row>
    <row r="130" spans="7:7">
      <c r="G130" s="37"/>
    </row>
    <row r="131" spans="7:7">
      <c r="G131" s="37"/>
    </row>
    <row r="132" spans="7:7">
      <c r="G132" s="37"/>
    </row>
    <row r="133" spans="7:7">
      <c r="G133" s="37"/>
    </row>
    <row r="134" spans="7:7">
      <c r="G134" s="37"/>
    </row>
    <row r="135" spans="7:7">
      <c r="G135" s="37"/>
    </row>
    <row r="136" spans="7:7">
      <c r="G136" s="37"/>
    </row>
    <row r="137" spans="7:7">
      <c r="G137" s="37"/>
    </row>
    <row r="138" spans="7:7">
      <c r="G138" s="37"/>
    </row>
    <row r="139" spans="7:7">
      <c r="G139" s="37"/>
    </row>
    <row r="140" spans="7:7">
      <c r="G140" s="37"/>
    </row>
    <row r="141" spans="7:7">
      <c r="G141" s="37"/>
    </row>
    <row r="142" spans="7:7">
      <c r="G142" s="37"/>
    </row>
    <row r="143" spans="7:7">
      <c r="G143" s="37"/>
    </row>
    <row r="144" spans="7:7">
      <c r="G144" s="37"/>
    </row>
    <row r="145" spans="7:7">
      <c r="G145" s="37"/>
    </row>
    <row r="146" spans="7:7">
      <c r="G146" s="37"/>
    </row>
    <row r="147" spans="7:7">
      <c r="G147" s="37"/>
    </row>
    <row r="148" spans="7:7">
      <c r="G148" s="37"/>
    </row>
    <row r="149" spans="7:7">
      <c r="G149" s="37"/>
    </row>
    <row r="150" spans="7:7">
      <c r="G150" s="37"/>
    </row>
    <row r="151" spans="7:7">
      <c r="G151" s="37"/>
    </row>
    <row r="152" spans="7:7">
      <c r="G152" s="37"/>
    </row>
    <row r="153" spans="7:7">
      <c r="G153" s="37"/>
    </row>
    <row r="154" spans="7:7">
      <c r="G154" s="37"/>
    </row>
    <row r="155" spans="7:7">
      <c r="G155" s="37"/>
    </row>
    <row r="156" spans="7:7">
      <c r="G156" s="37"/>
    </row>
    <row r="157" spans="7:7">
      <c r="G157" s="37"/>
    </row>
    <row r="158" spans="7:7">
      <c r="G158" s="37"/>
    </row>
    <row r="159" spans="7:7">
      <c r="G159" s="37"/>
    </row>
    <row r="160" spans="7:7">
      <c r="G160" s="37"/>
    </row>
    <row r="161" spans="7:7">
      <c r="G161" s="37"/>
    </row>
    <row r="162" spans="7:7">
      <c r="G162" s="37"/>
    </row>
    <row r="163" spans="7:7">
      <c r="G163" s="37"/>
    </row>
    <row r="164" spans="7:7">
      <c r="G164" s="37"/>
    </row>
    <row r="165" spans="7:7">
      <c r="G165" s="37"/>
    </row>
    <row r="166" spans="7:7">
      <c r="G166" s="37"/>
    </row>
    <row r="167" spans="7:7">
      <c r="G167" s="37"/>
    </row>
    <row r="168" spans="7:7">
      <c r="G168" s="37"/>
    </row>
    <row r="169" spans="7:7">
      <c r="G169" s="37"/>
    </row>
    <row r="170" spans="7:7">
      <c r="G170" s="37"/>
    </row>
    <row r="171" spans="7:7">
      <c r="G171" s="37"/>
    </row>
    <row r="172" spans="7:7">
      <c r="G172" s="37"/>
    </row>
    <row r="173" spans="7:7">
      <c r="G173" s="37"/>
    </row>
    <row r="174" spans="7:7">
      <c r="G174" s="37"/>
    </row>
    <row r="175" spans="7:7">
      <c r="G175" s="37"/>
    </row>
    <row r="176" spans="7:7">
      <c r="G176" s="37"/>
    </row>
    <row r="177" spans="7:7">
      <c r="G177" s="37"/>
    </row>
    <row r="178" spans="7:7">
      <c r="G178" s="37"/>
    </row>
    <row r="179" spans="7:7">
      <c r="G179" s="37"/>
    </row>
    <row r="180" spans="7:7">
      <c r="G180" s="37"/>
    </row>
    <row r="181" spans="7:7">
      <c r="G181" s="37"/>
    </row>
    <row r="182" spans="7:7">
      <c r="G182" s="37"/>
    </row>
    <row r="183" spans="7:7">
      <c r="G183" s="37"/>
    </row>
    <row r="184" spans="7:7">
      <c r="G184" s="37"/>
    </row>
    <row r="185" spans="7:7">
      <c r="G185" s="37"/>
    </row>
    <row r="186" spans="7:7">
      <c r="G186" s="37"/>
    </row>
    <row r="187" spans="7:7">
      <c r="G187" s="37"/>
    </row>
    <row r="188" spans="7:7">
      <c r="G188" s="37"/>
    </row>
    <row r="189" spans="7:7">
      <c r="G189" s="37"/>
    </row>
    <row r="190" spans="7:7">
      <c r="G190" s="37"/>
    </row>
    <row r="191" spans="7:7">
      <c r="G191" s="37"/>
    </row>
    <row r="192" spans="7:7">
      <c r="G192" s="37"/>
    </row>
    <row r="193" spans="7:7">
      <c r="G193" s="37"/>
    </row>
    <row r="194" spans="7:7">
      <c r="G194" s="37"/>
    </row>
    <row r="195" spans="7:7">
      <c r="G195" s="37"/>
    </row>
    <row r="196" spans="7:7">
      <c r="G196" s="37"/>
    </row>
    <row r="197" spans="7:7">
      <c r="G197" s="37"/>
    </row>
    <row r="198" spans="7:7">
      <c r="G198" s="37"/>
    </row>
    <row r="199" spans="7:7">
      <c r="G199" s="37"/>
    </row>
    <row r="200" spans="7:7">
      <c r="G200" s="37"/>
    </row>
    <row r="201" spans="7:7">
      <c r="G201" s="37"/>
    </row>
    <row r="202" spans="7:7">
      <c r="G202" s="37"/>
    </row>
    <row r="203" spans="7:7">
      <c r="G203" s="37"/>
    </row>
    <row r="204" spans="7:7">
      <c r="G204" s="37"/>
    </row>
    <row r="205" spans="7:7">
      <c r="G205" s="37"/>
    </row>
    <row r="206" spans="7:7">
      <c r="G206" s="37"/>
    </row>
    <row r="207" spans="7:7">
      <c r="G207" s="37"/>
    </row>
    <row r="208" spans="7:7">
      <c r="G208" s="37"/>
    </row>
    <row r="209" spans="7:7">
      <c r="G209" s="37"/>
    </row>
    <row r="210" spans="7:7">
      <c r="G210" s="37"/>
    </row>
    <row r="211" spans="7:7">
      <c r="G211" s="37"/>
    </row>
    <row r="212" spans="7:7">
      <c r="G212" s="37"/>
    </row>
    <row r="213" spans="7:7">
      <c r="G213" s="37"/>
    </row>
    <row r="214" spans="7:7">
      <c r="G214" s="37"/>
    </row>
    <row r="215" spans="7:7">
      <c r="G215" s="37"/>
    </row>
    <row r="216" spans="7:7">
      <c r="G216" s="37"/>
    </row>
    <row r="217" spans="7:7">
      <c r="G217" s="37"/>
    </row>
    <row r="218" spans="7:7">
      <c r="G218" s="37"/>
    </row>
    <row r="219" spans="7:7">
      <c r="G219" s="37"/>
    </row>
    <row r="220" spans="7:7">
      <c r="G220" s="37"/>
    </row>
    <row r="221" spans="7:7">
      <c r="G221" s="37"/>
    </row>
    <row r="222" spans="7:7">
      <c r="G222" s="37"/>
    </row>
    <row r="223" spans="7:7">
      <c r="G223" s="37"/>
    </row>
    <row r="224" spans="7:7">
      <c r="G224" s="37"/>
    </row>
    <row r="225" spans="7:7">
      <c r="G225" s="37"/>
    </row>
    <row r="226" spans="7:7">
      <c r="G226" s="37"/>
    </row>
    <row r="227" spans="7:7">
      <c r="G227" s="37"/>
    </row>
    <row r="228" spans="7:7">
      <c r="G228" s="37"/>
    </row>
    <row r="229" spans="7:7">
      <c r="G229" s="37"/>
    </row>
    <row r="230" spans="7:7">
      <c r="G230" s="37"/>
    </row>
    <row r="231" spans="7:7">
      <c r="G231" s="37"/>
    </row>
    <row r="232" spans="7:7">
      <c r="G232" s="37"/>
    </row>
    <row r="233" spans="7:7">
      <c r="G233" s="37"/>
    </row>
    <row r="234" spans="7:7">
      <c r="G234" s="37"/>
    </row>
    <row r="235" spans="7:7">
      <c r="G235" s="37"/>
    </row>
    <row r="236" spans="7:7">
      <c r="G236" s="37"/>
    </row>
    <row r="237" spans="7:7">
      <c r="G237" s="37"/>
    </row>
    <row r="238" spans="7:7">
      <c r="G238" s="37"/>
    </row>
    <row r="239" spans="7:7">
      <c r="G239" s="37"/>
    </row>
    <row r="240" spans="7:7">
      <c r="G240" s="37"/>
    </row>
    <row r="241" spans="7:7">
      <c r="G241" s="37"/>
    </row>
    <row r="242" spans="7:7">
      <c r="G242" s="37"/>
    </row>
    <row r="243" spans="7:7">
      <c r="G243" s="37"/>
    </row>
    <row r="244" spans="7:7">
      <c r="G244" s="37"/>
    </row>
    <row r="245" spans="7:7">
      <c r="G245" s="37"/>
    </row>
    <row r="246" spans="7:7">
      <c r="G246" s="37"/>
    </row>
    <row r="247" spans="7:7">
      <c r="G247" s="37"/>
    </row>
    <row r="248" spans="7:7">
      <c r="G248" s="37"/>
    </row>
    <row r="249" spans="7:7">
      <c r="G249" s="37"/>
    </row>
    <row r="250" spans="7:7">
      <c r="G250" s="37"/>
    </row>
    <row r="251" spans="7:7">
      <c r="G251" s="37"/>
    </row>
    <row r="252" spans="7:7">
      <c r="G252" s="37"/>
    </row>
    <row r="253" spans="7:7">
      <c r="G253" s="37"/>
    </row>
    <row r="254" spans="7:7">
      <c r="G254" s="37"/>
    </row>
    <row r="255" spans="7:7">
      <c r="G255" s="37"/>
    </row>
    <row r="256" spans="7:7">
      <c r="G256" s="37"/>
    </row>
    <row r="257" spans="7:7">
      <c r="G257" s="37"/>
    </row>
    <row r="258" spans="7:7">
      <c r="G258" s="37"/>
    </row>
    <row r="259" spans="7:7">
      <c r="G259" s="37"/>
    </row>
    <row r="260" spans="7:7">
      <c r="G260" s="37"/>
    </row>
    <row r="261" spans="7:7">
      <c r="G261" s="37"/>
    </row>
    <row r="262" spans="7:7">
      <c r="G262" s="37"/>
    </row>
    <row r="263" spans="7:7">
      <c r="G263" s="37"/>
    </row>
    <row r="264" spans="7:7">
      <c r="G264" s="37"/>
    </row>
    <row r="265" spans="7:7">
      <c r="G265" s="37"/>
    </row>
    <row r="266" spans="7:7">
      <c r="G266" s="37"/>
    </row>
    <row r="267" spans="7:7">
      <c r="G267" s="37"/>
    </row>
    <row r="268" spans="7:7">
      <c r="G268" s="37"/>
    </row>
    <row r="269" spans="7:7">
      <c r="G269" s="37"/>
    </row>
    <row r="270" spans="7:7">
      <c r="G270" s="37"/>
    </row>
    <row r="271" spans="7:7">
      <c r="G271" s="37"/>
    </row>
    <row r="272" spans="7:7">
      <c r="G272" s="37"/>
    </row>
    <row r="273" spans="7:7">
      <c r="G273" s="37"/>
    </row>
    <row r="274" spans="7:7">
      <c r="G274" s="37"/>
    </row>
    <row r="275" spans="7:7">
      <c r="G275" s="37"/>
    </row>
    <row r="276" spans="7:7">
      <c r="G276" s="37"/>
    </row>
    <row r="277" spans="7:7">
      <c r="G277" s="37"/>
    </row>
    <row r="278" spans="7:7">
      <c r="G278" s="37"/>
    </row>
    <row r="279" spans="7:7">
      <c r="G279" s="37"/>
    </row>
    <row r="280" spans="7:7">
      <c r="G280" s="37"/>
    </row>
    <row r="281" spans="7:7">
      <c r="G281" s="37"/>
    </row>
    <row r="282" spans="7:7">
      <c r="G282" s="37"/>
    </row>
    <row r="283" spans="7:7">
      <c r="G283" s="37"/>
    </row>
    <row r="284" spans="7:7">
      <c r="G284" s="37"/>
    </row>
    <row r="285" spans="7:7">
      <c r="G285" s="37"/>
    </row>
    <row r="286" spans="7:7">
      <c r="G286" s="37"/>
    </row>
    <row r="287" spans="7:7">
      <c r="G287" s="37"/>
    </row>
    <row r="288" spans="7:7">
      <c r="G288" s="37"/>
    </row>
    <row r="289" spans="7:7">
      <c r="G289" s="37"/>
    </row>
    <row r="290" spans="7:7">
      <c r="G290" s="37"/>
    </row>
    <row r="291" spans="7:7">
      <c r="G291" s="37"/>
    </row>
    <row r="292" spans="7:7">
      <c r="G292" s="37"/>
    </row>
    <row r="293" spans="7:7">
      <c r="G293" s="37"/>
    </row>
    <row r="294" spans="7:7">
      <c r="G294" s="37"/>
    </row>
    <row r="295" spans="7:7">
      <c r="G295" s="37"/>
    </row>
    <row r="296" spans="7:7">
      <c r="G296" s="37"/>
    </row>
    <row r="297" spans="7:7">
      <c r="G297" s="37"/>
    </row>
    <row r="298" spans="7:7">
      <c r="G298" s="37"/>
    </row>
    <row r="299" spans="7:7">
      <c r="G299" s="37"/>
    </row>
    <row r="300" spans="7:7">
      <c r="G300" s="37"/>
    </row>
    <row r="301" spans="7:7">
      <c r="G301" s="37"/>
    </row>
    <row r="302" spans="7:7">
      <c r="G302" s="37"/>
    </row>
    <row r="303" spans="7:7">
      <c r="G303" s="37"/>
    </row>
    <row r="304" spans="7:7">
      <c r="G304" s="37"/>
    </row>
    <row r="305" spans="7:7">
      <c r="G305" s="37"/>
    </row>
    <row r="306" spans="7:7">
      <c r="G306" s="37"/>
    </row>
    <row r="307" spans="7:7">
      <c r="G307" s="37"/>
    </row>
    <row r="308" spans="7:7">
      <c r="G308" s="37"/>
    </row>
    <row r="309" spans="7:7">
      <c r="G309" s="37"/>
    </row>
    <row r="310" spans="7:7">
      <c r="G310" s="37"/>
    </row>
    <row r="311" spans="7:7">
      <c r="G311" s="37"/>
    </row>
    <row r="312" spans="7:7">
      <c r="G312" s="37"/>
    </row>
    <row r="313" spans="7:7">
      <c r="G313" s="37"/>
    </row>
    <row r="314" spans="7:7">
      <c r="G314" s="37"/>
    </row>
    <row r="315" spans="7:7">
      <c r="G315" s="37"/>
    </row>
    <row r="316" spans="7:7">
      <c r="G316" s="37"/>
    </row>
    <row r="317" spans="7:7">
      <c r="G317" s="37"/>
    </row>
    <row r="318" spans="7:7">
      <c r="G318" s="37"/>
    </row>
    <row r="319" spans="7:7">
      <c r="G319" s="37"/>
    </row>
    <row r="320" spans="7:7">
      <c r="G320" s="37"/>
    </row>
    <row r="321" spans="7:7">
      <c r="G321" s="37"/>
    </row>
    <row r="322" spans="7:7">
      <c r="G322" s="37"/>
    </row>
    <row r="323" spans="7:7">
      <c r="G323" s="37"/>
    </row>
    <row r="324" spans="7:7">
      <c r="G324" s="37"/>
    </row>
    <row r="325" spans="7:7">
      <c r="G325" s="37"/>
    </row>
    <row r="326" spans="7:7">
      <c r="G326" s="37"/>
    </row>
    <row r="327" spans="7:7">
      <c r="G327" s="37"/>
    </row>
    <row r="328" spans="7:7">
      <c r="G328" s="37"/>
    </row>
    <row r="329" spans="7:7">
      <c r="G329" s="37"/>
    </row>
    <row r="330" spans="7:7">
      <c r="G330" s="37"/>
    </row>
    <row r="331" spans="7:7">
      <c r="G331" s="37"/>
    </row>
    <row r="332" spans="7:7">
      <c r="G332" s="37"/>
    </row>
    <row r="333" spans="7:7">
      <c r="G333" s="37"/>
    </row>
    <row r="334" spans="7:7">
      <c r="G334" s="37"/>
    </row>
    <row r="335" spans="7:7">
      <c r="G335" s="37"/>
    </row>
    <row r="336" spans="7:7">
      <c r="G336" s="37"/>
    </row>
    <row r="337" spans="7:7">
      <c r="G337" s="37"/>
    </row>
    <row r="338" spans="7:7">
      <c r="G338" s="37"/>
    </row>
    <row r="339" spans="7:7">
      <c r="G339" s="37"/>
    </row>
    <row r="340" spans="7:7">
      <c r="G340" s="37"/>
    </row>
    <row r="341" spans="7:7">
      <c r="G341" s="37"/>
    </row>
    <row r="342" spans="7:7">
      <c r="G342" s="37"/>
    </row>
    <row r="343" spans="7:7">
      <c r="G343" s="37"/>
    </row>
    <row r="344" spans="7:7">
      <c r="G344" s="37"/>
    </row>
    <row r="345" spans="7:7">
      <c r="G345" s="37"/>
    </row>
    <row r="346" spans="7:7">
      <c r="G346" s="37"/>
    </row>
    <row r="347" spans="7:7">
      <c r="G347" s="37"/>
    </row>
    <row r="348" spans="7:7">
      <c r="G348" s="37"/>
    </row>
    <row r="349" spans="7:7">
      <c r="G349" s="37"/>
    </row>
    <row r="350" spans="7:7">
      <c r="G350" s="37"/>
    </row>
    <row r="351" spans="7:7">
      <c r="G351" s="37"/>
    </row>
    <row r="352" spans="7:7">
      <c r="G352" s="37"/>
    </row>
    <row r="353" spans="7:7">
      <c r="G353" s="37"/>
    </row>
    <row r="354" spans="7:7">
      <c r="G354" s="37"/>
    </row>
    <row r="355" spans="7:7">
      <c r="G355" s="37"/>
    </row>
    <row r="356" spans="7:7">
      <c r="G356" s="37"/>
    </row>
    <row r="357" spans="7:7">
      <c r="G357" s="37"/>
    </row>
    <row r="358" spans="7:7">
      <c r="G358" s="37"/>
    </row>
    <row r="359" spans="7:7">
      <c r="G359" s="37"/>
    </row>
    <row r="360" spans="7:7">
      <c r="G360" s="37"/>
    </row>
    <row r="361" spans="7:7">
      <c r="G361" s="37"/>
    </row>
    <row r="362" spans="7:7">
      <c r="G362" s="37"/>
    </row>
    <row r="363" spans="7:7">
      <c r="G363" s="37"/>
    </row>
    <row r="364" spans="7:7">
      <c r="G364" s="37"/>
    </row>
    <row r="365" spans="7:7">
      <c r="G365" s="37"/>
    </row>
    <row r="366" spans="7:7">
      <c r="G366" s="37"/>
    </row>
    <row r="367" spans="7:7">
      <c r="G367" s="37"/>
    </row>
    <row r="368" spans="7:7">
      <c r="G368" s="37"/>
    </row>
    <row r="369" spans="7:7">
      <c r="G369" s="37"/>
    </row>
    <row r="370" spans="7:7">
      <c r="G370" s="37"/>
    </row>
    <row r="371" spans="7:7">
      <c r="G371" s="37"/>
    </row>
    <row r="372" spans="7:7">
      <c r="G372" s="37"/>
    </row>
    <row r="373" spans="7:7">
      <c r="G373" s="37"/>
    </row>
    <row r="374" spans="7:7">
      <c r="G374" s="37"/>
    </row>
    <row r="375" spans="7:7">
      <c r="G375" s="37"/>
    </row>
    <row r="376" spans="7:7">
      <c r="G376" s="37"/>
    </row>
    <row r="377" spans="7:7">
      <c r="G377" s="37"/>
    </row>
    <row r="378" spans="7:7">
      <c r="G378" s="37"/>
    </row>
    <row r="379" spans="7:7">
      <c r="G379" s="37"/>
    </row>
    <row r="380" spans="7:7">
      <c r="G380" s="37"/>
    </row>
    <row r="381" spans="7:7">
      <c r="G381" s="37"/>
    </row>
    <row r="382" spans="7:7">
      <c r="G382" s="37"/>
    </row>
    <row r="383" spans="7:7">
      <c r="G383" s="37"/>
    </row>
    <row r="384" spans="7:7">
      <c r="G384" s="37"/>
    </row>
    <row r="385" spans="7:7">
      <c r="G385" s="37"/>
    </row>
    <row r="386" spans="7:7">
      <c r="G386" s="37"/>
    </row>
    <row r="387" spans="7:7">
      <c r="G387" s="37"/>
    </row>
    <row r="388" spans="7:7">
      <c r="G388" s="37"/>
    </row>
    <row r="389" spans="7:7">
      <c r="G389" s="37"/>
    </row>
    <row r="390" spans="7:7">
      <c r="G390" s="37"/>
    </row>
    <row r="391" spans="7:7">
      <c r="G391" s="37"/>
    </row>
    <row r="392" spans="7:7">
      <c r="G392" s="37"/>
    </row>
    <row r="393" spans="7:7">
      <c r="G393" s="37"/>
    </row>
    <row r="394" spans="7:7">
      <c r="G394" s="37"/>
    </row>
    <row r="395" spans="7:7">
      <c r="G395" s="37"/>
    </row>
    <row r="396" spans="7:7">
      <c r="G396" s="37"/>
    </row>
    <row r="397" spans="7:7">
      <c r="G397" s="37"/>
    </row>
    <row r="398" spans="7:7">
      <c r="G398" s="37"/>
    </row>
    <row r="399" spans="7:7">
      <c r="G399" s="37"/>
    </row>
    <row r="400" spans="7:7">
      <c r="G400" s="37"/>
    </row>
    <row r="401" spans="7:7">
      <c r="G401" s="37"/>
    </row>
    <row r="402" spans="7:7">
      <c r="G402" s="37"/>
    </row>
    <row r="403" spans="7:7">
      <c r="G403" s="37"/>
    </row>
    <row r="404" spans="7:7">
      <c r="G404" s="37"/>
    </row>
    <row r="405" spans="7:7">
      <c r="G405" s="37"/>
    </row>
    <row r="406" spans="7:7">
      <c r="G406" s="37"/>
    </row>
    <row r="407" spans="7:7">
      <c r="G407" s="37"/>
    </row>
    <row r="408" spans="7:7">
      <c r="G408" s="37"/>
    </row>
    <row r="409" spans="7:7">
      <c r="G409" s="37"/>
    </row>
    <row r="410" spans="7:7">
      <c r="G410" s="37"/>
    </row>
    <row r="411" spans="7:7">
      <c r="G411" s="37"/>
    </row>
    <row r="412" spans="7:7">
      <c r="G412" s="37"/>
    </row>
    <row r="413" spans="7:7">
      <c r="G413" s="37"/>
    </row>
    <row r="414" spans="7:7">
      <c r="G414" s="37"/>
    </row>
    <row r="415" spans="7:7">
      <c r="G415" s="37"/>
    </row>
    <row r="416" spans="7:7">
      <c r="G416" s="37"/>
    </row>
    <row r="417" spans="7:7">
      <c r="G417" s="37"/>
    </row>
    <row r="418" spans="7:7">
      <c r="G418" s="37"/>
    </row>
    <row r="419" spans="7:7">
      <c r="G419" s="37"/>
    </row>
    <row r="420" spans="7:7">
      <c r="G420" s="37"/>
    </row>
    <row r="421" spans="7:7">
      <c r="G421" s="37"/>
    </row>
    <row r="422" spans="7:7">
      <c r="G422" s="37"/>
    </row>
    <row r="423" spans="7:7">
      <c r="G423" s="37"/>
    </row>
    <row r="424" spans="7:7">
      <c r="G424" s="37"/>
    </row>
    <row r="425" spans="7:7">
      <c r="G425" s="37"/>
    </row>
    <row r="426" spans="7:7">
      <c r="G426" s="37"/>
    </row>
    <row r="427" spans="7:7">
      <c r="G427" s="37"/>
    </row>
    <row r="428" spans="7:7">
      <c r="G428" s="37"/>
    </row>
    <row r="429" spans="7:7">
      <c r="G429" s="37"/>
    </row>
    <row r="430" spans="7:7">
      <c r="G430" s="37"/>
    </row>
    <row r="431" spans="7:7">
      <c r="G431" s="37"/>
    </row>
    <row r="432" spans="7:7">
      <c r="G432" s="37"/>
    </row>
    <row r="433" spans="7:7">
      <c r="G433" s="37"/>
    </row>
    <row r="434" spans="7:7">
      <c r="G434" s="37"/>
    </row>
    <row r="435" spans="7:7">
      <c r="G435" s="37"/>
    </row>
    <row r="436" spans="7:7">
      <c r="G436" s="37"/>
    </row>
    <row r="437" spans="7:7">
      <c r="G437" s="37"/>
    </row>
    <row r="438" spans="7:7">
      <c r="G438" s="37"/>
    </row>
    <row r="439" spans="7:7">
      <c r="G439" s="37"/>
    </row>
    <row r="440" spans="7:7">
      <c r="G440" s="37"/>
    </row>
    <row r="441" spans="7:7">
      <c r="G441" s="37"/>
    </row>
    <row r="442" spans="7:7">
      <c r="G442" s="37"/>
    </row>
    <row r="443" spans="7:7">
      <c r="G443" s="37"/>
    </row>
    <row r="444" spans="7:7">
      <c r="G444" s="37"/>
    </row>
    <row r="445" spans="7:7">
      <c r="G445" s="37"/>
    </row>
    <row r="446" spans="7:7">
      <c r="G446" s="37"/>
    </row>
    <row r="447" spans="7:7">
      <c r="G447" s="37"/>
    </row>
    <row r="448" spans="7:7">
      <c r="G448" s="37"/>
    </row>
    <row r="449" spans="7:7">
      <c r="G449" s="37"/>
    </row>
    <row r="450" spans="7:7">
      <c r="G450" s="37"/>
    </row>
    <row r="451" spans="7:7">
      <c r="G451" s="37"/>
    </row>
    <row r="452" spans="7:7">
      <c r="G452" s="37"/>
    </row>
    <row r="453" spans="7:7">
      <c r="G453" s="37"/>
    </row>
    <row r="454" spans="7:7">
      <c r="G454" s="37"/>
    </row>
    <row r="455" spans="7:7">
      <c r="G455" s="37"/>
    </row>
    <row r="456" spans="7:7">
      <c r="G456" s="37"/>
    </row>
    <row r="457" spans="7:7">
      <c r="G457" s="37"/>
    </row>
    <row r="458" spans="7:7">
      <c r="G458" s="37"/>
    </row>
    <row r="459" spans="7:7">
      <c r="G459" s="37"/>
    </row>
    <row r="460" spans="7:7">
      <c r="G460" s="37"/>
    </row>
    <row r="461" spans="7:7">
      <c r="G461" s="37"/>
    </row>
    <row r="462" spans="7:7">
      <c r="G462" s="37"/>
    </row>
    <row r="463" spans="7:7">
      <c r="G463" s="37"/>
    </row>
    <row r="464" spans="7:7">
      <c r="G464" s="37"/>
    </row>
    <row r="465" spans="7:7">
      <c r="G465" s="37"/>
    </row>
    <row r="466" spans="7:7">
      <c r="G466" s="37"/>
    </row>
    <row r="467" spans="7:7">
      <c r="G467" s="37"/>
    </row>
    <row r="468" spans="7:7">
      <c r="G468" s="37"/>
    </row>
    <row r="469" spans="7:7">
      <c r="G469" s="37"/>
    </row>
    <row r="470" spans="7:7">
      <c r="G470" s="37"/>
    </row>
    <row r="471" spans="7:7">
      <c r="G471" s="37"/>
    </row>
    <row r="472" spans="7:7">
      <c r="G472" s="37"/>
    </row>
    <row r="473" spans="7:7">
      <c r="G473" s="37"/>
    </row>
    <row r="474" spans="7:7">
      <c r="G474" s="37"/>
    </row>
    <row r="475" spans="7:7">
      <c r="G475" s="37"/>
    </row>
    <row r="476" spans="7:7">
      <c r="G476" s="37"/>
    </row>
    <row r="477" spans="7:7">
      <c r="G477" s="37"/>
    </row>
    <row r="478" spans="7:7">
      <c r="G478" s="37"/>
    </row>
    <row r="479" spans="7:7">
      <c r="G479" s="37"/>
    </row>
    <row r="480" spans="7:7">
      <c r="G480" s="37"/>
    </row>
    <row r="481" spans="7:7">
      <c r="G481" s="37"/>
    </row>
    <row r="482" spans="7:7">
      <c r="G482" s="37"/>
    </row>
    <row r="483" spans="7:7">
      <c r="G483" s="37"/>
    </row>
    <row r="484" spans="7:7">
      <c r="G484" s="37"/>
    </row>
    <row r="485" spans="7:7">
      <c r="G485" s="37"/>
    </row>
    <row r="486" spans="7:7">
      <c r="G486" s="37"/>
    </row>
    <row r="487" spans="7:7">
      <c r="G487" s="37"/>
    </row>
    <row r="488" spans="7:7">
      <c r="G488" s="37"/>
    </row>
    <row r="489" spans="7:7">
      <c r="G489" s="37"/>
    </row>
    <row r="490" spans="7:7">
      <c r="G490" s="37"/>
    </row>
    <row r="491" spans="7:7">
      <c r="G491" s="37"/>
    </row>
    <row r="492" spans="7:7">
      <c r="G492" s="37"/>
    </row>
    <row r="493" spans="7:7">
      <c r="G493" s="37"/>
    </row>
    <row r="494" spans="7:7">
      <c r="G494" s="37"/>
    </row>
    <row r="495" spans="7:7">
      <c r="G495" s="37"/>
    </row>
    <row r="496" spans="7:7">
      <c r="G496" s="37"/>
    </row>
    <row r="497" spans="7:7">
      <c r="G497" s="37"/>
    </row>
    <row r="498" spans="7:7">
      <c r="G498" s="37"/>
    </row>
    <row r="499" spans="7:7">
      <c r="G499" s="37"/>
    </row>
    <row r="500" spans="7:7">
      <c r="G500" s="37"/>
    </row>
    <row r="501" spans="7:7">
      <c r="G501" s="37"/>
    </row>
    <row r="502" spans="7:7">
      <c r="G502" s="37"/>
    </row>
    <row r="503" spans="7:7">
      <c r="G503" s="37"/>
    </row>
    <row r="504" spans="7:7">
      <c r="G504" s="37"/>
    </row>
    <row r="505" spans="7:7">
      <c r="G505" s="37"/>
    </row>
    <row r="506" spans="7:7">
      <c r="G506" s="37"/>
    </row>
    <row r="507" spans="7:7">
      <c r="G507" s="37"/>
    </row>
    <row r="508" spans="7:7">
      <c r="G508" s="37"/>
    </row>
    <row r="509" spans="7:7">
      <c r="G509" s="37"/>
    </row>
    <row r="510" spans="7:7">
      <c r="G510" s="37"/>
    </row>
    <row r="511" spans="7:7">
      <c r="G511" s="37"/>
    </row>
    <row r="512" spans="7:7">
      <c r="G512" s="37"/>
    </row>
    <row r="513" spans="7:7">
      <c r="G513" s="37"/>
    </row>
    <row r="514" spans="7:7">
      <c r="G514" s="37"/>
    </row>
    <row r="515" spans="7:7">
      <c r="G515" s="37"/>
    </row>
    <row r="516" spans="7:7">
      <c r="G516" s="37"/>
    </row>
    <row r="517" spans="7:7">
      <c r="G517" s="37"/>
    </row>
    <row r="518" spans="7:7">
      <c r="G518" s="37"/>
    </row>
    <row r="519" spans="7:7">
      <c r="G519" s="37"/>
    </row>
    <row r="520" spans="7:7">
      <c r="G520" s="37"/>
    </row>
    <row r="521" spans="7:7">
      <c r="G521" s="37"/>
    </row>
    <row r="522" spans="7:7">
      <c r="G522" s="37"/>
    </row>
    <row r="523" spans="7:7">
      <c r="G523" s="37"/>
    </row>
    <row r="524" spans="7:7">
      <c r="G524" s="37"/>
    </row>
    <row r="525" spans="7:7">
      <c r="G525" s="37"/>
    </row>
    <row r="526" spans="7:7">
      <c r="G526" s="37"/>
    </row>
    <row r="527" spans="7:7">
      <c r="G527" s="37"/>
    </row>
    <row r="528" spans="7:7">
      <c r="G528" s="37"/>
    </row>
    <row r="529" spans="7:7">
      <c r="G529" s="37"/>
    </row>
    <row r="530" spans="7:7">
      <c r="G530" s="37"/>
    </row>
    <row r="531" spans="7:7">
      <c r="G531" s="37"/>
    </row>
    <row r="532" spans="7:7">
      <c r="G532" s="37"/>
    </row>
    <row r="533" spans="7:7">
      <c r="G533" s="37"/>
    </row>
    <row r="534" spans="7:7">
      <c r="G534" s="37"/>
    </row>
    <row r="535" spans="7:7">
      <c r="G535" s="37"/>
    </row>
    <row r="536" spans="7:7">
      <c r="G536" s="37"/>
    </row>
    <row r="537" spans="7:7">
      <c r="G537" s="37"/>
    </row>
    <row r="538" spans="7:7">
      <c r="G538" s="37"/>
    </row>
    <row r="539" spans="7:7">
      <c r="G539" s="37"/>
    </row>
    <row r="540" spans="7:7">
      <c r="G540" s="37"/>
    </row>
    <row r="541" spans="7:7">
      <c r="G541" s="37"/>
    </row>
    <row r="542" spans="7:7">
      <c r="G542" s="37"/>
    </row>
    <row r="543" spans="7:7">
      <c r="G543" s="37"/>
    </row>
    <row r="544" spans="7:7">
      <c r="G544" s="37"/>
    </row>
    <row r="545" spans="7:7">
      <c r="G545" s="37"/>
    </row>
    <row r="546" spans="7:7">
      <c r="G546" s="37"/>
    </row>
    <row r="547" spans="7:7">
      <c r="G547" s="37"/>
    </row>
    <row r="548" spans="7:7">
      <c r="G548" s="37"/>
    </row>
    <row r="549" spans="7:7">
      <c r="G549" s="37"/>
    </row>
    <row r="550" spans="7:7">
      <c r="G550" s="37"/>
    </row>
    <row r="551" spans="7:7">
      <c r="G551" s="37"/>
    </row>
    <row r="552" spans="7:7">
      <c r="G552" s="37"/>
    </row>
    <row r="553" spans="7:7">
      <c r="G553" s="37"/>
    </row>
    <row r="554" spans="7:7">
      <c r="G554" s="37"/>
    </row>
    <row r="555" spans="7:7">
      <c r="G555" s="37"/>
    </row>
    <row r="556" spans="7:7">
      <c r="G556" s="37"/>
    </row>
    <row r="557" spans="7:7">
      <c r="G557" s="37"/>
    </row>
    <row r="558" spans="7:7">
      <c r="G558" s="37"/>
    </row>
    <row r="559" spans="7:7">
      <c r="G559" s="37"/>
    </row>
    <row r="560" spans="7:7">
      <c r="G560" s="37"/>
    </row>
    <row r="561" spans="7:7">
      <c r="G561" s="37"/>
    </row>
    <row r="562" spans="7:7">
      <c r="G562" s="37"/>
    </row>
    <row r="563" spans="7:7">
      <c r="G563" s="37"/>
    </row>
    <row r="564" spans="7:7">
      <c r="G564" s="37"/>
    </row>
    <row r="565" spans="7:7">
      <c r="G565" s="37"/>
    </row>
    <row r="566" spans="7:7">
      <c r="G566" s="37"/>
    </row>
    <row r="567" spans="7:7">
      <c r="G567" s="37"/>
    </row>
    <row r="568" spans="7:7">
      <c r="G568" s="37"/>
    </row>
    <row r="569" spans="7:7">
      <c r="G569" s="37"/>
    </row>
    <row r="570" spans="7:7">
      <c r="G570" s="37"/>
    </row>
    <row r="571" spans="7:7">
      <c r="G571" s="37"/>
    </row>
    <row r="572" spans="7:7">
      <c r="G572" s="37"/>
    </row>
    <row r="573" spans="7:7">
      <c r="G573" s="37"/>
    </row>
    <row r="574" spans="7:7">
      <c r="G574" s="37"/>
    </row>
    <row r="575" spans="7:7">
      <c r="G575" s="37"/>
    </row>
    <row r="576" spans="7:7">
      <c r="G576" s="37"/>
    </row>
    <row r="577" spans="7:7">
      <c r="G577" s="37"/>
    </row>
    <row r="578" spans="7:7">
      <c r="G578" s="37"/>
    </row>
    <row r="579" spans="7:7">
      <c r="G579" s="37"/>
    </row>
    <row r="580" spans="7:7">
      <c r="G580" s="37"/>
    </row>
    <row r="581" spans="7:7">
      <c r="G581" s="37"/>
    </row>
    <row r="582" spans="7:7">
      <c r="G582" s="37"/>
    </row>
    <row r="583" spans="7:7">
      <c r="G583" s="37"/>
    </row>
    <row r="584" spans="7:7">
      <c r="G584" s="37"/>
    </row>
    <row r="585" spans="7:7">
      <c r="G585" s="37"/>
    </row>
    <row r="586" spans="7:7">
      <c r="G586" s="37"/>
    </row>
    <row r="587" spans="7:7">
      <c r="G587" s="37"/>
    </row>
    <row r="588" spans="7:7">
      <c r="G588" s="37"/>
    </row>
    <row r="589" spans="7:7">
      <c r="G589" s="37"/>
    </row>
    <row r="590" spans="7:7">
      <c r="G590" s="37"/>
    </row>
    <row r="591" spans="7:7">
      <c r="G591" s="37"/>
    </row>
    <row r="592" spans="7:7">
      <c r="G592" s="37"/>
    </row>
    <row r="593" spans="7:7">
      <c r="G593" s="37"/>
    </row>
    <row r="594" spans="7:7">
      <c r="G594" s="37"/>
    </row>
    <row r="595" spans="7:7">
      <c r="G595" s="37"/>
    </row>
    <row r="596" spans="7:7">
      <c r="G596" s="37"/>
    </row>
    <row r="597" spans="7:7">
      <c r="G597" s="37"/>
    </row>
    <row r="598" spans="7:7">
      <c r="G598" s="37"/>
    </row>
  </sheetData>
  <mergeCells count="4">
    <mergeCell ref="A1:A3"/>
    <mergeCell ref="A34:B34"/>
    <mergeCell ref="A39:B39"/>
    <mergeCell ref="AV2:AX2"/>
  </mergeCells>
  <conditionalFormatting sqref="D3:AU3">
    <cfRule type="cellIs" dxfId="71" priority="1" operator="equal">
      <formula>#REF!</formula>
    </cfRule>
    <cfRule type="cellIs" dxfId="70" priority="2" operator="equal">
      <formula>#REF!</formula>
    </cfRule>
    <cfRule type="cellIs" dxfId="69" priority="3" operator="equal">
      <formula>#REF!</formula>
    </cfRule>
    <cfRule type="cellIs" dxfId="68" priority="4" operator="equal">
      <formula>#REF!</formula>
    </cfRule>
  </conditionalFormatting>
  <conditionalFormatting sqref="Y4:AC4">
    <cfRule type="cellIs" dxfId="67" priority="5" operator="equal">
      <formula>#REF!</formula>
    </cfRule>
    <cfRule type="cellIs" dxfId="66" priority="6" operator="equal">
      <formula>#REF!</formula>
    </cfRule>
    <cfRule type="cellIs" dxfId="65" priority="7" operator="equal">
      <formula>#REF!</formula>
    </cfRule>
    <cfRule type="cellIs" dxfId="64" priority="8" operator="equal">
      <formula>#REF!</formula>
    </cfRule>
  </conditionalFormatting>
  <conditionalFormatting sqref="Y4:AU4">
    <cfRule type="cellIs" dxfId="63" priority="9" operator="equal">
      <formula>#REF!</formula>
    </cfRule>
    <cfRule type="cellIs" dxfId="62" priority="10" operator="equal">
      <formula>#REF!</formula>
    </cfRule>
    <cfRule type="cellIs" dxfId="61" priority="11" operator="equal">
      <formula>#REF!</formula>
    </cfRule>
    <cfRule type="cellIs" dxfId="60" priority="12" operator="equal">
      <formula>#REF!</formula>
    </cfRule>
  </conditionalFormatting>
  <conditionalFormatting sqref="AV3:AX3">
    <cfRule type="cellIs" dxfId="59" priority="13" operator="equal">
      <formula>#REF!</formula>
    </cfRule>
    <cfRule type="cellIs" dxfId="58" priority="14" operator="equal">
      <formula>#REF!</formula>
    </cfRule>
    <cfRule type="cellIs" dxfId="57" priority="15" operator="equal">
      <formula>#REF!</formula>
    </cfRule>
    <cfRule type="cellIs" dxfId="56" priority="16" operator="equal">
      <formula>#REF!</formula>
    </cfRule>
  </conditionalFormatting>
  <pageMargins left="0.7" right="0.7" top="0.75" bottom="0.75" header="0.3" footer="0.3"/>
  <pageSetup orientation="portrait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460A6-D78B-4825-AA1E-88D18D808DB5}">
  <sheetPr>
    <tabColor rgb="FF0070C0"/>
  </sheetPr>
  <dimension ref="A1:BW598"/>
  <sheetViews>
    <sheetView zoomScaleNormal="100" zoomScalePageLayoutView="12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13" sqref="C13"/>
    </sheetView>
  </sheetViews>
  <sheetFormatPr defaultColWidth="8.796875" defaultRowHeight="14.25"/>
  <cols>
    <col min="1" max="1" width="38.53125" style="37" bestFit="1" customWidth="1"/>
    <col min="2" max="2" width="14.53125" style="37" customWidth="1"/>
    <col min="3" max="3" width="17.53125" style="37" customWidth="1"/>
    <col min="4" max="4" width="14.73046875" style="37" bestFit="1" customWidth="1"/>
    <col min="5" max="5" width="15.46484375" style="37" bestFit="1" customWidth="1"/>
    <col min="6" max="6" width="17.53125" style="37" customWidth="1"/>
    <col min="7" max="7" width="19.796875" style="167" bestFit="1" customWidth="1"/>
    <col min="8" max="8" width="10.53125" style="37" bestFit="1" customWidth="1"/>
    <col min="9" max="9" width="18" style="37" bestFit="1" customWidth="1"/>
    <col min="10" max="10" width="12" style="37" bestFit="1" customWidth="1"/>
    <col min="11" max="11" width="21.53125" style="37" bestFit="1" customWidth="1"/>
    <col min="12" max="14" width="12" style="37" bestFit="1" customWidth="1"/>
    <col min="15" max="15" width="19.796875" style="37" bestFit="1" customWidth="1"/>
    <col min="16" max="16" width="12.3984375" style="37" bestFit="1" customWidth="1"/>
    <col min="17" max="17" width="17" style="37" bestFit="1" customWidth="1"/>
    <col min="18" max="21" width="12.3984375" style="37" bestFit="1" customWidth="1"/>
    <col min="22" max="22" width="16.265625" style="37" bestFit="1" customWidth="1"/>
    <col min="23" max="23" width="14.46484375" style="37" customWidth="1"/>
    <col min="24" max="27" width="16.53125" style="37" customWidth="1"/>
    <col min="28" max="28" width="16.53125" style="168" customWidth="1"/>
    <col min="29" max="30" width="16.53125" style="37" customWidth="1"/>
    <col min="31" max="31" width="16.53125" style="168" customWidth="1"/>
    <col min="32" max="46" width="16.53125" style="37" hidden="1" customWidth="1"/>
    <col min="47" max="47" width="16.53125" style="169" hidden="1" customWidth="1"/>
    <col min="48" max="48" width="17" style="37" bestFit="1" customWidth="1"/>
    <col min="49" max="49" width="15.53125" style="37" customWidth="1"/>
    <col min="50" max="50" width="19.19921875" style="37" customWidth="1"/>
    <col min="51" max="73" width="17" customWidth="1"/>
    <col min="74" max="74" width="16.53125" customWidth="1"/>
    <col min="75" max="75" width="17.796875" bestFit="1" customWidth="1"/>
    <col min="76" max="76" width="9.53125" style="37" bestFit="1" customWidth="1"/>
    <col min="77" max="77" width="11.796875" style="37" bestFit="1" customWidth="1"/>
    <col min="78" max="79" width="9.53125" style="37" bestFit="1" customWidth="1"/>
    <col min="80" max="16384" width="8.796875" style="37"/>
  </cols>
  <sheetData>
    <row r="1" spans="1:50" ht="14.65" thickBot="1">
      <c r="A1" s="1425">
        <f>'Development Program'!A54</f>
        <v>0</v>
      </c>
      <c r="B1" s="253" t="s">
        <v>280</v>
      </c>
      <c r="C1" s="242" t="str">
        <f>'Development Program'!B48</f>
        <v>Pre-Development</v>
      </c>
      <c r="D1" s="242" t="str">
        <f>'Development Program'!C48</f>
        <v>Demolition</v>
      </c>
      <c r="E1" s="242" t="str">
        <f>'Development Program'!D48</f>
        <v>Construction</v>
      </c>
      <c r="F1" s="243" t="str">
        <f>'Development Program'!E48</f>
        <v>Close-out</v>
      </c>
      <c r="G1" s="37"/>
      <c r="O1" s="295" t="s">
        <v>572</v>
      </c>
      <c r="Q1" s="295" t="s">
        <v>574</v>
      </c>
      <c r="AC1" s="295" t="s">
        <v>332</v>
      </c>
      <c r="AE1" s="37"/>
      <c r="AU1" s="37"/>
    </row>
    <row r="2" spans="1:50" ht="14.65" thickBot="1">
      <c r="A2" s="1426"/>
      <c r="B2" s="456" t="s">
        <v>281</v>
      </c>
      <c r="C2" s="458" t="s">
        <v>530</v>
      </c>
      <c r="D2" s="458" t="s">
        <v>160</v>
      </c>
      <c r="E2" s="458" t="s">
        <v>376</v>
      </c>
      <c r="F2" s="458" t="s">
        <v>377</v>
      </c>
      <c r="G2" s="37"/>
      <c r="K2" s="295" t="s">
        <v>571</v>
      </c>
      <c r="O2" s="295" t="s">
        <v>336</v>
      </c>
      <c r="Q2" s="295" t="s">
        <v>573</v>
      </c>
      <c r="AC2" s="295" t="s">
        <v>331</v>
      </c>
      <c r="AE2" s="295" t="s">
        <v>333</v>
      </c>
      <c r="AU2" s="37"/>
      <c r="AV2" s="1453" t="s">
        <v>287</v>
      </c>
      <c r="AW2" s="1453"/>
      <c r="AX2" s="1453"/>
    </row>
    <row r="3" spans="1:50" ht="14.65" thickBot="1">
      <c r="A3" s="1427"/>
      <c r="B3" s="171" t="s">
        <v>155</v>
      </c>
      <c r="C3" s="244">
        <v>45658</v>
      </c>
      <c r="D3" s="245">
        <f>EOMONTH(C3,3)</f>
        <v>45777</v>
      </c>
      <c r="E3" s="245">
        <f t="shared" ref="E3:AU3" si="0">EOMONTH(D3,3)</f>
        <v>45869</v>
      </c>
      <c r="F3" s="245">
        <f t="shared" si="0"/>
        <v>45961</v>
      </c>
      <c r="G3" s="289">
        <f t="shared" si="0"/>
        <v>46053</v>
      </c>
      <c r="H3" s="289">
        <f t="shared" si="0"/>
        <v>46142</v>
      </c>
      <c r="I3" s="289">
        <f t="shared" si="0"/>
        <v>46234</v>
      </c>
      <c r="J3" s="289">
        <f t="shared" si="0"/>
        <v>46326</v>
      </c>
      <c r="K3" s="289">
        <f t="shared" si="0"/>
        <v>46418</v>
      </c>
      <c r="L3" s="289">
        <f t="shared" si="0"/>
        <v>46507</v>
      </c>
      <c r="M3" s="289">
        <f t="shared" si="0"/>
        <v>46599</v>
      </c>
      <c r="N3" s="289">
        <f t="shared" si="0"/>
        <v>46691</v>
      </c>
      <c r="O3" s="289">
        <f t="shared" si="0"/>
        <v>46783</v>
      </c>
      <c r="P3" s="289">
        <f t="shared" si="0"/>
        <v>46873</v>
      </c>
      <c r="Q3" s="289">
        <f t="shared" si="0"/>
        <v>46965</v>
      </c>
      <c r="R3" s="289">
        <f t="shared" si="0"/>
        <v>47057</v>
      </c>
      <c r="S3" s="289">
        <f t="shared" si="0"/>
        <v>47149</v>
      </c>
      <c r="T3" s="289">
        <f t="shared" si="0"/>
        <v>47238</v>
      </c>
      <c r="U3" s="289">
        <f t="shared" si="0"/>
        <v>47330</v>
      </c>
      <c r="V3" s="289">
        <f t="shared" si="0"/>
        <v>47422</v>
      </c>
      <c r="W3" s="289">
        <f t="shared" si="0"/>
        <v>47514</v>
      </c>
      <c r="X3" s="289">
        <f t="shared" si="0"/>
        <v>47603</v>
      </c>
      <c r="Y3" s="289">
        <f t="shared" si="0"/>
        <v>47695</v>
      </c>
      <c r="Z3" s="289">
        <f t="shared" si="0"/>
        <v>47787</v>
      </c>
      <c r="AA3" s="289">
        <f t="shared" si="0"/>
        <v>47879</v>
      </c>
      <c r="AB3" s="289">
        <f t="shared" si="0"/>
        <v>47968</v>
      </c>
      <c r="AC3" s="289">
        <f t="shared" si="0"/>
        <v>48060</v>
      </c>
      <c r="AD3" s="289">
        <f t="shared" si="0"/>
        <v>48152</v>
      </c>
      <c r="AE3" s="289">
        <f t="shared" si="0"/>
        <v>48244</v>
      </c>
      <c r="AF3" s="289">
        <f t="shared" si="0"/>
        <v>48334</v>
      </c>
      <c r="AG3" s="289">
        <f t="shared" si="0"/>
        <v>48426</v>
      </c>
      <c r="AH3" s="289">
        <f t="shared" si="0"/>
        <v>48518</v>
      </c>
      <c r="AI3" s="289">
        <f t="shared" si="0"/>
        <v>48610</v>
      </c>
      <c r="AJ3" s="289">
        <f t="shared" si="0"/>
        <v>48699</v>
      </c>
      <c r="AK3" s="289">
        <f t="shared" si="0"/>
        <v>48791</v>
      </c>
      <c r="AL3" s="289">
        <f t="shared" si="0"/>
        <v>48883</v>
      </c>
      <c r="AM3" s="289">
        <f t="shared" si="0"/>
        <v>48975</v>
      </c>
      <c r="AN3" s="289">
        <f t="shared" si="0"/>
        <v>49064</v>
      </c>
      <c r="AO3" s="289">
        <f t="shared" si="0"/>
        <v>49156</v>
      </c>
      <c r="AP3" s="289">
        <f t="shared" si="0"/>
        <v>49248</v>
      </c>
      <c r="AQ3" s="289">
        <f t="shared" si="0"/>
        <v>49340</v>
      </c>
      <c r="AR3" s="289">
        <f t="shared" si="0"/>
        <v>49429</v>
      </c>
      <c r="AS3" s="289">
        <f t="shared" si="0"/>
        <v>49521</v>
      </c>
      <c r="AT3" s="289">
        <f t="shared" si="0"/>
        <v>49613</v>
      </c>
      <c r="AU3" s="289">
        <f t="shared" si="0"/>
        <v>49705</v>
      </c>
      <c r="AV3" s="460" t="s">
        <v>288</v>
      </c>
      <c r="AW3" s="461" t="s">
        <v>289</v>
      </c>
      <c r="AX3" s="460"/>
    </row>
    <row r="4" spans="1:50" ht="14.65" thickBot="1">
      <c r="A4" s="462" t="s">
        <v>290</v>
      </c>
      <c r="B4" s="463">
        <v>1</v>
      </c>
      <c r="C4" s="281">
        <v>0</v>
      </c>
      <c r="D4" s="281">
        <v>0</v>
      </c>
      <c r="E4" s="281">
        <v>0</v>
      </c>
      <c r="F4" s="281">
        <f t="shared" ref="F4:G4" si="1">E4</f>
        <v>0</v>
      </c>
      <c r="G4" s="280">
        <f t="shared" si="1"/>
        <v>0</v>
      </c>
      <c r="H4" s="280"/>
      <c r="I4" s="280"/>
      <c r="J4" s="280"/>
      <c r="K4" s="280"/>
      <c r="L4" s="280"/>
      <c r="M4" s="280"/>
      <c r="N4" s="280"/>
      <c r="O4" s="280"/>
      <c r="P4" s="280"/>
      <c r="Q4" s="280">
        <v>0.06</v>
      </c>
      <c r="R4" s="280">
        <v>0.06</v>
      </c>
      <c r="S4" s="280">
        <v>0.08</v>
      </c>
      <c r="T4" s="280">
        <v>0.08</v>
      </c>
      <c r="U4" s="280">
        <v>0.08</v>
      </c>
      <c r="V4" s="280">
        <v>0.08</v>
      </c>
      <c r="W4" s="280">
        <v>0.08</v>
      </c>
      <c r="X4" s="280">
        <v>0.08</v>
      </c>
      <c r="Y4" s="280">
        <v>0.08</v>
      </c>
      <c r="Z4" s="280">
        <v>0.08</v>
      </c>
      <c r="AA4" s="280">
        <v>0.08</v>
      </c>
      <c r="AB4" s="280">
        <v>0.08</v>
      </c>
      <c r="AC4" s="280">
        <v>0.08</v>
      </c>
      <c r="AD4" s="280"/>
      <c r="AE4" s="280"/>
      <c r="AF4" s="280"/>
      <c r="AG4" s="280">
        <v>0</v>
      </c>
      <c r="AH4" s="280"/>
      <c r="AI4" s="280"/>
      <c r="AJ4" s="280"/>
      <c r="AK4" s="280"/>
      <c r="AL4" s="280"/>
      <c r="AM4" s="280"/>
      <c r="AN4" s="280"/>
      <c r="AO4" s="280"/>
      <c r="AP4" s="280"/>
      <c r="AQ4" s="280"/>
      <c r="AR4" s="280"/>
      <c r="AS4" s="280"/>
      <c r="AT4" s="280"/>
      <c r="AU4" s="280"/>
      <c r="AV4" s="464">
        <f t="shared" ref="AV4:AV25" si="2">SUM(C4:AU4)</f>
        <v>0.99999999999999978</v>
      </c>
      <c r="AW4" s="465"/>
      <c r="AX4" s="255" t="s">
        <v>291</v>
      </c>
    </row>
    <row r="5" spans="1:50">
      <c r="A5" s="466" t="str">
        <f>'Phase 2b Financial'!A35</f>
        <v>Hard Costs for Construction</v>
      </c>
      <c r="B5" s="576">
        <f>'Phase 2b Financial'!C35</f>
        <v>222930000</v>
      </c>
      <c r="C5" s="468">
        <f t="shared" ref="C5:H5" si="3">$B$5*C4</f>
        <v>0</v>
      </c>
      <c r="D5" s="468">
        <f t="shared" si="3"/>
        <v>0</v>
      </c>
      <c r="E5" s="468">
        <f t="shared" si="3"/>
        <v>0</v>
      </c>
      <c r="F5" s="468">
        <f t="shared" si="3"/>
        <v>0</v>
      </c>
      <c r="G5" s="468">
        <f t="shared" si="3"/>
        <v>0</v>
      </c>
      <c r="H5" s="468">
        <f t="shared" si="3"/>
        <v>0</v>
      </c>
      <c r="I5" s="468">
        <f t="shared" ref="I5:AB5" si="4">$B$5*I4</f>
        <v>0</v>
      </c>
      <c r="J5" s="468">
        <f t="shared" si="4"/>
        <v>0</v>
      </c>
      <c r="K5" s="468">
        <f t="shared" si="4"/>
        <v>0</v>
      </c>
      <c r="L5" s="468">
        <f t="shared" si="4"/>
        <v>0</v>
      </c>
      <c r="M5" s="468">
        <f t="shared" si="4"/>
        <v>0</v>
      </c>
      <c r="N5" s="468">
        <f t="shared" si="4"/>
        <v>0</v>
      </c>
      <c r="O5" s="468">
        <f t="shared" si="4"/>
        <v>0</v>
      </c>
      <c r="P5" s="468">
        <f t="shared" si="4"/>
        <v>0</v>
      </c>
      <c r="Q5" s="468">
        <f t="shared" si="4"/>
        <v>13375800</v>
      </c>
      <c r="R5" s="468">
        <f t="shared" si="4"/>
        <v>13375800</v>
      </c>
      <c r="S5" s="468">
        <f t="shared" si="4"/>
        <v>17834400</v>
      </c>
      <c r="T5" s="468">
        <f t="shared" si="4"/>
        <v>17834400</v>
      </c>
      <c r="U5" s="468">
        <f t="shared" si="4"/>
        <v>17834400</v>
      </c>
      <c r="V5" s="468">
        <f t="shared" si="4"/>
        <v>17834400</v>
      </c>
      <c r="W5" s="468">
        <f t="shared" si="4"/>
        <v>17834400</v>
      </c>
      <c r="X5" s="468">
        <f t="shared" si="4"/>
        <v>17834400</v>
      </c>
      <c r="Y5" s="468">
        <f t="shared" si="4"/>
        <v>17834400</v>
      </c>
      <c r="Z5" s="468">
        <f t="shared" si="4"/>
        <v>17834400</v>
      </c>
      <c r="AA5" s="468">
        <f t="shared" si="4"/>
        <v>17834400</v>
      </c>
      <c r="AB5" s="468">
        <f t="shared" si="4"/>
        <v>17834400</v>
      </c>
      <c r="AC5" s="468"/>
      <c r="AD5" s="468"/>
      <c r="AE5" s="468"/>
      <c r="AF5" s="468"/>
      <c r="AG5" s="468"/>
      <c r="AH5" s="468"/>
      <c r="AI5" s="468"/>
      <c r="AJ5" s="468"/>
      <c r="AK5" s="468"/>
      <c r="AL5" s="468"/>
      <c r="AM5" s="468"/>
      <c r="AN5" s="468"/>
      <c r="AO5" s="468"/>
      <c r="AP5" s="468"/>
      <c r="AQ5" s="468"/>
      <c r="AR5" s="468"/>
      <c r="AS5" s="468"/>
      <c r="AT5" s="468"/>
      <c r="AU5" s="468"/>
      <c r="AV5" s="469">
        <f t="shared" si="2"/>
        <v>205095600</v>
      </c>
      <c r="AW5" s="469">
        <f t="shared" ref="AW5:AW25" si="5">B5</f>
        <v>222930000</v>
      </c>
      <c r="AX5" s="609">
        <f>AW5-AV5</f>
        <v>17834400</v>
      </c>
    </row>
    <row r="6" spans="1:50">
      <c r="A6" s="466" t="str">
        <f>'Phase 2b Financial'!A36</f>
        <v>Guest Parking</v>
      </c>
      <c r="B6" s="576">
        <f>'Phase 2b Financial'!C36</f>
        <v>0</v>
      </c>
      <c r="C6" s="468">
        <f>$B$6*C4</f>
        <v>0</v>
      </c>
      <c r="D6" s="468">
        <f t="shared" ref="D6:H6" si="6">$B$6*D4</f>
        <v>0</v>
      </c>
      <c r="E6" s="468">
        <f t="shared" si="6"/>
        <v>0</v>
      </c>
      <c r="F6" s="468">
        <f t="shared" si="6"/>
        <v>0</v>
      </c>
      <c r="G6" s="468">
        <f t="shared" si="6"/>
        <v>0</v>
      </c>
      <c r="H6" s="468">
        <f t="shared" si="6"/>
        <v>0</v>
      </c>
      <c r="I6" s="468">
        <f t="shared" ref="I6:AB6" si="7">$B$6*I4</f>
        <v>0</v>
      </c>
      <c r="J6" s="468">
        <f t="shared" si="7"/>
        <v>0</v>
      </c>
      <c r="K6" s="468">
        <f t="shared" si="7"/>
        <v>0</v>
      </c>
      <c r="L6" s="468">
        <f t="shared" si="7"/>
        <v>0</v>
      </c>
      <c r="M6" s="468">
        <f t="shared" si="7"/>
        <v>0</v>
      </c>
      <c r="N6" s="468">
        <f t="shared" si="7"/>
        <v>0</v>
      </c>
      <c r="O6" s="468">
        <f t="shared" si="7"/>
        <v>0</v>
      </c>
      <c r="P6" s="468">
        <f t="shared" si="7"/>
        <v>0</v>
      </c>
      <c r="Q6" s="468">
        <f t="shared" si="7"/>
        <v>0</v>
      </c>
      <c r="R6" s="468">
        <f t="shared" si="7"/>
        <v>0</v>
      </c>
      <c r="S6" s="468">
        <f t="shared" si="7"/>
        <v>0</v>
      </c>
      <c r="T6" s="468">
        <f t="shared" si="7"/>
        <v>0</v>
      </c>
      <c r="U6" s="468">
        <f t="shared" si="7"/>
        <v>0</v>
      </c>
      <c r="V6" s="468">
        <f t="shared" si="7"/>
        <v>0</v>
      </c>
      <c r="W6" s="468">
        <f t="shared" si="7"/>
        <v>0</v>
      </c>
      <c r="X6" s="468">
        <f t="shared" si="7"/>
        <v>0</v>
      </c>
      <c r="Y6" s="468">
        <f t="shared" si="7"/>
        <v>0</v>
      </c>
      <c r="Z6" s="468">
        <f t="shared" si="7"/>
        <v>0</v>
      </c>
      <c r="AA6" s="468">
        <f t="shared" si="7"/>
        <v>0</v>
      </c>
      <c r="AB6" s="468">
        <f t="shared" si="7"/>
        <v>0</v>
      </c>
      <c r="AC6" s="468"/>
      <c r="AD6" s="468"/>
      <c r="AE6" s="468"/>
      <c r="AF6" s="468"/>
      <c r="AG6" s="468"/>
      <c r="AH6" s="468"/>
      <c r="AI6" s="468"/>
      <c r="AJ6" s="468"/>
      <c r="AK6" s="468"/>
      <c r="AL6" s="468"/>
      <c r="AM6" s="468"/>
      <c r="AN6" s="468"/>
      <c r="AO6" s="468"/>
      <c r="AP6" s="468"/>
      <c r="AQ6" s="468"/>
      <c r="AR6" s="468"/>
      <c r="AS6" s="468"/>
      <c r="AT6" s="468"/>
      <c r="AU6" s="468"/>
      <c r="AV6" s="469">
        <f t="shared" si="2"/>
        <v>0</v>
      </c>
      <c r="AW6" s="469">
        <f t="shared" si="5"/>
        <v>0</v>
      </c>
      <c r="AX6" s="609">
        <f t="shared" ref="AX6:AX25" si="8">AW6-AV6</f>
        <v>0</v>
      </c>
    </row>
    <row r="7" spans="1:50">
      <c r="A7" s="466" t="str">
        <f>'Phase 2b Financial'!A37</f>
        <v>Hard Cost Contingency</v>
      </c>
      <c r="B7" s="576">
        <f>'Phase 2b Financial'!C37</f>
        <v>11146500</v>
      </c>
      <c r="C7" s="468">
        <f t="shared" ref="C7:H7" si="9">$B7*C$4</f>
        <v>0</v>
      </c>
      <c r="D7" s="468">
        <f t="shared" si="9"/>
        <v>0</v>
      </c>
      <c r="E7" s="468">
        <f t="shared" si="9"/>
        <v>0</v>
      </c>
      <c r="F7" s="468">
        <f t="shared" si="9"/>
        <v>0</v>
      </c>
      <c r="G7" s="468">
        <f t="shared" si="9"/>
        <v>0</v>
      </c>
      <c r="H7" s="468">
        <f t="shared" si="9"/>
        <v>0</v>
      </c>
      <c r="I7" s="468">
        <f t="shared" ref="I7:AB7" si="10">$B7*I$4</f>
        <v>0</v>
      </c>
      <c r="J7" s="468">
        <f t="shared" si="10"/>
        <v>0</v>
      </c>
      <c r="K7" s="468">
        <f t="shared" si="10"/>
        <v>0</v>
      </c>
      <c r="L7" s="468">
        <f t="shared" si="10"/>
        <v>0</v>
      </c>
      <c r="M7" s="468">
        <f t="shared" si="10"/>
        <v>0</v>
      </c>
      <c r="N7" s="468">
        <f t="shared" si="10"/>
        <v>0</v>
      </c>
      <c r="O7" s="468">
        <f t="shared" si="10"/>
        <v>0</v>
      </c>
      <c r="P7" s="468">
        <f t="shared" si="10"/>
        <v>0</v>
      </c>
      <c r="Q7" s="468">
        <f t="shared" si="10"/>
        <v>668790</v>
      </c>
      <c r="R7" s="468">
        <f t="shared" si="10"/>
        <v>668790</v>
      </c>
      <c r="S7" s="468">
        <f t="shared" si="10"/>
        <v>891720</v>
      </c>
      <c r="T7" s="468">
        <f t="shared" si="10"/>
        <v>891720</v>
      </c>
      <c r="U7" s="468">
        <f t="shared" si="10"/>
        <v>891720</v>
      </c>
      <c r="V7" s="468">
        <f t="shared" si="10"/>
        <v>891720</v>
      </c>
      <c r="W7" s="468">
        <f t="shared" si="10"/>
        <v>891720</v>
      </c>
      <c r="X7" s="468">
        <f t="shared" si="10"/>
        <v>891720</v>
      </c>
      <c r="Y7" s="468">
        <f t="shared" si="10"/>
        <v>891720</v>
      </c>
      <c r="Z7" s="468">
        <f t="shared" si="10"/>
        <v>891720</v>
      </c>
      <c r="AA7" s="468">
        <f t="shared" si="10"/>
        <v>891720</v>
      </c>
      <c r="AB7" s="468">
        <f t="shared" si="10"/>
        <v>891720</v>
      </c>
      <c r="AC7" s="468"/>
      <c r="AD7" s="468"/>
      <c r="AE7" s="468"/>
      <c r="AF7" s="468"/>
      <c r="AG7" s="468"/>
      <c r="AH7" s="468"/>
      <c r="AI7" s="468"/>
      <c r="AJ7" s="468"/>
      <c r="AK7" s="468"/>
      <c r="AL7" s="468"/>
      <c r="AM7" s="468"/>
      <c r="AN7" s="468"/>
      <c r="AO7" s="468"/>
      <c r="AP7" s="468"/>
      <c r="AQ7" s="468"/>
      <c r="AR7" s="468"/>
      <c r="AS7" s="468"/>
      <c r="AT7" s="468"/>
      <c r="AU7" s="468"/>
      <c r="AV7" s="469">
        <f t="shared" si="2"/>
        <v>10254780</v>
      </c>
      <c r="AW7" s="469">
        <f t="shared" si="5"/>
        <v>11146500</v>
      </c>
      <c r="AX7" s="609">
        <f t="shared" si="8"/>
        <v>891720</v>
      </c>
    </row>
    <row r="8" spans="1:50">
      <c r="A8" s="466" t="str">
        <f>'Phase 2b Financial'!A38</f>
        <v>Demolition</v>
      </c>
      <c r="B8" s="576">
        <f>'Phase 2b Financial'!C38</f>
        <v>0</v>
      </c>
      <c r="C8" s="468"/>
      <c r="D8" s="468"/>
      <c r="E8" s="468"/>
      <c r="F8" s="468"/>
      <c r="G8" s="468"/>
      <c r="H8" s="468"/>
      <c r="I8" s="468"/>
      <c r="J8" s="468"/>
      <c r="K8" s="468"/>
      <c r="L8" s="468"/>
      <c r="M8" s="468"/>
      <c r="N8" s="468"/>
      <c r="O8" s="468"/>
      <c r="P8" s="468"/>
      <c r="Q8" s="468"/>
      <c r="R8" s="468"/>
      <c r="S8" s="468"/>
      <c r="T8" s="468"/>
      <c r="U8" s="468"/>
      <c r="V8" s="468"/>
      <c r="W8" s="468"/>
      <c r="X8" s="468"/>
      <c r="Y8" s="468"/>
      <c r="Z8" s="468"/>
      <c r="AA8" s="468"/>
      <c r="AB8" s="468"/>
      <c r="AC8" s="468"/>
      <c r="AD8" s="468"/>
      <c r="AE8" s="468"/>
      <c r="AF8" s="468"/>
      <c r="AG8" s="468"/>
      <c r="AH8" s="468"/>
      <c r="AI8" s="468"/>
      <c r="AJ8" s="468"/>
      <c r="AK8" s="468"/>
      <c r="AL8" s="468"/>
      <c r="AM8" s="468"/>
      <c r="AN8" s="468"/>
      <c r="AO8" s="468"/>
      <c r="AP8" s="468"/>
      <c r="AQ8" s="468"/>
      <c r="AR8" s="468"/>
      <c r="AS8" s="468"/>
      <c r="AT8" s="468"/>
      <c r="AU8" s="468"/>
      <c r="AV8" s="469">
        <f t="shared" si="2"/>
        <v>0</v>
      </c>
      <c r="AW8" s="469">
        <f t="shared" si="5"/>
        <v>0</v>
      </c>
      <c r="AX8" s="609">
        <f t="shared" si="8"/>
        <v>0</v>
      </c>
    </row>
    <row r="9" spans="1:50">
      <c r="A9" s="466" t="str">
        <f>'Phase 2b Financial'!A39</f>
        <v>LAND</v>
      </c>
      <c r="B9" s="576">
        <f>'Phase 2b Financial'!C39</f>
        <v>0</v>
      </c>
      <c r="C9" s="472"/>
      <c r="D9" s="468"/>
      <c r="E9" s="468"/>
      <c r="F9" s="468"/>
      <c r="G9" s="471"/>
      <c r="H9" s="471"/>
      <c r="I9" s="471"/>
      <c r="J9" s="472"/>
      <c r="K9" s="468"/>
      <c r="L9" s="468"/>
      <c r="M9" s="472"/>
      <c r="N9" s="468"/>
      <c r="O9" s="468"/>
      <c r="P9" s="468"/>
      <c r="Q9" s="472">
        <f>$B9-$E9</f>
        <v>0</v>
      </c>
      <c r="R9" s="468"/>
      <c r="S9" s="468"/>
      <c r="T9" s="468"/>
      <c r="U9" s="468"/>
      <c r="V9" s="468"/>
      <c r="W9" s="468"/>
      <c r="X9" s="468"/>
      <c r="Y9" s="468"/>
      <c r="Z9" s="468"/>
      <c r="AA9" s="468"/>
      <c r="AB9" s="468"/>
      <c r="AC9" s="470"/>
      <c r="AD9" s="470"/>
      <c r="AE9" s="540"/>
      <c r="AF9" s="540"/>
      <c r="AG9" s="540"/>
      <c r="AH9" s="540"/>
      <c r="AI9" s="540"/>
      <c r="AJ9" s="540"/>
      <c r="AK9" s="540"/>
      <c r="AL9" s="540"/>
      <c r="AM9" s="540"/>
      <c r="AN9" s="540"/>
      <c r="AO9" s="540"/>
      <c r="AP9" s="540"/>
      <c r="AQ9" s="540"/>
      <c r="AR9" s="540"/>
      <c r="AS9" s="540"/>
      <c r="AT9" s="540"/>
      <c r="AU9" s="540"/>
      <c r="AV9" s="469">
        <f t="shared" si="2"/>
        <v>0</v>
      </c>
      <c r="AW9" s="469">
        <f t="shared" si="5"/>
        <v>0</v>
      </c>
      <c r="AX9" s="609">
        <f t="shared" si="8"/>
        <v>0</v>
      </c>
    </row>
    <row r="10" spans="1:50">
      <c r="A10" s="466" t="str">
        <f>'Phase 2b Financial'!A40</f>
        <v>Municipal Fees and Allowances</v>
      </c>
      <c r="B10" s="576">
        <f>'Phase 2b Financial'!C40</f>
        <v>620200</v>
      </c>
      <c r="C10" s="472"/>
      <c r="D10" s="468"/>
      <c r="E10" s="468"/>
      <c r="F10" s="468"/>
      <c r="G10" s="468"/>
      <c r="H10" s="471"/>
      <c r="I10" s="468"/>
      <c r="J10" s="468"/>
      <c r="K10" s="468"/>
      <c r="L10" s="468"/>
      <c r="M10" s="468"/>
      <c r="N10" s="468"/>
      <c r="O10" s="468"/>
      <c r="P10" s="468"/>
      <c r="Q10" s="468">
        <f>B10</f>
        <v>620200</v>
      </c>
      <c r="R10" s="470"/>
      <c r="S10" s="283"/>
      <c r="T10" s="470"/>
      <c r="U10" s="470"/>
      <c r="V10" s="470"/>
      <c r="W10" s="470"/>
      <c r="X10" s="470"/>
      <c r="Y10" s="470"/>
      <c r="Z10" s="470"/>
      <c r="AA10" s="470"/>
      <c r="AB10" s="470"/>
      <c r="AC10" s="470"/>
      <c r="AD10" s="470"/>
      <c r="AE10" s="540"/>
      <c r="AF10" s="540"/>
      <c r="AG10" s="540"/>
      <c r="AH10" s="540"/>
      <c r="AI10" s="540"/>
      <c r="AJ10" s="540"/>
      <c r="AK10" s="540"/>
      <c r="AL10" s="540"/>
      <c r="AM10" s="540"/>
      <c r="AN10" s="540"/>
      <c r="AO10" s="540"/>
      <c r="AP10" s="540"/>
      <c r="AQ10" s="540"/>
      <c r="AR10" s="540"/>
      <c r="AS10" s="540"/>
      <c r="AT10" s="540"/>
      <c r="AU10" s="540"/>
      <c r="AV10" s="469">
        <f t="shared" si="2"/>
        <v>620200</v>
      </c>
      <c r="AW10" s="469">
        <f t="shared" si="5"/>
        <v>620200</v>
      </c>
      <c r="AX10" s="609">
        <f t="shared" si="8"/>
        <v>0</v>
      </c>
    </row>
    <row r="11" spans="1:50">
      <c r="A11" s="466" t="str">
        <f>'Phase 2b Financial'!A41</f>
        <v>Infrastructure allocation</v>
      </c>
      <c r="B11" s="576">
        <f>'Phase 2b Financial'!C41</f>
        <v>5407800</v>
      </c>
      <c r="C11" s="472"/>
      <c r="D11" s="468"/>
      <c r="E11" s="468"/>
      <c r="F11" s="468"/>
      <c r="G11" s="468"/>
      <c r="H11" s="468"/>
      <c r="I11" s="468"/>
      <c r="J11" s="468"/>
      <c r="K11" s="468"/>
      <c r="L11" s="468"/>
      <c r="M11" s="468"/>
      <c r="N11" s="468"/>
      <c r="O11" s="468"/>
      <c r="P11" s="468"/>
      <c r="Q11" s="468"/>
      <c r="R11" s="470"/>
      <c r="S11" s="283"/>
      <c r="T11" s="470"/>
      <c r="U11" s="470"/>
      <c r="V11" s="470"/>
      <c r="W11" s="470"/>
      <c r="X11" s="470"/>
      <c r="Y11" s="470"/>
      <c r="Z11" s="470"/>
      <c r="AA11" s="470"/>
      <c r="AB11" s="470"/>
      <c r="AC11" s="470"/>
      <c r="AD11" s="470"/>
      <c r="AE11" s="540"/>
      <c r="AF11" s="540"/>
      <c r="AG11" s="540"/>
      <c r="AH11" s="540"/>
      <c r="AI11" s="540"/>
      <c r="AJ11" s="540"/>
      <c r="AK11" s="540"/>
      <c r="AL11" s="540"/>
      <c r="AM11" s="540"/>
      <c r="AN11" s="540"/>
      <c r="AO11" s="540"/>
      <c r="AP11" s="540"/>
      <c r="AQ11" s="540"/>
      <c r="AR11" s="540"/>
      <c r="AS11" s="540"/>
      <c r="AT11" s="540"/>
      <c r="AU11" s="540"/>
      <c r="AV11" s="469">
        <f t="shared" si="2"/>
        <v>0</v>
      </c>
      <c r="AW11" s="469">
        <f t="shared" si="5"/>
        <v>5407800</v>
      </c>
      <c r="AX11" s="609">
        <f t="shared" si="8"/>
        <v>5407800</v>
      </c>
    </row>
    <row r="12" spans="1:50">
      <c r="A12" s="466" t="str">
        <f>'Phase 2b Financial'!A42</f>
        <v>Legal</v>
      </c>
      <c r="B12" s="576">
        <f>'Phase 2b Financial'!C42</f>
        <v>400000</v>
      </c>
      <c r="C12" s="472"/>
      <c r="D12" s="472"/>
      <c r="E12" s="477"/>
      <c r="F12" s="477"/>
      <c r="G12" s="477"/>
      <c r="H12" s="477"/>
      <c r="I12" s="477"/>
      <c r="J12" s="477"/>
      <c r="K12" s="472">
        <f t="shared" ref="K12:M12" si="11">0.05*$B12</f>
        <v>20000</v>
      </c>
      <c r="L12" s="472">
        <f t="shared" si="11"/>
        <v>20000</v>
      </c>
      <c r="M12" s="472">
        <f t="shared" si="11"/>
        <v>20000</v>
      </c>
      <c r="N12" s="472">
        <f>0.05*$B12</f>
        <v>20000</v>
      </c>
      <c r="O12" s="472">
        <f>0.05*$B12</f>
        <v>20000</v>
      </c>
      <c r="P12" s="472">
        <f>0.05*$B12</f>
        <v>20000</v>
      </c>
      <c r="Q12" s="472">
        <f t="shared" ref="Q12:V12" si="12">0.1*$B12</f>
        <v>40000</v>
      </c>
      <c r="R12" s="472">
        <f t="shared" si="12"/>
        <v>40000</v>
      </c>
      <c r="S12" s="472">
        <f t="shared" si="12"/>
        <v>40000</v>
      </c>
      <c r="T12" s="472">
        <f t="shared" si="12"/>
        <v>40000</v>
      </c>
      <c r="U12" s="472">
        <f t="shared" si="12"/>
        <v>40000</v>
      </c>
      <c r="V12" s="472">
        <f t="shared" si="12"/>
        <v>40000</v>
      </c>
      <c r="W12" s="468">
        <v>40000</v>
      </c>
      <c r="X12" s="470"/>
      <c r="Y12" s="470"/>
      <c r="Z12" s="470"/>
      <c r="AA12" s="470"/>
      <c r="AB12" s="470"/>
      <c r="AC12" s="470"/>
      <c r="AD12" s="470"/>
      <c r="AE12" s="470"/>
      <c r="AF12" s="470"/>
      <c r="AG12" s="470"/>
      <c r="AH12" s="470"/>
      <c r="AI12" s="470"/>
      <c r="AJ12" s="470"/>
      <c r="AK12" s="470"/>
      <c r="AL12" s="470"/>
      <c r="AM12" s="470"/>
      <c r="AN12" s="470"/>
      <c r="AO12" s="470"/>
      <c r="AP12" s="470"/>
      <c r="AQ12" s="470"/>
      <c r="AR12" s="470"/>
      <c r="AS12" s="470"/>
      <c r="AT12" s="470"/>
      <c r="AU12" s="470"/>
      <c r="AV12" s="469">
        <f t="shared" si="2"/>
        <v>400000</v>
      </c>
      <c r="AW12" s="469">
        <f t="shared" si="5"/>
        <v>400000</v>
      </c>
      <c r="AX12" s="609">
        <f t="shared" si="8"/>
        <v>0</v>
      </c>
    </row>
    <row r="13" spans="1:50">
      <c r="A13" s="466" t="str">
        <f>'Phase 2b Financial'!A43</f>
        <v>Land Closing Costs/commissions</v>
      </c>
      <c r="B13" s="576">
        <f>'Phase 2b Financial'!C43</f>
        <v>300000</v>
      </c>
      <c r="C13" s="472"/>
      <c r="D13" s="468"/>
      <c r="E13" s="468"/>
      <c r="F13" s="468"/>
      <c r="G13" s="471"/>
      <c r="H13" s="468"/>
      <c r="I13" s="471"/>
      <c r="J13" s="468"/>
      <c r="K13" s="468"/>
      <c r="L13" s="468"/>
      <c r="M13" s="471"/>
      <c r="N13" s="468"/>
      <c r="O13" s="468"/>
      <c r="P13" s="468"/>
      <c r="Q13" s="468">
        <f>$B13</f>
        <v>300000</v>
      </c>
      <c r="R13" s="468"/>
      <c r="S13" s="468"/>
      <c r="T13" s="468"/>
      <c r="U13" s="468"/>
      <c r="V13" s="468"/>
      <c r="W13" s="468"/>
      <c r="X13" s="468"/>
      <c r="Y13" s="468"/>
      <c r="Z13" s="468"/>
      <c r="AA13" s="468"/>
      <c r="AB13" s="468"/>
      <c r="AC13" s="468"/>
      <c r="AD13" s="468"/>
      <c r="AE13" s="471"/>
      <c r="AF13" s="471"/>
      <c r="AG13" s="471"/>
      <c r="AH13" s="471"/>
      <c r="AI13" s="471"/>
      <c r="AJ13" s="471"/>
      <c r="AK13" s="471"/>
      <c r="AL13" s="471"/>
      <c r="AM13" s="471"/>
      <c r="AN13" s="471"/>
      <c r="AO13" s="471"/>
      <c r="AP13" s="471"/>
      <c r="AQ13" s="471"/>
      <c r="AR13" s="471"/>
      <c r="AS13" s="471"/>
      <c r="AT13" s="471"/>
      <c r="AU13" s="471"/>
      <c r="AV13" s="469">
        <f t="shared" si="2"/>
        <v>300000</v>
      </c>
      <c r="AW13" s="469">
        <f t="shared" si="5"/>
        <v>300000</v>
      </c>
      <c r="AX13" s="609">
        <f t="shared" si="8"/>
        <v>0</v>
      </c>
    </row>
    <row r="14" spans="1:50">
      <c r="A14" s="466" t="str">
        <f>'Phase 2b Financial'!A44</f>
        <v xml:space="preserve">Design </v>
      </c>
      <c r="B14" s="576">
        <f>'Phase 2b Financial'!C44</f>
        <v>9363060</v>
      </c>
      <c r="C14" s="468"/>
      <c r="D14" s="468"/>
      <c r="E14" s="477"/>
      <c r="F14" s="477"/>
      <c r="G14" s="477"/>
      <c r="H14" s="477"/>
      <c r="I14" s="477"/>
      <c r="J14" s="477"/>
      <c r="K14" s="468">
        <f t="shared" ref="K14:T14" si="13">$B14/10</f>
        <v>936306</v>
      </c>
      <c r="L14" s="468">
        <f t="shared" si="13"/>
        <v>936306</v>
      </c>
      <c r="M14" s="468">
        <f t="shared" si="13"/>
        <v>936306</v>
      </c>
      <c r="N14" s="468">
        <f t="shared" si="13"/>
        <v>936306</v>
      </c>
      <c r="O14" s="468">
        <f t="shared" si="13"/>
        <v>936306</v>
      </c>
      <c r="P14" s="468">
        <f t="shared" si="13"/>
        <v>936306</v>
      </c>
      <c r="Q14" s="468">
        <f t="shared" si="13"/>
        <v>936306</v>
      </c>
      <c r="R14" s="468">
        <f t="shared" si="13"/>
        <v>936306</v>
      </c>
      <c r="S14" s="468">
        <f t="shared" si="13"/>
        <v>936306</v>
      </c>
      <c r="T14" s="468">
        <f t="shared" si="13"/>
        <v>936306</v>
      </c>
      <c r="U14" s="468"/>
      <c r="V14" s="468"/>
      <c r="W14" s="468"/>
      <c r="X14" s="468"/>
      <c r="Y14" s="468"/>
      <c r="Z14" s="468"/>
      <c r="AA14" s="468"/>
      <c r="AB14" s="468"/>
      <c r="AC14" s="468"/>
      <c r="AD14" s="468"/>
      <c r="AE14" s="468"/>
      <c r="AF14" s="468"/>
      <c r="AG14" s="468"/>
      <c r="AH14" s="468"/>
      <c r="AI14" s="468"/>
      <c r="AJ14" s="468"/>
      <c r="AK14" s="468"/>
      <c r="AL14" s="468"/>
      <c r="AM14" s="468"/>
      <c r="AN14" s="468"/>
      <c r="AO14" s="468"/>
      <c r="AP14" s="468"/>
      <c r="AQ14" s="468"/>
      <c r="AR14" s="468"/>
      <c r="AS14" s="468"/>
      <c r="AT14" s="468"/>
      <c r="AU14" s="468"/>
      <c r="AV14" s="469">
        <f t="shared" si="2"/>
        <v>9363060</v>
      </c>
      <c r="AW14" s="469">
        <f t="shared" si="5"/>
        <v>9363060</v>
      </c>
      <c r="AX14" s="609">
        <f t="shared" si="8"/>
        <v>0</v>
      </c>
    </row>
    <row r="15" spans="1:50">
      <c r="A15" s="466" t="str">
        <f>'Phase 2b Financial'!A45</f>
        <v>Developer Fee</v>
      </c>
      <c r="B15" s="576">
        <f>'Phase 2b Financial'!C45</f>
        <v>7505026.7999999998</v>
      </c>
      <c r="C15" s="468">
        <f>$B15*C$4</f>
        <v>0</v>
      </c>
      <c r="D15" s="468">
        <f t="shared" ref="D15:G15" si="14">$B15*D4</f>
        <v>0</v>
      </c>
      <c r="E15" s="468">
        <f t="shared" si="14"/>
        <v>0</v>
      </c>
      <c r="F15" s="468">
        <f t="shared" si="14"/>
        <v>0</v>
      </c>
      <c r="G15" s="468">
        <f t="shared" si="14"/>
        <v>0</v>
      </c>
      <c r="H15" s="468"/>
      <c r="I15" s="468"/>
      <c r="J15" s="468"/>
      <c r="K15" s="468"/>
      <c r="L15" s="468"/>
      <c r="M15" s="468"/>
      <c r="N15" s="468"/>
      <c r="O15" s="468"/>
      <c r="P15" s="468"/>
      <c r="Q15" s="468">
        <f t="shared" ref="Q15:X16" si="15">Q$4*$B15</f>
        <v>450301.60799999995</v>
      </c>
      <c r="R15" s="468">
        <f t="shared" si="15"/>
        <v>450301.60799999995</v>
      </c>
      <c r="S15" s="468">
        <f t="shared" si="15"/>
        <v>600402.14399999997</v>
      </c>
      <c r="T15" s="468">
        <f t="shared" si="15"/>
        <v>600402.14399999997</v>
      </c>
      <c r="U15" s="468">
        <f t="shared" si="15"/>
        <v>600402.14399999997</v>
      </c>
      <c r="V15" s="468">
        <f t="shared" si="15"/>
        <v>600402.14399999997</v>
      </c>
      <c r="W15" s="468">
        <f t="shared" si="15"/>
        <v>600402.14399999997</v>
      </c>
      <c r="X15" s="468">
        <f t="shared" si="15"/>
        <v>600402.14399999997</v>
      </c>
      <c r="Y15" s="468"/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8"/>
      <c r="AL15" s="468"/>
      <c r="AM15" s="468"/>
      <c r="AN15" s="468"/>
      <c r="AO15" s="468"/>
      <c r="AP15" s="468"/>
      <c r="AQ15" s="468"/>
      <c r="AR15" s="468"/>
      <c r="AS15" s="468"/>
      <c r="AT15" s="468"/>
      <c r="AU15" s="468"/>
      <c r="AV15" s="469">
        <f t="shared" si="2"/>
        <v>4503016.0799999991</v>
      </c>
      <c r="AW15" s="469">
        <f t="shared" si="5"/>
        <v>7505026.7999999998</v>
      </c>
      <c r="AX15" s="609">
        <f t="shared" si="8"/>
        <v>3002010.7200000007</v>
      </c>
    </row>
    <row r="16" spans="1:50">
      <c r="A16" s="466" t="str">
        <f>'Phase 2b Financial'!A46</f>
        <v>Construction Management Fee</v>
      </c>
      <c r="B16" s="576">
        <f>'Phase 2b Financial'!C46</f>
        <v>4681530</v>
      </c>
      <c r="C16" s="468">
        <f>$B16*C$4</f>
        <v>0</v>
      </c>
      <c r="D16" s="468">
        <f t="shared" ref="D16:G16" si="16">$B16*D$4</f>
        <v>0</v>
      </c>
      <c r="E16" s="468">
        <f t="shared" si="16"/>
        <v>0</v>
      </c>
      <c r="F16" s="468">
        <f t="shared" si="16"/>
        <v>0</v>
      </c>
      <c r="G16" s="468">
        <f t="shared" si="16"/>
        <v>0</v>
      </c>
      <c r="H16" s="468"/>
      <c r="I16" s="468"/>
      <c r="J16" s="468"/>
      <c r="K16" s="468"/>
      <c r="L16" s="468"/>
      <c r="M16" s="468"/>
      <c r="N16" s="468"/>
      <c r="O16" s="468"/>
      <c r="P16" s="468"/>
      <c r="Q16" s="468">
        <f t="shared" si="15"/>
        <v>280891.8</v>
      </c>
      <c r="R16" s="468">
        <f t="shared" si="15"/>
        <v>280891.8</v>
      </c>
      <c r="S16" s="468">
        <f t="shared" si="15"/>
        <v>374522.4</v>
      </c>
      <c r="T16" s="468">
        <f t="shared" si="15"/>
        <v>374522.4</v>
      </c>
      <c r="U16" s="468">
        <f t="shared" si="15"/>
        <v>374522.4</v>
      </c>
      <c r="V16" s="468">
        <f t="shared" si="15"/>
        <v>374522.4</v>
      </c>
      <c r="W16" s="468">
        <f t="shared" si="15"/>
        <v>374522.4</v>
      </c>
      <c r="X16" s="468">
        <f t="shared" si="15"/>
        <v>374522.4</v>
      </c>
      <c r="Y16" s="468"/>
      <c r="Z16" s="468"/>
      <c r="AA16" s="468"/>
      <c r="AB16" s="468"/>
      <c r="AC16" s="468"/>
      <c r="AD16" s="468"/>
      <c r="AE16" s="468"/>
      <c r="AF16" s="468"/>
      <c r="AG16" s="468"/>
      <c r="AH16" s="468"/>
      <c r="AI16" s="468"/>
      <c r="AJ16" s="468"/>
      <c r="AK16" s="468"/>
      <c r="AL16" s="468"/>
      <c r="AM16" s="468"/>
      <c r="AN16" s="468"/>
      <c r="AO16" s="468"/>
      <c r="AP16" s="468"/>
      <c r="AQ16" s="468"/>
      <c r="AR16" s="468"/>
      <c r="AS16" s="468"/>
      <c r="AT16" s="468"/>
      <c r="AU16" s="468"/>
      <c r="AV16" s="469">
        <f t="shared" si="2"/>
        <v>2808917.9999999995</v>
      </c>
      <c r="AW16" s="469">
        <f t="shared" si="5"/>
        <v>4681530</v>
      </c>
      <c r="AX16" s="609">
        <f t="shared" si="8"/>
        <v>1872612.0000000005</v>
      </c>
    </row>
    <row r="17" spans="1:50">
      <c r="A17" s="466" t="str">
        <f>'Phase 2b Financial'!A47</f>
        <v>Taxes</v>
      </c>
      <c r="B17" s="576">
        <f>'Phase 2b Financial'!C47</f>
        <v>0</v>
      </c>
      <c r="C17" s="472"/>
      <c r="D17" s="468"/>
      <c r="E17" s="468"/>
      <c r="F17" s="468">
        <f>0.15*$B17</f>
        <v>0</v>
      </c>
      <c r="G17" s="471"/>
      <c r="H17" s="468"/>
      <c r="I17" s="468"/>
      <c r="J17" s="468">
        <f>0.1*$B17</f>
        <v>0</v>
      </c>
      <c r="K17" s="468"/>
      <c r="L17" s="471"/>
      <c r="M17" s="468"/>
      <c r="N17" s="468">
        <f>0.1*$B17</f>
        <v>0</v>
      </c>
      <c r="O17" s="468"/>
      <c r="P17" s="468"/>
      <c r="Q17" s="282"/>
      <c r="R17" s="468">
        <f>0.15*$B17</f>
        <v>0</v>
      </c>
      <c r="S17" s="282"/>
      <c r="T17" s="468"/>
      <c r="U17" s="468"/>
      <c r="V17" s="468">
        <f>0.2*$B17</f>
        <v>0</v>
      </c>
      <c r="W17" s="468"/>
      <c r="X17" s="282"/>
      <c r="Y17" s="468"/>
      <c r="Z17" s="468">
        <f>0.3*$B17</f>
        <v>0</v>
      </c>
      <c r="AA17" s="468"/>
      <c r="AB17" s="468"/>
      <c r="AC17" s="468"/>
      <c r="AD17" s="468"/>
      <c r="AE17" s="282"/>
      <c r="AF17" s="468"/>
      <c r="AG17" s="297"/>
      <c r="AH17" s="297"/>
      <c r="AI17" s="297"/>
      <c r="AJ17" s="297"/>
      <c r="AK17" s="297"/>
      <c r="AL17" s="297"/>
      <c r="AM17" s="297"/>
      <c r="AN17" s="297"/>
      <c r="AO17" s="297"/>
      <c r="AP17" s="297"/>
      <c r="AQ17" s="297"/>
      <c r="AR17" s="297"/>
      <c r="AS17" s="282"/>
      <c r="AT17" s="468"/>
      <c r="AU17" s="471"/>
      <c r="AV17" s="469">
        <f t="shared" si="2"/>
        <v>0</v>
      </c>
      <c r="AW17" s="469">
        <f t="shared" si="5"/>
        <v>0</v>
      </c>
      <c r="AX17" s="609">
        <f t="shared" si="8"/>
        <v>0</v>
      </c>
    </row>
    <row r="18" spans="1:50">
      <c r="A18" s="466" t="str">
        <f>'Phase 2b Financial'!A48</f>
        <v>Insurance</v>
      </c>
      <c r="B18" s="576">
        <f>'Phase 2b Financial'!C48</f>
        <v>2215000</v>
      </c>
      <c r="C18" s="472"/>
      <c r="D18" s="468"/>
      <c r="E18" s="477"/>
      <c r="F18" s="477"/>
      <c r="G18" s="477"/>
      <c r="H18" s="477"/>
      <c r="I18" s="477"/>
      <c r="J18" s="477"/>
      <c r="K18" s="477"/>
      <c r="L18" s="477"/>
      <c r="M18" s="477"/>
      <c r="N18" s="477"/>
      <c r="O18" s="477"/>
      <c r="P18" s="468"/>
      <c r="Q18" s="468">
        <f>0.3*$B18</f>
        <v>664500</v>
      </c>
      <c r="R18" s="468">
        <f>0.3*$B18</f>
        <v>664500</v>
      </c>
      <c r="S18" s="468"/>
      <c r="T18" s="468"/>
      <c r="U18" s="468"/>
      <c r="V18" s="468"/>
      <c r="W18" s="468"/>
      <c r="X18" s="472">
        <f>$B18-SUM(C18:W18)</f>
        <v>886000</v>
      </c>
      <c r="Y18" s="468"/>
      <c r="Z18" s="468"/>
      <c r="AA18" s="468"/>
      <c r="AB18" s="468"/>
      <c r="AC18" s="468"/>
      <c r="AD18" s="468"/>
      <c r="AE18" s="468"/>
      <c r="AF18" s="478"/>
      <c r="AG18" s="478"/>
      <c r="AH18" s="478"/>
      <c r="AI18" s="478"/>
      <c r="AJ18" s="478"/>
      <c r="AK18" s="478"/>
      <c r="AL18" s="478"/>
      <c r="AM18" s="478"/>
      <c r="AN18" s="478"/>
      <c r="AO18" s="478"/>
      <c r="AP18" s="478"/>
      <c r="AQ18" s="478"/>
      <c r="AR18" s="478"/>
      <c r="AS18" s="468"/>
      <c r="AT18" s="468"/>
      <c r="AU18" s="468"/>
      <c r="AV18" s="469">
        <f t="shared" si="2"/>
        <v>2215000</v>
      </c>
      <c r="AW18" s="469">
        <f t="shared" si="5"/>
        <v>2215000</v>
      </c>
      <c r="AX18" s="609">
        <f t="shared" si="8"/>
        <v>0</v>
      </c>
    </row>
    <row r="19" spans="1:50">
      <c r="A19" s="466" t="str">
        <f>'Phase 2b Financial'!A49</f>
        <v>Marketing, FFE and Preleasing</v>
      </c>
      <c r="B19" s="576">
        <f>'Phase 2b Financial'!C49</f>
        <v>400000</v>
      </c>
      <c r="C19" s="472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468"/>
      <c r="Q19" s="468"/>
      <c r="R19" s="468"/>
      <c r="S19" s="468"/>
      <c r="T19" s="468"/>
      <c r="U19" s="468"/>
      <c r="Y19" s="478"/>
      <c r="Z19" s="468">
        <f>$B19/3</f>
        <v>133333.33333333334</v>
      </c>
      <c r="AA19" s="468">
        <f>$B19/3</f>
        <v>133333.33333333334</v>
      </c>
      <c r="AB19" s="468">
        <f>$B19/3</f>
        <v>133333.33333333334</v>
      </c>
      <c r="AC19" s="471"/>
      <c r="AD19" s="471"/>
      <c r="AE19" s="468"/>
      <c r="AF19" s="293"/>
      <c r="AG19" s="293"/>
      <c r="AH19" s="293"/>
      <c r="AI19" s="293"/>
      <c r="AJ19" s="293"/>
      <c r="AK19" s="293"/>
      <c r="AL19" s="293"/>
      <c r="AM19" s="293"/>
      <c r="AN19" s="293"/>
      <c r="AO19" s="293"/>
      <c r="AP19" s="293"/>
      <c r="AQ19" s="293"/>
      <c r="AR19" s="293"/>
      <c r="AS19" s="282"/>
      <c r="AT19" s="282"/>
      <c r="AU19" s="478"/>
      <c r="AV19" s="469">
        <f t="shared" si="2"/>
        <v>400000</v>
      </c>
      <c r="AW19" s="469">
        <f t="shared" si="5"/>
        <v>400000</v>
      </c>
      <c r="AX19" s="609">
        <f t="shared" si="8"/>
        <v>0</v>
      </c>
    </row>
    <row r="20" spans="1:50">
      <c r="A20" s="466" t="str">
        <f>'Phase 2b Financial'!A50</f>
        <v>Net interest during closeout</v>
      </c>
      <c r="B20" s="576">
        <f>'Phase 2b Financial'!C50</f>
        <v>0</v>
      </c>
      <c r="C20" s="472"/>
      <c r="D20" s="468"/>
      <c r="E20" s="468"/>
      <c r="F20" s="468"/>
      <c r="G20" s="468"/>
      <c r="H20" s="468"/>
      <c r="I20" s="468"/>
      <c r="J20" s="468"/>
      <c r="K20" s="468"/>
      <c r="L20" s="468"/>
      <c r="M20" s="468"/>
      <c r="N20" s="468"/>
      <c r="O20" s="468"/>
      <c r="P20" s="468"/>
      <c r="Q20" s="468"/>
      <c r="R20" s="468"/>
      <c r="S20" s="468"/>
      <c r="T20" s="468"/>
      <c r="U20" s="468"/>
      <c r="V20" s="468"/>
      <c r="W20" s="468"/>
      <c r="X20" s="468"/>
      <c r="Y20" s="468">
        <f>$B20/4</f>
        <v>0</v>
      </c>
      <c r="Z20" s="468">
        <f t="shared" ref="Z20:AB20" si="17">$B20/4</f>
        <v>0</v>
      </c>
      <c r="AA20" s="468">
        <f t="shared" si="17"/>
        <v>0</v>
      </c>
      <c r="AB20" s="468">
        <f t="shared" si="17"/>
        <v>0</v>
      </c>
      <c r="AC20" s="471"/>
      <c r="AD20" s="471"/>
      <c r="AE20" s="468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8"/>
      <c r="AT20" s="610"/>
      <c r="AU20" s="610"/>
      <c r="AV20" s="469">
        <f t="shared" si="2"/>
        <v>0</v>
      </c>
      <c r="AW20" s="469">
        <f t="shared" si="5"/>
        <v>0</v>
      </c>
      <c r="AX20" s="609">
        <f t="shared" si="8"/>
        <v>0</v>
      </c>
    </row>
    <row r="21" spans="1:50">
      <c r="A21" s="466" t="str">
        <f>'Phase 2b Financial'!A51</f>
        <v>Retail Tenant Improvements</v>
      </c>
      <c r="B21" s="576">
        <f>'Phase 2b Financial'!C51</f>
        <v>0</v>
      </c>
      <c r="C21" s="472"/>
      <c r="D21" s="468"/>
      <c r="E21" s="468"/>
      <c r="F21" s="468"/>
      <c r="G21" s="468"/>
      <c r="H21" s="468"/>
      <c r="I21" s="468"/>
      <c r="J21" s="468"/>
      <c r="K21" s="468"/>
      <c r="L21" s="468"/>
      <c r="M21" s="468"/>
      <c r="N21" s="468"/>
      <c r="O21" s="468"/>
      <c r="P21" s="468"/>
      <c r="Q21" s="468"/>
      <c r="R21" s="468"/>
      <c r="S21" s="468"/>
      <c r="T21" s="468"/>
      <c r="U21" s="468"/>
      <c r="V21" s="468">
        <f>$B21/3</f>
        <v>0</v>
      </c>
      <c r="W21" s="468">
        <f t="shared" ref="W21:X21" si="18">$B21/3</f>
        <v>0</v>
      </c>
      <c r="X21" s="468">
        <f t="shared" si="18"/>
        <v>0</v>
      </c>
      <c r="Y21" s="468"/>
      <c r="Z21" s="468"/>
      <c r="AA21" s="471"/>
      <c r="AB21" s="471"/>
      <c r="AC21" s="472"/>
      <c r="AD21" s="471"/>
      <c r="AE21" s="468"/>
      <c r="AF21" s="478"/>
      <c r="AG21" s="478"/>
      <c r="AH21" s="478"/>
      <c r="AI21" s="478"/>
      <c r="AJ21" s="478"/>
      <c r="AK21" s="478"/>
      <c r="AL21" s="478"/>
      <c r="AM21" s="478"/>
      <c r="AN21" s="478"/>
      <c r="AO21" s="478"/>
      <c r="AP21" s="478"/>
      <c r="AQ21" s="478"/>
      <c r="AR21" s="478"/>
      <c r="AS21" s="478"/>
      <c r="AT21" s="478"/>
      <c r="AU21" s="478"/>
      <c r="AV21" s="469">
        <f t="shared" si="2"/>
        <v>0</v>
      </c>
      <c r="AW21" s="469">
        <f t="shared" si="5"/>
        <v>0</v>
      </c>
      <c r="AX21" s="609">
        <f t="shared" si="8"/>
        <v>0</v>
      </c>
    </row>
    <row r="22" spans="1:50">
      <c r="A22" s="466" t="str">
        <f>'Phase 2b Financial'!A52</f>
        <v>Retail brokerage</v>
      </c>
      <c r="B22" s="576">
        <f>'Phase 2b Financial'!C52</f>
        <v>0</v>
      </c>
      <c r="C22" s="472"/>
      <c r="D22" s="468"/>
      <c r="E22" s="468"/>
      <c r="F22" s="468"/>
      <c r="G22" s="468"/>
      <c r="H22" s="468"/>
      <c r="I22" s="468"/>
      <c r="J22" s="468"/>
      <c r="K22" s="468"/>
      <c r="L22" s="468"/>
      <c r="M22" s="468"/>
      <c r="N22" s="468"/>
      <c r="O22" s="468"/>
      <c r="P22" s="468"/>
      <c r="Q22" s="468"/>
      <c r="R22" s="468"/>
      <c r="S22" s="468"/>
      <c r="T22" s="468"/>
      <c r="U22" s="468"/>
      <c r="V22" s="468"/>
      <c r="W22" s="468"/>
      <c r="X22" s="468">
        <f>$B22/3</f>
        <v>0</v>
      </c>
      <c r="Y22" s="468">
        <f t="shared" ref="Y22:Z22" si="19">$B22/3</f>
        <v>0</v>
      </c>
      <c r="Z22" s="468">
        <f t="shared" si="19"/>
        <v>0</v>
      </c>
      <c r="AA22" s="468"/>
      <c r="AB22" s="468"/>
      <c r="AC22" s="468"/>
      <c r="AD22" s="468"/>
      <c r="AE22" s="468"/>
      <c r="AF22" s="478"/>
      <c r="AG22" s="478"/>
      <c r="AH22" s="478"/>
      <c r="AI22" s="478"/>
      <c r="AJ22" s="478"/>
      <c r="AK22" s="478"/>
      <c r="AL22" s="478"/>
      <c r="AM22" s="478"/>
      <c r="AN22" s="478"/>
      <c r="AO22" s="478"/>
      <c r="AP22" s="478"/>
      <c r="AQ22" s="478"/>
      <c r="AR22" s="478"/>
      <c r="AS22" s="468"/>
      <c r="AT22" s="468"/>
      <c r="AU22" s="468"/>
      <c r="AV22" s="469">
        <f t="shared" si="2"/>
        <v>0</v>
      </c>
      <c r="AW22" s="469">
        <f t="shared" si="5"/>
        <v>0</v>
      </c>
      <c r="AX22" s="609">
        <f t="shared" si="8"/>
        <v>0</v>
      </c>
    </row>
    <row r="23" spans="1:50">
      <c r="A23" s="466" t="str">
        <f>'Phase 2b Financial'!A53</f>
        <v>Construction Loan Origination</v>
      </c>
      <c r="B23" s="576">
        <f>'Phase 2b Financial'!C53</f>
        <v>2393715</v>
      </c>
      <c r="C23" s="468">
        <f>$B$23*C4</f>
        <v>0</v>
      </c>
      <c r="D23" s="468">
        <f>$B$23*D4</f>
        <v>0</v>
      </c>
      <c r="E23" s="468">
        <v>0</v>
      </c>
      <c r="F23" s="468">
        <v>0</v>
      </c>
      <c r="G23" s="468">
        <v>0</v>
      </c>
      <c r="H23" s="468">
        <v>0</v>
      </c>
      <c r="I23" s="468">
        <v>0</v>
      </c>
      <c r="J23" s="468">
        <v>0</v>
      </c>
      <c r="K23" s="468"/>
      <c r="L23" s="468">
        <v>0</v>
      </c>
      <c r="M23" s="282"/>
      <c r="N23" s="468">
        <v>0</v>
      </c>
      <c r="O23" s="468">
        <v>0</v>
      </c>
      <c r="Q23" s="468">
        <f>$B23</f>
        <v>2393715</v>
      </c>
      <c r="R23" s="468"/>
      <c r="S23" s="468"/>
      <c r="T23" s="468"/>
      <c r="U23" s="468"/>
      <c r="V23" s="468"/>
      <c r="W23" s="282"/>
      <c r="X23" s="468"/>
      <c r="Y23" s="468"/>
      <c r="Z23" s="468"/>
      <c r="AA23" s="468"/>
      <c r="AB23" s="468"/>
      <c r="AC23" s="468"/>
      <c r="AD23" s="468"/>
      <c r="AE23" s="468"/>
      <c r="AF23" s="478"/>
      <c r="AG23" s="478"/>
      <c r="AH23" s="478"/>
      <c r="AI23" s="478"/>
      <c r="AJ23" s="478"/>
      <c r="AK23" s="478"/>
      <c r="AL23" s="478"/>
      <c r="AM23" s="478"/>
      <c r="AN23" s="478"/>
      <c r="AO23" s="478"/>
      <c r="AP23" s="478"/>
      <c r="AQ23" s="478"/>
      <c r="AR23" s="478"/>
      <c r="AS23" s="468"/>
      <c r="AT23" s="468"/>
      <c r="AU23" s="468"/>
      <c r="AV23" s="469">
        <f t="shared" si="2"/>
        <v>2393715</v>
      </c>
      <c r="AW23" s="469">
        <f t="shared" si="5"/>
        <v>2393715</v>
      </c>
      <c r="AX23" s="609">
        <f t="shared" si="8"/>
        <v>0</v>
      </c>
    </row>
    <row r="24" spans="1:50">
      <c r="A24" s="466" t="str">
        <f>'Phase 2b Financial'!A54</f>
        <v>Construction Interest</v>
      </c>
      <c r="B24" s="576">
        <f>'Phase 2b Financial'!C54</f>
        <v>11170670.000000002</v>
      </c>
      <c r="C24" s="480"/>
      <c r="D24" s="468"/>
      <c r="E24" s="468"/>
      <c r="F24" s="468"/>
      <c r="G24" s="468"/>
      <c r="H24" s="468"/>
      <c r="I24" s="468"/>
      <c r="J24" s="468"/>
      <c r="K24" s="468"/>
      <c r="L24" s="468"/>
      <c r="M24" s="468"/>
      <c r="N24" s="468"/>
      <c r="O24" s="468"/>
      <c r="P24" s="468"/>
      <c r="T24" s="468">
        <f>$B$24*Q4</f>
        <v>670240.20000000007</v>
      </c>
      <c r="U24" s="468"/>
      <c r="V24" s="468"/>
      <c r="W24" s="468"/>
      <c r="X24" s="468">
        <f t="shared" ref="X24:Z24" si="20">0.1*$B24</f>
        <v>1117067.0000000002</v>
      </c>
      <c r="Y24" s="468">
        <f t="shared" si="20"/>
        <v>1117067.0000000002</v>
      </c>
      <c r="Z24" s="468">
        <f t="shared" si="20"/>
        <v>1117067.0000000002</v>
      </c>
      <c r="AA24" s="468">
        <f>0.1*$B24</f>
        <v>1117067.0000000002</v>
      </c>
      <c r="AB24" s="468">
        <f>0.15*$B24</f>
        <v>1675600.5000000002</v>
      </c>
      <c r="AC24" s="468">
        <f t="shared" ref="AC24:AD24" si="21">0.15*$B24</f>
        <v>1675600.5000000002</v>
      </c>
      <c r="AD24" s="468">
        <f t="shared" si="21"/>
        <v>1675600.5000000002</v>
      </c>
      <c r="AE24" s="468">
        <f>0.15*$B24</f>
        <v>1675600.5000000002</v>
      </c>
      <c r="AF24" s="468"/>
      <c r="AG24" s="468"/>
      <c r="AH24" s="468"/>
      <c r="AI24" s="468"/>
      <c r="AJ24" s="468"/>
      <c r="AK24" s="468"/>
      <c r="AL24" s="468"/>
      <c r="AM24" s="468"/>
      <c r="AN24" s="468"/>
      <c r="AO24" s="468"/>
      <c r="AP24" s="468"/>
      <c r="AQ24" s="468"/>
      <c r="AR24" s="468"/>
      <c r="AS24" s="468"/>
      <c r="AT24" s="468"/>
      <c r="AU24" s="468"/>
      <c r="AV24" s="469">
        <f t="shared" si="2"/>
        <v>11840910.200000001</v>
      </c>
      <c r="AW24" s="469">
        <f t="shared" si="5"/>
        <v>11170670.000000002</v>
      </c>
      <c r="AX24" s="609">
        <f t="shared" si="8"/>
        <v>-670240.19999999925</v>
      </c>
    </row>
    <row r="25" spans="1:50" ht="26.25" customHeight="1" thickBot="1">
      <c r="A25" s="466" t="str">
        <f>'Phase 2b Financial'!A55</f>
        <v>Additional Contingency</v>
      </c>
      <c r="B25" s="576">
        <f>'Phase 2b Financial'!C55</f>
        <v>1000000</v>
      </c>
      <c r="C25" s="482">
        <v>0</v>
      </c>
      <c r="D25" s="482">
        <v>0</v>
      </c>
      <c r="E25" s="482">
        <v>0</v>
      </c>
      <c r="F25" s="482"/>
      <c r="G25" s="482">
        <v>0</v>
      </c>
      <c r="H25" s="482">
        <v>0</v>
      </c>
      <c r="I25" s="482">
        <v>0</v>
      </c>
      <c r="J25" s="482">
        <v>0</v>
      </c>
      <c r="K25" s="482">
        <v>0</v>
      </c>
      <c r="L25" s="482"/>
      <c r="M25" s="482"/>
      <c r="N25" s="482"/>
      <c r="O25" s="482"/>
      <c r="P25" s="482"/>
      <c r="Q25" s="482">
        <f t="shared" ref="Q25:X25" si="22">$B25*Q4</f>
        <v>60000</v>
      </c>
      <c r="R25" s="482">
        <f t="shared" si="22"/>
        <v>60000</v>
      </c>
      <c r="S25" s="482">
        <f t="shared" si="22"/>
        <v>80000</v>
      </c>
      <c r="T25" s="482">
        <f t="shared" si="22"/>
        <v>80000</v>
      </c>
      <c r="U25" s="482">
        <f t="shared" si="22"/>
        <v>80000</v>
      </c>
      <c r="V25" s="482">
        <f t="shared" si="22"/>
        <v>80000</v>
      </c>
      <c r="W25" s="482">
        <f t="shared" si="22"/>
        <v>80000</v>
      </c>
      <c r="X25" s="482">
        <f t="shared" si="22"/>
        <v>80000</v>
      </c>
      <c r="Y25" s="482"/>
      <c r="Z25" s="482"/>
      <c r="AA25" s="482"/>
      <c r="AB25" s="482"/>
      <c r="AC25" s="482"/>
      <c r="AD25" s="482"/>
      <c r="AE25" s="482"/>
      <c r="AF25" s="482"/>
      <c r="AG25" s="482"/>
      <c r="AH25" s="482"/>
      <c r="AI25" s="482"/>
      <c r="AJ25" s="482"/>
      <c r="AK25" s="482"/>
      <c r="AL25" s="482"/>
      <c r="AM25" s="482"/>
      <c r="AN25" s="482"/>
      <c r="AO25" s="482"/>
      <c r="AP25" s="482"/>
      <c r="AQ25" s="482"/>
      <c r="AR25" s="482"/>
      <c r="AS25" s="482"/>
      <c r="AT25" s="482"/>
      <c r="AU25" s="482"/>
      <c r="AV25" s="483">
        <f t="shared" si="2"/>
        <v>600000</v>
      </c>
      <c r="AW25" s="483">
        <f t="shared" si="5"/>
        <v>1000000</v>
      </c>
      <c r="AX25" s="609">
        <f t="shared" si="8"/>
        <v>400000</v>
      </c>
    </row>
    <row r="26" spans="1:50" ht="15" thickTop="1" thickBot="1">
      <c r="A26" s="202" t="str">
        <f>'Phase 1a Financial'!A113</f>
        <v>Total Project Cost</v>
      </c>
      <c r="B26" s="203">
        <f t="shared" ref="B26:AB26" si="23">SUM(B5:B25)</f>
        <v>279533501.80000001</v>
      </c>
      <c r="C26" s="181">
        <f t="shared" si="23"/>
        <v>0</v>
      </c>
      <c r="D26" s="181">
        <f t="shared" si="23"/>
        <v>0</v>
      </c>
      <c r="E26" s="181">
        <f t="shared" si="23"/>
        <v>0</v>
      </c>
      <c r="F26" s="181">
        <f t="shared" si="23"/>
        <v>0</v>
      </c>
      <c r="G26" s="181">
        <f t="shared" si="23"/>
        <v>0</v>
      </c>
      <c r="H26" s="181">
        <f t="shared" si="23"/>
        <v>0</v>
      </c>
      <c r="I26" s="181">
        <f t="shared" si="23"/>
        <v>0</v>
      </c>
      <c r="J26" s="181">
        <f t="shared" si="23"/>
        <v>0</v>
      </c>
      <c r="K26" s="181">
        <f t="shared" si="23"/>
        <v>956306</v>
      </c>
      <c r="L26" s="181">
        <f t="shared" si="23"/>
        <v>956306</v>
      </c>
      <c r="M26" s="181">
        <f t="shared" si="23"/>
        <v>956306</v>
      </c>
      <c r="N26" s="181">
        <f t="shared" si="23"/>
        <v>956306</v>
      </c>
      <c r="O26" s="181">
        <f t="shared" si="23"/>
        <v>956306</v>
      </c>
      <c r="P26" s="181">
        <f t="shared" si="23"/>
        <v>956306</v>
      </c>
      <c r="Q26" s="181">
        <f t="shared" si="23"/>
        <v>19790504.408</v>
      </c>
      <c r="R26" s="181">
        <f t="shared" si="23"/>
        <v>16476589.408</v>
      </c>
      <c r="S26" s="181">
        <f t="shared" si="23"/>
        <v>20757350.544</v>
      </c>
      <c r="T26" s="181">
        <f t="shared" si="23"/>
        <v>21427590.743999999</v>
      </c>
      <c r="U26" s="181">
        <f t="shared" si="23"/>
        <v>19821044.544</v>
      </c>
      <c r="V26" s="181">
        <f t="shared" si="23"/>
        <v>19821044.544</v>
      </c>
      <c r="W26" s="181">
        <f t="shared" si="23"/>
        <v>19821044.544</v>
      </c>
      <c r="X26" s="181">
        <f t="shared" si="23"/>
        <v>21784111.544</v>
      </c>
      <c r="Y26" s="181">
        <f t="shared" si="23"/>
        <v>19843187</v>
      </c>
      <c r="Z26" s="181">
        <f t="shared" si="23"/>
        <v>19976520.333333332</v>
      </c>
      <c r="AA26" s="181">
        <f t="shared" si="23"/>
        <v>19976520.333333332</v>
      </c>
      <c r="AB26" s="181">
        <f t="shared" si="23"/>
        <v>20535053.833333332</v>
      </c>
      <c r="AC26" s="181"/>
      <c r="AD26" s="181"/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P26" s="181"/>
      <c r="AQ26" s="181"/>
      <c r="AR26" s="181"/>
      <c r="AS26" s="181"/>
      <c r="AT26" s="181"/>
      <c r="AU26" s="181"/>
      <c r="AV26" s="178">
        <f>SUM(AV5:AV25)</f>
        <v>250795199.28</v>
      </c>
      <c r="AW26" s="177">
        <f>SUM(AW5:AW25)</f>
        <v>279533501.80000001</v>
      </c>
      <c r="AX26" s="177"/>
    </row>
    <row r="27" spans="1:50">
      <c r="A27" s="179" t="s">
        <v>292</v>
      </c>
      <c r="B27" s="204">
        <f>'Phase 2b Financial'!B60</f>
        <v>193917000</v>
      </c>
      <c r="C27" s="205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8"/>
      <c r="AW27" s="205"/>
      <c r="AX27" s="177"/>
    </row>
    <row r="28" spans="1:50" ht="14.65" thickBot="1">
      <c r="A28" s="484" t="s">
        <v>293</v>
      </c>
      <c r="B28" s="577">
        <f>B26+B27</f>
        <v>473450501.80000001</v>
      </c>
      <c r="C28" s="578"/>
      <c r="D28" s="497"/>
      <c r="E28" s="497"/>
      <c r="F28" s="497"/>
      <c r="G28" s="497"/>
      <c r="H28" s="497"/>
      <c r="I28" s="497"/>
      <c r="J28" s="497"/>
      <c r="K28" s="497"/>
      <c r="L28" s="497"/>
      <c r="M28" s="497"/>
      <c r="N28" s="497"/>
      <c r="O28" s="497"/>
      <c r="P28" s="497"/>
      <c r="Q28" s="497"/>
      <c r="R28" s="497"/>
      <c r="S28" s="497"/>
      <c r="T28" s="497"/>
      <c r="U28" s="497"/>
      <c r="V28" s="497"/>
      <c r="W28" s="497"/>
      <c r="X28" s="497"/>
      <c r="Y28" s="497"/>
      <c r="Z28" s="495"/>
      <c r="AA28" s="495"/>
      <c r="AB28" s="495"/>
      <c r="AC28" s="495"/>
      <c r="AD28" s="495"/>
      <c r="AE28" s="495"/>
      <c r="AF28" s="495"/>
      <c r="AG28" s="495"/>
      <c r="AH28" s="495"/>
      <c r="AI28" s="495"/>
      <c r="AJ28" s="495"/>
      <c r="AK28" s="495"/>
      <c r="AL28" s="495"/>
      <c r="AM28" s="495"/>
      <c r="AN28" s="495"/>
      <c r="AO28" s="495"/>
      <c r="AP28" s="495"/>
      <c r="AQ28" s="495"/>
      <c r="AR28" s="495"/>
      <c r="AS28" s="495"/>
      <c r="AT28" s="497"/>
      <c r="AU28" s="497"/>
      <c r="AV28" s="497"/>
      <c r="AW28" s="578"/>
      <c r="AX28" s="486"/>
    </row>
    <row r="29" spans="1:50">
      <c r="A29" s="186" t="s">
        <v>294</v>
      </c>
      <c r="B29" s="187">
        <f>SUM(C29:AV29)</f>
        <v>111813000</v>
      </c>
      <c r="C29" s="469">
        <f>C26</f>
        <v>0</v>
      </c>
      <c r="D29" s="469">
        <f t="shared" ref="D29:AB29" si="24">IF(C30+D26&lt;=$B$30,D26,($B$30-C30))</f>
        <v>0</v>
      </c>
      <c r="E29" s="469">
        <f t="shared" si="24"/>
        <v>0</v>
      </c>
      <c r="F29" s="469">
        <f t="shared" si="24"/>
        <v>0</v>
      </c>
      <c r="G29" s="469">
        <f t="shared" si="24"/>
        <v>0</v>
      </c>
      <c r="H29" s="469">
        <f t="shared" si="24"/>
        <v>0</v>
      </c>
      <c r="I29" s="469">
        <f t="shared" si="24"/>
        <v>0</v>
      </c>
      <c r="J29" s="469">
        <f t="shared" si="24"/>
        <v>0</v>
      </c>
      <c r="K29" s="469">
        <f t="shared" si="24"/>
        <v>956306</v>
      </c>
      <c r="L29" s="469">
        <f t="shared" si="24"/>
        <v>956306</v>
      </c>
      <c r="M29" s="469">
        <f t="shared" si="24"/>
        <v>956306</v>
      </c>
      <c r="N29" s="469">
        <f t="shared" si="24"/>
        <v>956306</v>
      </c>
      <c r="O29" s="469">
        <f t="shared" si="24"/>
        <v>956306</v>
      </c>
      <c r="P29" s="469">
        <f t="shared" si="24"/>
        <v>956306</v>
      </c>
      <c r="Q29" s="469">
        <f t="shared" si="24"/>
        <v>19790504.408</v>
      </c>
      <c r="R29" s="469">
        <f t="shared" si="24"/>
        <v>16476589.408</v>
      </c>
      <c r="S29" s="469">
        <f t="shared" si="24"/>
        <v>20757350.544</v>
      </c>
      <c r="T29" s="469">
        <f t="shared" si="24"/>
        <v>21427590.743999999</v>
      </c>
      <c r="U29" s="469">
        <f t="shared" si="24"/>
        <v>19821044.544</v>
      </c>
      <c r="V29" s="469">
        <f t="shared" si="24"/>
        <v>7802084.3519999981</v>
      </c>
      <c r="W29" s="469">
        <f t="shared" si="24"/>
        <v>0</v>
      </c>
      <c r="X29" s="469">
        <f t="shared" si="24"/>
        <v>0</v>
      </c>
      <c r="Y29" s="469">
        <f t="shared" si="24"/>
        <v>0</v>
      </c>
      <c r="Z29" s="469">
        <f t="shared" si="24"/>
        <v>0</v>
      </c>
      <c r="AA29" s="469">
        <f t="shared" si="24"/>
        <v>0</v>
      </c>
      <c r="AB29" s="469">
        <f t="shared" si="24"/>
        <v>0</v>
      </c>
      <c r="AC29" s="469"/>
      <c r="AD29" s="469"/>
      <c r="AE29" s="469"/>
      <c r="AF29" s="469"/>
      <c r="AG29" s="469"/>
      <c r="AH29" s="469"/>
      <c r="AI29" s="469"/>
      <c r="AJ29" s="469"/>
      <c r="AK29" s="469"/>
      <c r="AL29" s="469"/>
      <c r="AM29" s="469"/>
      <c r="AN29" s="469"/>
      <c r="AO29" s="469"/>
      <c r="AP29" s="469"/>
      <c r="AQ29" s="469"/>
      <c r="AR29" s="469"/>
      <c r="AS29" s="469"/>
      <c r="AT29" s="469"/>
      <c r="AU29" s="469"/>
      <c r="AV29" s="491"/>
      <c r="AW29" s="490"/>
      <c r="AX29" s="489"/>
    </row>
    <row r="30" spans="1:50" ht="14.65" thickBot="1">
      <c r="A30" s="466" t="s">
        <v>295</v>
      </c>
      <c r="B30" s="183">
        <f>'Phase 2b Financial'!B67</f>
        <v>111813000</v>
      </c>
      <c r="C30" s="469">
        <f>C29</f>
        <v>0</v>
      </c>
      <c r="D30" s="469">
        <f>IF(SUM($C$29:D29)&lt;=$B30,SUM($C$29:D29),0)</f>
        <v>0</v>
      </c>
      <c r="E30" s="469">
        <f>IF(SUM($C$29:E29)&lt;=$B30,SUM($C$29:E29),0)</f>
        <v>0</v>
      </c>
      <c r="F30" s="469">
        <f>IF(SUM($C$29:F29)&lt;=$B30,SUM($C$29:F29),0)</f>
        <v>0</v>
      </c>
      <c r="G30" s="469">
        <f>IF(SUM($C$29:G29)&lt;=$B30,SUM($C$29:G29),0)</f>
        <v>0</v>
      </c>
      <c r="H30" s="469">
        <f>IF(SUM($C$29:H29)&lt;=$B30,SUM($C$29:H29),0)</f>
        <v>0</v>
      </c>
      <c r="I30" s="469">
        <f>IF(SUM($C$29:I29)&lt;=$B30,SUM($C$29:I29),0)</f>
        <v>0</v>
      </c>
      <c r="J30" s="469">
        <f>IF(SUM($C$29:J29)&lt;=$B30,SUM($C$29:J29),0)</f>
        <v>0</v>
      </c>
      <c r="K30" s="469">
        <f>IF(SUM($C$29:K29)&lt;=$B30,SUM($C$29:K29),0)</f>
        <v>956306</v>
      </c>
      <c r="L30" s="469">
        <f>IF(SUM($C$29:L29)&lt;=$B30,SUM($C$29:L29),0)</f>
        <v>1912612</v>
      </c>
      <c r="M30" s="469">
        <f>IF(SUM($C$29:M29)&lt;=$B30,SUM($C$29:M29),0)</f>
        <v>2868918</v>
      </c>
      <c r="N30" s="469">
        <f>IF(SUM($C$29:N29)&lt;=$B30,SUM($C$29:N29),0)</f>
        <v>3825224</v>
      </c>
      <c r="O30" s="469">
        <f>IF(SUM($C$29:O29)&lt;=$B30,SUM($C$29:O29),0)</f>
        <v>4781530</v>
      </c>
      <c r="P30" s="469">
        <f>IF(SUM($C$29:P29)&lt;=$B30,SUM($C$29:P29),0)</f>
        <v>5737836</v>
      </c>
      <c r="Q30" s="469">
        <f>IF(SUM($C$29:Q29)&lt;=$B30,SUM($C$29:Q29),0)</f>
        <v>25528340.408</v>
      </c>
      <c r="R30" s="469">
        <f>IF(SUM($C$29:R29)&lt;=$B30,SUM($C$29:R29),0)</f>
        <v>42004929.816</v>
      </c>
      <c r="S30" s="469">
        <f>IF(SUM($C$29:S29)&lt;=$B30,SUM($C$29:S29),0)</f>
        <v>62762280.359999999</v>
      </c>
      <c r="T30" s="469">
        <f>IF(SUM($C$29:T29)&lt;=$B30,SUM($C$29:T29),0)</f>
        <v>84189871.104000002</v>
      </c>
      <c r="U30" s="469">
        <f>IF(SUM($C$29:U29)&lt;=$B30,SUM($C$29:U29),0)</f>
        <v>104010915.648</v>
      </c>
      <c r="V30" s="469">
        <f>IF(SUM($C$29:V29)&lt;=$B30,SUM($C$29:V29),0)</f>
        <v>111813000</v>
      </c>
      <c r="W30" s="469">
        <f>IF(SUM($C$29:W29)&lt;=$B30,SUM($C$29:W29),0)</f>
        <v>111813000</v>
      </c>
      <c r="X30" s="469">
        <f>IF(SUM($C$29:X29)&lt;=$B30,SUM($C$29:X29),0)</f>
        <v>111813000</v>
      </c>
      <c r="Y30" s="469">
        <f>IF(SUM($C$29:Y29)&lt;=$B30,SUM($C$29:Y29),0)</f>
        <v>111813000</v>
      </c>
      <c r="Z30" s="469">
        <f>IF(SUM($C$29:Z29)&lt;=$B30,SUM($C$29:Z29),0)</f>
        <v>111813000</v>
      </c>
      <c r="AA30" s="469">
        <f>IF(SUM($C$29:AA29)&lt;=$B30,SUM($C$29:AA29),0)</f>
        <v>111813000</v>
      </c>
      <c r="AB30" s="469">
        <f>IF(SUM($C$29:AB29)&lt;=$B30,SUM($C$29:AB29),0)</f>
        <v>111813000</v>
      </c>
      <c r="AC30" s="469"/>
      <c r="AD30" s="469"/>
      <c r="AE30" s="469"/>
      <c r="AF30" s="469"/>
      <c r="AG30" s="469"/>
      <c r="AH30" s="469"/>
      <c r="AI30" s="469"/>
      <c r="AJ30" s="469"/>
      <c r="AK30" s="469"/>
      <c r="AL30" s="469"/>
      <c r="AM30" s="469"/>
      <c r="AN30" s="469"/>
      <c r="AO30" s="469"/>
      <c r="AP30" s="469"/>
      <c r="AQ30" s="469"/>
      <c r="AR30" s="469"/>
      <c r="AS30" s="469"/>
      <c r="AT30" s="469"/>
      <c r="AU30" s="469"/>
      <c r="AV30" s="491"/>
      <c r="AW30" s="490"/>
      <c r="AX30" s="489"/>
    </row>
    <row r="31" spans="1:50">
      <c r="A31" s="184" t="s">
        <v>296</v>
      </c>
      <c r="B31" s="185">
        <f>'Phase 2b Financial'!B66</f>
        <v>167720000</v>
      </c>
      <c r="C31" s="490"/>
      <c r="D31" s="491"/>
      <c r="E31" s="491"/>
      <c r="F31" s="491"/>
      <c r="G31" s="491"/>
      <c r="H31" s="491"/>
      <c r="I31" s="491"/>
      <c r="J31" s="491"/>
      <c r="K31" s="491"/>
      <c r="L31" s="491"/>
      <c r="M31" s="491"/>
      <c r="N31" s="491"/>
      <c r="O31" s="491"/>
      <c r="P31" s="491"/>
      <c r="Q31" s="491"/>
      <c r="R31" s="491"/>
      <c r="S31" s="491"/>
      <c r="T31" s="491"/>
      <c r="U31" s="491"/>
      <c r="V31" s="491"/>
      <c r="W31" s="491"/>
      <c r="X31" s="491"/>
      <c r="Y31" s="491"/>
      <c r="Z31" s="491"/>
      <c r="AA31" s="491"/>
      <c r="AB31" s="491"/>
      <c r="AC31" s="491"/>
      <c r="AD31" s="491"/>
      <c r="AE31" s="491"/>
      <c r="AF31" s="491"/>
      <c r="AG31" s="491"/>
      <c r="AH31" s="491"/>
      <c r="AI31" s="491"/>
      <c r="AJ31" s="491"/>
      <c r="AK31" s="491"/>
      <c r="AL31" s="491"/>
      <c r="AM31" s="491"/>
      <c r="AN31" s="491"/>
      <c r="AO31" s="491"/>
      <c r="AP31" s="491"/>
      <c r="AQ31" s="491"/>
      <c r="AR31" s="491"/>
      <c r="AS31" s="491"/>
      <c r="AT31" s="491"/>
      <c r="AU31" s="491"/>
      <c r="AV31" s="491"/>
      <c r="AW31" s="490"/>
      <c r="AX31" s="489"/>
    </row>
    <row r="32" spans="1:50" ht="14.65" thickBot="1">
      <c r="A32" s="492" t="s">
        <v>297</v>
      </c>
      <c r="B32" s="493">
        <f>PMT(0.045,30,(B31))</f>
        <v>-10296589.576629242</v>
      </c>
      <c r="C32" s="490"/>
      <c r="D32" s="491"/>
      <c r="E32" s="491"/>
      <c r="F32" s="491"/>
      <c r="G32" s="491"/>
      <c r="H32" s="491"/>
      <c r="I32" s="491"/>
      <c r="J32" s="491"/>
      <c r="K32" s="491"/>
      <c r="L32" s="491"/>
      <c r="M32" s="491"/>
      <c r="N32" s="491"/>
      <c r="O32" s="491"/>
      <c r="P32" s="491"/>
      <c r="Q32" s="491"/>
      <c r="R32" s="491"/>
      <c r="S32" s="491"/>
      <c r="T32" s="491"/>
      <c r="U32" s="491"/>
      <c r="V32" s="491"/>
      <c r="W32" s="491"/>
      <c r="X32" s="491"/>
      <c r="Y32" s="491"/>
      <c r="Z32" s="491"/>
      <c r="AA32" s="491"/>
      <c r="AB32" s="491"/>
      <c r="AC32" s="491"/>
      <c r="AD32" s="491"/>
      <c r="AE32" s="491"/>
      <c r="AF32" s="491"/>
      <c r="AG32" s="491"/>
      <c r="AH32" s="491"/>
      <c r="AI32" s="491"/>
      <c r="AJ32" s="491"/>
      <c r="AK32" s="491"/>
      <c r="AL32" s="491"/>
      <c r="AM32" s="491"/>
      <c r="AN32" s="491"/>
      <c r="AO32" s="491"/>
      <c r="AP32" s="491"/>
      <c r="AQ32" s="491"/>
      <c r="AR32" s="491"/>
      <c r="AS32" s="491"/>
      <c r="AT32" s="491"/>
      <c r="AU32" s="491"/>
      <c r="AV32" s="491"/>
      <c r="AW32" s="490"/>
      <c r="AX32" s="489"/>
    </row>
    <row r="33" spans="1:50">
      <c r="A33" s="186" t="s">
        <v>298</v>
      </c>
      <c r="B33" s="187">
        <f>SUM(C33:AV33)</f>
        <v>0</v>
      </c>
      <c r="C33" s="469"/>
      <c r="D33" s="469"/>
      <c r="E33" s="469"/>
      <c r="F33" s="469"/>
      <c r="G33" s="469"/>
      <c r="H33" s="469"/>
      <c r="I33" s="469"/>
      <c r="J33" s="469"/>
      <c r="K33" s="469"/>
      <c r="L33" s="469"/>
      <c r="M33" s="469"/>
      <c r="N33" s="469"/>
      <c r="O33" s="469"/>
      <c r="P33" s="469"/>
      <c r="Q33" s="469"/>
      <c r="R33" s="469"/>
      <c r="S33" s="469"/>
      <c r="T33" s="469"/>
      <c r="U33" s="469"/>
      <c r="V33" s="469"/>
      <c r="W33" s="469"/>
      <c r="X33" s="469"/>
      <c r="Y33" s="469"/>
      <c r="Z33" s="469"/>
      <c r="AA33" s="469"/>
      <c r="AB33" s="469"/>
      <c r="AC33" s="469"/>
      <c r="AD33" s="469"/>
      <c r="AE33" s="469"/>
      <c r="AF33" s="469"/>
      <c r="AG33" s="469"/>
      <c r="AH33" s="469"/>
      <c r="AI33" s="469"/>
      <c r="AJ33" s="469"/>
      <c r="AK33" s="469"/>
      <c r="AL33" s="469"/>
      <c r="AM33" s="469"/>
      <c r="AN33" s="469"/>
      <c r="AO33" s="469"/>
      <c r="AP33" s="469"/>
      <c r="AQ33" s="469"/>
      <c r="AR33" s="469"/>
      <c r="AS33" s="318"/>
      <c r="AT33" s="318"/>
      <c r="AU33" s="318"/>
      <c r="AV33" s="495"/>
      <c r="AW33" s="497"/>
      <c r="AX33" s="489"/>
    </row>
    <row r="34" spans="1:50">
      <c r="A34" s="494" t="s">
        <v>299</v>
      </c>
      <c r="B34" s="187"/>
      <c r="C34" s="469"/>
      <c r="D34" s="469"/>
      <c r="E34" s="469"/>
      <c r="F34" s="469"/>
      <c r="G34" s="469"/>
      <c r="H34" s="469"/>
      <c r="I34" s="469"/>
      <c r="J34" s="469"/>
      <c r="K34" s="469"/>
      <c r="L34" s="469"/>
      <c r="M34" s="469"/>
      <c r="N34" s="469"/>
      <c r="O34" s="469"/>
      <c r="P34" s="469"/>
      <c r="Q34" s="469"/>
      <c r="R34" s="469"/>
      <c r="S34" s="469"/>
      <c r="T34" s="469"/>
      <c r="U34" s="469"/>
      <c r="V34" s="469"/>
      <c r="W34" s="469"/>
      <c r="X34" s="469"/>
      <c r="Y34" s="469"/>
      <c r="Z34" s="469"/>
      <c r="AA34" s="469"/>
      <c r="AB34" s="469"/>
      <c r="AC34" s="469"/>
      <c r="AD34" s="469"/>
      <c r="AE34" s="469"/>
      <c r="AF34" s="469"/>
      <c r="AG34" s="469"/>
      <c r="AH34" s="469"/>
      <c r="AI34" s="469"/>
      <c r="AJ34" s="469"/>
      <c r="AK34" s="469"/>
      <c r="AL34" s="469"/>
      <c r="AM34" s="469"/>
      <c r="AN34" s="469"/>
      <c r="AO34" s="469"/>
      <c r="AP34" s="469"/>
      <c r="AQ34" s="469"/>
      <c r="AR34" s="469"/>
      <c r="AS34" s="318"/>
      <c r="AT34" s="318"/>
      <c r="AU34" s="318"/>
      <c r="AV34" s="495"/>
      <c r="AW34" s="497"/>
      <c r="AX34" s="489"/>
    </row>
    <row r="35" spans="1:50" ht="14.65" thickBot="1">
      <c r="A35" s="487" t="s">
        <v>300</v>
      </c>
      <c r="B35" s="488">
        <f>'Phase 2b Financial'!B74+'Phase 2b Financial'!B75</f>
        <v>435456000</v>
      </c>
      <c r="C35" s="580"/>
      <c r="D35" s="611"/>
      <c r="E35" s="611"/>
      <c r="F35" s="611"/>
      <c r="G35" s="611"/>
      <c r="H35" s="611"/>
      <c r="I35" s="611"/>
      <c r="J35" s="611"/>
      <c r="K35" s="611"/>
      <c r="L35" s="611"/>
      <c r="M35" s="611"/>
      <c r="N35" s="611"/>
      <c r="O35" s="611"/>
      <c r="P35" s="611"/>
      <c r="Q35" s="611"/>
      <c r="R35" s="611"/>
      <c r="S35" s="611"/>
      <c r="T35" s="611"/>
      <c r="U35" s="611"/>
      <c r="V35" s="611"/>
      <c r="W35" s="611"/>
      <c r="X35" s="611"/>
      <c r="Y35" s="611"/>
      <c r="Z35" s="611"/>
      <c r="AA35" s="611"/>
      <c r="AB35" s="611"/>
      <c r="AC35" s="611"/>
      <c r="AD35" s="611"/>
      <c r="AE35" s="611"/>
      <c r="AF35" s="611"/>
      <c r="AG35" s="611"/>
      <c r="AH35" s="611"/>
      <c r="AI35" s="611"/>
      <c r="AJ35" s="611"/>
      <c r="AK35" s="611"/>
      <c r="AL35" s="611"/>
      <c r="AM35" s="611"/>
      <c r="AN35" s="611"/>
      <c r="AO35" s="611"/>
      <c r="AP35" s="611"/>
      <c r="AQ35" s="611"/>
      <c r="AR35" s="611"/>
      <c r="AS35" s="611"/>
      <c r="AT35" s="611"/>
      <c r="AU35" s="496"/>
      <c r="AV35" s="497"/>
      <c r="AW35" s="497"/>
      <c r="AX35" s="502"/>
    </row>
    <row r="36" spans="1:50">
      <c r="A36" s="487" t="s">
        <v>301</v>
      </c>
      <c r="B36" s="271">
        <f>SUM(C36:AU36)</f>
        <v>323643000</v>
      </c>
      <c r="C36" s="469">
        <f t="shared" ref="C36:AA36" si="25">-C29</f>
        <v>0</v>
      </c>
      <c r="D36" s="469">
        <f t="shared" si="25"/>
        <v>0</v>
      </c>
      <c r="E36" s="469">
        <f t="shared" si="25"/>
        <v>0</v>
      </c>
      <c r="F36" s="469">
        <f t="shared" si="25"/>
        <v>0</v>
      </c>
      <c r="G36" s="469">
        <f t="shared" si="25"/>
        <v>0</v>
      </c>
      <c r="H36" s="469">
        <f t="shared" si="25"/>
        <v>0</v>
      </c>
      <c r="I36" s="469">
        <f t="shared" si="25"/>
        <v>0</v>
      </c>
      <c r="J36" s="469">
        <f t="shared" si="25"/>
        <v>0</v>
      </c>
      <c r="K36" s="469">
        <f t="shared" si="25"/>
        <v>-956306</v>
      </c>
      <c r="L36" s="469">
        <f t="shared" si="25"/>
        <v>-956306</v>
      </c>
      <c r="M36" s="469">
        <f t="shared" si="25"/>
        <v>-956306</v>
      </c>
      <c r="N36" s="469">
        <f t="shared" si="25"/>
        <v>-956306</v>
      </c>
      <c r="O36" s="469">
        <f t="shared" si="25"/>
        <v>-956306</v>
      </c>
      <c r="P36" s="469">
        <f t="shared" si="25"/>
        <v>-956306</v>
      </c>
      <c r="Q36" s="469">
        <f t="shared" si="25"/>
        <v>-19790504.408</v>
      </c>
      <c r="R36" s="469">
        <f t="shared" si="25"/>
        <v>-16476589.408</v>
      </c>
      <c r="S36" s="469">
        <f t="shared" si="25"/>
        <v>-20757350.544</v>
      </c>
      <c r="T36" s="469">
        <f t="shared" si="25"/>
        <v>-21427590.743999999</v>
      </c>
      <c r="U36" s="469">
        <f t="shared" si="25"/>
        <v>-19821044.544</v>
      </c>
      <c r="V36" s="469">
        <f t="shared" si="25"/>
        <v>-7802084.3519999981</v>
      </c>
      <c r="W36" s="469">
        <f t="shared" si="25"/>
        <v>0</v>
      </c>
      <c r="X36" s="469">
        <f t="shared" si="25"/>
        <v>0</v>
      </c>
      <c r="Y36" s="469">
        <f t="shared" si="25"/>
        <v>0</v>
      </c>
      <c r="Z36" s="469">
        <f t="shared" si="25"/>
        <v>0</v>
      </c>
      <c r="AA36" s="469">
        <f t="shared" si="25"/>
        <v>0</v>
      </c>
      <c r="AB36" s="502">
        <f>B35</f>
        <v>435456000</v>
      </c>
      <c r="AC36" s="469"/>
      <c r="AD36" s="469"/>
      <c r="AE36" s="469"/>
      <c r="AF36" s="469"/>
      <c r="AG36" s="469"/>
      <c r="AH36" s="469"/>
      <c r="AI36" s="469"/>
      <c r="AJ36" s="469"/>
      <c r="AK36" s="469"/>
      <c r="AL36" s="469"/>
      <c r="AM36" s="469"/>
      <c r="AN36" s="469"/>
      <c r="AO36" s="469"/>
      <c r="AP36" s="469"/>
      <c r="AQ36" s="469"/>
      <c r="AR36" s="469"/>
      <c r="AS36" s="318"/>
      <c r="AT36" s="318"/>
      <c r="AU36" s="272"/>
      <c r="AV36" s="497"/>
      <c r="AW36" s="497"/>
      <c r="AX36" s="469"/>
    </row>
    <row r="37" spans="1:50">
      <c r="A37" s="487" t="s">
        <v>326</v>
      </c>
      <c r="B37" s="269">
        <f>IF(B36&lt;0,0,IRR(C36:AU36))</f>
        <v>0.15632311608559402</v>
      </c>
      <c r="C37" s="503"/>
      <c r="D37" s="503"/>
      <c r="E37" s="503"/>
      <c r="F37" s="503"/>
      <c r="G37" s="503"/>
      <c r="H37" s="503"/>
      <c r="I37" s="503"/>
      <c r="J37" s="503"/>
      <c r="K37" s="503"/>
      <c r="L37" s="503"/>
      <c r="M37" s="503"/>
      <c r="N37" s="503"/>
      <c r="O37" s="503"/>
      <c r="P37" s="503"/>
      <c r="Q37" s="503"/>
      <c r="R37" s="503"/>
      <c r="S37" s="503"/>
      <c r="T37" s="503"/>
      <c r="U37" s="503"/>
      <c r="V37" s="503"/>
      <c r="W37" s="503"/>
      <c r="X37" s="503"/>
      <c r="Y37" s="503"/>
      <c r="Z37" s="503"/>
      <c r="AA37" s="503"/>
      <c r="AB37" s="503"/>
      <c r="AC37" s="503"/>
      <c r="AD37" s="503"/>
      <c r="AE37" s="503"/>
      <c r="AF37" s="503"/>
      <c r="AG37" s="503"/>
      <c r="AH37" s="503"/>
      <c r="AI37" s="503"/>
      <c r="AJ37" s="503"/>
      <c r="AK37" s="503"/>
      <c r="AL37" s="503"/>
      <c r="AM37" s="503"/>
      <c r="AN37" s="503"/>
      <c r="AO37" s="503"/>
      <c r="AP37" s="503"/>
      <c r="AQ37" s="503"/>
      <c r="AR37" s="503"/>
      <c r="AS37" s="503"/>
      <c r="AT37" s="503"/>
      <c r="AU37" s="193"/>
      <c r="AV37" s="497"/>
      <c r="AW37" s="497"/>
      <c r="AX37" s="504"/>
    </row>
    <row r="38" spans="1:50">
      <c r="A38" s="477" t="s">
        <v>303</v>
      </c>
      <c r="B38" s="505">
        <f>POWER((1+B37),4)-1</f>
        <v>0.78779134678860552</v>
      </c>
      <c r="C38" s="497"/>
      <c r="D38" s="497"/>
      <c r="E38" s="506"/>
      <c r="F38" s="506"/>
      <c r="G38" s="506"/>
      <c r="H38" s="506"/>
      <c r="I38" s="506"/>
      <c r="J38" s="506"/>
      <c r="K38" s="506"/>
      <c r="L38" s="506"/>
      <c r="M38" s="506"/>
      <c r="N38" s="506"/>
      <c r="O38" s="506"/>
      <c r="P38" s="507"/>
      <c r="Q38" s="506"/>
      <c r="R38" s="506"/>
      <c r="S38" s="506"/>
      <c r="T38" s="506"/>
      <c r="U38" s="506"/>
      <c r="V38" s="507"/>
      <c r="W38" s="506"/>
      <c r="X38" s="506"/>
      <c r="Y38" s="506"/>
      <c r="Z38" s="506"/>
      <c r="AA38" s="506"/>
      <c r="AB38" s="506"/>
      <c r="AC38" s="506"/>
      <c r="AD38" s="506"/>
      <c r="AE38" s="506"/>
      <c r="AF38" s="506"/>
      <c r="AG38" s="506"/>
      <c r="AH38" s="506"/>
      <c r="AI38" s="506"/>
      <c r="AJ38" s="506"/>
      <c r="AK38" s="506"/>
      <c r="AL38" s="506"/>
      <c r="AM38" s="506"/>
      <c r="AN38" s="506"/>
      <c r="AO38" s="506"/>
      <c r="AP38" s="506"/>
      <c r="AQ38" s="506"/>
      <c r="AR38" s="506"/>
      <c r="AS38" s="506"/>
      <c r="AT38" s="506"/>
      <c r="AU38" s="166"/>
      <c r="AV38" s="497"/>
      <c r="AW38" s="506"/>
      <c r="AX38" s="508"/>
    </row>
    <row r="39" spans="1:50">
      <c r="A39" s="509" t="s">
        <v>304</v>
      </c>
      <c r="B39" s="188"/>
      <c r="C39" s="497"/>
      <c r="D39" s="497"/>
      <c r="E39" s="497"/>
      <c r="F39" s="497"/>
      <c r="G39" s="497"/>
      <c r="H39" s="497"/>
      <c r="I39" s="497"/>
      <c r="J39" s="497"/>
      <c r="K39" s="497"/>
      <c r="L39" s="497"/>
      <c r="M39" s="497"/>
      <c r="N39" s="497"/>
      <c r="O39" s="497"/>
      <c r="P39" s="497"/>
      <c r="Q39" s="497"/>
      <c r="R39" s="497"/>
      <c r="S39" s="497"/>
      <c r="T39" s="497"/>
      <c r="U39" s="497"/>
      <c r="V39" s="497"/>
      <c r="W39" s="497"/>
      <c r="X39" s="497"/>
      <c r="Y39" s="497"/>
      <c r="Z39" s="497"/>
      <c r="AA39" s="497"/>
      <c r="AB39" s="497"/>
      <c r="AC39" s="497"/>
      <c r="AD39" s="497"/>
      <c r="AE39" s="497"/>
      <c r="AF39" s="497"/>
      <c r="AG39" s="497"/>
      <c r="AH39" s="497"/>
      <c r="AI39" s="497"/>
      <c r="AJ39" s="497"/>
      <c r="AK39" s="497"/>
      <c r="AL39" s="497"/>
      <c r="AM39" s="497"/>
      <c r="AN39" s="497"/>
      <c r="AO39" s="497"/>
      <c r="AP39" s="497"/>
      <c r="AQ39" s="497"/>
      <c r="AR39" s="497"/>
      <c r="AS39" s="497"/>
      <c r="AT39" s="497"/>
      <c r="AU39" s="188"/>
      <c r="AV39" s="497"/>
      <c r="AW39" s="497"/>
      <c r="AX39" s="477"/>
    </row>
    <row r="40" spans="1:50">
      <c r="A40" s="487" t="s">
        <v>305</v>
      </c>
      <c r="B40" s="233">
        <f>'Phase 2b Financial'!B74-B27</f>
        <v>409259000</v>
      </c>
      <c r="C40" s="497"/>
      <c r="D40" s="497"/>
      <c r="E40" s="497"/>
      <c r="F40" s="497"/>
      <c r="G40" s="497"/>
      <c r="H40" s="497"/>
      <c r="I40" s="497"/>
      <c r="J40" s="497"/>
      <c r="K40" s="497"/>
      <c r="L40" s="497"/>
      <c r="M40" s="491"/>
      <c r="N40" s="497"/>
      <c r="O40" s="497"/>
      <c r="P40" s="497"/>
      <c r="Q40" s="497"/>
      <c r="R40" s="497"/>
      <c r="S40" s="491"/>
      <c r="T40" s="497"/>
      <c r="U40" s="497"/>
      <c r="V40" s="497"/>
      <c r="W40" s="497"/>
      <c r="X40" s="497"/>
      <c r="Y40" s="497"/>
      <c r="Z40" s="497"/>
      <c r="AA40" s="497"/>
      <c r="AB40" s="497"/>
      <c r="AC40" s="497"/>
      <c r="AD40" s="497"/>
      <c r="AE40" s="497"/>
      <c r="AF40" s="497"/>
      <c r="AG40" s="497"/>
      <c r="AH40" s="497"/>
      <c r="AI40" s="497"/>
      <c r="AJ40" s="497"/>
      <c r="AK40" s="497"/>
      <c r="AL40" s="497"/>
      <c r="AM40" s="497"/>
      <c r="AN40" s="497"/>
      <c r="AO40" s="497"/>
      <c r="AP40" s="497"/>
      <c r="AQ40" s="497"/>
      <c r="AR40" s="497"/>
      <c r="AS40" s="497"/>
      <c r="AT40" s="497"/>
      <c r="AU40" s="188"/>
      <c r="AV40" s="477"/>
      <c r="AW40" s="497"/>
      <c r="AX40" s="477"/>
    </row>
    <row r="41" spans="1:50">
      <c r="A41" s="487" t="s">
        <v>306</v>
      </c>
      <c r="B41" s="271">
        <f>SUM(C41:AU41)</f>
        <v>-245768397.78000003</v>
      </c>
      <c r="C41" s="469">
        <f>-C26</f>
        <v>0</v>
      </c>
      <c r="D41" s="469">
        <f t="shared" ref="D41:AL41" si="26">-D26</f>
        <v>0</v>
      </c>
      <c r="E41" s="469">
        <f t="shared" si="26"/>
        <v>0</v>
      </c>
      <c r="F41" s="469">
        <f t="shared" si="26"/>
        <v>0</v>
      </c>
      <c r="G41" s="469">
        <f t="shared" si="26"/>
        <v>0</v>
      </c>
      <c r="H41" s="469">
        <f t="shared" si="26"/>
        <v>0</v>
      </c>
      <c r="I41" s="469">
        <f t="shared" si="26"/>
        <v>0</v>
      </c>
      <c r="J41" s="469">
        <f t="shared" si="26"/>
        <v>0</v>
      </c>
      <c r="K41" s="469">
        <f t="shared" si="26"/>
        <v>-956306</v>
      </c>
      <c r="L41" s="469">
        <f t="shared" si="26"/>
        <v>-956306</v>
      </c>
      <c r="M41" s="469">
        <f t="shared" si="26"/>
        <v>-956306</v>
      </c>
      <c r="N41" s="469">
        <f t="shared" si="26"/>
        <v>-956306</v>
      </c>
      <c r="O41" s="469">
        <f t="shared" si="26"/>
        <v>-956306</v>
      </c>
      <c r="P41" s="469">
        <f t="shared" si="26"/>
        <v>-956306</v>
      </c>
      <c r="Q41" s="469">
        <f t="shared" si="26"/>
        <v>-19790504.408</v>
      </c>
      <c r="R41" s="469">
        <f t="shared" si="26"/>
        <v>-16476589.408</v>
      </c>
      <c r="S41" s="469">
        <f t="shared" si="26"/>
        <v>-20757350.544</v>
      </c>
      <c r="T41" s="469">
        <f t="shared" si="26"/>
        <v>-21427590.743999999</v>
      </c>
      <c r="U41" s="469">
        <f t="shared" si="26"/>
        <v>-19821044.544</v>
      </c>
      <c r="V41" s="469">
        <f t="shared" si="26"/>
        <v>-19821044.544</v>
      </c>
      <c r="W41" s="469">
        <f t="shared" si="26"/>
        <v>-19821044.544</v>
      </c>
      <c r="X41" s="469">
        <f t="shared" si="26"/>
        <v>-21784111.544</v>
      </c>
      <c r="Y41" s="469">
        <f t="shared" si="26"/>
        <v>-19843187</v>
      </c>
      <c r="Z41" s="469">
        <f>-Z26</f>
        <v>-19976520.333333332</v>
      </c>
      <c r="AA41" s="469">
        <f t="shared" si="26"/>
        <v>-19976520.333333332</v>
      </c>
      <c r="AB41" s="469">
        <f t="shared" si="26"/>
        <v>-20535053.833333332</v>
      </c>
      <c r="AC41" s="469">
        <f t="shared" si="26"/>
        <v>0</v>
      </c>
      <c r="AD41" s="469">
        <f t="shared" si="26"/>
        <v>0</v>
      </c>
      <c r="AE41" s="469">
        <f t="shared" si="26"/>
        <v>0</v>
      </c>
      <c r="AF41" s="469">
        <f t="shared" si="26"/>
        <v>0</v>
      </c>
      <c r="AG41" s="469">
        <f t="shared" si="26"/>
        <v>0</v>
      </c>
      <c r="AH41" s="469">
        <f t="shared" si="26"/>
        <v>0</v>
      </c>
      <c r="AI41" s="469">
        <f t="shared" si="26"/>
        <v>0</v>
      </c>
      <c r="AJ41" s="469">
        <f t="shared" si="26"/>
        <v>0</v>
      </c>
      <c r="AK41" s="469">
        <f t="shared" si="26"/>
        <v>0</v>
      </c>
      <c r="AL41" s="469">
        <f t="shared" si="26"/>
        <v>0</v>
      </c>
      <c r="AM41" s="469"/>
      <c r="AN41" s="469"/>
      <c r="AO41" s="469"/>
      <c r="AP41" s="469"/>
      <c r="AQ41" s="469"/>
      <c r="AR41" s="469"/>
      <c r="AS41" s="469">
        <f t="shared" ref="AS41:AU41" si="27">IF(AS30&gt;=$B$30,-(AS26+AS36),AS36)</f>
        <v>0</v>
      </c>
      <c r="AT41" s="469">
        <f t="shared" si="27"/>
        <v>0</v>
      </c>
      <c r="AU41" s="489">
        <f t="shared" si="27"/>
        <v>0</v>
      </c>
      <c r="AV41" s="477"/>
      <c r="AW41" s="477"/>
      <c r="AX41" s="477"/>
    </row>
    <row r="42" spans="1:50">
      <c r="A42" s="487" t="s">
        <v>307</v>
      </c>
      <c r="B42" s="269">
        <f>IF(B41&lt;0,0,IRR(C41:AU41))</f>
        <v>0</v>
      </c>
      <c r="C42" s="497"/>
      <c r="D42" s="497"/>
      <c r="E42" s="497"/>
      <c r="F42" s="497"/>
      <c r="G42" s="497"/>
      <c r="H42" s="497"/>
      <c r="I42" s="497"/>
      <c r="J42" s="497"/>
      <c r="K42" s="497"/>
      <c r="L42" s="497"/>
      <c r="M42" s="497"/>
      <c r="N42" s="497"/>
      <c r="O42" s="497"/>
      <c r="P42" s="497"/>
      <c r="Q42" s="497"/>
      <c r="R42" s="497"/>
      <c r="S42" s="497"/>
      <c r="T42" s="497"/>
      <c r="U42" s="497"/>
      <c r="V42" s="497"/>
      <c r="W42" s="497"/>
      <c r="X42" s="497"/>
      <c r="Y42" s="497"/>
      <c r="Z42" s="497"/>
      <c r="AA42" s="497"/>
      <c r="AB42" s="497"/>
      <c r="AC42" s="497"/>
      <c r="AD42" s="497"/>
      <c r="AE42" s="497"/>
      <c r="AF42" s="497"/>
      <c r="AG42" s="497"/>
      <c r="AH42" s="497"/>
      <c r="AI42" s="497"/>
      <c r="AJ42" s="497"/>
      <c r="AK42" s="497"/>
      <c r="AL42" s="497"/>
      <c r="AM42" s="497"/>
      <c r="AN42" s="497"/>
      <c r="AO42" s="497"/>
      <c r="AP42" s="497"/>
      <c r="AQ42" s="497"/>
      <c r="AR42" s="497"/>
      <c r="AS42" s="497"/>
      <c r="AT42" s="497"/>
      <c r="AU42" s="188"/>
      <c r="AV42" s="497"/>
      <c r="AW42" s="497"/>
      <c r="AX42" s="477"/>
    </row>
    <row r="43" spans="1:50">
      <c r="A43" s="477" t="s">
        <v>308</v>
      </c>
      <c r="B43" s="505">
        <f>POWER((1+B42),4)-1</f>
        <v>0</v>
      </c>
      <c r="C43" s="497"/>
      <c r="D43" s="497"/>
      <c r="E43" s="497"/>
      <c r="F43" s="497"/>
      <c r="G43" s="497"/>
      <c r="H43" s="497"/>
      <c r="I43" s="497"/>
      <c r="J43" s="497"/>
      <c r="K43" s="497"/>
      <c r="L43" s="497"/>
      <c r="M43" s="497"/>
      <c r="N43" s="497"/>
      <c r="O43" s="497"/>
      <c r="P43" s="497"/>
      <c r="Q43" s="497"/>
      <c r="R43" s="497"/>
      <c r="S43" s="497"/>
      <c r="T43" s="497"/>
      <c r="U43" s="497"/>
      <c r="V43" s="497"/>
      <c r="W43" s="497"/>
      <c r="X43" s="497"/>
      <c r="Y43" s="497"/>
      <c r="Z43" s="497"/>
      <c r="AA43" s="497"/>
      <c r="AB43" s="497"/>
      <c r="AC43" s="497"/>
      <c r="AD43" s="497"/>
      <c r="AE43" s="497"/>
      <c r="AF43" s="497"/>
      <c r="AG43" s="497"/>
      <c r="AH43" s="497"/>
      <c r="AI43" s="497"/>
      <c r="AJ43" s="497"/>
      <c r="AK43" s="497"/>
      <c r="AL43" s="497"/>
      <c r="AM43" s="497"/>
      <c r="AN43" s="497"/>
      <c r="AO43" s="497"/>
      <c r="AP43" s="497"/>
      <c r="AQ43" s="497"/>
      <c r="AR43" s="497"/>
      <c r="AS43" s="497"/>
      <c r="AT43" s="497"/>
      <c r="AU43" s="188"/>
      <c r="AV43" s="497"/>
      <c r="AW43" s="497"/>
      <c r="AX43" s="477"/>
    </row>
    <row r="44" spans="1:50">
      <c r="G44" s="37"/>
      <c r="AB44" s="37"/>
      <c r="AE44" s="37"/>
      <c r="AU44" s="37"/>
    </row>
    <row r="45" spans="1:50">
      <c r="G45" s="37"/>
      <c r="AB45" s="37"/>
      <c r="AE45" s="37"/>
      <c r="AU45" s="37"/>
    </row>
    <row r="46" spans="1:50">
      <c r="G46" s="37"/>
      <c r="AB46" s="37"/>
      <c r="AE46" s="37"/>
      <c r="AU46" s="37"/>
    </row>
    <row r="47" spans="1:50">
      <c r="G47" s="37"/>
      <c r="AB47" s="37"/>
      <c r="AE47" s="37"/>
      <c r="AU47" s="37"/>
    </row>
    <row r="48" spans="1:50">
      <c r="G48" s="37"/>
      <c r="AB48" s="37"/>
      <c r="AE48" s="37"/>
      <c r="AU48" s="37"/>
    </row>
    <row r="49" spans="7:47">
      <c r="G49" s="37"/>
      <c r="AB49" s="37"/>
      <c r="AE49" s="37"/>
      <c r="AU49" s="37"/>
    </row>
    <row r="50" spans="7:47">
      <c r="G50" s="37"/>
      <c r="AB50" s="37"/>
      <c r="AE50" s="37"/>
      <c r="AU50" s="37"/>
    </row>
    <row r="51" spans="7:47">
      <c r="G51" s="37"/>
    </row>
    <row r="52" spans="7:47">
      <c r="G52" s="37"/>
    </row>
    <row r="53" spans="7:47">
      <c r="G53" s="37"/>
    </row>
    <row r="54" spans="7:47">
      <c r="G54" s="37"/>
    </row>
    <row r="55" spans="7:47">
      <c r="G55" s="37"/>
    </row>
    <row r="56" spans="7:47">
      <c r="G56" s="37"/>
    </row>
    <row r="57" spans="7:47">
      <c r="G57" s="37"/>
    </row>
    <row r="58" spans="7:47">
      <c r="G58" s="37"/>
    </row>
    <row r="59" spans="7:47">
      <c r="G59" s="37"/>
    </row>
    <row r="60" spans="7:47">
      <c r="G60" s="37"/>
    </row>
    <row r="61" spans="7:47">
      <c r="G61" s="37"/>
    </row>
    <row r="62" spans="7:47">
      <c r="G62" s="37"/>
    </row>
    <row r="63" spans="7:47">
      <c r="G63" s="37"/>
    </row>
    <row r="64" spans="7:47">
      <c r="G64" s="37"/>
    </row>
    <row r="65" spans="7:7">
      <c r="G65" s="37"/>
    </row>
    <row r="66" spans="7:7">
      <c r="G66" s="37"/>
    </row>
    <row r="67" spans="7:7">
      <c r="G67" s="37"/>
    </row>
    <row r="68" spans="7:7">
      <c r="G68" s="37"/>
    </row>
    <row r="69" spans="7:7">
      <c r="G69" s="37"/>
    </row>
    <row r="70" spans="7:7">
      <c r="G70" s="37"/>
    </row>
    <row r="71" spans="7:7">
      <c r="G71" s="37"/>
    </row>
    <row r="72" spans="7:7">
      <c r="G72" s="37"/>
    </row>
    <row r="73" spans="7:7">
      <c r="G73" s="37"/>
    </row>
    <row r="74" spans="7:7">
      <c r="G74" s="37"/>
    </row>
    <row r="75" spans="7:7">
      <c r="G75" s="37"/>
    </row>
    <row r="76" spans="7:7">
      <c r="G76" s="37"/>
    </row>
    <row r="77" spans="7:7">
      <c r="G77" s="37"/>
    </row>
    <row r="78" spans="7:7">
      <c r="G78" s="37"/>
    </row>
    <row r="79" spans="7:7">
      <c r="G79" s="37"/>
    </row>
    <row r="80" spans="7:7">
      <c r="G80" s="37"/>
    </row>
    <row r="81" spans="7:7">
      <c r="G81" s="37"/>
    </row>
    <row r="82" spans="7:7">
      <c r="G82" s="37"/>
    </row>
    <row r="83" spans="7:7">
      <c r="G83" s="37"/>
    </row>
    <row r="84" spans="7:7">
      <c r="G84" s="37"/>
    </row>
    <row r="85" spans="7:7">
      <c r="G85" s="37"/>
    </row>
    <row r="86" spans="7:7">
      <c r="G86" s="37"/>
    </row>
    <row r="87" spans="7:7">
      <c r="G87" s="37"/>
    </row>
    <row r="88" spans="7:7">
      <c r="G88" s="37"/>
    </row>
    <row r="89" spans="7:7">
      <c r="G89" s="37"/>
    </row>
    <row r="90" spans="7:7">
      <c r="G90" s="37"/>
    </row>
    <row r="91" spans="7:7">
      <c r="G91" s="37"/>
    </row>
    <row r="92" spans="7:7">
      <c r="G92" s="37"/>
    </row>
    <row r="93" spans="7:7">
      <c r="G93" s="37"/>
    </row>
    <row r="94" spans="7:7">
      <c r="G94" s="37"/>
    </row>
    <row r="95" spans="7:7">
      <c r="G95" s="37"/>
    </row>
    <row r="96" spans="7:7">
      <c r="G96" s="37"/>
    </row>
    <row r="97" spans="7:7">
      <c r="G97" s="37"/>
    </row>
    <row r="98" spans="7:7">
      <c r="G98" s="37"/>
    </row>
    <row r="99" spans="7:7">
      <c r="G99" s="37"/>
    </row>
    <row r="100" spans="7:7">
      <c r="G100" s="37"/>
    </row>
    <row r="101" spans="7:7">
      <c r="G101" s="37"/>
    </row>
    <row r="102" spans="7:7">
      <c r="G102" s="37"/>
    </row>
    <row r="103" spans="7:7">
      <c r="G103" s="37"/>
    </row>
    <row r="104" spans="7:7">
      <c r="G104" s="37"/>
    </row>
    <row r="105" spans="7:7">
      <c r="G105" s="37"/>
    </row>
    <row r="106" spans="7:7">
      <c r="G106" s="37"/>
    </row>
    <row r="107" spans="7:7">
      <c r="G107" s="37"/>
    </row>
    <row r="108" spans="7:7">
      <c r="G108" s="37"/>
    </row>
    <row r="109" spans="7:7">
      <c r="G109" s="37"/>
    </row>
    <row r="110" spans="7:7">
      <c r="G110" s="37"/>
    </row>
    <row r="111" spans="7:7">
      <c r="G111" s="37"/>
    </row>
    <row r="112" spans="7:7">
      <c r="G112" s="37"/>
    </row>
    <row r="113" spans="7:7">
      <c r="G113" s="37"/>
    </row>
    <row r="114" spans="7:7">
      <c r="G114" s="37"/>
    </row>
    <row r="115" spans="7:7">
      <c r="G115" s="37"/>
    </row>
    <row r="116" spans="7:7">
      <c r="G116" s="37"/>
    </row>
    <row r="117" spans="7:7">
      <c r="G117" s="37"/>
    </row>
    <row r="118" spans="7:7">
      <c r="G118" s="37"/>
    </row>
    <row r="119" spans="7:7">
      <c r="G119" s="37"/>
    </row>
    <row r="120" spans="7:7">
      <c r="G120" s="37"/>
    </row>
    <row r="121" spans="7:7">
      <c r="G121" s="37"/>
    </row>
    <row r="122" spans="7:7">
      <c r="G122" s="37"/>
    </row>
    <row r="123" spans="7:7">
      <c r="G123" s="37"/>
    </row>
    <row r="124" spans="7:7">
      <c r="G124" s="37"/>
    </row>
    <row r="125" spans="7:7">
      <c r="G125" s="37"/>
    </row>
    <row r="126" spans="7:7">
      <c r="G126" s="37"/>
    </row>
    <row r="127" spans="7:7">
      <c r="G127" s="37"/>
    </row>
    <row r="128" spans="7:7">
      <c r="G128" s="37"/>
    </row>
    <row r="129" spans="7:7">
      <c r="G129" s="37"/>
    </row>
    <row r="130" spans="7:7">
      <c r="G130" s="37"/>
    </row>
    <row r="131" spans="7:7">
      <c r="G131" s="37"/>
    </row>
    <row r="132" spans="7:7">
      <c r="G132" s="37"/>
    </row>
    <row r="133" spans="7:7">
      <c r="G133" s="37"/>
    </row>
    <row r="134" spans="7:7">
      <c r="G134" s="37"/>
    </row>
    <row r="135" spans="7:7">
      <c r="G135" s="37"/>
    </row>
    <row r="136" spans="7:7">
      <c r="G136" s="37"/>
    </row>
    <row r="137" spans="7:7">
      <c r="G137" s="37"/>
    </row>
    <row r="138" spans="7:7">
      <c r="G138" s="37"/>
    </row>
    <row r="139" spans="7:7">
      <c r="G139" s="37"/>
    </row>
    <row r="140" spans="7:7">
      <c r="G140" s="37"/>
    </row>
    <row r="141" spans="7:7">
      <c r="G141" s="37"/>
    </row>
    <row r="142" spans="7:7">
      <c r="G142" s="37"/>
    </row>
    <row r="143" spans="7:7">
      <c r="G143" s="37"/>
    </row>
    <row r="144" spans="7:7">
      <c r="G144" s="37"/>
    </row>
    <row r="145" spans="7:7">
      <c r="G145" s="37"/>
    </row>
    <row r="146" spans="7:7">
      <c r="G146" s="37"/>
    </row>
    <row r="147" spans="7:7">
      <c r="G147" s="37"/>
    </row>
    <row r="148" spans="7:7">
      <c r="G148" s="37"/>
    </row>
    <row r="149" spans="7:7">
      <c r="G149" s="37"/>
    </row>
    <row r="150" spans="7:7">
      <c r="G150" s="37"/>
    </row>
    <row r="151" spans="7:7">
      <c r="G151" s="37"/>
    </row>
    <row r="152" spans="7:7">
      <c r="G152" s="37"/>
    </row>
    <row r="153" spans="7:7">
      <c r="G153" s="37"/>
    </row>
    <row r="154" spans="7:7">
      <c r="G154" s="37"/>
    </row>
    <row r="155" spans="7:7">
      <c r="G155" s="37"/>
    </row>
    <row r="156" spans="7:7">
      <c r="G156" s="37"/>
    </row>
    <row r="157" spans="7:7">
      <c r="G157" s="37"/>
    </row>
    <row r="158" spans="7:7">
      <c r="G158" s="37"/>
    </row>
    <row r="159" spans="7:7">
      <c r="G159" s="37"/>
    </row>
    <row r="160" spans="7:7">
      <c r="G160" s="37"/>
    </row>
    <row r="161" spans="7:7">
      <c r="G161" s="37"/>
    </row>
    <row r="162" spans="7:7">
      <c r="G162" s="37"/>
    </row>
    <row r="163" spans="7:7">
      <c r="G163" s="37"/>
    </row>
    <row r="164" spans="7:7">
      <c r="G164" s="37"/>
    </row>
    <row r="165" spans="7:7">
      <c r="G165" s="37"/>
    </row>
    <row r="166" spans="7:7">
      <c r="G166" s="37"/>
    </row>
    <row r="167" spans="7:7">
      <c r="G167" s="37"/>
    </row>
    <row r="168" spans="7:7">
      <c r="G168" s="37"/>
    </row>
    <row r="169" spans="7:7">
      <c r="G169" s="37"/>
    </row>
    <row r="170" spans="7:7">
      <c r="G170" s="37"/>
    </row>
    <row r="171" spans="7:7">
      <c r="G171" s="37"/>
    </row>
    <row r="172" spans="7:7">
      <c r="G172" s="37"/>
    </row>
    <row r="173" spans="7:7">
      <c r="G173" s="37"/>
    </row>
    <row r="174" spans="7:7">
      <c r="G174" s="37"/>
    </row>
    <row r="175" spans="7:7">
      <c r="G175" s="37"/>
    </row>
    <row r="176" spans="7:7">
      <c r="G176" s="37"/>
    </row>
    <row r="177" spans="7:7">
      <c r="G177" s="37"/>
    </row>
    <row r="178" spans="7:7">
      <c r="G178" s="37"/>
    </row>
    <row r="179" spans="7:7">
      <c r="G179" s="37"/>
    </row>
    <row r="180" spans="7:7">
      <c r="G180" s="37"/>
    </row>
    <row r="181" spans="7:7">
      <c r="G181" s="37"/>
    </row>
    <row r="182" spans="7:7">
      <c r="G182" s="37"/>
    </row>
    <row r="183" spans="7:7">
      <c r="G183" s="37"/>
    </row>
    <row r="184" spans="7:7">
      <c r="G184" s="37"/>
    </row>
    <row r="185" spans="7:7">
      <c r="G185" s="37"/>
    </row>
    <row r="186" spans="7:7">
      <c r="G186" s="37"/>
    </row>
    <row r="187" spans="7:7">
      <c r="G187" s="37"/>
    </row>
    <row r="188" spans="7:7">
      <c r="G188" s="37"/>
    </row>
    <row r="189" spans="7:7">
      <c r="G189" s="37"/>
    </row>
    <row r="190" spans="7:7">
      <c r="G190" s="37"/>
    </row>
    <row r="191" spans="7:7">
      <c r="G191" s="37"/>
    </row>
    <row r="192" spans="7:7">
      <c r="G192" s="37"/>
    </row>
    <row r="193" spans="7:7">
      <c r="G193" s="37"/>
    </row>
    <row r="194" spans="7:7">
      <c r="G194" s="37"/>
    </row>
    <row r="195" spans="7:7">
      <c r="G195" s="37"/>
    </row>
    <row r="196" spans="7:7">
      <c r="G196" s="37"/>
    </row>
    <row r="197" spans="7:7">
      <c r="G197" s="37"/>
    </row>
    <row r="198" spans="7:7">
      <c r="G198" s="37"/>
    </row>
    <row r="199" spans="7:7">
      <c r="G199" s="37"/>
    </row>
    <row r="200" spans="7:7">
      <c r="G200" s="37"/>
    </row>
    <row r="201" spans="7:7">
      <c r="G201" s="37"/>
    </row>
    <row r="202" spans="7:7">
      <c r="G202" s="37"/>
    </row>
    <row r="203" spans="7:7">
      <c r="G203" s="37"/>
    </row>
    <row r="204" spans="7:7">
      <c r="G204" s="37"/>
    </row>
    <row r="205" spans="7:7">
      <c r="G205" s="37"/>
    </row>
    <row r="206" spans="7:7">
      <c r="G206" s="37"/>
    </row>
    <row r="207" spans="7:7">
      <c r="G207" s="37"/>
    </row>
    <row r="208" spans="7:7">
      <c r="G208" s="37"/>
    </row>
    <row r="209" spans="7:7">
      <c r="G209" s="37"/>
    </row>
    <row r="210" spans="7:7">
      <c r="G210" s="37"/>
    </row>
    <row r="211" spans="7:7">
      <c r="G211" s="37"/>
    </row>
    <row r="212" spans="7:7">
      <c r="G212" s="37"/>
    </row>
    <row r="213" spans="7:7">
      <c r="G213" s="37"/>
    </row>
    <row r="214" spans="7:7">
      <c r="G214" s="37"/>
    </row>
    <row r="215" spans="7:7">
      <c r="G215" s="37"/>
    </row>
    <row r="216" spans="7:7">
      <c r="G216" s="37"/>
    </row>
    <row r="217" spans="7:7">
      <c r="G217" s="37"/>
    </row>
    <row r="218" spans="7:7">
      <c r="G218" s="37"/>
    </row>
    <row r="219" spans="7:7">
      <c r="G219" s="37"/>
    </row>
    <row r="220" spans="7:7">
      <c r="G220" s="37"/>
    </row>
    <row r="221" spans="7:7">
      <c r="G221" s="37"/>
    </row>
    <row r="222" spans="7:7">
      <c r="G222" s="37"/>
    </row>
    <row r="223" spans="7:7">
      <c r="G223" s="37"/>
    </row>
    <row r="224" spans="7:7">
      <c r="G224" s="37"/>
    </row>
    <row r="225" spans="7:7">
      <c r="G225" s="37"/>
    </row>
    <row r="226" spans="7:7">
      <c r="G226" s="37"/>
    </row>
    <row r="227" spans="7:7">
      <c r="G227" s="37"/>
    </row>
    <row r="228" spans="7:7">
      <c r="G228" s="37"/>
    </row>
    <row r="229" spans="7:7">
      <c r="G229" s="37"/>
    </row>
    <row r="230" spans="7:7">
      <c r="G230" s="37"/>
    </row>
    <row r="231" spans="7:7">
      <c r="G231" s="37"/>
    </row>
    <row r="232" spans="7:7">
      <c r="G232" s="37"/>
    </row>
    <row r="233" spans="7:7">
      <c r="G233" s="37"/>
    </row>
    <row r="234" spans="7:7">
      <c r="G234" s="37"/>
    </row>
    <row r="235" spans="7:7">
      <c r="G235" s="37"/>
    </row>
    <row r="236" spans="7:7">
      <c r="G236" s="37"/>
    </row>
    <row r="237" spans="7:7">
      <c r="G237" s="37"/>
    </row>
    <row r="238" spans="7:7">
      <c r="G238" s="37"/>
    </row>
    <row r="239" spans="7:7">
      <c r="G239" s="37"/>
    </row>
    <row r="240" spans="7:7">
      <c r="G240" s="37"/>
    </row>
    <row r="241" spans="7:7">
      <c r="G241" s="37"/>
    </row>
    <row r="242" spans="7:7">
      <c r="G242" s="37"/>
    </row>
    <row r="243" spans="7:7">
      <c r="G243" s="37"/>
    </row>
    <row r="244" spans="7:7">
      <c r="G244" s="37"/>
    </row>
    <row r="245" spans="7:7">
      <c r="G245" s="37"/>
    </row>
    <row r="246" spans="7:7">
      <c r="G246" s="37"/>
    </row>
    <row r="247" spans="7:7">
      <c r="G247" s="37"/>
    </row>
    <row r="248" spans="7:7">
      <c r="G248" s="37"/>
    </row>
    <row r="249" spans="7:7">
      <c r="G249" s="37"/>
    </row>
    <row r="250" spans="7:7">
      <c r="G250" s="37"/>
    </row>
    <row r="251" spans="7:7">
      <c r="G251" s="37"/>
    </row>
    <row r="252" spans="7:7">
      <c r="G252" s="37"/>
    </row>
    <row r="253" spans="7:7">
      <c r="G253" s="37"/>
    </row>
    <row r="254" spans="7:7">
      <c r="G254" s="37"/>
    </row>
    <row r="255" spans="7:7">
      <c r="G255" s="37"/>
    </row>
    <row r="256" spans="7:7">
      <c r="G256" s="37"/>
    </row>
    <row r="257" spans="7:7">
      <c r="G257" s="37"/>
    </row>
    <row r="258" spans="7:7">
      <c r="G258" s="37"/>
    </row>
    <row r="259" spans="7:7">
      <c r="G259" s="37"/>
    </row>
    <row r="260" spans="7:7">
      <c r="G260" s="37"/>
    </row>
    <row r="261" spans="7:7">
      <c r="G261" s="37"/>
    </row>
    <row r="262" spans="7:7">
      <c r="G262" s="37"/>
    </row>
    <row r="263" spans="7:7">
      <c r="G263" s="37"/>
    </row>
    <row r="264" spans="7:7">
      <c r="G264" s="37"/>
    </row>
    <row r="265" spans="7:7">
      <c r="G265" s="37"/>
    </row>
    <row r="266" spans="7:7">
      <c r="G266" s="37"/>
    </row>
    <row r="267" spans="7:7">
      <c r="G267" s="37"/>
    </row>
    <row r="268" spans="7:7">
      <c r="G268" s="37"/>
    </row>
    <row r="269" spans="7:7">
      <c r="G269" s="37"/>
    </row>
    <row r="270" spans="7:7">
      <c r="G270" s="37"/>
    </row>
    <row r="271" spans="7:7">
      <c r="G271" s="37"/>
    </row>
    <row r="272" spans="7:7">
      <c r="G272" s="37"/>
    </row>
    <row r="273" spans="7:7">
      <c r="G273" s="37"/>
    </row>
    <row r="274" spans="7:7">
      <c r="G274" s="37"/>
    </row>
    <row r="275" spans="7:7">
      <c r="G275" s="37"/>
    </row>
    <row r="276" spans="7:7">
      <c r="G276" s="37"/>
    </row>
    <row r="277" spans="7:7">
      <c r="G277" s="37"/>
    </row>
    <row r="278" spans="7:7">
      <c r="G278" s="37"/>
    </row>
    <row r="279" spans="7:7">
      <c r="G279" s="37"/>
    </row>
    <row r="280" spans="7:7">
      <c r="G280" s="37"/>
    </row>
    <row r="281" spans="7:7">
      <c r="G281" s="37"/>
    </row>
    <row r="282" spans="7:7">
      <c r="G282" s="37"/>
    </row>
    <row r="283" spans="7:7">
      <c r="G283" s="37"/>
    </row>
    <row r="284" spans="7:7">
      <c r="G284" s="37"/>
    </row>
    <row r="285" spans="7:7">
      <c r="G285" s="37"/>
    </row>
    <row r="286" spans="7:7">
      <c r="G286" s="37"/>
    </row>
    <row r="287" spans="7:7">
      <c r="G287" s="37"/>
    </row>
    <row r="288" spans="7:7">
      <c r="G288" s="37"/>
    </row>
    <row r="289" spans="7:7">
      <c r="G289" s="37"/>
    </row>
    <row r="290" spans="7:7">
      <c r="G290" s="37"/>
    </row>
    <row r="291" spans="7:7">
      <c r="G291" s="37"/>
    </row>
    <row r="292" spans="7:7">
      <c r="G292" s="37"/>
    </row>
    <row r="293" spans="7:7">
      <c r="G293" s="37"/>
    </row>
    <row r="294" spans="7:7">
      <c r="G294" s="37"/>
    </row>
    <row r="295" spans="7:7">
      <c r="G295" s="37"/>
    </row>
    <row r="296" spans="7:7">
      <c r="G296" s="37"/>
    </row>
    <row r="297" spans="7:7">
      <c r="G297" s="37"/>
    </row>
    <row r="298" spans="7:7">
      <c r="G298" s="37"/>
    </row>
    <row r="299" spans="7:7">
      <c r="G299" s="37"/>
    </row>
    <row r="300" spans="7:7">
      <c r="G300" s="37"/>
    </row>
    <row r="301" spans="7:7">
      <c r="G301" s="37"/>
    </row>
    <row r="302" spans="7:7">
      <c r="G302" s="37"/>
    </row>
    <row r="303" spans="7:7">
      <c r="G303" s="37"/>
    </row>
    <row r="304" spans="7:7">
      <c r="G304" s="37"/>
    </row>
    <row r="305" spans="7:7">
      <c r="G305" s="37"/>
    </row>
    <row r="306" spans="7:7">
      <c r="G306" s="37"/>
    </row>
    <row r="307" spans="7:7">
      <c r="G307" s="37"/>
    </row>
    <row r="308" spans="7:7">
      <c r="G308" s="37"/>
    </row>
    <row r="309" spans="7:7">
      <c r="G309" s="37"/>
    </row>
    <row r="310" spans="7:7">
      <c r="G310" s="37"/>
    </row>
    <row r="311" spans="7:7">
      <c r="G311" s="37"/>
    </row>
    <row r="312" spans="7:7">
      <c r="G312" s="37"/>
    </row>
    <row r="313" spans="7:7">
      <c r="G313" s="37"/>
    </row>
    <row r="314" spans="7:7">
      <c r="G314" s="37"/>
    </row>
    <row r="315" spans="7:7">
      <c r="G315" s="37"/>
    </row>
    <row r="316" spans="7:7">
      <c r="G316" s="37"/>
    </row>
    <row r="317" spans="7:7">
      <c r="G317" s="37"/>
    </row>
    <row r="318" spans="7:7">
      <c r="G318" s="37"/>
    </row>
    <row r="319" spans="7:7">
      <c r="G319" s="37"/>
    </row>
    <row r="320" spans="7:7">
      <c r="G320" s="37"/>
    </row>
    <row r="321" spans="7:7">
      <c r="G321" s="37"/>
    </row>
    <row r="322" spans="7:7">
      <c r="G322" s="37"/>
    </row>
    <row r="323" spans="7:7">
      <c r="G323" s="37"/>
    </row>
    <row r="324" spans="7:7">
      <c r="G324" s="37"/>
    </row>
    <row r="325" spans="7:7">
      <c r="G325" s="37"/>
    </row>
    <row r="326" spans="7:7">
      <c r="G326" s="37"/>
    </row>
    <row r="327" spans="7:7">
      <c r="G327" s="37"/>
    </row>
    <row r="328" spans="7:7">
      <c r="G328" s="37"/>
    </row>
    <row r="329" spans="7:7">
      <c r="G329" s="37"/>
    </row>
    <row r="330" spans="7:7">
      <c r="G330" s="37"/>
    </row>
    <row r="331" spans="7:7">
      <c r="G331" s="37"/>
    </row>
    <row r="332" spans="7:7">
      <c r="G332" s="37"/>
    </row>
    <row r="333" spans="7:7">
      <c r="G333" s="37"/>
    </row>
    <row r="334" spans="7:7">
      <c r="G334" s="37"/>
    </row>
    <row r="335" spans="7:7">
      <c r="G335" s="37"/>
    </row>
    <row r="336" spans="7:7">
      <c r="G336" s="37"/>
    </row>
    <row r="337" spans="7:7">
      <c r="G337" s="37"/>
    </row>
    <row r="338" spans="7:7">
      <c r="G338" s="37"/>
    </row>
    <row r="339" spans="7:7">
      <c r="G339" s="37"/>
    </row>
    <row r="340" spans="7:7">
      <c r="G340" s="37"/>
    </row>
    <row r="341" spans="7:7">
      <c r="G341" s="37"/>
    </row>
    <row r="342" spans="7:7">
      <c r="G342" s="37"/>
    </row>
    <row r="343" spans="7:7">
      <c r="G343" s="37"/>
    </row>
    <row r="344" spans="7:7">
      <c r="G344" s="37"/>
    </row>
    <row r="345" spans="7:7">
      <c r="G345" s="37"/>
    </row>
    <row r="346" spans="7:7">
      <c r="G346" s="37"/>
    </row>
    <row r="347" spans="7:7">
      <c r="G347" s="37"/>
    </row>
    <row r="348" spans="7:7">
      <c r="G348" s="37"/>
    </row>
    <row r="349" spans="7:7">
      <c r="G349" s="37"/>
    </row>
    <row r="350" spans="7:7">
      <c r="G350" s="37"/>
    </row>
    <row r="351" spans="7:7">
      <c r="G351" s="37"/>
    </row>
    <row r="352" spans="7:7">
      <c r="G352" s="37"/>
    </row>
    <row r="353" spans="7:7">
      <c r="G353" s="37"/>
    </row>
    <row r="354" spans="7:7">
      <c r="G354" s="37"/>
    </row>
    <row r="355" spans="7:7">
      <c r="G355" s="37"/>
    </row>
    <row r="356" spans="7:7">
      <c r="G356" s="37"/>
    </row>
    <row r="357" spans="7:7">
      <c r="G357" s="37"/>
    </row>
    <row r="358" spans="7:7">
      <c r="G358" s="37"/>
    </row>
    <row r="359" spans="7:7">
      <c r="G359" s="37"/>
    </row>
    <row r="360" spans="7:7">
      <c r="G360" s="37"/>
    </row>
    <row r="361" spans="7:7">
      <c r="G361" s="37"/>
    </row>
    <row r="362" spans="7:7">
      <c r="G362" s="37"/>
    </row>
    <row r="363" spans="7:7">
      <c r="G363" s="37"/>
    </row>
    <row r="364" spans="7:7">
      <c r="G364" s="37"/>
    </row>
    <row r="365" spans="7:7">
      <c r="G365" s="37"/>
    </row>
    <row r="366" spans="7:7">
      <c r="G366" s="37"/>
    </row>
    <row r="367" spans="7:7">
      <c r="G367" s="37"/>
    </row>
    <row r="368" spans="7:7">
      <c r="G368" s="37"/>
    </row>
    <row r="369" spans="7:7">
      <c r="G369" s="37"/>
    </row>
    <row r="370" spans="7:7">
      <c r="G370" s="37"/>
    </row>
    <row r="371" spans="7:7">
      <c r="G371" s="37"/>
    </row>
    <row r="372" spans="7:7">
      <c r="G372" s="37"/>
    </row>
    <row r="373" spans="7:7">
      <c r="G373" s="37"/>
    </row>
    <row r="374" spans="7:7">
      <c r="G374" s="37"/>
    </row>
    <row r="375" spans="7:7">
      <c r="G375" s="37"/>
    </row>
    <row r="376" spans="7:7">
      <c r="G376" s="37"/>
    </row>
    <row r="377" spans="7:7">
      <c r="G377" s="37"/>
    </row>
    <row r="378" spans="7:7">
      <c r="G378" s="37"/>
    </row>
    <row r="379" spans="7:7">
      <c r="G379" s="37"/>
    </row>
    <row r="380" spans="7:7">
      <c r="G380" s="37"/>
    </row>
    <row r="381" spans="7:7">
      <c r="G381" s="37"/>
    </row>
    <row r="382" spans="7:7">
      <c r="G382" s="37"/>
    </row>
    <row r="383" spans="7:7">
      <c r="G383" s="37"/>
    </row>
    <row r="384" spans="7:7">
      <c r="G384" s="37"/>
    </row>
    <row r="385" spans="7:7">
      <c r="G385" s="37"/>
    </row>
    <row r="386" spans="7:7">
      <c r="G386" s="37"/>
    </row>
    <row r="387" spans="7:7">
      <c r="G387" s="37"/>
    </row>
    <row r="388" spans="7:7">
      <c r="G388" s="37"/>
    </row>
    <row r="389" spans="7:7">
      <c r="G389" s="37"/>
    </row>
    <row r="390" spans="7:7">
      <c r="G390" s="37"/>
    </row>
    <row r="391" spans="7:7">
      <c r="G391" s="37"/>
    </row>
    <row r="392" spans="7:7">
      <c r="G392" s="37"/>
    </row>
    <row r="393" spans="7:7">
      <c r="G393" s="37"/>
    </row>
    <row r="394" spans="7:7">
      <c r="G394" s="37"/>
    </row>
    <row r="395" spans="7:7">
      <c r="G395" s="37"/>
    </row>
    <row r="396" spans="7:7">
      <c r="G396" s="37"/>
    </row>
    <row r="397" spans="7:7">
      <c r="G397" s="37"/>
    </row>
    <row r="398" spans="7:7">
      <c r="G398" s="37"/>
    </row>
    <row r="399" spans="7:7">
      <c r="G399" s="37"/>
    </row>
    <row r="400" spans="7:7">
      <c r="G400" s="37"/>
    </row>
    <row r="401" spans="7:7">
      <c r="G401" s="37"/>
    </row>
    <row r="402" spans="7:7">
      <c r="G402" s="37"/>
    </row>
    <row r="403" spans="7:7">
      <c r="G403" s="37"/>
    </row>
    <row r="404" spans="7:7">
      <c r="G404" s="37"/>
    </row>
    <row r="405" spans="7:7">
      <c r="G405" s="37"/>
    </row>
    <row r="406" spans="7:7">
      <c r="G406" s="37"/>
    </row>
    <row r="407" spans="7:7">
      <c r="G407" s="37"/>
    </row>
    <row r="408" spans="7:7">
      <c r="G408" s="37"/>
    </row>
    <row r="409" spans="7:7">
      <c r="G409" s="37"/>
    </row>
    <row r="410" spans="7:7">
      <c r="G410" s="37"/>
    </row>
    <row r="411" spans="7:7">
      <c r="G411" s="37"/>
    </row>
    <row r="412" spans="7:7">
      <c r="G412" s="37"/>
    </row>
    <row r="413" spans="7:7">
      <c r="G413" s="37"/>
    </row>
    <row r="414" spans="7:7">
      <c r="G414" s="37"/>
    </row>
    <row r="415" spans="7:7">
      <c r="G415" s="37"/>
    </row>
    <row r="416" spans="7:7">
      <c r="G416" s="37"/>
    </row>
    <row r="417" spans="7:7">
      <c r="G417" s="37"/>
    </row>
    <row r="418" spans="7:7">
      <c r="G418" s="37"/>
    </row>
    <row r="419" spans="7:7">
      <c r="G419" s="37"/>
    </row>
    <row r="420" spans="7:7">
      <c r="G420" s="37"/>
    </row>
    <row r="421" spans="7:7">
      <c r="G421" s="37"/>
    </row>
    <row r="422" spans="7:7">
      <c r="G422" s="37"/>
    </row>
    <row r="423" spans="7:7">
      <c r="G423" s="37"/>
    </row>
    <row r="424" spans="7:7">
      <c r="G424" s="37"/>
    </row>
    <row r="425" spans="7:7">
      <c r="G425" s="37"/>
    </row>
    <row r="426" spans="7:7">
      <c r="G426" s="37"/>
    </row>
    <row r="427" spans="7:7">
      <c r="G427" s="37"/>
    </row>
    <row r="428" spans="7:7">
      <c r="G428" s="37"/>
    </row>
    <row r="429" spans="7:7">
      <c r="G429" s="37"/>
    </row>
    <row r="430" spans="7:7">
      <c r="G430" s="37"/>
    </row>
    <row r="431" spans="7:7">
      <c r="G431" s="37"/>
    </row>
    <row r="432" spans="7:7">
      <c r="G432" s="37"/>
    </row>
    <row r="433" spans="7:7">
      <c r="G433" s="37"/>
    </row>
    <row r="434" spans="7:7">
      <c r="G434" s="37"/>
    </row>
    <row r="435" spans="7:7">
      <c r="G435" s="37"/>
    </row>
    <row r="436" spans="7:7">
      <c r="G436" s="37"/>
    </row>
    <row r="437" spans="7:7">
      <c r="G437" s="37"/>
    </row>
    <row r="438" spans="7:7">
      <c r="G438" s="37"/>
    </row>
    <row r="439" spans="7:7">
      <c r="G439" s="37"/>
    </row>
    <row r="440" spans="7:7">
      <c r="G440" s="37"/>
    </row>
    <row r="441" spans="7:7">
      <c r="G441" s="37"/>
    </row>
    <row r="442" spans="7:7">
      <c r="G442" s="37"/>
    </row>
    <row r="443" spans="7:7">
      <c r="G443" s="37"/>
    </row>
    <row r="444" spans="7:7">
      <c r="G444" s="37"/>
    </row>
    <row r="445" spans="7:7">
      <c r="G445" s="37"/>
    </row>
    <row r="446" spans="7:7">
      <c r="G446" s="37"/>
    </row>
    <row r="447" spans="7:7">
      <c r="G447" s="37"/>
    </row>
    <row r="448" spans="7:7">
      <c r="G448" s="37"/>
    </row>
    <row r="449" spans="7:7">
      <c r="G449" s="37"/>
    </row>
    <row r="450" spans="7:7">
      <c r="G450" s="37"/>
    </row>
    <row r="451" spans="7:7">
      <c r="G451" s="37"/>
    </row>
    <row r="452" spans="7:7">
      <c r="G452" s="37"/>
    </row>
    <row r="453" spans="7:7">
      <c r="G453" s="37"/>
    </row>
    <row r="454" spans="7:7">
      <c r="G454" s="37"/>
    </row>
    <row r="455" spans="7:7">
      <c r="G455" s="37"/>
    </row>
    <row r="456" spans="7:7">
      <c r="G456" s="37"/>
    </row>
    <row r="457" spans="7:7">
      <c r="G457" s="37"/>
    </row>
    <row r="458" spans="7:7">
      <c r="G458" s="37"/>
    </row>
    <row r="459" spans="7:7">
      <c r="G459" s="37"/>
    </row>
    <row r="460" spans="7:7">
      <c r="G460" s="37"/>
    </row>
    <row r="461" spans="7:7">
      <c r="G461" s="37"/>
    </row>
    <row r="462" spans="7:7">
      <c r="G462" s="37"/>
    </row>
    <row r="463" spans="7:7">
      <c r="G463" s="37"/>
    </row>
    <row r="464" spans="7:7">
      <c r="G464" s="37"/>
    </row>
    <row r="465" spans="7:7">
      <c r="G465" s="37"/>
    </row>
    <row r="466" spans="7:7">
      <c r="G466" s="37"/>
    </row>
    <row r="467" spans="7:7">
      <c r="G467" s="37"/>
    </row>
    <row r="468" spans="7:7">
      <c r="G468" s="37"/>
    </row>
    <row r="469" spans="7:7">
      <c r="G469" s="37"/>
    </row>
    <row r="470" spans="7:7">
      <c r="G470" s="37"/>
    </row>
    <row r="471" spans="7:7">
      <c r="G471" s="37"/>
    </row>
    <row r="472" spans="7:7">
      <c r="G472" s="37"/>
    </row>
    <row r="473" spans="7:7">
      <c r="G473" s="37"/>
    </row>
    <row r="474" spans="7:7">
      <c r="G474" s="37"/>
    </row>
    <row r="475" spans="7:7">
      <c r="G475" s="37"/>
    </row>
    <row r="476" spans="7:7">
      <c r="G476" s="37"/>
    </row>
    <row r="477" spans="7:7">
      <c r="G477" s="37"/>
    </row>
    <row r="478" spans="7:7">
      <c r="G478" s="37"/>
    </row>
    <row r="479" spans="7:7">
      <c r="G479" s="37"/>
    </row>
    <row r="480" spans="7:7">
      <c r="G480" s="37"/>
    </row>
    <row r="481" spans="7:7">
      <c r="G481" s="37"/>
    </row>
    <row r="482" spans="7:7">
      <c r="G482" s="37"/>
    </row>
    <row r="483" spans="7:7">
      <c r="G483" s="37"/>
    </row>
    <row r="484" spans="7:7">
      <c r="G484" s="37"/>
    </row>
    <row r="485" spans="7:7">
      <c r="G485" s="37"/>
    </row>
    <row r="486" spans="7:7">
      <c r="G486" s="37"/>
    </row>
    <row r="487" spans="7:7">
      <c r="G487" s="37"/>
    </row>
    <row r="488" spans="7:7">
      <c r="G488" s="37"/>
    </row>
    <row r="489" spans="7:7">
      <c r="G489" s="37"/>
    </row>
    <row r="490" spans="7:7">
      <c r="G490" s="37"/>
    </row>
    <row r="491" spans="7:7">
      <c r="G491" s="37"/>
    </row>
    <row r="492" spans="7:7">
      <c r="G492" s="37"/>
    </row>
    <row r="493" spans="7:7">
      <c r="G493" s="37"/>
    </row>
    <row r="494" spans="7:7">
      <c r="G494" s="37"/>
    </row>
    <row r="495" spans="7:7">
      <c r="G495" s="37"/>
    </row>
    <row r="496" spans="7:7">
      <c r="G496" s="37"/>
    </row>
    <row r="497" spans="7:7">
      <c r="G497" s="37"/>
    </row>
    <row r="498" spans="7:7">
      <c r="G498" s="37"/>
    </row>
    <row r="499" spans="7:7">
      <c r="G499" s="37"/>
    </row>
    <row r="500" spans="7:7">
      <c r="G500" s="37"/>
    </row>
    <row r="501" spans="7:7">
      <c r="G501" s="37"/>
    </row>
    <row r="502" spans="7:7">
      <c r="G502" s="37"/>
    </row>
    <row r="503" spans="7:7">
      <c r="G503" s="37"/>
    </row>
    <row r="504" spans="7:7">
      <c r="G504" s="37"/>
    </row>
    <row r="505" spans="7:7">
      <c r="G505" s="37"/>
    </row>
    <row r="506" spans="7:7">
      <c r="G506" s="37"/>
    </row>
    <row r="507" spans="7:7">
      <c r="G507" s="37"/>
    </row>
    <row r="508" spans="7:7">
      <c r="G508" s="37"/>
    </row>
    <row r="509" spans="7:7">
      <c r="G509" s="37"/>
    </row>
    <row r="510" spans="7:7">
      <c r="G510" s="37"/>
    </row>
    <row r="511" spans="7:7">
      <c r="G511" s="37"/>
    </row>
    <row r="512" spans="7:7">
      <c r="G512" s="37"/>
    </row>
    <row r="513" spans="7:7">
      <c r="G513" s="37"/>
    </row>
    <row r="514" spans="7:7">
      <c r="G514" s="37"/>
    </row>
    <row r="515" spans="7:7">
      <c r="G515" s="37"/>
    </row>
    <row r="516" spans="7:7">
      <c r="G516" s="37"/>
    </row>
    <row r="517" spans="7:7">
      <c r="G517" s="37"/>
    </row>
    <row r="518" spans="7:7">
      <c r="G518" s="37"/>
    </row>
    <row r="519" spans="7:7">
      <c r="G519" s="37"/>
    </row>
    <row r="520" spans="7:7">
      <c r="G520" s="37"/>
    </row>
    <row r="521" spans="7:7">
      <c r="G521" s="37"/>
    </row>
    <row r="522" spans="7:7">
      <c r="G522" s="37"/>
    </row>
    <row r="523" spans="7:7">
      <c r="G523" s="37"/>
    </row>
    <row r="524" spans="7:7">
      <c r="G524" s="37"/>
    </row>
    <row r="525" spans="7:7">
      <c r="G525" s="37"/>
    </row>
    <row r="526" spans="7:7">
      <c r="G526" s="37"/>
    </row>
    <row r="527" spans="7:7">
      <c r="G527" s="37"/>
    </row>
    <row r="528" spans="7:7">
      <c r="G528" s="37"/>
    </row>
    <row r="529" spans="7:7">
      <c r="G529" s="37"/>
    </row>
    <row r="530" spans="7:7">
      <c r="G530" s="37"/>
    </row>
    <row r="531" spans="7:7">
      <c r="G531" s="37"/>
    </row>
    <row r="532" spans="7:7">
      <c r="G532" s="37"/>
    </row>
    <row r="533" spans="7:7">
      <c r="G533" s="37"/>
    </row>
    <row r="534" spans="7:7">
      <c r="G534" s="37"/>
    </row>
    <row r="535" spans="7:7">
      <c r="G535" s="37"/>
    </row>
    <row r="536" spans="7:7">
      <c r="G536" s="37"/>
    </row>
    <row r="537" spans="7:7">
      <c r="G537" s="37"/>
    </row>
    <row r="538" spans="7:7">
      <c r="G538" s="37"/>
    </row>
    <row r="539" spans="7:7">
      <c r="G539" s="37"/>
    </row>
    <row r="540" spans="7:7">
      <c r="G540" s="37"/>
    </row>
    <row r="541" spans="7:7">
      <c r="G541" s="37"/>
    </row>
    <row r="542" spans="7:7">
      <c r="G542" s="37"/>
    </row>
    <row r="543" spans="7:7">
      <c r="G543" s="37"/>
    </row>
    <row r="544" spans="7:7">
      <c r="G544" s="37"/>
    </row>
    <row r="545" spans="7:7">
      <c r="G545" s="37"/>
    </row>
    <row r="546" spans="7:7">
      <c r="G546" s="37"/>
    </row>
    <row r="547" spans="7:7">
      <c r="G547" s="37"/>
    </row>
    <row r="548" spans="7:7">
      <c r="G548" s="37"/>
    </row>
    <row r="549" spans="7:7">
      <c r="G549" s="37"/>
    </row>
    <row r="550" spans="7:7">
      <c r="G550" s="37"/>
    </row>
    <row r="551" spans="7:7">
      <c r="G551" s="37"/>
    </row>
    <row r="552" spans="7:7">
      <c r="G552" s="37"/>
    </row>
    <row r="553" spans="7:7">
      <c r="G553" s="37"/>
    </row>
    <row r="554" spans="7:7">
      <c r="G554" s="37"/>
    </row>
    <row r="555" spans="7:7">
      <c r="G555" s="37"/>
    </row>
    <row r="556" spans="7:7">
      <c r="G556" s="37"/>
    </row>
    <row r="557" spans="7:7">
      <c r="G557" s="37"/>
    </row>
    <row r="558" spans="7:7">
      <c r="G558" s="37"/>
    </row>
    <row r="559" spans="7:7">
      <c r="G559" s="37"/>
    </row>
    <row r="560" spans="7:7">
      <c r="G560" s="37"/>
    </row>
    <row r="561" spans="7:7">
      <c r="G561" s="37"/>
    </row>
    <row r="562" spans="7:7">
      <c r="G562" s="37"/>
    </row>
    <row r="563" spans="7:7">
      <c r="G563" s="37"/>
    </row>
    <row r="564" spans="7:7">
      <c r="G564" s="37"/>
    </row>
    <row r="565" spans="7:7">
      <c r="G565" s="37"/>
    </row>
    <row r="566" spans="7:7">
      <c r="G566" s="37"/>
    </row>
    <row r="567" spans="7:7">
      <c r="G567" s="37"/>
    </row>
    <row r="568" spans="7:7">
      <c r="G568" s="37"/>
    </row>
    <row r="569" spans="7:7">
      <c r="G569" s="37"/>
    </row>
    <row r="570" spans="7:7">
      <c r="G570" s="37"/>
    </row>
    <row r="571" spans="7:7">
      <c r="G571" s="37"/>
    </row>
    <row r="572" spans="7:7">
      <c r="G572" s="37"/>
    </row>
    <row r="573" spans="7:7">
      <c r="G573" s="37"/>
    </row>
    <row r="574" spans="7:7">
      <c r="G574" s="37"/>
    </row>
    <row r="575" spans="7:7">
      <c r="G575" s="37"/>
    </row>
    <row r="576" spans="7:7">
      <c r="G576" s="37"/>
    </row>
    <row r="577" spans="7:7">
      <c r="G577" s="37"/>
    </row>
    <row r="578" spans="7:7">
      <c r="G578" s="37"/>
    </row>
    <row r="579" spans="7:7">
      <c r="G579" s="37"/>
    </row>
    <row r="580" spans="7:7">
      <c r="G580" s="37"/>
    </row>
    <row r="581" spans="7:7">
      <c r="G581" s="37"/>
    </row>
    <row r="582" spans="7:7">
      <c r="G582" s="37"/>
    </row>
    <row r="583" spans="7:7">
      <c r="G583" s="37"/>
    </row>
    <row r="584" spans="7:7">
      <c r="G584" s="37"/>
    </row>
    <row r="585" spans="7:7">
      <c r="G585" s="37"/>
    </row>
    <row r="586" spans="7:7">
      <c r="G586" s="37"/>
    </row>
    <row r="587" spans="7:7">
      <c r="G587" s="37"/>
    </row>
    <row r="588" spans="7:7">
      <c r="G588" s="37"/>
    </row>
    <row r="589" spans="7:7">
      <c r="G589" s="37"/>
    </row>
    <row r="590" spans="7:7">
      <c r="G590" s="37"/>
    </row>
    <row r="591" spans="7:7">
      <c r="G591" s="37"/>
    </row>
    <row r="592" spans="7:7">
      <c r="G592" s="37"/>
    </row>
    <row r="593" spans="7:7">
      <c r="G593" s="37"/>
    </row>
    <row r="594" spans="7:7">
      <c r="G594" s="37"/>
    </row>
    <row r="595" spans="7:7">
      <c r="G595" s="37"/>
    </row>
    <row r="596" spans="7:7">
      <c r="G596" s="37"/>
    </row>
    <row r="597" spans="7:7">
      <c r="G597" s="37"/>
    </row>
    <row r="598" spans="7:7">
      <c r="G598" s="37"/>
    </row>
  </sheetData>
  <mergeCells count="2">
    <mergeCell ref="A1:A3"/>
    <mergeCell ref="AV2:AX2"/>
  </mergeCells>
  <conditionalFormatting sqref="D3:AU3">
    <cfRule type="cellIs" dxfId="55" priority="1" operator="equal">
      <formula>#REF!</formula>
    </cfRule>
    <cfRule type="cellIs" dxfId="54" priority="2" operator="equal">
      <formula>#REF!</formula>
    </cfRule>
    <cfRule type="cellIs" dxfId="53" priority="3" operator="equal">
      <formula>#REF!</formula>
    </cfRule>
    <cfRule type="cellIs" dxfId="52" priority="4" operator="equal">
      <formula>#REF!</formula>
    </cfRule>
  </conditionalFormatting>
  <conditionalFormatting sqref="G3:AX3">
    <cfRule type="cellIs" dxfId="51" priority="5" operator="equal">
      <formula>#REF!</formula>
    </cfRule>
    <cfRule type="cellIs" dxfId="50" priority="6" operator="equal">
      <formula>#REF!</formula>
    </cfRule>
    <cfRule type="cellIs" dxfId="49" priority="7" operator="equal">
      <formula>#REF!</formula>
    </cfRule>
    <cfRule type="cellIs" dxfId="48" priority="8" operator="equal">
      <formula>#REF!</formula>
    </cfRule>
  </conditionalFormatting>
  <conditionalFormatting sqref="T4:AU4">
    <cfRule type="cellIs" dxfId="47" priority="13" operator="equal">
      <formula>#REF!</formula>
    </cfRule>
    <cfRule type="cellIs" dxfId="46" priority="14" operator="equal">
      <formula>#REF!</formula>
    </cfRule>
    <cfRule type="cellIs" dxfId="45" priority="15" operator="equal">
      <formula>#REF!</formula>
    </cfRule>
    <cfRule type="cellIs" dxfId="44" priority="16" operator="equal">
      <formula>#REF!</formula>
    </cfRule>
  </conditionalFormatting>
  <conditionalFormatting sqref="Y4:AC4">
    <cfRule type="cellIs" dxfId="43" priority="9" operator="equal">
      <formula>#REF!</formula>
    </cfRule>
    <cfRule type="cellIs" dxfId="42" priority="10" operator="equal">
      <formula>#REF!</formula>
    </cfRule>
    <cfRule type="cellIs" dxfId="41" priority="11" operator="equal">
      <formula>#REF!</formula>
    </cfRule>
    <cfRule type="cellIs" dxfId="40" priority="12" operator="equal">
      <formula>#REF!</formula>
    </cfRule>
  </conditionalFormatting>
  <pageMargins left="0.7" right="0.7" top="0.75" bottom="0.75" header="0.3" footer="0.3"/>
  <pageSetup orientation="portrait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1D294-7B10-40C8-B79C-51837EAB7369}">
  <sheetPr>
    <tabColor theme="1"/>
    <pageSetUpPr fitToPage="1"/>
  </sheetPr>
  <dimension ref="A1:I143"/>
  <sheetViews>
    <sheetView showGridLines="0" zoomScale="124" zoomScaleNormal="124" zoomScaleSheetLayoutView="90" workbookViewId="0">
      <selection activeCell="F17" sqref="F17"/>
    </sheetView>
  </sheetViews>
  <sheetFormatPr defaultColWidth="8.796875" defaultRowHeight="23.25" customHeight="1"/>
  <cols>
    <col min="1" max="1" width="68.33203125" style="37" bestFit="1" customWidth="1"/>
    <col min="2" max="2" width="49.265625" style="37" bestFit="1" customWidth="1"/>
    <col min="3" max="3" width="22.46484375" style="37" bestFit="1" customWidth="1"/>
    <col min="4" max="4" width="11.796875" style="37" bestFit="1" customWidth="1"/>
    <col min="5" max="5" width="18.59765625" style="37" customWidth="1"/>
    <col min="6" max="6" width="27.86328125" style="37" bestFit="1" customWidth="1"/>
    <col min="7" max="7" width="24.53125" style="37" customWidth="1"/>
    <col min="8" max="8" width="32.46484375" style="37" customWidth="1"/>
    <col min="9" max="9" width="20.19921875" style="37" customWidth="1"/>
    <col min="10" max="16384" width="8.796875" style="37"/>
  </cols>
  <sheetData>
    <row r="1" spans="1:7" ht="23.25" customHeight="1" thickBot="1">
      <c r="A1" s="636" t="s">
        <v>582</v>
      </c>
      <c r="B1" s="34"/>
      <c r="C1" s="35"/>
      <c r="D1" s="36"/>
    </row>
    <row r="2" spans="1:7" ht="23.25" customHeight="1" thickBot="1">
      <c r="A2" s="701" t="s">
        <v>200</v>
      </c>
      <c r="B2" s="702"/>
      <c r="C2" s="702"/>
      <c r="D2" s="1454" t="str">
        <f>'Development Program'!A21</f>
        <v>Phase 3</v>
      </c>
      <c r="E2" s="1455"/>
    </row>
    <row r="3" spans="1:7" ht="23.25" customHeight="1">
      <c r="A3" s="38"/>
      <c r="B3" s="39"/>
      <c r="C3" s="39"/>
      <c r="D3" s="346">
        <v>0</v>
      </c>
      <c r="E3" s="973" t="s">
        <v>201</v>
      </c>
    </row>
    <row r="4" spans="1:7" ht="24" customHeight="1">
      <c r="A4" s="40" t="s">
        <v>202</v>
      </c>
      <c r="B4" s="41" t="s">
        <v>203</v>
      </c>
      <c r="C4" s="41" t="s">
        <v>327</v>
      </c>
      <c r="D4" s="41" t="s">
        <v>205</v>
      </c>
      <c r="E4" s="42" t="s">
        <v>206</v>
      </c>
    </row>
    <row r="5" spans="1:7" ht="13.15">
      <c r="A5" s="691" t="s">
        <v>527</v>
      </c>
      <c r="B5" s="692"/>
      <c r="C5" s="693"/>
      <c r="D5" s="692"/>
      <c r="E5" s="974"/>
    </row>
    <row r="6" spans="1:7" ht="13.15">
      <c r="A6" s="348">
        <v>0.6</v>
      </c>
      <c r="B6" s="513">
        <f>A6*$B$8</f>
        <v>180</v>
      </c>
      <c r="C6" s="511">
        <v>350</v>
      </c>
      <c r="D6" s="512">
        <v>2.0571428571428569</v>
      </c>
      <c r="E6" s="1105">
        <f>B6*C6*D6*12</f>
        <v>1555199.9999999998</v>
      </c>
    </row>
    <row r="7" spans="1:7" ht="13.15">
      <c r="A7" s="759">
        <v>0.4</v>
      </c>
      <c r="B7" s="513">
        <f>A7*$B$8</f>
        <v>120</v>
      </c>
      <c r="C7" s="511">
        <v>500</v>
      </c>
      <c r="D7" s="512">
        <v>1.44</v>
      </c>
      <c r="E7" s="1105">
        <f t="shared" ref="E7" si="0">B7*C7*D7*12</f>
        <v>1036800</v>
      </c>
    </row>
    <row r="8" spans="1:7" ht="13.15">
      <c r="A8" s="979" t="s">
        <v>397</v>
      </c>
      <c r="B8" s="697">
        <v>300</v>
      </c>
      <c r="C8" s="705">
        <f>SUMPRODUCT(B6:B7,C6:C7)</f>
        <v>123000</v>
      </c>
      <c r="D8" s="705"/>
      <c r="E8" s="980">
        <f>SUM(E6:E7)</f>
        <v>2592000</v>
      </c>
    </row>
    <row r="9" spans="1:7" ht="13.15">
      <c r="A9" s="691" t="s">
        <v>544</v>
      </c>
      <c r="B9" s="692"/>
      <c r="C9" s="693"/>
      <c r="D9" s="692"/>
      <c r="E9" s="974"/>
    </row>
    <row r="10" spans="1:7" ht="13.15">
      <c r="A10" s="759">
        <v>0.4</v>
      </c>
      <c r="B10" s="804">
        <f>$B$12*A10</f>
        <v>80</v>
      </c>
      <c r="C10" s="804">
        <v>500</v>
      </c>
      <c r="D10" s="510">
        <v>3.1428571428571428</v>
      </c>
      <c r="E10" s="976">
        <f>B10*C10*D10*12</f>
        <v>1508571.4285714286</v>
      </c>
    </row>
    <row r="11" spans="1:7" ht="13.15">
      <c r="A11" s="927">
        <v>0.6</v>
      </c>
      <c r="B11" s="804">
        <f>$B$12*A11</f>
        <v>120</v>
      </c>
      <c r="C11" s="804">
        <v>700</v>
      </c>
      <c r="D11" s="510">
        <v>3.5</v>
      </c>
      <c r="E11" s="976">
        <f>B11*C11*D11*12</f>
        <v>3528000</v>
      </c>
    </row>
    <row r="12" spans="1:7" ht="13.15">
      <c r="A12" s="979" t="s">
        <v>391</v>
      </c>
      <c r="B12" s="697">
        <v>200</v>
      </c>
      <c r="C12" s="705">
        <f>SUMPRODUCT(B10:B11,C10:C11)</f>
        <v>124000</v>
      </c>
      <c r="D12" s="705"/>
      <c r="E12" s="980">
        <f>SUM(E10:E11)</f>
        <v>5036571.4285714291</v>
      </c>
      <c r="G12" s="999"/>
    </row>
    <row r="13" spans="1:7" ht="13.15">
      <c r="A13" s="759">
        <v>0.4</v>
      </c>
      <c r="B13" s="804">
        <f>A13*$B$15</f>
        <v>48</v>
      </c>
      <c r="C13" s="804">
        <v>450</v>
      </c>
      <c r="D13" s="510">
        <v>2.8533333333333335</v>
      </c>
      <c r="E13" s="976">
        <f>D13*12*C13*B13</f>
        <v>739584</v>
      </c>
    </row>
    <row r="14" spans="1:7" ht="13.15">
      <c r="A14" s="927">
        <v>0.6</v>
      </c>
      <c r="B14" s="804">
        <f>A14*$B$15</f>
        <v>72</v>
      </c>
      <c r="C14" s="804">
        <v>650</v>
      </c>
      <c r="D14" s="510">
        <v>2.370769230769231</v>
      </c>
      <c r="E14" s="976">
        <f>D14*12*C14*B14</f>
        <v>1331424.0000000002</v>
      </c>
    </row>
    <row r="15" spans="1:7" ht="13.5" thickBot="1">
      <c r="A15" s="979" t="s">
        <v>398</v>
      </c>
      <c r="B15" s="697">
        <v>120</v>
      </c>
      <c r="C15" s="705">
        <f>SUMPRODUCT(B13:B14,C13:C14)</f>
        <v>68400</v>
      </c>
      <c r="D15" s="705"/>
      <c r="E15" s="980">
        <f>SUM(E13:E14)</f>
        <v>2071008.0000000002</v>
      </c>
    </row>
    <row r="16" spans="1:7" ht="13.9" thickTop="1" thickBot="1">
      <c r="A16" s="43" t="s">
        <v>207</v>
      </c>
      <c r="B16" s="44">
        <f>SUM(B8,B15,B12)</f>
        <v>620</v>
      </c>
      <c r="C16" s="45">
        <f>SUM(C8,C15,C12)</f>
        <v>315400</v>
      </c>
      <c r="D16" s="46"/>
      <c r="E16" s="981">
        <f>SUM(E8,E15,E12)</f>
        <v>9699579.4285714291</v>
      </c>
      <c r="F16" s="632"/>
    </row>
    <row r="17" spans="1:9" ht="13.9" thickTop="1" thickBot="1">
      <c r="A17" s="47" t="s">
        <v>208</v>
      </c>
      <c r="B17" s="48"/>
      <c r="C17" s="49">
        <f>C16/B16</f>
        <v>508.70967741935482</v>
      </c>
      <c r="D17" s="50">
        <f>(E16/12)/C16</f>
        <v>2.5627719902165054</v>
      </c>
      <c r="E17" s="982"/>
    </row>
    <row r="18" spans="1:9" ht="13.15">
      <c r="A18" s="1091"/>
      <c r="B18" s="53"/>
      <c r="C18" s="54"/>
      <c r="D18" s="55"/>
    </row>
    <row r="19" spans="1:9" ht="13.15">
      <c r="A19" s="1085" t="s">
        <v>209</v>
      </c>
      <c r="B19" s="41" t="s">
        <v>210</v>
      </c>
      <c r="C19" s="41" t="s">
        <v>211</v>
      </c>
      <c r="D19" s="1086" t="s">
        <v>206</v>
      </c>
      <c r="E19" s="998"/>
    </row>
    <row r="20" spans="1:9" ht="13.15">
      <c r="A20" s="1087" t="s">
        <v>4</v>
      </c>
      <c r="B20" s="692"/>
      <c r="C20" s="693"/>
      <c r="D20" s="1088"/>
      <c r="E20" s="823"/>
    </row>
    <row r="21" spans="1:9" ht="13.15">
      <c r="A21" s="1089" t="s">
        <v>529</v>
      </c>
      <c r="B21" s="993">
        <v>12500</v>
      </c>
      <c r="C21" s="634">
        <v>39</v>
      </c>
      <c r="D21" s="359">
        <f>B21*C21</f>
        <v>487500</v>
      </c>
      <c r="E21" s="823"/>
      <c r="F21" s="632"/>
    </row>
    <row r="22" spans="1:9" ht="14.25">
      <c r="A22" s="694" t="s">
        <v>395</v>
      </c>
      <c r="B22" s="705">
        <f>SUM(B21:B21)</f>
        <v>12500</v>
      </c>
      <c r="C22" s="699"/>
      <c r="D22" s="1090">
        <f>SUM(D21:D21)</f>
        <v>487500</v>
      </c>
      <c r="E22" s="999"/>
      <c r="F22"/>
      <c r="G22"/>
      <c r="H22" s="767"/>
      <c r="I22" s="735"/>
    </row>
    <row r="23" spans="1:9" ht="14.25">
      <c r="A23" s="1091" t="s">
        <v>212</v>
      </c>
      <c r="B23" s="1092">
        <f>B22</f>
        <v>12500</v>
      </c>
      <c r="C23" s="56">
        <f>IF(B23=0,0,D23/B23)</f>
        <v>39</v>
      </c>
      <c r="D23" s="57">
        <f>SUM(D22)</f>
        <v>487500</v>
      </c>
      <c r="E23" s="59"/>
      <c r="F23"/>
      <c r="G23"/>
      <c r="H23" s="767"/>
    </row>
    <row r="24" spans="1:9" ht="14.25">
      <c r="A24" s="986" t="s">
        <v>213</v>
      </c>
      <c r="B24" s="987"/>
      <c r="F24"/>
      <c r="G24"/>
      <c r="H24" s="766"/>
    </row>
    <row r="25" spans="1:9" ht="14.25">
      <c r="A25" s="313" t="s">
        <v>399</v>
      </c>
      <c r="B25" s="585">
        <v>0</v>
      </c>
      <c r="C25" s="58"/>
      <c r="D25" s="59"/>
      <c r="F25"/>
      <c r="G25"/>
      <c r="H25" s="767"/>
    </row>
    <row r="26" spans="1:9" ht="13.5" thickBot="1">
      <c r="A26" s="326" t="s">
        <v>215</v>
      </c>
      <c r="B26" s="585">
        <v>56</v>
      </c>
      <c r="C26" s="58"/>
      <c r="D26" s="59"/>
    </row>
    <row r="27" spans="1:9" ht="13.5" thickTop="1" thickBot="1">
      <c r="A27" s="60" t="s">
        <v>216</v>
      </c>
      <c r="B27" s="61">
        <f>SUM(B25:B26)</f>
        <v>56</v>
      </c>
      <c r="C27" s="58"/>
      <c r="D27" s="59"/>
    </row>
    <row r="28" spans="1:9" ht="13.15">
      <c r="A28" s="363" t="s">
        <v>217</v>
      </c>
      <c r="B28" s="364" t="str">
        <f>D2</f>
        <v>Phase 3</v>
      </c>
      <c r="C28" s="62"/>
      <c r="D28" s="62"/>
      <c r="E28" s="62"/>
    </row>
    <row r="29" spans="1:9" ht="13.15">
      <c r="A29" s="365" t="s">
        <v>218</v>
      </c>
      <c r="B29" s="366">
        <f>'Development Program'!D21</f>
        <v>27477.333333333332</v>
      </c>
      <c r="C29" s="63"/>
      <c r="D29" s="64"/>
      <c r="E29" s="62"/>
    </row>
    <row r="30" spans="1:9" ht="13.15">
      <c r="A30" s="365" t="s">
        <v>219</v>
      </c>
      <c r="B30" s="366">
        <f>C16+B23</f>
        <v>327900</v>
      </c>
      <c r="C30" s="63"/>
      <c r="D30" s="64"/>
      <c r="E30" s="62"/>
    </row>
    <row r="31" spans="1:9" ht="14.25">
      <c r="A31" s="367">
        <v>350</v>
      </c>
      <c r="B31" s="366">
        <f>B27*Assumptions!C29</f>
        <v>8400</v>
      </c>
      <c r="C31" s="63"/>
      <c r="D31" s="64"/>
      <c r="E31" s="62"/>
      <c r="F31"/>
      <c r="G31" s="961"/>
      <c r="H31" s="961"/>
    </row>
    <row r="32" spans="1:9" ht="14.25">
      <c r="A32" s="515">
        <v>0.15</v>
      </c>
      <c r="B32" s="366">
        <f>(1+A32)*(B30+B31)</f>
        <v>386744.99999999994</v>
      </c>
      <c r="C32" s="63"/>
      <c r="D32" s="64"/>
      <c r="E32" s="62"/>
      <c r="F32"/>
      <c r="G32" s="961"/>
      <c r="H32" s="961"/>
    </row>
    <row r="33" spans="1:8" ht="14.65" thickBot="1">
      <c r="A33" s="516">
        <f>6</f>
        <v>6</v>
      </c>
      <c r="B33" s="370">
        <f>B32/A33</f>
        <v>64457.499999999993</v>
      </c>
      <c r="C33" s="63"/>
      <c r="D33" s="64"/>
      <c r="E33" s="62"/>
      <c r="F33"/>
      <c r="G33" s="961"/>
      <c r="H33" s="961"/>
    </row>
    <row r="34" spans="1:8" ht="15" customHeight="1" thickBot="1">
      <c r="A34" s="1421" t="s">
        <v>220</v>
      </c>
      <c r="B34" s="1422"/>
      <c r="C34" s="1456" t="str">
        <f>D2</f>
        <v>Phase 3</v>
      </c>
      <c r="D34" s="1438"/>
      <c r="E34" s="62"/>
      <c r="F34" s="962"/>
      <c r="G34" s="962"/>
      <c r="H34" s="768"/>
    </row>
    <row r="35" spans="1:8" ht="13.5" thickBot="1">
      <c r="A35" s="373" t="s">
        <v>221</v>
      </c>
      <c r="B35" s="374" t="s">
        <v>222</v>
      </c>
      <c r="C35" s="374" t="s">
        <v>223</v>
      </c>
      <c r="D35" s="375" t="s">
        <v>224</v>
      </c>
      <c r="E35" s="62"/>
    </row>
    <row r="36" spans="1:8" ht="12.75">
      <c r="A36" s="376" t="s">
        <v>225</v>
      </c>
      <c r="B36" s="377">
        <f>D36/B16</f>
        <v>15644.482949308756</v>
      </c>
      <c r="C36" s="378">
        <f>D36/C16</f>
        <v>30.753263882598063</v>
      </c>
      <c r="D36" s="65">
        <f>E16</f>
        <v>9699579.4285714291</v>
      </c>
      <c r="E36" s="62"/>
    </row>
    <row r="37" spans="1:8" ht="12.75">
      <c r="A37" s="379">
        <f>B23</f>
        <v>12500</v>
      </c>
      <c r="B37" s="1419" t="s">
        <v>226</v>
      </c>
      <c r="C37" s="1420"/>
      <c r="D37" s="66">
        <f>D23</f>
        <v>487500</v>
      </c>
      <c r="E37" s="62"/>
    </row>
    <row r="38" spans="1:8" ht="13.15">
      <c r="A38" s="380"/>
      <c r="B38" s="1412" t="s">
        <v>227</v>
      </c>
      <c r="C38" s="1412"/>
      <c r="D38" s="381">
        <f>SUM(D36:D37)</f>
        <v>10187079.428571429</v>
      </c>
      <c r="E38" s="62"/>
    </row>
    <row r="39" spans="1:8" ht="13.15">
      <c r="A39" s="382" t="s">
        <v>228</v>
      </c>
      <c r="B39" s="381" t="s">
        <v>229</v>
      </c>
      <c r="C39" s="381" t="s">
        <v>230</v>
      </c>
      <c r="D39" s="381"/>
      <c r="E39" s="62"/>
    </row>
    <row r="40" spans="1:8" ht="12.75">
      <c r="A40" s="380" t="s">
        <v>400</v>
      </c>
      <c r="B40" s="383">
        <v>250</v>
      </c>
      <c r="C40" s="384">
        <f>D40/C16</f>
        <v>0.53265694356372861</v>
      </c>
      <c r="D40" s="383">
        <f>B40*B26*12</f>
        <v>168000</v>
      </c>
      <c r="E40" s="62"/>
    </row>
    <row r="41" spans="1:8" ht="12.75">
      <c r="A41" s="380" t="s">
        <v>232</v>
      </c>
      <c r="B41" s="383">
        <f>D41/B16</f>
        <v>1150.1541290322582</v>
      </c>
      <c r="C41" s="384">
        <f>D41/C16</f>
        <v>2.2609244134432469</v>
      </c>
      <c r="D41" s="383">
        <f>Assumptions!F15*D38</f>
        <v>713095.56</v>
      </c>
      <c r="E41" s="62"/>
    </row>
    <row r="42" spans="1:8" ht="13.5" thickBot="1">
      <c r="A42" s="67" t="s">
        <v>233</v>
      </c>
      <c r="B42" s="1413"/>
      <c r="C42" s="1414"/>
      <c r="D42" s="68">
        <f>SUM(D40:D41)</f>
        <v>881095.56</v>
      </c>
      <c r="E42" s="62"/>
    </row>
    <row r="43" spans="1:8" ht="13.5" thickTop="1" thickBot="1">
      <c r="A43" s="69">
        <v>0.05</v>
      </c>
      <c r="B43" s="1415"/>
      <c r="C43" s="1416"/>
      <c r="D43" s="70">
        <f>-A43*D38</f>
        <v>-509353.9714285715</v>
      </c>
      <c r="E43" s="62"/>
    </row>
    <row r="44" spans="1:8" ht="13.9" thickTop="1" thickBot="1">
      <c r="A44" s="385" t="s">
        <v>234</v>
      </c>
      <c r="B44" s="71">
        <f>D44/B16</f>
        <v>17030.356479262675</v>
      </c>
      <c r="C44" s="386">
        <f>D44/C16</f>
        <v>33.477555539451039</v>
      </c>
      <c r="D44" s="72">
        <f>D38+D42+D43</f>
        <v>10558821.017142858</v>
      </c>
      <c r="E44" s="62"/>
    </row>
    <row r="45" spans="1:8" ht="13.15">
      <c r="A45" s="40" t="s">
        <v>235</v>
      </c>
      <c r="B45" s="41" t="s">
        <v>222</v>
      </c>
      <c r="C45" s="41" t="s">
        <v>236</v>
      </c>
      <c r="D45" s="73" t="s">
        <v>224</v>
      </c>
      <c r="E45" s="62"/>
    </row>
    <row r="46" spans="1:8" ht="13.5" thickBot="1">
      <c r="A46" s="74" t="s">
        <v>237</v>
      </c>
      <c r="B46" s="75">
        <f>D46/B16</f>
        <v>-4929.2319815668207</v>
      </c>
      <c r="C46" s="75">
        <f>D46/C16</f>
        <v>-9.689676057613914</v>
      </c>
      <c r="D46" s="75">
        <f>-0.3*D38</f>
        <v>-3056123.8285714285</v>
      </c>
      <c r="E46" s="62"/>
    </row>
    <row r="47" spans="1:8" ht="13.5" thickBot="1">
      <c r="A47" s="387" t="s">
        <v>238</v>
      </c>
      <c r="B47" s="388">
        <f>D47/B16</f>
        <v>11730.15675576037</v>
      </c>
      <c r="C47" s="389"/>
      <c r="D47" s="388">
        <f>(D44+D46)-230000</f>
        <v>7272697.1885714298</v>
      </c>
      <c r="E47" s="62"/>
    </row>
    <row r="48" spans="1:8" ht="13.5" thickBot="1">
      <c r="A48" s="390" t="s">
        <v>239</v>
      </c>
      <c r="B48" s="76" t="s">
        <v>240</v>
      </c>
      <c r="C48" s="77">
        <v>0.05</v>
      </c>
      <c r="D48" s="391">
        <f>D47/C48</f>
        <v>145453943.77142859</v>
      </c>
      <c r="E48" s="62"/>
    </row>
    <row r="49" spans="1:6" ht="14.65" thickBot="1">
      <c r="A49" s="1423" t="s">
        <v>328</v>
      </c>
      <c r="B49" s="1424"/>
      <c r="C49" s="1404" t="str">
        <f>D2</f>
        <v>Phase 3</v>
      </c>
      <c r="D49" s="1435"/>
      <c r="F49" s="961"/>
    </row>
    <row r="50" spans="1:6" ht="14.65" thickBot="1">
      <c r="A50" s="363"/>
      <c r="B50" s="78" t="s">
        <v>242</v>
      </c>
      <c r="C50" s="78" t="s">
        <v>243</v>
      </c>
      <c r="D50" s="78" t="s">
        <v>222</v>
      </c>
      <c r="F50" s="961"/>
    </row>
    <row r="51" spans="1:6" ht="14.25">
      <c r="A51" s="267" t="s">
        <v>244</v>
      </c>
      <c r="B51" s="517">
        <f>Assumptions!F23</f>
        <v>450</v>
      </c>
      <c r="C51" s="393">
        <f>B51*(C16+B23)</f>
        <v>147555000</v>
      </c>
      <c r="D51" s="383">
        <f>C51/$B$16</f>
        <v>237991.93548387097</v>
      </c>
      <c r="F51" s="961"/>
    </row>
    <row r="52" spans="1:6" ht="14.25">
      <c r="A52" s="79" t="s">
        <v>245</v>
      </c>
      <c r="B52" s="518">
        <f>Assumptions!C26</f>
        <v>45000</v>
      </c>
      <c r="C52" s="80">
        <f>B27*B52</f>
        <v>2520000</v>
      </c>
      <c r="D52" s="383">
        <f>C52/$B$16</f>
        <v>4064.516129032258</v>
      </c>
      <c r="F52" s="768"/>
    </row>
    <row r="53" spans="1:6" ht="13.15">
      <c r="A53" s="79" t="s">
        <v>101</v>
      </c>
      <c r="B53" s="519">
        <v>0.05</v>
      </c>
      <c r="C53" s="80">
        <f>B53*C51</f>
        <v>7377750</v>
      </c>
      <c r="D53" s="383">
        <f>C53/$B$16</f>
        <v>11899.596774193549</v>
      </c>
    </row>
    <row r="54" spans="1:6" ht="13.15">
      <c r="A54" s="79" t="s">
        <v>20</v>
      </c>
      <c r="B54" s="395" t="s">
        <v>110</v>
      </c>
      <c r="C54" s="80">
        <v>0</v>
      </c>
      <c r="D54" s="383"/>
    </row>
    <row r="55" spans="1:6" ht="13.15">
      <c r="A55" s="79" t="s">
        <v>246</v>
      </c>
      <c r="B55" s="396" t="s">
        <v>310</v>
      </c>
      <c r="C55" s="520">
        <v>0</v>
      </c>
      <c r="D55" s="383">
        <f>C55/$B$16</f>
        <v>0</v>
      </c>
    </row>
    <row r="56" spans="1:6" ht="13.15">
      <c r="A56" s="79" t="s">
        <v>103</v>
      </c>
      <c r="B56" s="521">
        <v>1400</v>
      </c>
      <c r="C56" s="80">
        <f>B56*B16</f>
        <v>868000</v>
      </c>
      <c r="D56" s="399">
        <f>C56/B16</f>
        <v>1400</v>
      </c>
    </row>
    <row r="57" spans="1:6" ht="13.15">
      <c r="A57" s="79" t="s">
        <v>248</v>
      </c>
      <c r="B57" s="522" t="s">
        <v>249</v>
      </c>
      <c r="C57" s="80">
        <f>'Development Program'!F45</f>
        <v>2102733.333333333</v>
      </c>
      <c r="D57" s="383">
        <f>C57/$B$16</f>
        <v>3391.5053763440856</v>
      </c>
    </row>
    <row r="58" spans="1:6" ht="13.15">
      <c r="A58" s="313" t="s">
        <v>109</v>
      </c>
      <c r="B58" s="401" t="s">
        <v>110</v>
      </c>
      <c r="C58" s="523">
        <v>400000</v>
      </c>
      <c r="D58" s="383">
        <f t="shared" ref="D58:D59" si="1">C58/$B$16</f>
        <v>645.16129032258061</v>
      </c>
    </row>
    <row r="59" spans="1:6" ht="13.15">
      <c r="A59" s="313" t="s">
        <v>111</v>
      </c>
      <c r="B59" s="401" t="s">
        <v>110</v>
      </c>
      <c r="C59" s="523">
        <v>0</v>
      </c>
      <c r="D59" s="383">
        <f t="shared" si="1"/>
        <v>0</v>
      </c>
      <c r="E59" s="81"/>
    </row>
    <row r="60" spans="1:6" ht="13.15">
      <c r="A60" s="313" t="s">
        <v>113</v>
      </c>
      <c r="B60" s="524">
        <v>0.04</v>
      </c>
      <c r="C60" s="404">
        <f>B60*(C51+C53)</f>
        <v>6197310</v>
      </c>
      <c r="D60" s="383">
        <f>C60/$B$16</f>
        <v>9995.6612903225814</v>
      </c>
    </row>
    <row r="61" spans="1:6" ht="13.15">
      <c r="A61" s="313" t="s">
        <v>115</v>
      </c>
      <c r="B61" s="525">
        <v>0.03</v>
      </c>
      <c r="C61" s="406">
        <f>B61*SUM(C51:C60)</f>
        <v>5010623.8</v>
      </c>
      <c r="D61" s="383">
        <f>C61/$B$16</f>
        <v>8081.6512903225803</v>
      </c>
    </row>
    <row r="62" spans="1:6" ht="13.15">
      <c r="A62" s="313" t="s">
        <v>117</v>
      </c>
      <c r="B62" s="524">
        <v>0.02</v>
      </c>
      <c r="C62" s="404">
        <f>B62*(C51+C53)</f>
        <v>3098655</v>
      </c>
      <c r="D62" s="383">
        <f t="shared" ref="D62:D71" si="2">C62/$B$16</f>
        <v>4997.8306451612907</v>
      </c>
    </row>
    <row r="63" spans="1:6" ht="13.15">
      <c r="A63" s="313" t="s">
        <v>250</v>
      </c>
      <c r="B63" s="407" t="s">
        <v>110</v>
      </c>
      <c r="C63" s="523">
        <v>0</v>
      </c>
      <c r="D63" s="383">
        <f t="shared" si="2"/>
        <v>0</v>
      </c>
    </row>
    <row r="64" spans="1:6" ht="13.15">
      <c r="A64" s="313" t="s">
        <v>120</v>
      </c>
      <c r="B64" s="522">
        <v>5000</v>
      </c>
      <c r="C64" s="404">
        <f>B64*B16</f>
        <v>3100000</v>
      </c>
      <c r="D64" s="383">
        <f t="shared" si="2"/>
        <v>5000</v>
      </c>
    </row>
    <row r="65" spans="1:6" ht="13.15">
      <c r="A65" s="313" t="s">
        <v>121</v>
      </c>
      <c r="B65" s="401" t="s">
        <v>110</v>
      </c>
      <c r="C65" s="523">
        <v>200000</v>
      </c>
      <c r="D65" s="383">
        <f t="shared" si="2"/>
        <v>322.58064516129031</v>
      </c>
    </row>
    <row r="66" spans="1:6" ht="13.15">
      <c r="A66" s="313" t="s">
        <v>122</v>
      </c>
      <c r="B66" s="526">
        <v>6</v>
      </c>
      <c r="C66" s="404">
        <f>-B66*(D46/12)</f>
        <v>1528061.9142857143</v>
      </c>
      <c r="D66" s="383">
        <f t="shared" si="2"/>
        <v>2464.6159907834103</v>
      </c>
    </row>
    <row r="67" spans="1:6" ht="13.15">
      <c r="A67" s="313" t="s">
        <v>251</v>
      </c>
      <c r="B67" s="82">
        <v>40</v>
      </c>
      <c r="C67" s="404">
        <f>B23*B67</f>
        <v>500000</v>
      </c>
      <c r="D67" s="383">
        <f t="shared" si="2"/>
        <v>806.45161290322585</v>
      </c>
    </row>
    <row r="68" spans="1:6" ht="13.15">
      <c r="A68" s="313" t="s">
        <v>252</v>
      </c>
      <c r="B68" s="527">
        <v>0.06</v>
      </c>
      <c r="C68" s="406">
        <f>B68*D23*5</f>
        <v>146250</v>
      </c>
      <c r="D68" s="383">
        <f t="shared" si="2"/>
        <v>235.88709677419354</v>
      </c>
    </row>
    <row r="69" spans="1:6" ht="13.15">
      <c r="A69" s="313" t="s">
        <v>125</v>
      </c>
      <c r="B69" s="528">
        <v>1.4999999999999999E-2</v>
      </c>
      <c r="C69" s="406">
        <v>1634445</v>
      </c>
      <c r="D69" s="383">
        <f t="shared" si="2"/>
        <v>2636.2016129032259</v>
      </c>
      <c r="E69" s="748" t="s">
        <v>311</v>
      </c>
      <c r="F69" s="83">
        <f>B69*B82</f>
        <v>1707990</v>
      </c>
    </row>
    <row r="70" spans="1:6" ht="13.15">
      <c r="A70" s="412" t="s">
        <v>126</v>
      </c>
      <c r="B70" s="1084">
        <v>0.06</v>
      </c>
      <c r="C70" s="406">
        <v>6537780</v>
      </c>
      <c r="D70" s="383">
        <f t="shared" si="2"/>
        <v>10544.806451612903</v>
      </c>
      <c r="E70" s="748" t="s">
        <v>311</v>
      </c>
      <c r="F70" s="84">
        <f>B70*B82</f>
        <v>6831960</v>
      </c>
    </row>
    <row r="71" spans="1:6" ht="13.5" thickBot="1">
      <c r="A71" s="326" t="s">
        <v>254</v>
      </c>
      <c r="B71" s="414" t="s">
        <v>110</v>
      </c>
      <c r="C71" s="530">
        <v>1000000</v>
      </c>
      <c r="D71" s="416">
        <f t="shared" si="2"/>
        <v>1612.9032258064517</v>
      </c>
    </row>
    <row r="72" spans="1:6" ht="13.9" thickTop="1" thickBot="1">
      <c r="A72" s="417" t="s">
        <v>255</v>
      </c>
      <c r="B72" s="418"/>
      <c r="C72" s="85">
        <f>SUM(C51:C71)</f>
        <v>189776609.04761907</v>
      </c>
      <c r="D72" s="85">
        <f>ROUND(C72/$B$16,-3)</f>
        <v>306000</v>
      </c>
    </row>
    <row r="73" spans="1:6" ht="13.15">
      <c r="A73" s="419" t="s">
        <v>256</v>
      </c>
      <c r="B73" s="420">
        <f>D47/C72</f>
        <v>3.8322410886510005E-2</v>
      </c>
    </row>
    <row r="74" spans="1:6" ht="13.15">
      <c r="A74" s="421" t="s">
        <v>257</v>
      </c>
      <c r="B74" s="422">
        <f>(D48/C72)-1</f>
        <v>-0.2335517822698</v>
      </c>
      <c r="C74" s="86"/>
      <c r="D74" s="87"/>
    </row>
    <row r="75" spans="1:6" ht="13.5" thickBot="1">
      <c r="A75" s="423">
        <v>0.2</v>
      </c>
      <c r="B75" s="424">
        <f>(D48/(1+A75))</f>
        <v>121211619.80952382</v>
      </c>
    </row>
    <row r="76" spans="1:6" ht="13.5" thickBot="1">
      <c r="A76" s="531">
        <v>0.2</v>
      </c>
      <c r="B76" s="424">
        <f>ROUND((D48/(1+A76))-C72,-3)</f>
        <v>-68565000</v>
      </c>
      <c r="C76" s="88" t="s">
        <v>258</v>
      </c>
    </row>
    <row r="77" spans="1:6" ht="13.5" thickBot="1">
      <c r="A77" s="89"/>
      <c r="B77" s="90"/>
    </row>
    <row r="78" spans="1:6" ht="14.55" customHeight="1">
      <c r="A78" s="1457" t="s">
        <v>259</v>
      </c>
      <c r="B78" s="1458"/>
      <c r="C78" s="273" t="str">
        <f>D2</f>
        <v>Phase 3</v>
      </c>
    </row>
    <row r="79" spans="1:6" ht="13.5" thickBot="1">
      <c r="A79" s="586"/>
      <c r="B79" s="209" t="s">
        <v>260</v>
      </c>
      <c r="C79" s="210" t="s">
        <v>222</v>
      </c>
    </row>
    <row r="80" spans="1:6" ht="13.15">
      <c r="A80" s="91" t="s">
        <v>261</v>
      </c>
      <c r="B80" s="92">
        <f>IF(B76&lt;0,B76,0)</f>
        <v>-68565000</v>
      </c>
      <c r="C80" s="211"/>
    </row>
    <row r="81" spans="1:5" ht="13.15">
      <c r="A81" s="93" t="s">
        <v>262</v>
      </c>
      <c r="B81" s="92">
        <f>C72+B80</f>
        <v>121211609.04761907</v>
      </c>
      <c r="C81" s="212"/>
    </row>
    <row r="82" spans="1:5" ht="13.15">
      <c r="A82" s="533">
        <v>0.6</v>
      </c>
      <c r="B82" s="94">
        <f>ROUND(A82*C$72,-3)</f>
        <v>113866000</v>
      </c>
      <c r="C82" s="95">
        <f>B82/B16</f>
        <v>183654.83870967742</v>
      </c>
    </row>
    <row r="83" spans="1:5" ht="13.15">
      <c r="A83" s="1103" t="s">
        <v>580</v>
      </c>
      <c r="B83" s="94">
        <v>32132855.699999999</v>
      </c>
      <c r="C83" s="1104">
        <f>B83/SUM(B8,B15)</f>
        <v>76506.799285714282</v>
      </c>
    </row>
    <row r="84" spans="1:5" ht="13.15">
      <c r="A84" s="1103" t="s">
        <v>533</v>
      </c>
      <c r="B84" s="94">
        <v>1267004</v>
      </c>
      <c r="C84" s="1104">
        <f t="shared" ref="C84:C88" si="3">B84/SUM(B9,B16)</f>
        <v>2043.5548387096774</v>
      </c>
    </row>
    <row r="85" spans="1:5" ht="13.15">
      <c r="A85" s="1103" t="s">
        <v>550</v>
      </c>
      <c r="B85" s="94">
        <v>4000000</v>
      </c>
      <c r="C85" s="1104">
        <f t="shared" si="3"/>
        <v>50000</v>
      </c>
    </row>
    <row r="86" spans="1:5" ht="13.15">
      <c r="A86" s="1103" t="s">
        <v>538</v>
      </c>
      <c r="B86" s="94">
        <v>5708333.333333333</v>
      </c>
      <c r="C86" s="1104">
        <f t="shared" si="3"/>
        <v>47569.444444444445</v>
      </c>
    </row>
    <row r="87" spans="1:5" ht="13.15">
      <c r="A87" s="1103" t="s">
        <v>545</v>
      </c>
      <c r="B87" s="94">
        <v>10271524.329014555</v>
      </c>
      <c r="C87" s="1104">
        <f t="shared" si="3"/>
        <v>51357.621645072773</v>
      </c>
    </row>
    <row r="88" spans="1:5" ht="13.15">
      <c r="A88" s="1103" t="s">
        <v>540</v>
      </c>
      <c r="B88" s="94">
        <v>3000000</v>
      </c>
      <c r="C88" s="1104">
        <f t="shared" si="3"/>
        <v>62500</v>
      </c>
    </row>
    <row r="89" spans="1:5" ht="13.15" thickBot="1">
      <c r="A89" s="432">
        <f>B89/B90</f>
        <v>0.10291516843559181</v>
      </c>
      <c r="B89" s="587">
        <f>C72-SUM(B82:B88)</f>
        <v>19530891.685271174</v>
      </c>
      <c r="C89" s="534">
        <f>B89/B16</f>
        <v>31501.438202050282</v>
      </c>
      <c r="D89" s="87"/>
    </row>
    <row r="90" spans="1:5" ht="13.5" thickTop="1">
      <c r="A90" s="146" t="s">
        <v>263</v>
      </c>
      <c r="B90" s="535">
        <f>SUM(B82:B89)</f>
        <v>189776609.04761907</v>
      </c>
      <c r="C90" s="96">
        <f>ROUND((C89+C82),-3)</f>
        <v>215000</v>
      </c>
    </row>
    <row r="91" spans="1:5" ht="13.5" thickBot="1">
      <c r="A91" s="435"/>
      <c r="B91" s="252"/>
      <c r="C91" s="436"/>
    </row>
    <row r="92" spans="1:5" ht="15" customHeight="1" thickBot="1">
      <c r="A92" s="1417" t="s">
        <v>264</v>
      </c>
      <c r="B92" s="1418"/>
      <c r="C92" s="426" t="str">
        <f>D2</f>
        <v>Phase 3</v>
      </c>
    </row>
    <row r="93" spans="1:5" ht="13.5" thickBot="1">
      <c r="A93" s="97"/>
      <c r="B93" s="437" t="s">
        <v>265</v>
      </c>
      <c r="C93" s="437"/>
    </row>
    <row r="94" spans="1:5" ht="12.75">
      <c r="A94" s="438" t="s">
        <v>266</v>
      </c>
      <c r="B94" s="440">
        <f>ROUND(D48,-2)</f>
        <v>145453900</v>
      </c>
      <c r="C94" s="440"/>
    </row>
    <row r="95" spans="1:5" ht="13.5" thickBot="1">
      <c r="A95" s="588">
        <v>0.02</v>
      </c>
      <c r="B95" s="589">
        <f>(-ROUND(A95*B94,-2))</f>
        <v>-2909100</v>
      </c>
      <c r="C95" s="590"/>
    </row>
    <row r="96" spans="1:5" ht="13.5" thickTop="1" thickBot="1">
      <c r="A96" s="213" t="s">
        <v>267</v>
      </c>
      <c r="B96" s="214">
        <f>SUM(B94:B95)</f>
        <v>142544800</v>
      </c>
      <c r="C96" s="215"/>
      <c r="E96" s="99"/>
    </row>
    <row r="97" spans="1:4" ht="12.75">
      <c r="A97" s="216" t="s">
        <v>268</v>
      </c>
      <c r="B97" s="217">
        <f>-B82</f>
        <v>-113866000</v>
      </c>
      <c r="C97" s="591"/>
    </row>
    <row r="98" spans="1:4" ht="13.15" thickBot="1">
      <c r="A98" s="445" t="s">
        <v>269</v>
      </c>
      <c r="B98" s="443">
        <f>-B89</f>
        <v>-19530891.685271174</v>
      </c>
      <c r="C98" s="592"/>
    </row>
    <row r="99" spans="1:4" ht="13.9" thickTop="1" thickBot="1">
      <c r="A99" s="161" t="s">
        <v>270</v>
      </c>
      <c r="B99" s="100">
        <f>ROUND(B96+B97+B98,-2)</f>
        <v>9147900</v>
      </c>
      <c r="C99" s="218"/>
      <c r="D99" s="101"/>
    </row>
    <row r="100" spans="1:4" ht="13.5" thickBot="1">
      <c r="A100" s="1406" t="s">
        <v>271</v>
      </c>
      <c r="B100" s="1407"/>
      <c r="C100" s="1408"/>
    </row>
    <row r="101" spans="1:4" ht="12.75">
      <c r="A101" s="447" t="s">
        <v>272</v>
      </c>
      <c r="B101" s="448">
        <f>ROUND((B94)/B$16,-2)</f>
        <v>234600</v>
      </c>
      <c r="C101" s="448"/>
    </row>
    <row r="102" spans="1:4" ht="13.15" thickBot="1">
      <c r="A102" s="449" t="s">
        <v>273</v>
      </c>
      <c r="B102" s="450">
        <f>ROUND((B96)/B$16,-2)</f>
        <v>229900</v>
      </c>
      <c r="C102" s="450"/>
    </row>
    <row r="103" spans="1:4" ht="13.15">
      <c r="A103" s="1409" t="s">
        <v>274</v>
      </c>
      <c r="B103" s="1410"/>
      <c r="C103" s="1411"/>
    </row>
    <row r="104" spans="1:4" ht="13.5" thickBot="1">
      <c r="A104" s="435"/>
      <c r="B104" s="102"/>
      <c r="C104" s="102"/>
    </row>
    <row r="105" spans="1:4" ht="13.15">
      <c r="A105" s="103"/>
      <c r="B105" s="437" t="s">
        <v>265</v>
      </c>
      <c r="C105" s="437"/>
    </row>
    <row r="106" spans="1:4" ht="12.75">
      <c r="A106" s="451" t="s">
        <v>275</v>
      </c>
      <c r="B106" s="452">
        <f>(B99+B89)/B89</f>
        <v>1.4683810727852586</v>
      </c>
      <c r="C106" s="452"/>
    </row>
    <row r="107" spans="1:4" ht="13.15">
      <c r="A107" s="453" t="s">
        <v>276</v>
      </c>
      <c r="B107" s="1254">
        <f>'Phase 3 Draw'!B38</f>
        <v>8.3185134833311469E-2</v>
      </c>
      <c r="C107" s="196"/>
      <c r="D107" s="104"/>
    </row>
    <row r="108" spans="1:4" ht="12.75">
      <c r="A108" s="451" t="s">
        <v>278</v>
      </c>
      <c r="B108" s="455">
        <f>D47/B82</f>
        <v>6.3870665418750375E-2</v>
      </c>
      <c r="C108" s="454"/>
    </row>
    <row r="109" spans="1:4" ht="12.75">
      <c r="A109" s="451" t="s">
        <v>279</v>
      </c>
      <c r="B109" s="455">
        <f>C48</f>
        <v>0.05</v>
      </c>
      <c r="C109" s="455"/>
    </row>
    <row r="111" spans="1:4" ht="23.25" customHeight="1" thickBot="1"/>
    <row r="112" spans="1:4" ht="23.25" customHeight="1">
      <c r="A112" s="1354" t="s">
        <v>438</v>
      </c>
      <c r="B112" s="1355"/>
    </row>
    <row r="113" spans="1:2" ht="23.25" customHeight="1">
      <c r="A113" s="727" t="s">
        <v>428</v>
      </c>
      <c r="B113" s="726">
        <v>577947600</v>
      </c>
    </row>
    <row r="114" spans="1:2" ht="23.25" customHeight="1">
      <c r="A114" s="727" t="s">
        <v>416</v>
      </c>
      <c r="B114" s="726">
        <v>-70105347.318000004</v>
      </c>
    </row>
    <row r="115" spans="1:2" ht="23.25" customHeight="1">
      <c r="A115" s="219" t="s">
        <v>437</v>
      </c>
      <c r="B115" s="1079">
        <v>0.80985776219158967</v>
      </c>
    </row>
    <row r="116" spans="1:2" ht="23.25" customHeight="1">
      <c r="A116" s="775" t="s">
        <v>361</v>
      </c>
      <c r="B116" s="776">
        <v>411279990.30338031</v>
      </c>
    </row>
    <row r="117" spans="1:2" ht="23.25" customHeight="1">
      <c r="A117" s="806" t="s">
        <v>361</v>
      </c>
      <c r="B117" s="1079">
        <v>0.4</v>
      </c>
    </row>
    <row r="118" spans="1:2" ht="23.25" customHeight="1">
      <c r="A118" s="775" t="s">
        <v>417</v>
      </c>
      <c r="B118" s="776">
        <v>164511996.12135214</v>
      </c>
    </row>
    <row r="119" spans="1:2" ht="23.25" customHeight="1">
      <c r="A119" s="739" t="s">
        <v>422</v>
      </c>
      <c r="B119" s="1079">
        <v>8.0399999999999999E-2</v>
      </c>
    </row>
    <row r="120" spans="1:2" ht="23.25" customHeight="1">
      <c r="A120" s="727" t="s">
        <v>418</v>
      </c>
      <c r="B120" s="726">
        <v>13226764.488156712</v>
      </c>
    </row>
    <row r="121" spans="1:2" ht="23.25" customHeight="1">
      <c r="A121" s="727" t="s">
        <v>481</v>
      </c>
      <c r="B121" s="726">
        <v>1000000</v>
      </c>
    </row>
    <row r="122" spans="1:2" ht="23.25" customHeight="1">
      <c r="A122" s="727" t="s">
        <v>419</v>
      </c>
      <c r="B122" s="726">
        <v>10000000</v>
      </c>
    </row>
    <row r="123" spans="1:2" ht="23.25" customHeight="1" thickBot="1">
      <c r="A123" s="1101" t="s">
        <v>439</v>
      </c>
      <c r="B123" s="1102">
        <v>0.99</v>
      </c>
    </row>
    <row r="124" spans="1:2" ht="23.25" customHeight="1" thickBot="1">
      <c r="A124" s="730" t="s">
        <v>420</v>
      </c>
      <c r="B124" s="731">
        <v>9900000</v>
      </c>
    </row>
    <row r="125" spans="1:2" ht="23.25" customHeight="1" thickBot="1">
      <c r="A125" s="33"/>
      <c r="B125" s="33"/>
    </row>
    <row r="126" spans="1:2" ht="23.25" customHeight="1">
      <c r="A126" s="1356" t="s">
        <v>531</v>
      </c>
      <c r="B126" s="1357"/>
    </row>
    <row r="127" spans="1:2" ht="23.25" customHeight="1">
      <c r="A127" s="1098" t="s">
        <v>576</v>
      </c>
      <c r="B127" s="949">
        <v>120</v>
      </c>
    </row>
    <row r="128" spans="1:2" ht="23.25" customHeight="1" thickBot="1">
      <c r="A128" s="122" t="s">
        <v>490</v>
      </c>
      <c r="B128" s="1109">
        <v>1267004</v>
      </c>
    </row>
    <row r="129" spans="1:2" ht="23.25" customHeight="1" thickBot="1">
      <c r="A129" s="1107" t="s">
        <v>484</v>
      </c>
      <c r="B129" s="1108">
        <v>6000000</v>
      </c>
    </row>
    <row r="130" spans="1:2" ht="23.25" customHeight="1" thickBot="1">
      <c r="A130" s="33"/>
      <c r="B130" s="33"/>
    </row>
    <row r="131" spans="1:2" ht="23.25" customHeight="1">
      <c r="A131" s="1356" t="s">
        <v>538</v>
      </c>
      <c r="B131" s="1357"/>
    </row>
    <row r="132" spans="1:2" ht="23.25" customHeight="1">
      <c r="A132" s="1098" t="s">
        <v>542</v>
      </c>
      <c r="B132" s="1121">
        <v>5708333</v>
      </c>
    </row>
    <row r="133" spans="1:2" ht="23.25" customHeight="1" thickBot="1">
      <c r="A133" s="122" t="s">
        <v>433</v>
      </c>
      <c r="B133" s="1109">
        <v>300</v>
      </c>
    </row>
    <row r="134" spans="1:2" ht="23.25" customHeight="1" thickBot="1">
      <c r="A134" s="1107" t="s">
        <v>539</v>
      </c>
      <c r="B134" s="1108">
        <v>5708333.333333333</v>
      </c>
    </row>
    <row r="135" spans="1:2" ht="23.25" customHeight="1" thickBot="1">
      <c r="A135" s="33"/>
      <c r="B135" s="33"/>
    </row>
    <row r="136" spans="1:2" ht="23.25" customHeight="1">
      <c r="A136" s="1356" t="s">
        <v>488</v>
      </c>
      <c r="B136" s="1357"/>
    </row>
    <row r="137" spans="1:2" ht="23.25" customHeight="1" thickBot="1">
      <c r="A137" s="122" t="s">
        <v>489</v>
      </c>
      <c r="B137" s="1109">
        <v>7234545.9380763592</v>
      </c>
    </row>
    <row r="138" spans="1:2" ht="23.25" customHeight="1" thickBot="1">
      <c r="A138" s="1107" t="s">
        <v>537</v>
      </c>
      <c r="B138" s="1108">
        <v>4000000</v>
      </c>
    </row>
    <row r="139" spans="1:2" ht="23.25" customHeight="1" thickBot="1">
      <c r="A139" s="1119"/>
      <c r="B139" s="1120"/>
    </row>
    <row r="140" spans="1:2" ht="23.25" customHeight="1">
      <c r="A140" s="1082" t="s">
        <v>540</v>
      </c>
      <c r="B140" s="1083"/>
    </row>
    <row r="141" spans="1:2" ht="23.25" customHeight="1" thickBot="1">
      <c r="A141" s="1098" t="s">
        <v>541</v>
      </c>
      <c r="B141" s="1121">
        <v>300</v>
      </c>
    </row>
    <row r="142" spans="1:2" ht="23.25" customHeight="1" thickBot="1">
      <c r="A142" s="122"/>
      <c r="B142" s="1109"/>
    </row>
    <row r="143" spans="1:2" ht="23.25" customHeight="1" thickBot="1">
      <c r="A143" s="1107" t="s">
        <v>420</v>
      </c>
      <c r="B143" s="1108">
        <v>3000000</v>
      </c>
    </row>
  </sheetData>
  <mergeCells count="17">
    <mergeCell ref="A112:B112"/>
    <mergeCell ref="A126:B126"/>
    <mergeCell ref="A131:B131"/>
    <mergeCell ref="A136:B136"/>
    <mergeCell ref="A100:C100"/>
    <mergeCell ref="A103:C103"/>
    <mergeCell ref="B43:C43"/>
    <mergeCell ref="A49:B49"/>
    <mergeCell ref="C49:D49"/>
    <mergeCell ref="A78:B78"/>
    <mergeCell ref="A92:B92"/>
    <mergeCell ref="D2:E2"/>
    <mergeCell ref="B42:C42"/>
    <mergeCell ref="B37:C37"/>
    <mergeCell ref="B38:C38"/>
    <mergeCell ref="C34:D34"/>
    <mergeCell ref="A34:B34"/>
  </mergeCells>
  <printOptions horizontalCentered="1" verticalCentered="1"/>
  <pageMargins left="0.7" right="0.7" top="0.75" bottom="0.75" header="0.3" footer="0.3"/>
  <pageSetup scale="71"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ignoredErrors>
    <ignoredError sqref="C23" formula="1"/>
  </ignoredError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DB75A-F282-4C6B-8AB2-C98A1ACEC3CD}">
  <sheetPr>
    <tabColor rgb="FF0070C0"/>
  </sheetPr>
  <dimension ref="A1:BX598"/>
  <sheetViews>
    <sheetView zoomScaleNormal="100" zoomScalePageLayoutView="125" workbookViewId="0">
      <pane xSplit="1" ySplit="3" topLeftCell="C4" activePane="bottomRight" state="frozen"/>
      <selection pane="topRight" activeCell="B1" sqref="B1"/>
      <selection pane="bottomLeft" activeCell="A4" sqref="A4"/>
      <selection pane="bottomRight" activeCell="H48" sqref="H48"/>
    </sheetView>
  </sheetViews>
  <sheetFormatPr defaultColWidth="8.796875" defaultRowHeight="12.75"/>
  <cols>
    <col min="1" max="1" width="45.53125" style="37" customWidth="1"/>
    <col min="2" max="2" width="21.46484375" style="37" customWidth="1"/>
    <col min="3" max="3" width="18.19921875" style="37" customWidth="1"/>
    <col min="4" max="4" width="15.53125" style="37" customWidth="1"/>
    <col min="5" max="5" width="16.796875" style="37" customWidth="1"/>
    <col min="6" max="6" width="18.53125" style="37" customWidth="1"/>
    <col min="7" max="7" width="19" style="167" bestFit="1" customWidth="1"/>
    <col min="8" max="8" width="19" style="37" customWidth="1"/>
    <col min="9" max="9" width="13.46484375" style="37" customWidth="1"/>
    <col min="10" max="10" width="16.46484375" style="37" customWidth="1"/>
    <col min="11" max="11" width="12.46484375" style="37" customWidth="1"/>
    <col min="12" max="12" width="14.19921875" style="37" customWidth="1"/>
    <col min="13" max="13" width="14.46484375" style="37" customWidth="1"/>
    <col min="14" max="14" width="15.46484375" style="37" customWidth="1"/>
    <col min="15" max="15" width="20" style="37" bestFit="1" customWidth="1"/>
    <col min="16" max="16" width="22.19921875" style="37" customWidth="1"/>
    <col min="17" max="17" width="19.46484375" style="37" customWidth="1"/>
    <col min="18" max="19" width="14" style="37" customWidth="1"/>
    <col min="20" max="20" width="12.796875" style="37" customWidth="1"/>
    <col min="21" max="21" width="14.46484375" style="37" customWidth="1"/>
    <col min="22" max="22" width="12.53125" style="37" customWidth="1"/>
    <col min="23" max="23" width="17" style="37" customWidth="1"/>
    <col min="24" max="24" width="16.46484375" style="37" customWidth="1"/>
    <col min="25" max="25" width="13.46484375" style="37" customWidth="1"/>
    <col min="26" max="26" width="15" style="37" customWidth="1"/>
    <col min="27" max="27" width="13.46484375" style="37" customWidth="1"/>
    <col min="28" max="28" width="16.796875" style="168" customWidth="1"/>
    <col min="29" max="29" width="15" style="37" customWidth="1"/>
    <col min="30" max="30" width="16.19921875" style="37" customWidth="1"/>
    <col min="31" max="31" width="13.46484375" style="168" customWidth="1"/>
    <col min="32" max="32" width="17.19921875" style="37" customWidth="1"/>
    <col min="33" max="33" width="14.46484375" style="37" customWidth="1"/>
    <col min="34" max="34" width="17.53125" style="37" customWidth="1"/>
    <col min="35" max="35" width="14.46484375" style="37" customWidth="1"/>
    <col min="36" max="36" width="14.796875" style="37" customWidth="1"/>
    <col min="37" max="37" width="15" style="37" customWidth="1"/>
    <col min="38" max="38" width="15.19921875" style="37" customWidth="1"/>
    <col min="39" max="39" width="13.53125" style="37" customWidth="1"/>
    <col min="40" max="40" width="13.796875" style="37" hidden="1" customWidth="1"/>
    <col min="41" max="41" width="15.53125" style="37" hidden="1" customWidth="1"/>
    <col min="42" max="43" width="15" style="37" hidden="1" customWidth="1"/>
    <col min="44" max="44" width="15.19921875" style="37" hidden="1" customWidth="1"/>
    <col min="45" max="47" width="13.46484375" style="37" hidden="1" customWidth="1"/>
    <col min="48" max="73" width="17" style="37" customWidth="1"/>
    <col min="74" max="74" width="16.53125" style="37" customWidth="1"/>
    <col min="75" max="75" width="15" style="37" customWidth="1"/>
    <col min="76" max="76" width="17.796875" style="37" bestFit="1" customWidth="1"/>
    <col min="77" max="77" width="9.53125" style="37" bestFit="1" customWidth="1"/>
    <col min="78" max="78" width="11.796875" style="37" bestFit="1" customWidth="1"/>
    <col min="79" max="80" width="9.53125" style="37" bestFit="1" customWidth="1"/>
    <col min="81" max="16384" width="8.796875" style="37"/>
  </cols>
  <sheetData>
    <row r="1" spans="1:76" ht="14.25">
      <c r="A1" s="1425">
        <f>'Development Program'!A52</f>
        <v>0</v>
      </c>
      <c r="B1" s="253" t="s">
        <v>280</v>
      </c>
      <c r="C1" s="242" t="str">
        <f>'Development Program'!B48</f>
        <v>Pre-Development</v>
      </c>
      <c r="D1" s="242" t="str">
        <f>'Development Program'!C48</f>
        <v>Demolition</v>
      </c>
      <c r="E1" s="242" t="str">
        <f>'Development Program'!D48</f>
        <v>Construction</v>
      </c>
      <c r="F1" s="243" t="str">
        <f>'Development Program'!E48</f>
        <v>Close-out</v>
      </c>
      <c r="G1" s="37"/>
      <c r="X1" s="246" t="s">
        <v>329</v>
      </c>
      <c r="AG1" s="246"/>
      <c r="AJ1" s="246" t="s">
        <v>332</v>
      </c>
      <c r="BV1"/>
      <c r="BW1"/>
      <c r="BX1"/>
    </row>
    <row r="2" spans="1:76" ht="14.65" thickBot="1">
      <c r="A2" s="1426"/>
      <c r="B2" s="456" t="s">
        <v>281</v>
      </c>
      <c r="C2" s="458" t="s">
        <v>552</v>
      </c>
      <c r="D2" s="458" t="s">
        <v>560</v>
      </c>
      <c r="E2" s="458" t="s">
        <v>553</v>
      </c>
      <c r="F2" s="458" t="s">
        <v>554</v>
      </c>
      <c r="G2" s="246"/>
      <c r="K2" s="37" t="s">
        <v>575</v>
      </c>
      <c r="Q2" s="246"/>
      <c r="X2" s="246" t="s">
        <v>330</v>
      </c>
      <c r="AG2" s="246"/>
      <c r="AH2" s="1178"/>
      <c r="AJ2" s="246" t="s">
        <v>331</v>
      </c>
      <c r="AK2" s="1178"/>
      <c r="AM2" s="246" t="s">
        <v>333</v>
      </c>
      <c r="AV2" s="1432" t="s">
        <v>287</v>
      </c>
      <c r="AW2" s="1432"/>
      <c r="AX2" s="1432"/>
      <c r="AY2" s="265"/>
      <c r="BV2"/>
      <c r="BW2"/>
      <c r="BX2"/>
    </row>
    <row r="3" spans="1:76" ht="14.65" thickBot="1">
      <c r="A3" s="1427"/>
      <c r="B3" s="171" t="s">
        <v>155</v>
      </c>
      <c r="C3" s="244">
        <v>45658</v>
      </c>
      <c r="D3" s="245">
        <f>EOMONTH(C3,3)</f>
        <v>45777</v>
      </c>
      <c r="E3" s="245">
        <f t="shared" ref="E3:AU3" si="0">EOMONTH(D3,3)</f>
        <v>45869</v>
      </c>
      <c r="F3" s="245">
        <f t="shared" si="0"/>
        <v>45961</v>
      </c>
      <c r="G3" s="289">
        <f t="shared" si="0"/>
        <v>46053</v>
      </c>
      <c r="H3" s="289">
        <f t="shared" si="0"/>
        <v>46142</v>
      </c>
      <c r="I3" s="289">
        <f t="shared" si="0"/>
        <v>46234</v>
      </c>
      <c r="J3" s="289">
        <f t="shared" si="0"/>
        <v>46326</v>
      </c>
      <c r="K3" s="289">
        <f t="shared" si="0"/>
        <v>46418</v>
      </c>
      <c r="L3" s="289">
        <f t="shared" si="0"/>
        <v>46507</v>
      </c>
      <c r="M3" s="289">
        <f t="shared" si="0"/>
        <v>46599</v>
      </c>
      <c r="N3" s="289">
        <f t="shared" si="0"/>
        <v>46691</v>
      </c>
      <c r="O3" s="289">
        <f t="shared" si="0"/>
        <v>46783</v>
      </c>
      <c r="P3" s="289">
        <f t="shared" si="0"/>
        <v>46873</v>
      </c>
      <c r="Q3" s="289">
        <f t="shared" si="0"/>
        <v>46965</v>
      </c>
      <c r="R3" s="289">
        <f t="shared" si="0"/>
        <v>47057</v>
      </c>
      <c r="S3" s="289">
        <f t="shared" si="0"/>
        <v>47149</v>
      </c>
      <c r="T3" s="289">
        <f t="shared" si="0"/>
        <v>47238</v>
      </c>
      <c r="U3" s="289">
        <f t="shared" si="0"/>
        <v>47330</v>
      </c>
      <c r="V3" s="289">
        <f t="shared" si="0"/>
        <v>47422</v>
      </c>
      <c r="W3" s="289">
        <f t="shared" si="0"/>
        <v>47514</v>
      </c>
      <c r="X3" s="289">
        <f t="shared" si="0"/>
        <v>47603</v>
      </c>
      <c r="Y3" s="289">
        <f t="shared" si="0"/>
        <v>47695</v>
      </c>
      <c r="Z3" s="289">
        <f t="shared" si="0"/>
        <v>47787</v>
      </c>
      <c r="AA3" s="289">
        <f t="shared" si="0"/>
        <v>47879</v>
      </c>
      <c r="AB3" s="289">
        <f t="shared" si="0"/>
        <v>47968</v>
      </c>
      <c r="AC3" s="289">
        <f t="shared" si="0"/>
        <v>48060</v>
      </c>
      <c r="AD3" s="289">
        <f t="shared" si="0"/>
        <v>48152</v>
      </c>
      <c r="AE3" s="289">
        <f t="shared" si="0"/>
        <v>48244</v>
      </c>
      <c r="AF3" s="289">
        <f t="shared" si="0"/>
        <v>48334</v>
      </c>
      <c r="AG3" s="289">
        <f t="shared" si="0"/>
        <v>48426</v>
      </c>
      <c r="AH3" s="289">
        <f t="shared" si="0"/>
        <v>48518</v>
      </c>
      <c r="AI3" s="289">
        <f t="shared" si="0"/>
        <v>48610</v>
      </c>
      <c r="AJ3" s="289">
        <f t="shared" si="0"/>
        <v>48699</v>
      </c>
      <c r="AK3" s="289">
        <f t="shared" si="0"/>
        <v>48791</v>
      </c>
      <c r="AL3" s="289">
        <f t="shared" si="0"/>
        <v>48883</v>
      </c>
      <c r="AM3" s="289">
        <f t="shared" si="0"/>
        <v>48975</v>
      </c>
      <c r="AN3" s="289">
        <f t="shared" si="0"/>
        <v>49064</v>
      </c>
      <c r="AO3" s="289">
        <f t="shared" si="0"/>
        <v>49156</v>
      </c>
      <c r="AP3" s="289">
        <f t="shared" si="0"/>
        <v>49248</v>
      </c>
      <c r="AQ3" s="289">
        <f t="shared" si="0"/>
        <v>49340</v>
      </c>
      <c r="AR3" s="289">
        <f t="shared" si="0"/>
        <v>49429</v>
      </c>
      <c r="AS3" s="289">
        <f t="shared" si="0"/>
        <v>49521</v>
      </c>
      <c r="AT3" s="289">
        <f t="shared" si="0"/>
        <v>49613</v>
      </c>
      <c r="AU3" s="289">
        <f t="shared" si="0"/>
        <v>49705</v>
      </c>
      <c r="AV3" s="593" t="s">
        <v>288</v>
      </c>
      <c r="AW3" s="461" t="s">
        <v>289</v>
      </c>
      <c r="AX3" s="460"/>
      <c r="AY3" s="460"/>
      <c r="AZ3" s="460"/>
      <c r="BA3" s="460"/>
      <c r="BB3" s="460"/>
      <c r="BC3" s="594"/>
      <c r="BD3" s="594"/>
      <c r="BE3" s="594"/>
      <c r="BF3" s="594"/>
      <c r="BG3" s="594"/>
      <c r="BH3" s="594"/>
      <c r="BI3" s="594"/>
      <c r="BJ3" s="594"/>
      <c r="BK3" s="594"/>
      <c r="BL3" s="594"/>
      <c r="BM3" s="594"/>
      <c r="BN3" s="594"/>
      <c r="BO3" s="594"/>
      <c r="BP3" s="594"/>
      <c r="BQ3" s="594"/>
      <c r="BR3" s="594"/>
      <c r="BS3" s="594"/>
      <c r="BT3" s="594"/>
      <c r="BU3" s="594"/>
      <c r="BV3"/>
      <c r="BW3"/>
      <c r="BX3"/>
    </row>
    <row r="4" spans="1:76" ht="14.65" thickBot="1">
      <c r="A4" s="462" t="s">
        <v>290</v>
      </c>
      <c r="B4" s="463">
        <v>1</v>
      </c>
      <c r="C4" s="281">
        <v>0</v>
      </c>
      <c r="D4" s="281">
        <v>0</v>
      </c>
      <c r="E4" s="281">
        <v>0</v>
      </c>
      <c r="F4" s="281">
        <f t="shared" ref="F4:G4" si="1">E4</f>
        <v>0</v>
      </c>
      <c r="G4" s="280">
        <f t="shared" si="1"/>
        <v>0</v>
      </c>
      <c r="H4" s="280">
        <f t="shared" ref="H4" si="2">G4</f>
        <v>0</v>
      </c>
      <c r="I4" s="280">
        <f t="shared" ref="I4" si="3">H4</f>
        <v>0</v>
      </c>
      <c r="J4" s="280">
        <f t="shared" ref="J4" si="4">I4</f>
        <v>0</v>
      </c>
      <c r="K4" s="280">
        <f t="shared" ref="K4" si="5">J4</f>
        <v>0</v>
      </c>
      <c r="L4" s="280">
        <f t="shared" ref="L4" si="6">K4</f>
        <v>0</v>
      </c>
      <c r="M4" s="280">
        <f t="shared" ref="M4" si="7">L4</f>
        <v>0</v>
      </c>
      <c r="N4" s="280">
        <f t="shared" ref="N4" si="8">M4</f>
        <v>0</v>
      </c>
      <c r="O4" s="280">
        <v>0</v>
      </c>
      <c r="P4" s="280">
        <v>0</v>
      </c>
      <c r="Q4" s="280">
        <v>0</v>
      </c>
      <c r="R4" s="280">
        <v>0</v>
      </c>
      <c r="S4" s="280">
        <v>0</v>
      </c>
      <c r="T4" s="280">
        <v>0</v>
      </c>
      <c r="U4" s="280">
        <v>0</v>
      </c>
      <c r="V4" s="280">
        <v>0</v>
      </c>
      <c r="W4" s="280">
        <v>0</v>
      </c>
      <c r="X4" s="280">
        <v>0.06</v>
      </c>
      <c r="Y4" s="280">
        <v>0.06</v>
      </c>
      <c r="Z4" s="280">
        <v>0.08</v>
      </c>
      <c r="AA4" s="280">
        <v>0.08</v>
      </c>
      <c r="AB4" s="280">
        <v>0.08</v>
      </c>
      <c r="AC4" s="280">
        <v>0.08</v>
      </c>
      <c r="AD4" s="280">
        <v>0.08</v>
      </c>
      <c r="AE4" s="280">
        <v>0.08</v>
      </c>
      <c r="AF4" s="280">
        <v>0.08</v>
      </c>
      <c r="AG4" s="280">
        <v>0.08</v>
      </c>
      <c r="AH4" s="280">
        <v>0.08</v>
      </c>
      <c r="AI4" s="280">
        <v>0.08</v>
      </c>
      <c r="AJ4" s="280">
        <v>0.08</v>
      </c>
      <c r="AK4" s="280"/>
      <c r="AL4" s="280"/>
      <c r="AM4" s="280"/>
      <c r="AN4" s="280"/>
      <c r="AO4" s="280"/>
      <c r="AP4" s="280"/>
      <c r="AQ4" s="280"/>
      <c r="AR4" s="280"/>
      <c r="AS4" s="280"/>
      <c r="AT4" s="280"/>
      <c r="AU4" s="280"/>
      <c r="AV4" s="296">
        <f t="shared" ref="AV4:AV25" si="9">SUM(C4:AU4)</f>
        <v>0.99999999999999978</v>
      </c>
      <c r="AW4" s="465"/>
      <c r="AX4" s="255" t="s">
        <v>291</v>
      </c>
      <c r="AY4" s="172"/>
      <c r="AZ4" s="172"/>
      <c r="BA4" s="172"/>
      <c r="BB4" s="172"/>
      <c r="BC4" s="172"/>
      <c r="BD4" s="172"/>
      <c r="BE4" s="172"/>
      <c r="BF4" s="172"/>
      <c r="BG4" s="172"/>
      <c r="BH4" s="172"/>
      <c r="BI4" s="172"/>
      <c r="BJ4" s="172"/>
      <c r="BK4" s="172"/>
      <c r="BL4" s="172"/>
      <c r="BM4" s="172"/>
      <c r="BN4" s="172"/>
      <c r="BO4" s="172"/>
      <c r="BP4" s="172"/>
      <c r="BQ4" s="172"/>
      <c r="BR4" s="172"/>
      <c r="BS4" s="172"/>
      <c r="BT4" s="172"/>
      <c r="BU4" s="172"/>
      <c r="BV4"/>
      <c r="BW4"/>
      <c r="BX4"/>
    </row>
    <row r="5" spans="1:76" ht="14.25">
      <c r="A5" s="466" t="str">
        <f>'Phase 3 Financial'!A51</f>
        <v>Hard Costs for Construction</v>
      </c>
      <c r="B5" s="576">
        <f>'Phase 3 Financial'!C51</f>
        <v>147555000</v>
      </c>
      <c r="C5" s="468">
        <f t="shared" ref="C5:N5" si="10">$B$5*C4</f>
        <v>0</v>
      </c>
      <c r="D5" s="468">
        <f t="shared" si="10"/>
        <v>0</v>
      </c>
      <c r="E5" s="468">
        <f t="shared" si="10"/>
        <v>0</v>
      </c>
      <c r="F5" s="468">
        <f t="shared" si="10"/>
        <v>0</v>
      </c>
      <c r="G5" s="468">
        <f t="shared" si="10"/>
        <v>0</v>
      </c>
      <c r="H5" s="468">
        <f t="shared" si="10"/>
        <v>0</v>
      </c>
      <c r="I5" s="468">
        <f t="shared" si="10"/>
        <v>0</v>
      </c>
      <c r="J5" s="468">
        <f t="shared" si="10"/>
        <v>0</v>
      </c>
      <c r="K5" s="468">
        <f t="shared" si="10"/>
        <v>0</v>
      </c>
      <c r="L5" s="468">
        <f t="shared" si="10"/>
        <v>0</v>
      </c>
      <c r="M5" s="468">
        <f t="shared" si="10"/>
        <v>0</v>
      </c>
      <c r="N5" s="468">
        <f t="shared" si="10"/>
        <v>0</v>
      </c>
      <c r="O5" s="468">
        <f t="shared" ref="O5:AD5" si="11">$B$5*O4</f>
        <v>0</v>
      </c>
      <c r="P5" s="468">
        <f t="shared" si="11"/>
        <v>0</v>
      </c>
      <c r="Q5" s="468">
        <f t="shared" si="11"/>
        <v>0</v>
      </c>
      <c r="R5" s="468">
        <f t="shared" si="11"/>
        <v>0</v>
      </c>
      <c r="S5" s="468">
        <f t="shared" si="11"/>
        <v>0</v>
      </c>
      <c r="T5" s="468">
        <f t="shared" si="11"/>
        <v>0</v>
      </c>
      <c r="U5" s="468">
        <f t="shared" si="11"/>
        <v>0</v>
      </c>
      <c r="V5" s="468">
        <f t="shared" si="11"/>
        <v>0</v>
      </c>
      <c r="W5" s="468">
        <f t="shared" si="11"/>
        <v>0</v>
      </c>
      <c r="X5" s="468">
        <f t="shared" si="11"/>
        <v>8853300</v>
      </c>
      <c r="Y5" s="468">
        <f t="shared" si="11"/>
        <v>8853300</v>
      </c>
      <c r="Z5" s="468">
        <f t="shared" si="11"/>
        <v>11804400</v>
      </c>
      <c r="AA5" s="468">
        <f t="shared" si="11"/>
        <v>11804400</v>
      </c>
      <c r="AB5" s="468">
        <f t="shared" si="11"/>
        <v>11804400</v>
      </c>
      <c r="AC5" s="468">
        <f t="shared" si="11"/>
        <v>11804400</v>
      </c>
      <c r="AD5" s="468">
        <f t="shared" si="11"/>
        <v>11804400</v>
      </c>
      <c r="AE5" s="468">
        <f t="shared" ref="AE5:AL5" si="12">$B$5*AE4</f>
        <v>11804400</v>
      </c>
      <c r="AF5" s="468">
        <f t="shared" si="12"/>
        <v>11804400</v>
      </c>
      <c r="AG5" s="468">
        <f t="shared" si="12"/>
        <v>11804400</v>
      </c>
      <c r="AH5" s="468">
        <f t="shared" si="12"/>
        <v>11804400</v>
      </c>
      <c r="AI5" s="468">
        <f t="shared" si="12"/>
        <v>11804400</v>
      </c>
      <c r="AJ5" s="468">
        <f t="shared" si="12"/>
        <v>11804400</v>
      </c>
      <c r="AK5" s="468">
        <f t="shared" si="12"/>
        <v>0</v>
      </c>
      <c r="AL5" s="468">
        <f t="shared" si="12"/>
        <v>0</v>
      </c>
      <c r="AM5" s="468"/>
      <c r="AN5" s="468"/>
      <c r="AO5" s="468"/>
      <c r="AP5" s="468"/>
      <c r="AQ5" s="468"/>
      <c r="AR5" s="468"/>
      <c r="AS5" s="468"/>
      <c r="AT5" s="468"/>
      <c r="AU5" s="468"/>
      <c r="AV5" s="257">
        <f t="shared" si="9"/>
        <v>147555000</v>
      </c>
      <c r="AW5" s="469">
        <f t="shared" ref="AW5:AW25" si="13">B5</f>
        <v>147555000</v>
      </c>
      <c r="AX5" s="469">
        <f>AW5-AV5</f>
        <v>0</v>
      </c>
      <c r="AY5" s="469"/>
      <c r="AZ5" s="469"/>
      <c r="BA5" s="469"/>
      <c r="BB5" s="469"/>
      <c r="BC5" s="469"/>
      <c r="BD5" s="469"/>
      <c r="BE5" s="469"/>
      <c r="BF5" s="469"/>
      <c r="BG5" s="469"/>
      <c r="BH5" s="469"/>
      <c r="BI5" s="469"/>
      <c r="BJ5" s="469"/>
      <c r="BK5" s="469"/>
      <c r="BL5" s="469"/>
      <c r="BM5" s="469"/>
      <c r="BN5" s="469"/>
      <c r="BO5" s="469"/>
      <c r="BP5" s="469"/>
      <c r="BQ5" s="469"/>
      <c r="BR5" s="469"/>
      <c r="BS5" s="469"/>
      <c r="BT5" s="469"/>
      <c r="BU5" s="469"/>
      <c r="BV5"/>
      <c r="BW5"/>
      <c r="BX5"/>
    </row>
    <row r="6" spans="1:76" ht="14.25">
      <c r="A6" s="466" t="str">
        <f>'Phase 3 Financial'!A52</f>
        <v>Parking stalls</v>
      </c>
      <c r="B6" s="576">
        <f>'Phase 3 Financial'!C52</f>
        <v>2520000</v>
      </c>
      <c r="C6" s="468">
        <f>$B$6*C4</f>
        <v>0</v>
      </c>
      <c r="D6" s="468">
        <f t="shared" ref="D6:N6" si="14">$B$6*D4</f>
        <v>0</v>
      </c>
      <c r="E6" s="468">
        <f t="shared" si="14"/>
        <v>0</v>
      </c>
      <c r="F6" s="468">
        <f t="shared" si="14"/>
        <v>0</v>
      </c>
      <c r="G6" s="468">
        <f t="shared" si="14"/>
        <v>0</v>
      </c>
      <c r="H6" s="468">
        <f t="shared" si="14"/>
        <v>0</v>
      </c>
      <c r="I6" s="468">
        <f t="shared" si="14"/>
        <v>0</v>
      </c>
      <c r="J6" s="468">
        <f t="shared" si="14"/>
        <v>0</v>
      </c>
      <c r="K6" s="468">
        <f t="shared" si="14"/>
        <v>0</v>
      </c>
      <c r="L6" s="468">
        <f t="shared" si="14"/>
        <v>0</v>
      </c>
      <c r="M6" s="468">
        <f t="shared" si="14"/>
        <v>0</v>
      </c>
      <c r="N6" s="468">
        <f t="shared" si="14"/>
        <v>0</v>
      </c>
      <c r="O6" s="468">
        <f t="shared" ref="O6:AD6" si="15">$B$6*O4</f>
        <v>0</v>
      </c>
      <c r="P6" s="468">
        <f t="shared" si="15"/>
        <v>0</v>
      </c>
      <c r="Q6" s="468">
        <f t="shared" si="15"/>
        <v>0</v>
      </c>
      <c r="R6" s="468">
        <f t="shared" si="15"/>
        <v>0</v>
      </c>
      <c r="S6" s="468">
        <f t="shared" si="15"/>
        <v>0</v>
      </c>
      <c r="T6" s="468">
        <f t="shared" si="15"/>
        <v>0</v>
      </c>
      <c r="U6" s="468">
        <f t="shared" si="15"/>
        <v>0</v>
      </c>
      <c r="V6" s="468">
        <f t="shared" si="15"/>
        <v>0</v>
      </c>
      <c r="W6" s="468">
        <f t="shared" si="15"/>
        <v>0</v>
      </c>
      <c r="X6" s="468">
        <f t="shared" si="15"/>
        <v>151200</v>
      </c>
      <c r="Y6" s="468">
        <f t="shared" si="15"/>
        <v>151200</v>
      </c>
      <c r="Z6" s="468">
        <f t="shared" si="15"/>
        <v>201600</v>
      </c>
      <c r="AA6" s="468">
        <f t="shared" si="15"/>
        <v>201600</v>
      </c>
      <c r="AB6" s="468">
        <f t="shared" si="15"/>
        <v>201600</v>
      </c>
      <c r="AC6" s="468">
        <f t="shared" si="15"/>
        <v>201600</v>
      </c>
      <c r="AD6" s="468">
        <f t="shared" si="15"/>
        <v>201600</v>
      </c>
      <c r="AE6" s="468">
        <f t="shared" ref="AE6:AL6" si="16">$B$6*AE4</f>
        <v>201600</v>
      </c>
      <c r="AF6" s="468">
        <f t="shared" si="16"/>
        <v>201600</v>
      </c>
      <c r="AG6" s="468">
        <f t="shared" si="16"/>
        <v>201600</v>
      </c>
      <c r="AH6" s="468">
        <f t="shared" si="16"/>
        <v>201600</v>
      </c>
      <c r="AI6" s="468">
        <f t="shared" si="16"/>
        <v>201600</v>
      </c>
      <c r="AJ6" s="468">
        <f t="shared" si="16"/>
        <v>201600</v>
      </c>
      <c r="AK6" s="468">
        <f t="shared" si="16"/>
        <v>0</v>
      </c>
      <c r="AL6" s="468">
        <f t="shared" si="16"/>
        <v>0</v>
      </c>
      <c r="AM6" s="468"/>
      <c r="AN6" s="468"/>
      <c r="AO6" s="468"/>
      <c r="AP6" s="468"/>
      <c r="AQ6" s="468"/>
      <c r="AR6" s="468"/>
      <c r="AS6" s="468"/>
      <c r="AT6" s="468"/>
      <c r="AU6" s="468"/>
      <c r="AV6" s="469">
        <f t="shared" si="9"/>
        <v>2520000</v>
      </c>
      <c r="AW6" s="469">
        <f t="shared" si="13"/>
        <v>2520000</v>
      </c>
      <c r="AX6" s="469">
        <f t="shared" ref="AX6:AX25" si="17">AW6-AV6</f>
        <v>0</v>
      </c>
      <c r="AY6" s="469"/>
      <c r="AZ6" s="469"/>
      <c r="BA6" s="469"/>
      <c r="BB6" s="469"/>
      <c r="BC6" s="469"/>
      <c r="BD6" s="469"/>
      <c r="BE6" s="469"/>
      <c r="BF6" s="469"/>
      <c r="BG6" s="469"/>
      <c r="BH6" s="469"/>
      <c r="BI6" s="469"/>
      <c r="BJ6" s="469"/>
      <c r="BK6" s="469"/>
      <c r="BL6" s="469"/>
      <c r="BM6" s="469"/>
      <c r="BN6" s="469"/>
      <c r="BO6" s="469"/>
      <c r="BP6" s="469"/>
      <c r="BQ6" s="469"/>
      <c r="BR6" s="469"/>
      <c r="BS6" s="469"/>
      <c r="BT6" s="469"/>
      <c r="BU6" s="469"/>
      <c r="BV6"/>
      <c r="BW6"/>
      <c r="BX6"/>
    </row>
    <row r="7" spans="1:76" ht="14.25">
      <c r="A7" s="466" t="str">
        <f>'Phase 3 Financial'!A53</f>
        <v>Hard Cost Contingency</v>
      </c>
      <c r="B7" s="576">
        <f>'Phase 3 Financial'!C53</f>
        <v>7377750</v>
      </c>
      <c r="C7" s="468">
        <f t="shared" ref="C7:N7" si="18">$B7*C$4</f>
        <v>0</v>
      </c>
      <c r="D7" s="468">
        <f t="shared" si="18"/>
        <v>0</v>
      </c>
      <c r="E7" s="468">
        <f t="shared" si="18"/>
        <v>0</v>
      </c>
      <c r="F7" s="468">
        <f t="shared" si="18"/>
        <v>0</v>
      </c>
      <c r="G7" s="468">
        <f t="shared" si="18"/>
        <v>0</v>
      </c>
      <c r="H7" s="468">
        <f t="shared" si="18"/>
        <v>0</v>
      </c>
      <c r="I7" s="468">
        <f t="shared" si="18"/>
        <v>0</v>
      </c>
      <c r="J7" s="468">
        <f t="shared" si="18"/>
        <v>0</v>
      </c>
      <c r="K7" s="468">
        <f t="shared" si="18"/>
        <v>0</v>
      </c>
      <c r="L7" s="468">
        <f t="shared" si="18"/>
        <v>0</v>
      </c>
      <c r="M7" s="468">
        <f t="shared" si="18"/>
        <v>0</v>
      </c>
      <c r="N7" s="468">
        <f t="shared" si="18"/>
        <v>0</v>
      </c>
      <c r="O7" s="468">
        <f t="shared" ref="O7:AD7" si="19">$B7*O$4</f>
        <v>0</v>
      </c>
      <c r="P7" s="468">
        <f t="shared" si="19"/>
        <v>0</v>
      </c>
      <c r="Q7" s="468">
        <f t="shared" si="19"/>
        <v>0</v>
      </c>
      <c r="R7" s="468">
        <f t="shared" si="19"/>
        <v>0</v>
      </c>
      <c r="S7" s="468">
        <f t="shared" si="19"/>
        <v>0</v>
      </c>
      <c r="T7" s="468">
        <f t="shared" si="19"/>
        <v>0</v>
      </c>
      <c r="U7" s="468">
        <f t="shared" si="19"/>
        <v>0</v>
      </c>
      <c r="V7" s="468">
        <f t="shared" si="19"/>
        <v>0</v>
      </c>
      <c r="W7" s="468">
        <f t="shared" si="19"/>
        <v>0</v>
      </c>
      <c r="X7" s="468">
        <f t="shared" si="19"/>
        <v>442665</v>
      </c>
      <c r="Y7" s="468">
        <f t="shared" si="19"/>
        <v>442665</v>
      </c>
      <c r="Z7" s="468">
        <f t="shared" si="19"/>
        <v>590220</v>
      </c>
      <c r="AA7" s="468">
        <f t="shared" si="19"/>
        <v>590220</v>
      </c>
      <c r="AB7" s="468">
        <f t="shared" si="19"/>
        <v>590220</v>
      </c>
      <c r="AC7" s="468">
        <f t="shared" si="19"/>
        <v>590220</v>
      </c>
      <c r="AD7" s="468">
        <f t="shared" si="19"/>
        <v>590220</v>
      </c>
      <c r="AE7" s="468">
        <f t="shared" ref="AE7:AL7" si="20">$B7*AE$4</f>
        <v>590220</v>
      </c>
      <c r="AF7" s="468">
        <f t="shared" si="20"/>
        <v>590220</v>
      </c>
      <c r="AG7" s="468">
        <f t="shared" si="20"/>
        <v>590220</v>
      </c>
      <c r="AH7" s="468">
        <f t="shared" si="20"/>
        <v>590220</v>
      </c>
      <c r="AI7" s="468">
        <f t="shared" si="20"/>
        <v>590220</v>
      </c>
      <c r="AJ7" s="468">
        <f t="shared" si="20"/>
        <v>590220</v>
      </c>
      <c r="AK7" s="468">
        <f t="shared" si="20"/>
        <v>0</v>
      </c>
      <c r="AL7" s="468">
        <f t="shared" si="20"/>
        <v>0</v>
      </c>
      <c r="AM7" s="468"/>
      <c r="AN7" s="468"/>
      <c r="AO7" s="468"/>
      <c r="AP7" s="468"/>
      <c r="AQ7" s="468"/>
      <c r="AR7" s="468"/>
      <c r="AS7" s="468"/>
      <c r="AT7" s="468"/>
      <c r="AU7" s="468"/>
      <c r="AV7" s="469">
        <f t="shared" si="9"/>
        <v>7377750</v>
      </c>
      <c r="AW7" s="469">
        <f t="shared" si="13"/>
        <v>7377750</v>
      </c>
      <c r="AX7" s="469">
        <f t="shared" si="17"/>
        <v>0</v>
      </c>
      <c r="AY7" s="469"/>
      <c r="AZ7" s="469"/>
      <c r="BA7" s="469"/>
      <c r="BB7" s="469"/>
      <c r="BC7" s="469"/>
      <c r="BD7" s="469"/>
      <c r="BE7" s="469"/>
      <c r="BF7" s="469"/>
      <c r="BG7" s="469"/>
      <c r="BH7" s="469"/>
      <c r="BI7" s="469"/>
      <c r="BJ7" s="469"/>
      <c r="BK7" s="469"/>
      <c r="BL7" s="469"/>
      <c r="BM7" s="469"/>
      <c r="BN7" s="469"/>
      <c r="BO7" s="469"/>
      <c r="BP7" s="469"/>
      <c r="BQ7" s="469"/>
      <c r="BR7" s="469"/>
      <c r="BS7" s="469"/>
      <c r="BT7" s="469"/>
      <c r="BU7" s="469"/>
      <c r="BV7"/>
      <c r="BW7"/>
      <c r="BX7"/>
    </row>
    <row r="8" spans="1:76" ht="14.25">
      <c r="A8" s="466" t="str">
        <f>'Phase 3 Financial'!A54</f>
        <v>Demolition</v>
      </c>
      <c r="B8" s="576">
        <f>'Phase 3 Financial'!C54</f>
        <v>0</v>
      </c>
      <c r="C8" s="468"/>
      <c r="D8" s="468"/>
      <c r="E8" s="468"/>
      <c r="F8" s="468"/>
      <c r="G8" s="468"/>
      <c r="H8" s="468"/>
      <c r="I8" s="468"/>
      <c r="J8" s="468"/>
      <c r="K8" s="468"/>
      <c r="L8" s="468"/>
      <c r="M8" s="468"/>
      <c r="N8" s="468"/>
      <c r="O8" s="468"/>
      <c r="P8" s="468"/>
      <c r="Q8" s="468"/>
      <c r="R8" s="468"/>
      <c r="S8" s="468"/>
      <c r="T8" s="468"/>
      <c r="U8" s="468"/>
      <c r="V8" s="468"/>
      <c r="W8" s="468"/>
      <c r="X8" s="468"/>
      <c r="Y8" s="468"/>
      <c r="Z8" s="468"/>
      <c r="AA8" s="468"/>
      <c r="AB8" s="468"/>
      <c r="AC8" s="468"/>
      <c r="AD8" s="468"/>
      <c r="AE8" s="468"/>
      <c r="AF8" s="468"/>
      <c r="AG8" s="468"/>
      <c r="AH8" s="468"/>
      <c r="AI8" s="468"/>
      <c r="AJ8" s="468"/>
      <c r="AK8" s="468"/>
      <c r="AL8" s="468"/>
      <c r="AM8" s="468"/>
      <c r="AN8" s="468"/>
      <c r="AO8" s="468"/>
      <c r="AP8" s="468"/>
      <c r="AQ8" s="468"/>
      <c r="AR8" s="468"/>
      <c r="AS8" s="468"/>
      <c r="AT8" s="468"/>
      <c r="AU8" s="468"/>
      <c r="AV8" s="469">
        <f t="shared" si="9"/>
        <v>0</v>
      </c>
      <c r="AW8" s="469">
        <f t="shared" si="13"/>
        <v>0</v>
      </c>
      <c r="AX8" s="469">
        <f t="shared" si="17"/>
        <v>0</v>
      </c>
      <c r="AY8" s="469"/>
      <c r="AZ8" s="469"/>
      <c r="BA8" s="469"/>
      <c r="BB8" s="469"/>
      <c r="BC8" s="469"/>
      <c r="BD8" s="469"/>
      <c r="BE8" s="469"/>
      <c r="BF8" s="469"/>
      <c r="BG8" s="469"/>
      <c r="BH8" s="469"/>
      <c r="BI8" s="469"/>
      <c r="BJ8" s="469"/>
      <c r="BK8" s="469"/>
      <c r="BL8" s="469"/>
      <c r="BM8" s="469"/>
      <c r="BN8" s="469"/>
      <c r="BO8" s="469"/>
      <c r="BP8" s="469"/>
      <c r="BQ8" s="469"/>
      <c r="BR8" s="469"/>
      <c r="BS8" s="469"/>
      <c r="BT8" s="469"/>
      <c r="BU8" s="469"/>
      <c r="BV8"/>
      <c r="BW8"/>
      <c r="BX8"/>
    </row>
    <row r="9" spans="1:76" ht="14.25">
      <c r="A9" s="466" t="str">
        <f>'Phase 3 Financial'!A55</f>
        <v>LAND</v>
      </c>
      <c r="B9" s="576">
        <f>'Phase 3 Financial'!C55</f>
        <v>0</v>
      </c>
      <c r="C9" s="473"/>
      <c r="D9" s="470"/>
      <c r="E9" s="470"/>
      <c r="F9" s="470"/>
      <c r="G9" s="540"/>
      <c r="H9" s="473"/>
      <c r="I9" s="540"/>
      <c r="J9" s="473"/>
      <c r="K9" s="470"/>
      <c r="L9" s="470"/>
      <c r="M9" s="473"/>
      <c r="N9" s="470"/>
      <c r="O9" s="470"/>
      <c r="P9" s="470"/>
      <c r="Q9" s="470"/>
      <c r="R9" s="470"/>
      <c r="S9" s="470"/>
      <c r="T9" s="470"/>
      <c r="U9" s="470"/>
      <c r="V9" s="470"/>
      <c r="W9" s="470"/>
      <c r="X9" s="470"/>
      <c r="Y9" s="470"/>
      <c r="Z9" s="470"/>
      <c r="AA9" s="470"/>
      <c r="AB9" s="470"/>
      <c r="AC9" s="470"/>
      <c r="AD9" s="470"/>
      <c r="AE9" s="540"/>
      <c r="AF9" s="540"/>
      <c r="AG9" s="540"/>
      <c r="AH9" s="540"/>
      <c r="AI9" s="540"/>
      <c r="AJ9" s="540"/>
      <c r="AK9" s="540"/>
      <c r="AL9" s="540"/>
      <c r="AM9" s="540"/>
      <c r="AN9" s="540"/>
      <c r="AO9" s="540"/>
      <c r="AP9" s="540"/>
      <c r="AQ9" s="540"/>
      <c r="AR9" s="540"/>
      <c r="AS9" s="540"/>
      <c r="AT9" s="540"/>
      <c r="AU9" s="540"/>
      <c r="AV9" s="469">
        <f t="shared" si="9"/>
        <v>0</v>
      </c>
      <c r="AW9" s="469">
        <f t="shared" si="13"/>
        <v>0</v>
      </c>
      <c r="AX9" s="469">
        <f t="shared" si="17"/>
        <v>0</v>
      </c>
      <c r="AY9" s="595"/>
      <c r="AZ9" s="595"/>
      <c r="BA9" s="595"/>
      <c r="BB9" s="595"/>
      <c r="BC9" s="595"/>
      <c r="BD9" s="595"/>
      <c r="BE9" s="595"/>
      <c r="BF9" s="595"/>
      <c r="BG9" s="595"/>
      <c r="BH9" s="595"/>
      <c r="BI9" s="595"/>
      <c r="BJ9" s="595"/>
      <c r="BK9" s="595"/>
      <c r="BL9" s="595"/>
      <c r="BM9" s="595"/>
      <c r="BN9" s="595"/>
      <c r="BO9" s="595"/>
      <c r="BP9" s="595"/>
      <c r="BQ9" s="595"/>
      <c r="BR9" s="595"/>
      <c r="BS9" s="595"/>
      <c r="BT9" s="595"/>
      <c r="BU9" s="595"/>
      <c r="BV9"/>
      <c r="BW9"/>
      <c r="BX9"/>
    </row>
    <row r="10" spans="1:76" ht="14.25">
      <c r="A10" s="466" t="str">
        <f>'Phase 3 Financial'!A56</f>
        <v>Municipal Fees and Allowances</v>
      </c>
      <c r="B10" s="576">
        <f>'Phase 3 Financial'!C56</f>
        <v>868000</v>
      </c>
      <c r="C10" s="473"/>
      <c r="D10" s="470"/>
      <c r="E10" s="470"/>
      <c r="F10" s="470"/>
      <c r="G10" s="470"/>
      <c r="H10" s="470"/>
      <c r="I10" s="470"/>
      <c r="J10" s="470"/>
      <c r="K10" s="470"/>
      <c r="L10" s="470"/>
      <c r="M10" s="470"/>
      <c r="N10" s="470"/>
      <c r="O10" s="470"/>
      <c r="P10" s="470"/>
      <c r="Q10" s="470"/>
      <c r="R10" s="470"/>
      <c r="S10" s="283"/>
      <c r="T10" s="470"/>
      <c r="U10" s="470"/>
      <c r="V10" s="470"/>
      <c r="W10" s="470"/>
      <c r="X10" s="470"/>
      <c r="Y10" s="470"/>
      <c r="Z10" s="470"/>
      <c r="AA10" s="470"/>
      <c r="AB10" s="470"/>
      <c r="AC10" s="470"/>
      <c r="AD10" s="470"/>
      <c r="AE10" s="540"/>
      <c r="AF10" s="540"/>
      <c r="AG10" s="540"/>
      <c r="AH10" s="540"/>
      <c r="AI10" s="540"/>
      <c r="AJ10" s="540"/>
      <c r="AK10" s="541"/>
      <c r="AL10" s="542"/>
      <c r="AM10" s="540"/>
      <c r="AN10" s="540"/>
      <c r="AO10" s="540"/>
      <c r="AP10" s="541"/>
      <c r="AQ10" s="540"/>
      <c r="AR10" s="540"/>
      <c r="AS10" s="540"/>
      <c r="AT10" s="541"/>
      <c r="AU10" s="541"/>
      <c r="AV10" s="469">
        <f t="shared" si="9"/>
        <v>0</v>
      </c>
      <c r="AW10" s="469">
        <f t="shared" si="13"/>
        <v>868000</v>
      </c>
      <c r="AX10" s="469">
        <f t="shared" si="17"/>
        <v>868000</v>
      </c>
      <c r="AY10" s="596"/>
      <c r="AZ10" s="596"/>
      <c r="BA10" s="596"/>
      <c r="BB10" s="596"/>
      <c r="BC10" s="596"/>
      <c r="BD10" s="596"/>
      <c r="BE10" s="596"/>
      <c r="BF10" s="596"/>
      <c r="BG10" s="596"/>
      <c r="BH10" s="596"/>
      <c r="BI10" s="596"/>
      <c r="BJ10" s="596"/>
      <c r="BK10" s="596"/>
      <c r="BL10" s="596"/>
      <c r="BM10" s="596"/>
      <c r="BN10" s="596"/>
      <c r="BO10" s="596"/>
      <c r="BP10" s="596"/>
      <c r="BQ10" s="596"/>
      <c r="BR10" s="596"/>
      <c r="BS10" s="596"/>
      <c r="BT10" s="596"/>
      <c r="BU10" s="596"/>
      <c r="BV10"/>
      <c r="BW10"/>
      <c r="BX10"/>
    </row>
    <row r="11" spans="1:76" ht="14.25">
      <c r="A11" s="466" t="str">
        <f>'Phase 3 Financial'!A57</f>
        <v>Infrastructure allocation</v>
      </c>
      <c r="B11" s="576">
        <f>'Phase 3 Financial'!C57</f>
        <v>2102733.333333333</v>
      </c>
      <c r="C11" s="473"/>
      <c r="D11" s="470"/>
      <c r="E11" s="470"/>
      <c r="F11" s="470"/>
      <c r="G11" s="470"/>
      <c r="H11" s="470"/>
      <c r="I11" s="468"/>
      <c r="J11" s="468"/>
      <c r="K11" s="468"/>
      <c r="L11" s="468"/>
      <c r="M11" s="468"/>
      <c r="N11" s="468"/>
      <c r="O11" s="468"/>
      <c r="P11" s="468"/>
      <c r="Q11" s="468"/>
      <c r="R11" s="470"/>
      <c r="S11" s="283"/>
      <c r="T11" s="470"/>
      <c r="U11" s="470"/>
      <c r="V11" s="470"/>
      <c r="W11" s="470"/>
      <c r="X11" s="470"/>
      <c r="Y11" s="470"/>
      <c r="Z11" s="470"/>
      <c r="AA11" s="470"/>
      <c r="AB11" s="470"/>
      <c r="AC11" s="470"/>
      <c r="AD11" s="470"/>
      <c r="AE11" s="540"/>
      <c r="AF11" s="540"/>
      <c r="AG11" s="540"/>
      <c r="AH11" s="540"/>
      <c r="AI11" s="540"/>
      <c r="AJ11" s="540"/>
      <c r="AK11" s="541"/>
      <c r="AL11" s="542"/>
      <c r="AM11" s="540"/>
      <c r="AN11" s="540"/>
      <c r="AO11" s="540"/>
      <c r="AP11" s="541"/>
      <c r="AQ11" s="540"/>
      <c r="AR11" s="543"/>
      <c r="AS11" s="540"/>
      <c r="AT11" s="541"/>
      <c r="AU11" s="541"/>
      <c r="AV11" s="469">
        <f t="shared" si="9"/>
        <v>0</v>
      </c>
      <c r="AW11" s="469">
        <f t="shared" si="13"/>
        <v>2102733.333333333</v>
      </c>
      <c r="AX11" s="469">
        <f t="shared" si="17"/>
        <v>2102733.333333333</v>
      </c>
      <c r="AY11" s="596"/>
      <c r="AZ11" s="596"/>
      <c r="BA11" s="596"/>
      <c r="BB11" s="596"/>
      <c r="BC11" s="596"/>
      <c r="BD11" s="596"/>
      <c r="BE11" s="596"/>
      <c r="BF11" s="596"/>
      <c r="BG11" s="596"/>
      <c r="BH11" s="596"/>
      <c r="BI11" s="596"/>
      <c r="BJ11" s="596"/>
      <c r="BK11" s="596"/>
      <c r="BL11" s="596"/>
      <c r="BM11" s="596"/>
      <c r="BN11" s="596"/>
      <c r="BO11" s="596"/>
      <c r="BP11" s="596"/>
      <c r="BQ11" s="596"/>
      <c r="BR11" s="596"/>
      <c r="BS11" s="596"/>
      <c r="BT11" s="596"/>
      <c r="BU11" s="596"/>
      <c r="BV11"/>
      <c r="BW11"/>
      <c r="BX11"/>
    </row>
    <row r="12" spans="1:76" ht="14.25">
      <c r="A12" s="466" t="str">
        <f>'Phase 3 Financial'!A58</f>
        <v>Legal</v>
      </c>
      <c r="B12" s="576">
        <f>'Phase 3 Financial'!C58</f>
        <v>400000</v>
      </c>
      <c r="C12" s="477"/>
      <c r="D12" s="477"/>
      <c r="E12" s="477"/>
      <c r="F12" s="477"/>
      <c r="G12" s="473"/>
      <c r="H12" s="473"/>
      <c r="I12" s="472">
        <f t="shared" ref="I12:L12" si="21">0.05*$B12</f>
        <v>20000</v>
      </c>
      <c r="J12" s="472">
        <f t="shared" si="21"/>
        <v>20000</v>
      </c>
      <c r="K12" s="472">
        <f t="shared" si="21"/>
        <v>20000</v>
      </c>
      <c r="L12" s="472">
        <f t="shared" si="21"/>
        <v>20000</v>
      </c>
      <c r="M12" s="472">
        <v>40000</v>
      </c>
      <c r="N12" s="472">
        <v>40000</v>
      </c>
      <c r="O12" s="468">
        <f t="shared" ref="O12:P12" si="22">0.1*$B12</f>
        <v>40000</v>
      </c>
      <c r="P12" s="468">
        <f t="shared" si="22"/>
        <v>40000</v>
      </c>
      <c r="Q12" s="468">
        <f>0.1*$B12</f>
        <v>40000</v>
      </c>
      <c r="R12" s="468">
        <f t="shared" ref="R12:T12" si="23">0.1*$B12</f>
        <v>40000</v>
      </c>
      <c r="S12" s="468">
        <f t="shared" si="23"/>
        <v>40000</v>
      </c>
      <c r="T12" s="468">
        <f t="shared" si="23"/>
        <v>40000</v>
      </c>
      <c r="U12" s="468"/>
      <c r="V12" s="470"/>
      <c r="W12" s="470"/>
      <c r="X12" s="470"/>
      <c r="Y12" s="470"/>
      <c r="Z12" s="470"/>
      <c r="AA12" s="470"/>
      <c r="AB12" s="470"/>
      <c r="AC12" s="470"/>
      <c r="AD12" s="470"/>
      <c r="AE12" s="470"/>
      <c r="AF12" s="470"/>
      <c r="AG12" s="470"/>
      <c r="AH12" s="470"/>
      <c r="AI12" s="470"/>
      <c r="AJ12" s="470"/>
      <c r="AK12" s="544"/>
      <c r="AL12" s="545"/>
      <c r="AM12" s="470"/>
      <c r="AN12" s="470"/>
      <c r="AO12" s="470"/>
      <c r="AP12" s="544"/>
      <c r="AQ12" s="470"/>
      <c r="AR12" s="470"/>
      <c r="AS12" s="597"/>
      <c r="AT12" s="544"/>
      <c r="AU12" s="544"/>
      <c r="AV12" s="469">
        <f t="shared" ref="AV12:AV18" si="24">SUM(G12:AU12)</f>
        <v>400000</v>
      </c>
      <c r="AW12" s="469">
        <f t="shared" si="13"/>
        <v>400000</v>
      </c>
      <c r="AX12" s="469">
        <f t="shared" si="17"/>
        <v>0</v>
      </c>
      <c r="AY12" s="598"/>
      <c r="AZ12" s="598"/>
      <c r="BA12" s="598"/>
      <c r="BB12" s="598"/>
      <c r="BC12" s="598"/>
      <c r="BD12" s="598"/>
      <c r="BE12" s="598"/>
      <c r="BF12" s="598"/>
      <c r="BG12" s="598"/>
      <c r="BH12" s="598"/>
      <c r="BI12" s="598"/>
      <c r="BJ12" s="598"/>
      <c r="BK12" s="598"/>
      <c r="BL12" s="598"/>
      <c r="BM12" s="598"/>
      <c r="BN12" s="598"/>
      <c r="BO12" s="598"/>
      <c r="BP12" s="598"/>
      <c r="BQ12" s="598"/>
      <c r="BR12" s="598"/>
      <c r="BS12" s="598"/>
      <c r="BT12" s="598"/>
      <c r="BU12" s="598"/>
      <c r="BV12"/>
      <c r="BW12"/>
      <c r="BX12"/>
    </row>
    <row r="13" spans="1:76" ht="14.25">
      <c r="A13" s="466" t="str">
        <f>'Phase 3 Financial'!A59</f>
        <v>Land Closing Costs/commissions</v>
      </c>
      <c r="B13" s="576">
        <f>'Phase 3 Financial'!C59</f>
        <v>0</v>
      </c>
      <c r="C13" s="477"/>
      <c r="D13" s="477"/>
      <c r="E13" s="477"/>
      <c r="F13" s="477"/>
      <c r="G13" s="472"/>
      <c r="H13" s="468"/>
      <c r="I13" s="468"/>
      <c r="J13" s="468"/>
      <c r="K13" s="282"/>
      <c r="L13" s="468">
        <f>B13</f>
        <v>0</v>
      </c>
      <c r="M13" s="468"/>
      <c r="N13" s="468"/>
      <c r="O13" s="468"/>
      <c r="P13" s="468"/>
      <c r="Q13" s="468"/>
      <c r="R13" s="468"/>
      <c r="S13" s="468"/>
      <c r="T13" s="468"/>
      <c r="U13" s="468">
        <v>0</v>
      </c>
      <c r="V13" s="468"/>
      <c r="W13" s="468"/>
      <c r="X13" s="468"/>
      <c r="Y13" s="468"/>
      <c r="Z13" s="468"/>
      <c r="AA13" s="468"/>
      <c r="AB13" s="468"/>
      <c r="AC13" s="468"/>
      <c r="AD13" s="468"/>
      <c r="AE13" s="468"/>
      <c r="AF13" s="468"/>
      <c r="AG13" s="468"/>
      <c r="AH13" s="468"/>
      <c r="AI13" s="471"/>
      <c r="AJ13" s="471"/>
      <c r="AK13" s="546"/>
      <c r="AL13" s="547"/>
      <c r="AM13" s="471"/>
      <c r="AN13" s="471"/>
      <c r="AO13" s="471"/>
      <c r="AP13" s="546"/>
      <c r="AQ13" s="471"/>
      <c r="AR13" s="471"/>
      <c r="AS13" s="471"/>
      <c r="AT13" s="546"/>
      <c r="AU13" s="546"/>
      <c r="AV13" s="469">
        <f t="shared" si="24"/>
        <v>0</v>
      </c>
      <c r="AW13" s="469">
        <f t="shared" si="13"/>
        <v>0</v>
      </c>
      <c r="AX13" s="469">
        <f t="shared" si="17"/>
        <v>0</v>
      </c>
      <c r="AY13" s="486"/>
      <c r="AZ13" s="486"/>
      <c r="BA13" s="486"/>
      <c r="BB13" s="486"/>
      <c r="BC13" s="486"/>
      <c r="BD13" s="486"/>
      <c r="BE13" s="486"/>
      <c r="BF13" s="486"/>
      <c r="BG13" s="486"/>
      <c r="BH13" s="486"/>
      <c r="BI13" s="486"/>
      <c r="BJ13" s="486"/>
      <c r="BK13" s="486"/>
      <c r="BL13" s="486"/>
      <c r="BM13" s="486"/>
      <c r="BN13" s="486"/>
      <c r="BO13" s="486"/>
      <c r="BP13" s="486"/>
      <c r="BQ13" s="486"/>
      <c r="BR13" s="486"/>
      <c r="BS13" s="486"/>
      <c r="BT13" s="486"/>
      <c r="BU13" s="486"/>
      <c r="BV13"/>
      <c r="BW13"/>
      <c r="BX13"/>
    </row>
    <row r="14" spans="1:76" ht="14.25">
      <c r="A14" s="466" t="str">
        <f>'Phase 3 Financial'!A60</f>
        <v xml:space="preserve">Design </v>
      </c>
      <c r="B14" s="576">
        <f>'Phase 3 Financial'!C60</f>
        <v>6197310</v>
      </c>
      <c r="C14" s="477"/>
      <c r="D14" s="477"/>
      <c r="E14" s="477"/>
      <c r="F14" s="477"/>
      <c r="G14" s="468">
        <v>0</v>
      </c>
      <c r="H14" s="468">
        <f t="shared" ref="H14:M14" si="25">$B14/20</f>
        <v>309865.5</v>
      </c>
      <c r="I14" s="468">
        <f t="shared" si="25"/>
        <v>309865.5</v>
      </c>
      <c r="J14" s="468">
        <f t="shared" si="25"/>
        <v>309865.5</v>
      </c>
      <c r="K14" s="468">
        <f t="shared" si="25"/>
        <v>309865.5</v>
      </c>
      <c r="L14" s="468">
        <f t="shared" si="25"/>
        <v>309865.5</v>
      </c>
      <c r="M14" s="468">
        <f t="shared" si="25"/>
        <v>309865.5</v>
      </c>
      <c r="N14" s="468">
        <f>$B14/20</f>
        <v>309865.5</v>
      </c>
      <c r="O14" s="468">
        <f t="shared" ref="O14:Q14" si="26">$B14/10</f>
        <v>619731</v>
      </c>
      <c r="P14" s="468">
        <f t="shared" si="26"/>
        <v>619731</v>
      </c>
      <c r="Q14" s="468">
        <f t="shared" si="26"/>
        <v>619731</v>
      </c>
      <c r="R14" s="468">
        <f t="shared" ref="R14:V14" si="27">$B14/20</f>
        <v>309865.5</v>
      </c>
      <c r="S14" s="468">
        <f t="shared" si="27"/>
        <v>309865.5</v>
      </c>
      <c r="T14" s="468">
        <f t="shared" si="27"/>
        <v>309865.5</v>
      </c>
      <c r="U14" s="468">
        <f t="shared" si="27"/>
        <v>309865.5</v>
      </c>
      <c r="V14" s="468">
        <f t="shared" si="27"/>
        <v>309865.5</v>
      </c>
      <c r="W14" s="468">
        <f>$B14/20</f>
        <v>309865.5</v>
      </c>
      <c r="X14" s="468">
        <f>$B14/20</f>
        <v>309865.5</v>
      </c>
      <c r="Y14" s="468"/>
      <c r="Z14" s="468"/>
      <c r="AA14" s="468"/>
      <c r="AB14" s="468"/>
      <c r="AC14" s="468"/>
      <c r="AD14" s="468"/>
      <c r="AE14" s="468"/>
      <c r="AF14" s="468"/>
      <c r="AG14" s="468"/>
      <c r="AH14" s="468"/>
      <c r="AI14" s="468"/>
      <c r="AJ14" s="468"/>
      <c r="AK14" s="468"/>
      <c r="AL14" s="468"/>
      <c r="AM14" s="468"/>
      <c r="AN14" s="468"/>
      <c r="AO14" s="468"/>
      <c r="AP14" s="468"/>
      <c r="AQ14" s="471"/>
      <c r="AR14" s="471"/>
      <c r="AS14" s="471"/>
      <c r="AT14" s="546"/>
      <c r="AU14" s="546"/>
      <c r="AV14" s="469">
        <f t="shared" si="24"/>
        <v>6197310</v>
      </c>
      <c r="AW14" s="469">
        <f t="shared" si="13"/>
        <v>6197310</v>
      </c>
      <c r="AX14" s="469">
        <f t="shared" si="17"/>
        <v>0</v>
      </c>
      <c r="AY14" s="486"/>
      <c r="AZ14" s="486"/>
      <c r="BA14" s="486"/>
      <c r="BB14" s="486"/>
      <c r="BC14" s="486"/>
      <c r="BD14" s="486"/>
      <c r="BE14" s="486"/>
      <c r="BF14" s="486"/>
      <c r="BG14" s="486"/>
      <c r="BH14" s="486"/>
      <c r="BI14" s="486"/>
      <c r="BJ14" s="486"/>
      <c r="BK14" s="486"/>
      <c r="BL14" s="486"/>
      <c r="BM14" s="486"/>
      <c r="BN14" s="486"/>
      <c r="BO14" s="486"/>
      <c r="BP14" s="486"/>
      <c r="BQ14" s="486"/>
      <c r="BR14" s="486"/>
      <c r="BS14" s="486"/>
      <c r="BT14" s="486"/>
      <c r="BU14" s="486"/>
      <c r="BV14"/>
      <c r="BW14"/>
      <c r="BX14"/>
    </row>
    <row r="15" spans="1:76" ht="14.25">
      <c r="A15" s="466" t="str">
        <f>'Phase 3 Financial'!A61</f>
        <v>Developer Fee</v>
      </c>
      <c r="B15" s="576">
        <f>'Phase 3 Financial'!C61</f>
        <v>5010623.8</v>
      </c>
      <c r="C15" s="477"/>
      <c r="D15" s="477"/>
      <c r="E15" s="477"/>
      <c r="F15" s="477"/>
      <c r="G15" s="468">
        <f>$B15*C$4</f>
        <v>0</v>
      </c>
      <c r="H15" s="1176">
        <f t="shared" ref="H15:AI15" si="28">$B15*D4</f>
        <v>0</v>
      </c>
      <c r="I15" s="468">
        <f t="shared" si="28"/>
        <v>0</v>
      </c>
      <c r="J15" s="468">
        <f t="shared" si="28"/>
        <v>0</v>
      </c>
      <c r="K15" s="468">
        <f t="shared" si="28"/>
        <v>0</v>
      </c>
      <c r="L15" s="468">
        <f t="shared" si="28"/>
        <v>0</v>
      </c>
      <c r="M15" s="468">
        <f t="shared" si="28"/>
        <v>0</v>
      </c>
      <c r="N15" s="468">
        <f t="shared" si="28"/>
        <v>0</v>
      </c>
      <c r="O15" s="468">
        <f t="shared" si="28"/>
        <v>0</v>
      </c>
      <c r="P15" s="468">
        <f t="shared" si="28"/>
        <v>0</v>
      </c>
      <c r="Q15" s="468">
        <f t="shared" si="28"/>
        <v>0</v>
      </c>
      <c r="R15" s="468">
        <f t="shared" si="28"/>
        <v>0</v>
      </c>
      <c r="S15" s="468">
        <f t="shared" si="28"/>
        <v>0</v>
      </c>
      <c r="T15" s="468">
        <f t="shared" si="28"/>
        <v>0</v>
      </c>
      <c r="U15" s="468">
        <f t="shared" si="28"/>
        <v>0</v>
      </c>
      <c r="V15" s="468">
        <f t="shared" si="28"/>
        <v>0</v>
      </c>
      <c r="W15" s="468">
        <f t="shared" si="28"/>
        <v>0</v>
      </c>
      <c r="X15" s="468">
        <f t="shared" si="28"/>
        <v>0</v>
      </c>
      <c r="Y15" s="468">
        <f t="shared" si="28"/>
        <v>0</v>
      </c>
      <c r="Z15" s="468">
        <f t="shared" si="28"/>
        <v>0</v>
      </c>
      <c r="AA15" s="468">
        <f t="shared" si="28"/>
        <v>0</v>
      </c>
      <c r="AB15" s="468">
        <f t="shared" si="28"/>
        <v>300637.42799999996</v>
      </c>
      <c r="AC15" s="468">
        <f t="shared" si="28"/>
        <v>300637.42799999996</v>
      </c>
      <c r="AD15" s="468">
        <f t="shared" si="28"/>
        <v>400849.90399999998</v>
      </c>
      <c r="AE15" s="468">
        <f t="shared" si="28"/>
        <v>400849.90399999998</v>
      </c>
      <c r="AF15" s="468">
        <f t="shared" si="28"/>
        <v>400849.90399999998</v>
      </c>
      <c r="AG15" s="468">
        <f t="shared" si="28"/>
        <v>400849.90399999998</v>
      </c>
      <c r="AH15" s="468">
        <f t="shared" si="28"/>
        <v>400849.90399999998</v>
      </c>
      <c r="AI15" s="468">
        <f t="shared" si="28"/>
        <v>400849.90399999998</v>
      </c>
      <c r="AJ15" s="468">
        <f>$B15*AF$4</f>
        <v>400849.90399999998</v>
      </c>
      <c r="AK15" s="468"/>
      <c r="AL15" s="468"/>
      <c r="AM15" s="468"/>
      <c r="AN15" s="468"/>
      <c r="AO15" s="468"/>
      <c r="AP15" s="468"/>
      <c r="AQ15" s="468"/>
      <c r="AR15" s="468"/>
      <c r="AS15" s="468"/>
      <c r="AT15" s="548"/>
      <c r="AU15" s="548"/>
      <c r="AV15" s="469">
        <f t="shared" si="24"/>
        <v>3407224.1840000004</v>
      </c>
      <c r="AW15" s="469">
        <f t="shared" si="13"/>
        <v>5010623.8</v>
      </c>
      <c r="AX15" s="469">
        <f t="shared" si="17"/>
        <v>1603399.6159999995</v>
      </c>
      <c r="AY15" s="489"/>
      <c r="AZ15" s="489"/>
      <c r="BA15" s="489"/>
      <c r="BB15" s="489"/>
      <c r="BC15" s="489"/>
      <c r="BD15" s="489"/>
      <c r="BE15" s="489"/>
      <c r="BF15" s="489"/>
      <c r="BG15" s="489"/>
      <c r="BH15" s="489"/>
      <c r="BI15" s="489"/>
      <c r="BJ15" s="489"/>
      <c r="BK15" s="489"/>
      <c r="BL15" s="489"/>
      <c r="BM15" s="489"/>
      <c r="BN15" s="489"/>
      <c r="BO15" s="489"/>
      <c r="BP15" s="489"/>
      <c r="BQ15" s="489"/>
      <c r="BR15" s="489"/>
      <c r="BS15" s="489"/>
      <c r="BT15" s="489"/>
      <c r="BU15" s="489"/>
      <c r="BV15"/>
      <c r="BW15"/>
      <c r="BX15"/>
    </row>
    <row r="16" spans="1:76" ht="14.25">
      <c r="A16" s="466" t="str">
        <f>'Phase 3 Financial'!A62</f>
        <v>Construction Management Fee</v>
      </c>
      <c r="B16" s="576">
        <f>'Phase 3 Financial'!C62</f>
        <v>3098655</v>
      </c>
      <c r="C16" s="477"/>
      <c r="D16" s="477"/>
      <c r="E16" s="477"/>
      <c r="F16" s="477"/>
      <c r="G16" s="468">
        <f>$B16*C$4</f>
        <v>0</v>
      </c>
      <c r="H16" s="1176">
        <f t="shared" ref="H16:AI16" si="29">$B16*D$4</f>
        <v>0</v>
      </c>
      <c r="I16" s="468">
        <f t="shared" si="29"/>
        <v>0</v>
      </c>
      <c r="J16" s="468">
        <f t="shared" si="29"/>
        <v>0</v>
      </c>
      <c r="K16" s="468">
        <f t="shared" si="29"/>
        <v>0</v>
      </c>
      <c r="L16" s="468">
        <f t="shared" si="29"/>
        <v>0</v>
      </c>
      <c r="M16" s="468">
        <f t="shared" si="29"/>
        <v>0</v>
      </c>
      <c r="N16" s="468">
        <f t="shared" si="29"/>
        <v>0</v>
      </c>
      <c r="O16" s="468">
        <f t="shared" si="29"/>
        <v>0</v>
      </c>
      <c r="P16" s="468">
        <f t="shared" si="29"/>
        <v>0</v>
      </c>
      <c r="Q16" s="468">
        <f t="shared" si="29"/>
        <v>0</v>
      </c>
      <c r="R16" s="468">
        <f t="shared" si="29"/>
        <v>0</v>
      </c>
      <c r="S16" s="468">
        <f t="shared" si="29"/>
        <v>0</v>
      </c>
      <c r="T16" s="468">
        <f t="shared" si="29"/>
        <v>0</v>
      </c>
      <c r="U16" s="468">
        <f t="shared" si="29"/>
        <v>0</v>
      </c>
      <c r="V16" s="468">
        <f t="shared" si="29"/>
        <v>0</v>
      </c>
      <c r="W16" s="468">
        <f t="shared" si="29"/>
        <v>0</v>
      </c>
      <c r="X16" s="468">
        <f t="shared" si="29"/>
        <v>0</v>
      </c>
      <c r="Y16" s="468">
        <f t="shared" si="29"/>
        <v>0</v>
      </c>
      <c r="Z16" s="468">
        <f t="shared" si="29"/>
        <v>0</v>
      </c>
      <c r="AA16" s="468">
        <f t="shared" si="29"/>
        <v>0</v>
      </c>
      <c r="AB16" s="468">
        <f t="shared" si="29"/>
        <v>185919.3</v>
      </c>
      <c r="AC16" s="468">
        <f t="shared" si="29"/>
        <v>185919.3</v>
      </c>
      <c r="AD16" s="468">
        <f t="shared" si="29"/>
        <v>247892.4</v>
      </c>
      <c r="AE16" s="468">
        <f t="shared" si="29"/>
        <v>247892.4</v>
      </c>
      <c r="AF16" s="468">
        <f t="shared" si="29"/>
        <v>247892.4</v>
      </c>
      <c r="AG16" s="468">
        <f t="shared" si="29"/>
        <v>247892.4</v>
      </c>
      <c r="AH16" s="468">
        <f t="shared" si="29"/>
        <v>247892.4</v>
      </c>
      <c r="AI16" s="468">
        <f t="shared" si="29"/>
        <v>247892.4</v>
      </c>
      <c r="AJ16" s="468">
        <f>$B16*AF$4</f>
        <v>247892.4</v>
      </c>
      <c r="AK16" s="468"/>
      <c r="AL16" s="468"/>
      <c r="AM16" s="468"/>
      <c r="AN16" s="468"/>
      <c r="AO16" s="468"/>
      <c r="AP16" s="468"/>
      <c r="AQ16" s="468"/>
      <c r="AR16" s="468"/>
      <c r="AS16" s="468"/>
      <c r="AT16" s="548"/>
      <c r="AU16" s="548"/>
      <c r="AV16" s="469">
        <f t="shared" si="24"/>
        <v>2107085.4</v>
      </c>
      <c r="AW16" s="469">
        <f t="shared" si="13"/>
        <v>3098655</v>
      </c>
      <c r="AX16" s="469">
        <f t="shared" si="17"/>
        <v>991569.60000000009</v>
      </c>
      <c r="AY16" s="489"/>
      <c r="AZ16" s="489"/>
      <c r="BA16" s="489"/>
      <c r="BB16" s="489"/>
      <c r="BC16" s="489"/>
      <c r="BD16" s="489"/>
      <c r="BE16" s="489"/>
      <c r="BF16" s="489"/>
      <c r="BG16" s="489"/>
      <c r="BH16" s="489"/>
      <c r="BI16" s="489"/>
      <c r="BJ16" s="489"/>
      <c r="BK16" s="489"/>
      <c r="BL16" s="489"/>
      <c r="BM16" s="489"/>
      <c r="BN16" s="489"/>
      <c r="BO16" s="489"/>
      <c r="BP16" s="489"/>
      <c r="BQ16" s="489"/>
      <c r="BR16" s="489"/>
      <c r="BS16" s="489"/>
      <c r="BT16" s="489"/>
      <c r="BU16" s="489"/>
      <c r="BV16"/>
      <c r="BW16"/>
      <c r="BX16"/>
    </row>
    <row r="17" spans="1:76" ht="14.25">
      <c r="A17" s="466" t="str">
        <f>'Phase 3 Financial'!A63</f>
        <v>Taxes</v>
      </c>
      <c r="B17" s="576">
        <f>'Phase 3 Financial'!C63</f>
        <v>0</v>
      </c>
      <c r="C17" s="477"/>
      <c r="D17" s="477"/>
      <c r="E17" s="477"/>
      <c r="F17" s="477"/>
      <c r="G17" s="472"/>
      <c r="H17" s="1176"/>
      <c r="I17" s="468"/>
      <c r="J17" s="468"/>
      <c r="K17" s="471"/>
      <c r="L17" s="468"/>
      <c r="M17" s="468"/>
      <c r="N17" s="599"/>
      <c r="O17" s="468"/>
      <c r="P17" s="471"/>
      <c r="Q17" s="468"/>
      <c r="R17" s="468"/>
      <c r="S17" s="468"/>
      <c r="T17" s="468"/>
      <c r="U17" s="471"/>
      <c r="V17" s="468"/>
      <c r="W17" s="471"/>
      <c r="X17" s="468"/>
      <c r="Y17" s="468"/>
      <c r="Z17" s="468"/>
      <c r="AA17" s="468"/>
      <c r="AB17" s="282"/>
      <c r="AC17" s="468"/>
      <c r="AD17" s="468"/>
      <c r="AE17" s="468"/>
      <c r="AF17" s="468"/>
      <c r="AG17" s="468"/>
      <c r="AH17" s="468"/>
      <c r="AI17" s="282"/>
      <c r="AJ17" s="468"/>
      <c r="AK17" s="468"/>
      <c r="AL17" s="468"/>
      <c r="AM17" s="468"/>
      <c r="AN17" s="468"/>
      <c r="AO17" s="468"/>
      <c r="AP17" s="548"/>
      <c r="AQ17" s="468"/>
      <c r="AR17" s="468"/>
      <c r="AS17" s="468"/>
      <c r="AT17" s="548"/>
      <c r="AU17" s="548"/>
      <c r="AV17" s="469">
        <f t="shared" si="24"/>
        <v>0</v>
      </c>
      <c r="AW17" s="469">
        <f t="shared" si="13"/>
        <v>0</v>
      </c>
      <c r="AX17" s="469">
        <f t="shared" si="17"/>
        <v>0</v>
      </c>
      <c r="AY17" s="489"/>
      <c r="AZ17" s="489"/>
      <c r="BA17" s="489"/>
      <c r="BB17" s="489"/>
      <c r="BC17" s="489"/>
      <c r="BD17" s="489"/>
      <c r="BE17" s="489"/>
      <c r="BF17" s="489"/>
      <c r="BG17" s="489"/>
      <c r="BH17" s="489"/>
      <c r="BI17" s="489"/>
      <c r="BJ17" s="489"/>
      <c r="BK17" s="489"/>
      <c r="BL17" s="489"/>
      <c r="BM17" s="489"/>
      <c r="BN17" s="489"/>
      <c r="BO17" s="489"/>
      <c r="BP17" s="489"/>
      <c r="BQ17" s="489"/>
      <c r="BR17" s="489"/>
      <c r="BS17" s="489"/>
      <c r="BT17" s="489"/>
      <c r="BU17" s="489"/>
      <c r="BV17"/>
      <c r="BW17"/>
      <c r="BX17"/>
    </row>
    <row r="18" spans="1:76" ht="14.25">
      <c r="A18" s="466" t="str">
        <f>'Phase 3 Financial'!A64</f>
        <v>Insurance</v>
      </c>
      <c r="B18" s="576">
        <f>'Phase 3 Financial'!C64</f>
        <v>3100000</v>
      </c>
      <c r="C18" s="477"/>
      <c r="D18" s="477"/>
      <c r="E18" s="477"/>
      <c r="F18" s="477"/>
      <c r="G18" s="472"/>
      <c r="H18" s="282"/>
      <c r="I18" s="1177"/>
      <c r="J18" s="468"/>
      <c r="K18" s="468"/>
      <c r="L18" s="468"/>
      <c r="M18" s="468"/>
      <c r="N18" s="282"/>
      <c r="O18" s="471"/>
      <c r="P18" s="471"/>
      <c r="Q18" s="468"/>
      <c r="R18" s="468">
        <v>10000</v>
      </c>
      <c r="S18" s="468">
        <v>10000</v>
      </c>
      <c r="T18" s="472">
        <f>$B18-SUM(G18:S18)</f>
        <v>3080000</v>
      </c>
      <c r="U18" s="468"/>
      <c r="V18" s="468"/>
      <c r="W18" s="468"/>
      <c r="X18" s="471"/>
      <c r="Y18" s="468"/>
      <c r="Z18" s="468">
        <f>$B18-SUM(G18:Y18)</f>
        <v>0</v>
      </c>
      <c r="AA18" s="468"/>
      <c r="AB18" s="468"/>
      <c r="AC18" s="468"/>
      <c r="AD18" s="468"/>
      <c r="AE18" s="468"/>
      <c r="AF18" s="468"/>
      <c r="AG18" s="468"/>
      <c r="AH18" s="468"/>
      <c r="AI18" s="468"/>
      <c r="AJ18" s="468"/>
      <c r="AK18" s="548"/>
      <c r="AL18" s="549"/>
      <c r="AM18" s="468"/>
      <c r="AN18" s="468"/>
      <c r="AO18" s="468"/>
      <c r="AP18" s="548"/>
      <c r="AQ18" s="468"/>
      <c r="AR18" s="468"/>
      <c r="AS18" s="468"/>
      <c r="AT18" s="548"/>
      <c r="AU18" s="548"/>
      <c r="AV18" s="469">
        <f t="shared" si="24"/>
        <v>3100000</v>
      </c>
      <c r="AW18" s="469">
        <f t="shared" si="13"/>
        <v>3100000</v>
      </c>
      <c r="AX18" s="469">
        <f t="shared" si="17"/>
        <v>0</v>
      </c>
      <c r="AY18" s="489"/>
      <c r="AZ18" s="489"/>
      <c r="BA18" s="489"/>
      <c r="BB18" s="489"/>
      <c r="BC18" s="489"/>
      <c r="BD18" s="489"/>
      <c r="BE18" s="489"/>
      <c r="BF18" s="489"/>
      <c r="BG18" s="489"/>
      <c r="BH18" s="489"/>
      <c r="BI18" s="489"/>
      <c r="BJ18" s="489"/>
      <c r="BK18" s="489"/>
      <c r="BL18" s="489"/>
      <c r="BM18" s="489"/>
      <c r="BN18" s="489"/>
      <c r="BO18" s="489"/>
      <c r="BP18" s="489"/>
      <c r="BQ18" s="489"/>
      <c r="BR18" s="489"/>
      <c r="BS18" s="489"/>
      <c r="BT18" s="489"/>
      <c r="BU18" s="489"/>
      <c r="BV18"/>
      <c r="BW18"/>
      <c r="BX18"/>
    </row>
    <row r="19" spans="1:76" ht="14.25">
      <c r="A19" s="466" t="str">
        <f>'Phase 3 Financial'!A65</f>
        <v>Marketing, FFE and Preleasing</v>
      </c>
      <c r="B19" s="576">
        <f>'Phase 3 Financial'!C65</f>
        <v>200000</v>
      </c>
      <c r="C19" s="472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468"/>
      <c r="Q19" s="468"/>
      <c r="R19" s="468"/>
      <c r="S19" s="468"/>
      <c r="T19" s="468"/>
      <c r="U19" s="468"/>
      <c r="V19" s="477"/>
      <c r="W19" s="477"/>
      <c r="X19" s="477"/>
      <c r="Y19" s="468"/>
      <c r="Z19" s="468"/>
      <c r="AA19" s="478"/>
      <c r="AB19" s="478"/>
      <c r="AC19" s="478"/>
      <c r="AD19" s="478"/>
      <c r="AE19" s="471"/>
      <c r="AF19" s="471"/>
      <c r="AG19" s="471"/>
      <c r="AH19" s="468">
        <f>$B19/2</f>
        <v>100000</v>
      </c>
      <c r="AI19" s="468">
        <f>$B19/2</f>
        <v>100000</v>
      </c>
      <c r="AJ19" s="471"/>
      <c r="AK19" s="471"/>
      <c r="AL19" s="478"/>
      <c r="AM19" s="478"/>
      <c r="AN19" s="471"/>
      <c r="AO19" s="471"/>
      <c r="AP19" s="546"/>
      <c r="AQ19" s="471"/>
      <c r="AR19" s="471"/>
      <c r="AS19" s="471"/>
      <c r="AT19" s="546"/>
      <c r="AU19" s="546"/>
      <c r="AV19" s="469">
        <f t="shared" si="9"/>
        <v>200000</v>
      </c>
      <c r="AW19" s="469">
        <f t="shared" si="13"/>
        <v>200000</v>
      </c>
      <c r="AX19" s="469">
        <f t="shared" si="17"/>
        <v>0</v>
      </c>
      <c r="AY19" s="486"/>
      <c r="AZ19" s="486"/>
      <c r="BA19" s="486"/>
      <c r="BB19" s="486"/>
      <c r="BC19" s="486"/>
      <c r="BD19" s="486"/>
      <c r="BE19" s="486"/>
      <c r="BF19" s="486"/>
      <c r="BG19" s="486"/>
      <c r="BH19" s="486"/>
      <c r="BI19" s="486"/>
      <c r="BJ19" s="486"/>
      <c r="BK19" s="486"/>
      <c r="BL19" s="486"/>
      <c r="BM19" s="486"/>
      <c r="BN19" s="486"/>
      <c r="BO19" s="486"/>
      <c r="BP19" s="486"/>
      <c r="BQ19" s="486"/>
      <c r="BR19" s="486"/>
      <c r="BS19" s="486"/>
      <c r="BT19" s="486"/>
      <c r="BU19" s="486"/>
      <c r="BV19"/>
      <c r="BW19"/>
      <c r="BX19"/>
    </row>
    <row r="20" spans="1:76" ht="14.25">
      <c r="A20" s="466" t="str">
        <f>'Phase 3 Financial'!A66</f>
        <v>Operating Deficit</v>
      </c>
      <c r="B20" s="576">
        <f>'Phase 3 Financial'!C66</f>
        <v>1528061.9142857143</v>
      </c>
      <c r="C20" s="472"/>
      <c r="D20" s="468"/>
      <c r="E20" s="468"/>
      <c r="F20" s="468"/>
      <c r="G20" s="468"/>
      <c r="H20" s="468"/>
      <c r="I20" s="468"/>
      <c r="J20" s="468"/>
      <c r="K20" s="468"/>
      <c r="L20" s="468"/>
      <c r="M20" s="468"/>
      <c r="N20" s="468"/>
      <c r="O20" s="468"/>
      <c r="P20" s="468"/>
      <c r="Q20" s="468"/>
      <c r="R20" s="468"/>
      <c r="S20" s="468"/>
      <c r="T20" s="468"/>
      <c r="U20" s="468"/>
      <c r="V20" s="477"/>
      <c r="W20" s="477"/>
      <c r="X20" s="477"/>
      <c r="Y20" s="468"/>
      <c r="Z20" s="468"/>
      <c r="AA20" s="468"/>
      <c r="AB20" s="468"/>
      <c r="AC20" s="551"/>
      <c r="AD20" s="551"/>
      <c r="AE20" s="551"/>
      <c r="AF20" s="471"/>
      <c r="AG20" s="471"/>
      <c r="AH20" s="468"/>
      <c r="AI20" s="478"/>
      <c r="AJ20" s="478">
        <f>$B20/4</f>
        <v>382015.47857142857</v>
      </c>
      <c r="AK20" s="478">
        <f t="shared" ref="AK20:AM20" si="30">$B20/4</f>
        <v>382015.47857142857</v>
      </c>
      <c r="AL20" s="478">
        <f t="shared" si="30"/>
        <v>382015.47857142857</v>
      </c>
      <c r="AM20" s="478">
        <f t="shared" si="30"/>
        <v>382015.47857142857</v>
      </c>
      <c r="AN20" s="290"/>
      <c r="AO20" s="290"/>
      <c r="AP20" s="290"/>
      <c r="AQ20" s="471"/>
      <c r="AR20" s="472"/>
      <c r="AS20" s="478"/>
      <c r="AT20" s="478"/>
      <c r="AU20" s="478"/>
      <c r="AV20" s="469">
        <f t="shared" si="9"/>
        <v>1528061.9142857143</v>
      </c>
      <c r="AW20" s="469">
        <f t="shared" si="13"/>
        <v>1528061.9142857143</v>
      </c>
      <c r="AX20" s="469">
        <f t="shared" si="17"/>
        <v>0</v>
      </c>
      <c r="AY20" s="486"/>
      <c r="AZ20" s="486"/>
      <c r="BA20" s="486"/>
      <c r="BB20" s="486"/>
      <c r="BC20" s="486"/>
      <c r="BD20" s="486"/>
      <c r="BE20" s="486"/>
      <c r="BF20" s="486"/>
      <c r="BG20" s="486"/>
      <c r="BH20" s="486"/>
      <c r="BI20" s="486"/>
      <c r="BJ20" s="486"/>
      <c r="BK20" s="486"/>
      <c r="BL20" s="486"/>
      <c r="BM20" s="486"/>
      <c r="BN20" s="486"/>
      <c r="BO20" s="486"/>
      <c r="BP20" s="486"/>
      <c r="BQ20" s="486"/>
      <c r="BR20" s="486"/>
      <c r="BS20" s="486"/>
      <c r="BT20" s="486"/>
      <c r="BU20" s="486"/>
      <c r="BV20"/>
      <c r="BW20"/>
      <c r="BX20"/>
    </row>
    <row r="21" spans="1:76" ht="14.25">
      <c r="A21" s="466" t="str">
        <f>'Phase 3 Financial'!A67</f>
        <v>Retail Tenant Improvements</v>
      </c>
      <c r="B21" s="576">
        <f>'Phase 3 Financial'!C67</f>
        <v>500000</v>
      </c>
      <c r="C21" s="472"/>
      <c r="D21" s="468"/>
      <c r="E21" s="468"/>
      <c r="F21" s="468"/>
      <c r="G21" s="468"/>
      <c r="H21" s="468"/>
      <c r="I21" s="468"/>
      <c r="J21" s="468"/>
      <c r="K21" s="468"/>
      <c r="L21" s="468"/>
      <c r="M21" s="468"/>
      <c r="N21" s="468"/>
      <c r="O21" s="468"/>
      <c r="P21" s="468"/>
      <c r="Q21" s="468"/>
      <c r="R21" s="468"/>
      <c r="S21" s="468"/>
      <c r="T21" s="468"/>
      <c r="U21" s="468"/>
      <c r="V21" s="477"/>
      <c r="W21" s="477"/>
      <c r="X21" s="477"/>
      <c r="Y21" s="468"/>
      <c r="Z21" s="468"/>
      <c r="AA21" s="468"/>
      <c r="AB21" s="468"/>
      <c r="AC21" s="468"/>
      <c r="AD21" s="471"/>
      <c r="AE21" s="471"/>
      <c r="AF21" s="478">
        <f t="shared" ref="AF21:AH21" si="31">$B21/4</f>
        <v>125000</v>
      </c>
      <c r="AG21" s="478">
        <f t="shared" si="31"/>
        <v>125000</v>
      </c>
      <c r="AH21" s="478">
        <f t="shared" si="31"/>
        <v>125000</v>
      </c>
      <c r="AI21" s="478">
        <f>$B21/4</f>
        <v>125000</v>
      </c>
      <c r="AJ21" s="478"/>
      <c r="AK21" s="478"/>
      <c r="AL21" s="478"/>
      <c r="AM21" s="551"/>
      <c r="AN21" s="471"/>
      <c r="AO21" s="471"/>
      <c r="AP21" s="546"/>
      <c r="AQ21" s="471"/>
      <c r="AR21" s="471"/>
      <c r="AS21" s="471"/>
      <c r="AT21" s="546"/>
      <c r="AU21" s="546"/>
      <c r="AV21" s="469">
        <f t="shared" si="9"/>
        <v>500000</v>
      </c>
      <c r="AW21" s="469">
        <f t="shared" si="13"/>
        <v>500000</v>
      </c>
      <c r="AX21" s="469">
        <f t="shared" si="17"/>
        <v>0</v>
      </c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/>
      <c r="BW21"/>
      <c r="BX21"/>
    </row>
    <row r="22" spans="1:76" ht="14.25">
      <c r="A22" s="466" t="str">
        <f>'Phase 3 Financial'!A68</f>
        <v>Retail brokerage</v>
      </c>
      <c r="B22" s="576">
        <f>'Phase 3 Financial'!C68</f>
        <v>146250</v>
      </c>
      <c r="C22" s="472"/>
      <c r="D22" s="468"/>
      <c r="E22" s="468"/>
      <c r="F22" s="468"/>
      <c r="G22" s="468"/>
      <c r="H22" s="468"/>
      <c r="I22" s="468"/>
      <c r="J22" s="468"/>
      <c r="K22" s="468"/>
      <c r="L22" s="468"/>
      <c r="M22" s="468"/>
      <c r="N22" s="468"/>
      <c r="O22" s="468"/>
      <c r="P22" s="468"/>
      <c r="Q22" s="468"/>
      <c r="R22" s="468"/>
      <c r="S22" s="468"/>
      <c r="T22" s="468"/>
      <c r="U22" s="468"/>
      <c r="V22" s="477"/>
      <c r="W22" s="477"/>
      <c r="X22" s="477"/>
      <c r="Y22" s="468"/>
      <c r="Z22" s="468"/>
      <c r="AA22" s="468"/>
      <c r="AB22" s="468"/>
      <c r="AC22" s="468"/>
      <c r="AD22" s="468"/>
      <c r="AE22" s="468"/>
      <c r="AF22" s="468"/>
      <c r="AG22" s="468"/>
      <c r="AH22" s="468"/>
      <c r="AI22" s="468"/>
      <c r="AJ22" s="468">
        <f>$B22/4</f>
        <v>36562.5</v>
      </c>
      <c r="AK22" s="468">
        <f t="shared" ref="AK22:AM22" si="32">$B22/4</f>
        <v>36562.5</v>
      </c>
      <c r="AL22" s="468">
        <f t="shared" si="32"/>
        <v>36562.5</v>
      </c>
      <c r="AM22" s="468">
        <f t="shared" si="32"/>
        <v>36562.5</v>
      </c>
      <c r="AN22" s="468"/>
      <c r="AO22" s="468"/>
      <c r="AP22" s="548"/>
      <c r="AQ22" s="468"/>
      <c r="AR22" s="468"/>
      <c r="AS22" s="468"/>
      <c r="AT22" s="548"/>
      <c r="AU22" s="548"/>
      <c r="AV22" s="469">
        <f t="shared" si="9"/>
        <v>146250</v>
      </c>
      <c r="AW22" s="469">
        <f t="shared" si="13"/>
        <v>146250</v>
      </c>
      <c r="AX22" s="469">
        <f t="shared" si="17"/>
        <v>0</v>
      </c>
      <c r="AY22" s="489"/>
      <c r="AZ22" s="489"/>
      <c r="BA22" s="489"/>
      <c r="BB22" s="489"/>
      <c r="BC22" s="489"/>
      <c r="BD22" s="489"/>
      <c r="BE22" s="489"/>
      <c r="BF22" s="489"/>
      <c r="BG22" s="489"/>
      <c r="BH22" s="489"/>
      <c r="BI22" s="489"/>
      <c r="BJ22" s="489"/>
      <c r="BK22" s="489"/>
      <c r="BL22" s="489"/>
      <c r="BM22" s="489"/>
      <c r="BN22" s="489"/>
      <c r="BO22" s="489"/>
      <c r="BP22" s="489"/>
      <c r="BQ22" s="489"/>
      <c r="BR22" s="489"/>
      <c r="BS22" s="489"/>
      <c r="BT22" s="489"/>
      <c r="BU22" s="489"/>
      <c r="BV22"/>
      <c r="BW22"/>
      <c r="BX22"/>
    </row>
    <row r="23" spans="1:76" ht="14.25">
      <c r="A23" s="466" t="str">
        <f>'Phase 3 Financial'!A69</f>
        <v>Construction Loan Origination</v>
      </c>
      <c r="B23" s="576">
        <f>'Phase 3 Financial'!C69</f>
        <v>1634445</v>
      </c>
      <c r="C23" s="468">
        <f>$B$23*C4</f>
        <v>0</v>
      </c>
      <c r="D23" s="468">
        <f>$B$23*D4</f>
        <v>0</v>
      </c>
      <c r="E23" s="468">
        <v>0</v>
      </c>
      <c r="F23" s="468">
        <v>0</v>
      </c>
      <c r="G23" s="468">
        <v>0</v>
      </c>
      <c r="H23" s="468">
        <v>0</v>
      </c>
      <c r="I23" s="468">
        <v>0</v>
      </c>
      <c r="J23" s="468">
        <v>0</v>
      </c>
      <c r="K23" s="468"/>
      <c r="L23" s="468">
        <v>0</v>
      </c>
      <c r="M23" s="282"/>
      <c r="N23" s="468">
        <v>0</v>
      </c>
      <c r="O23" s="468">
        <v>0</v>
      </c>
      <c r="P23" s="468">
        <f>$B23</f>
        <v>1634445</v>
      </c>
      <c r="Q23" s="468"/>
      <c r="R23" s="468"/>
      <c r="S23" s="468"/>
      <c r="T23" s="468"/>
      <c r="U23" s="468"/>
      <c r="V23" s="477"/>
      <c r="W23" s="477"/>
      <c r="X23" s="477"/>
      <c r="Y23" s="468"/>
      <c r="Z23" s="282"/>
      <c r="AA23" s="468"/>
      <c r="AB23" s="468"/>
      <c r="AC23" s="468"/>
      <c r="AD23" s="468"/>
      <c r="AE23" s="468"/>
      <c r="AF23" s="468"/>
      <c r="AG23" s="468"/>
      <c r="AH23" s="468"/>
      <c r="AI23" s="468"/>
      <c r="AJ23" s="468"/>
      <c r="AK23" s="468"/>
      <c r="AL23" s="468"/>
      <c r="AM23" s="468"/>
      <c r="AN23" s="468"/>
      <c r="AO23" s="468"/>
      <c r="AP23" s="548"/>
      <c r="AQ23" s="468"/>
      <c r="AR23" s="468"/>
      <c r="AS23" s="468"/>
      <c r="AT23" s="548"/>
      <c r="AU23" s="548"/>
      <c r="AV23" s="469">
        <f t="shared" si="9"/>
        <v>1634445</v>
      </c>
      <c r="AW23" s="469">
        <f t="shared" si="13"/>
        <v>1634445</v>
      </c>
      <c r="AX23" s="469">
        <f t="shared" si="17"/>
        <v>0</v>
      </c>
      <c r="AY23" s="489"/>
      <c r="AZ23" s="489"/>
      <c r="BA23" s="489"/>
      <c r="BB23" s="489"/>
      <c r="BC23" s="489"/>
      <c r="BD23" s="489"/>
      <c r="BE23" s="489"/>
      <c r="BF23" s="489"/>
      <c r="BG23" s="489"/>
      <c r="BH23" s="489"/>
      <c r="BI23" s="489"/>
      <c r="BJ23" s="489"/>
      <c r="BK23" s="489"/>
      <c r="BL23" s="489"/>
      <c r="BM23" s="489"/>
      <c r="BN23" s="489"/>
      <c r="BO23" s="489"/>
      <c r="BP23" s="489"/>
      <c r="BQ23" s="489"/>
      <c r="BR23" s="489"/>
      <c r="BS23" s="489"/>
      <c r="BT23" s="489"/>
      <c r="BU23" s="489"/>
      <c r="BV23"/>
      <c r="BW23"/>
      <c r="BX23"/>
    </row>
    <row r="24" spans="1:76" ht="14.25">
      <c r="A24" s="466" t="str">
        <f>'Phase 3 Financial'!A70</f>
        <v>Construction Interest</v>
      </c>
      <c r="B24" s="576">
        <f>'Phase 3 Financial'!C70</f>
        <v>6537780</v>
      </c>
      <c r="C24" s="480"/>
      <c r="D24" s="468"/>
      <c r="E24" s="468"/>
      <c r="F24" s="468"/>
      <c r="G24" s="468"/>
      <c r="H24" s="468"/>
      <c r="I24" s="468"/>
      <c r="J24" s="468"/>
      <c r="K24" s="468"/>
      <c r="L24" s="468"/>
      <c r="M24" s="468"/>
      <c r="N24" s="468"/>
      <c r="O24" s="468"/>
      <c r="P24" s="468"/>
      <c r="Q24" s="468"/>
      <c r="R24" s="468"/>
      <c r="S24" s="468"/>
      <c r="T24" s="468"/>
      <c r="U24" s="468"/>
      <c r="V24" s="477"/>
      <c r="W24" s="477"/>
      <c r="X24" s="477"/>
      <c r="Y24" s="468"/>
      <c r="Z24" s="468">
        <f>0.05*$B24</f>
        <v>326889</v>
      </c>
      <c r="AA24" s="468">
        <f t="shared" ref="AA24:AG24" si="33">0.05*$B24</f>
        <v>326889</v>
      </c>
      <c r="AB24" s="468">
        <f t="shared" si="33"/>
        <v>326889</v>
      </c>
      <c r="AC24" s="468">
        <f t="shared" si="33"/>
        <v>326889</v>
      </c>
      <c r="AD24" s="468">
        <f t="shared" si="33"/>
        <v>326889</v>
      </c>
      <c r="AE24" s="468">
        <f t="shared" si="33"/>
        <v>326889</v>
      </c>
      <c r="AF24" s="468">
        <f t="shared" si="33"/>
        <v>326889</v>
      </c>
      <c r="AG24" s="468">
        <f t="shared" si="33"/>
        <v>326889</v>
      </c>
      <c r="AH24" s="468">
        <f t="shared" ref="AH24" si="34">0.1*$B24</f>
        <v>653778</v>
      </c>
      <c r="AI24" s="468">
        <f t="shared" ref="AI24:AL24" si="35">0.1*$B24</f>
        <v>653778</v>
      </c>
      <c r="AJ24" s="468">
        <f t="shared" si="35"/>
        <v>653778</v>
      </c>
      <c r="AK24" s="468">
        <f t="shared" si="35"/>
        <v>653778</v>
      </c>
      <c r="AL24" s="468">
        <f t="shared" si="35"/>
        <v>653778</v>
      </c>
      <c r="AM24" s="468">
        <f>0.1*$B24</f>
        <v>653778</v>
      </c>
      <c r="AN24" s="468"/>
      <c r="AO24" s="468"/>
      <c r="AP24" s="468"/>
      <c r="AQ24" s="468"/>
      <c r="AR24" s="468"/>
      <c r="AS24" s="282"/>
      <c r="AT24" s="468"/>
      <c r="AU24" s="468"/>
      <c r="AV24" s="469">
        <f t="shared" si="9"/>
        <v>6537780</v>
      </c>
      <c r="AW24" s="469">
        <f t="shared" si="13"/>
        <v>6537780</v>
      </c>
      <c r="AX24" s="469">
        <f t="shared" si="17"/>
        <v>0</v>
      </c>
      <c r="AY24" s="469"/>
      <c r="AZ24" s="469"/>
      <c r="BA24" s="469"/>
      <c r="BB24" s="469"/>
      <c r="BC24" s="469"/>
      <c r="BD24" s="469"/>
      <c r="BE24" s="469"/>
      <c r="BF24" s="469"/>
      <c r="BG24" s="469"/>
      <c r="BH24" s="469"/>
      <c r="BI24" s="469"/>
      <c r="BJ24" s="469"/>
      <c r="BK24" s="469"/>
      <c r="BL24" s="469"/>
      <c r="BM24" s="469"/>
      <c r="BN24" s="469"/>
      <c r="BO24" s="469"/>
      <c r="BP24" s="469"/>
      <c r="BQ24" s="469"/>
      <c r="BR24" s="469"/>
      <c r="BS24" s="469"/>
      <c r="BT24" s="469"/>
      <c r="BU24" s="469"/>
      <c r="BV24"/>
      <c r="BW24"/>
      <c r="BX24"/>
    </row>
    <row r="25" spans="1:76" ht="26.25" customHeight="1" thickBot="1">
      <c r="A25" s="600" t="str">
        <f>'Phase 3 Financial'!A71</f>
        <v>Additional Contingency</v>
      </c>
      <c r="B25" s="483">
        <f>'Phase 3 Financial'!C71</f>
        <v>1000000</v>
      </c>
      <c r="C25" s="482">
        <v>0</v>
      </c>
      <c r="D25" s="482">
        <v>0</v>
      </c>
      <c r="E25" s="482">
        <v>0</v>
      </c>
      <c r="F25" s="482"/>
      <c r="G25" s="482">
        <v>0</v>
      </c>
      <c r="H25" s="482">
        <v>0</v>
      </c>
      <c r="I25" s="482">
        <v>0</v>
      </c>
      <c r="J25" s="482">
        <v>0</v>
      </c>
      <c r="K25" s="482">
        <v>0</v>
      </c>
      <c r="L25" s="482"/>
      <c r="M25" s="482"/>
      <c r="N25" s="482"/>
      <c r="O25" s="482"/>
      <c r="P25" s="482"/>
      <c r="Q25" s="482">
        <f>$B25*Q4</f>
        <v>0</v>
      </c>
      <c r="R25" s="482">
        <f>$B25*R4</f>
        <v>0</v>
      </c>
      <c r="S25" s="482">
        <f>$B25*S4</f>
        <v>0</v>
      </c>
      <c r="T25" s="482">
        <f>$B25*T4</f>
        <v>0</v>
      </c>
      <c r="U25" s="468">
        <f>$B25*U4</f>
        <v>0</v>
      </c>
      <c r="V25" s="477"/>
      <c r="W25" s="477"/>
      <c r="X25" s="477"/>
      <c r="Y25" s="468">
        <f t="shared" ref="Y25:AI25" si="36">$B25*V4</f>
        <v>0</v>
      </c>
      <c r="Z25" s="482">
        <f t="shared" si="36"/>
        <v>0</v>
      </c>
      <c r="AA25" s="482">
        <f t="shared" si="36"/>
        <v>60000</v>
      </c>
      <c r="AB25" s="482">
        <f t="shared" si="36"/>
        <v>60000</v>
      </c>
      <c r="AC25" s="482">
        <f t="shared" si="36"/>
        <v>80000</v>
      </c>
      <c r="AD25" s="482">
        <f t="shared" si="36"/>
        <v>80000</v>
      </c>
      <c r="AE25" s="482">
        <f t="shared" si="36"/>
        <v>80000</v>
      </c>
      <c r="AF25" s="482">
        <f t="shared" si="36"/>
        <v>80000</v>
      </c>
      <c r="AG25" s="482">
        <f t="shared" si="36"/>
        <v>80000</v>
      </c>
      <c r="AH25" s="482">
        <f t="shared" si="36"/>
        <v>80000</v>
      </c>
      <c r="AI25" s="482">
        <f t="shared" si="36"/>
        <v>80000</v>
      </c>
      <c r="AJ25" s="482"/>
      <c r="AK25" s="482"/>
      <c r="AL25" s="482"/>
      <c r="AM25" s="482"/>
      <c r="AN25" s="554"/>
      <c r="AO25" s="554"/>
      <c r="AP25" s="554"/>
      <c r="AQ25" s="555"/>
      <c r="AR25" s="555"/>
      <c r="AS25" s="601"/>
      <c r="AT25" s="294"/>
      <c r="AU25" s="294"/>
      <c r="AV25" s="483">
        <f t="shared" si="9"/>
        <v>680000</v>
      </c>
      <c r="AW25" s="469">
        <f t="shared" si="13"/>
        <v>1000000</v>
      </c>
      <c r="AX25" s="469">
        <f t="shared" si="17"/>
        <v>320000</v>
      </c>
      <c r="AY25" s="602"/>
      <c r="AZ25" s="602"/>
      <c r="BA25" s="602"/>
      <c r="BB25" s="602"/>
      <c r="BC25" s="602"/>
      <c r="BD25" s="602"/>
      <c r="BE25" s="602"/>
      <c r="BF25" s="602"/>
      <c r="BG25" s="602"/>
      <c r="BH25" s="602"/>
      <c r="BI25" s="602"/>
      <c r="BJ25" s="602"/>
      <c r="BK25" s="602"/>
      <c r="BL25" s="602"/>
      <c r="BM25" s="602"/>
      <c r="BN25" s="602"/>
      <c r="BO25" s="602"/>
      <c r="BP25" s="602"/>
      <c r="BQ25" s="602"/>
      <c r="BR25" s="602"/>
      <c r="BS25" s="602"/>
      <c r="BT25" s="602"/>
      <c r="BU25" s="602"/>
      <c r="BV25"/>
      <c r="BW25"/>
      <c r="BX25"/>
    </row>
    <row r="26" spans="1:76" ht="15" thickTop="1" thickBot="1">
      <c r="A26" s="220" t="str">
        <f>'Phase 1a Financial'!A113</f>
        <v>Total Project Cost</v>
      </c>
      <c r="B26" s="221">
        <f t="shared" ref="B26:AM26" si="37">SUM(B5:B25)</f>
        <v>189776609.04761907</v>
      </c>
      <c r="C26" s="181">
        <f t="shared" si="37"/>
        <v>0</v>
      </c>
      <c r="D26" s="181">
        <f t="shared" si="37"/>
        <v>0</v>
      </c>
      <c r="E26" s="181">
        <f t="shared" si="37"/>
        <v>0</v>
      </c>
      <c r="F26" s="181">
        <f t="shared" si="37"/>
        <v>0</v>
      </c>
      <c r="G26" s="181">
        <f t="shared" si="37"/>
        <v>0</v>
      </c>
      <c r="H26" s="181">
        <f t="shared" si="37"/>
        <v>309865.5</v>
      </c>
      <c r="I26" s="181">
        <f t="shared" si="37"/>
        <v>329865.5</v>
      </c>
      <c r="J26" s="181">
        <f t="shared" si="37"/>
        <v>329865.5</v>
      </c>
      <c r="K26" s="181">
        <f t="shared" si="37"/>
        <v>329865.5</v>
      </c>
      <c r="L26" s="181">
        <f t="shared" si="37"/>
        <v>329865.5</v>
      </c>
      <c r="M26" s="181">
        <f t="shared" si="37"/>
        <v>349865.5</v>
      </c>
      <c r="N26" s="181">
        <f t="shared" si="37"/>
        <v>349865.5</v>
      </c>
      <c r="O26" s="181">
        <f t="shared" si="37"/>
        <v>659731</v>
      </c>
      <c r="P26" s="181">
        <f t="shared" si="37"/>
        <v>2294176</v>
      </c>
      <c r="Q26" s="181">
        <f t="shared" si="37"/>
        <v>659731</v>
      </c>
      <c r="R26" s="181">
        <f t="shared" si="37"/>
        <v>359865.5</v>
      </c>
      <c r="S26" s="181">
        <f t="shared" si="37"/>
        <v>359865.5</v>
      </c>
      <c r="T26" s="181">
        <f t="shared" si="37"/>
        <v>3429865.5</v>
      </c>
      <c r="U26" s="181">
        <f t="shared" si="37"/>
        <v>309865.5</v>
      </c>
      <c r="V26" s="181">
        <f t="shared" si="37"/>
        <v>309865.5</v>
      </c>
      <c r="W26" s="181">
        <f t="shared" si="37"/>
        <v>309865.5</v>
      </c>
      <c r="X26" s="181">
        <f t="shared" si="37"/>
        <v>9757030.5</v>
      </c>
      <c r="Y26" s="181">
        <f t="shared" si="37"/>
        <v>9447165</v>
      </c>
      <c r="Z26" s="181">
        <f t="shared" si="37"/>
        <v>12923109</v>
      </c>
      <c r="AA26" s="181">
        <f t="shared" si="37"/>
        <v>12983109</v>
      </c>
      <c r="AB26" s="181">
        <f t="shared" si="37"/>
        <v>13469665.728</v>
      </c>
      <c r="AC26" s="181">
        <f t="shared" si="37"/>
        <v>13489665.728</v>
      </c>
      <c r="AD26" s="181">
        <f t="shared" si="37"/>
        <v>13651851.304</v>
      </c>
      <c r="AE26" s="181">
        <f t="shared" si="37"/>
        <v>13651851.304</v>
      </c>
      <c r="AF26" s="181">
        <f t="shared" si="37"/>
        <v>13776851.304</v>
      </c>
      <c r="AG26" s="181">
        <f t="shared" si="37"/>
        <v>13776851.304</v>
      </c>
      <c r="AH26" s="181">
        <f t="shared" si="37"/>
        <v>14203740.304</v>
      </c>
      <c r="AI26" s="181">
        <f t="shared" si="37"/>
        <v>14203740.304</v>
      </c>
      <c r="AJ26" s="181">
        <f t="shared" si="37"/>
        <v>14317318.282571428</v>
      </c>
      <c r="AK26" s="181">
        <f t="shared" si="37"/>
        <v>1072355.9785714285</v>
      </c>
      <c r="AL26" s="181">
        <f t="shared" si="37"/>
        <v>1072355.9785714285</v>
      </c>
      <c r="AM26" s="181">
        <f t="shared" si="37"/>
        <v>1072355.9785714285</v>
      </c>
      <c r="AN26" s="181"/>
      <c r="AO26" s="181"/>
      <c r="AP26" s="181"/>
      <c r="AQ26" s="181"/>
      <c r="AR26" s="174"/>
      <c r="AS26" s="175"/>
      <c r="AT26" s="176"/>
      <c r="AU26" s="176"/>
      <c r="AV26" s="178">
        <f>SUM(AV5:AV25)</f>
        <v>183890906.49828574</v>
      </c>
      <c r="AW26" s="177">
        <f>SUM(AW5:AW25)</f>
        <v>189776609.04761907</v>
      </c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/>
      <c r="BW26"/>
      <c r="BX26"/>
    </row>
    <row r="27" spans="1:76" ht="14.25">
      <c r="A27" s="179" t="s">
        <v>292</v>
      </c>
      <c r="B27" s="204">
        <f>IF('Phase 3 Financial'!B80&lt;0,'Phase 3 Financial'!B80,0)</f>
        <v>-68565000</v>
      </c>
      <c r="C27" s="578"/>
      <c r="D27" s="497"/>
      <c r="E27" s="497"/>
      <c r="F27" s="497"/>
      <c r="G27" s="497"/>
      <c r="H27" s="497"/>
      <c r="I27" s="497"/>
      <c r="J27" s="497"/>
      <c r="K27" s="497"/>
      <c r="L27" s="497"/>
      <c r="M27" s="497"/>
      <c r="N27" s="497"/>
      <c r="O27" s="497"/>
      <c r="P27" s="497"/>
      <c r="Q27" s="497"/>
      <c r="R27" s="497"/>
      <c r="S27" s="497"/>
      <c r="T27" s="497"/>
      <c r="U27" s="497"/>
      <c r="V27" s="497"/>
      <c r="W27" s="497"/>
      <c r="X27" s="497"/>
      <c r="Y27" s="497"/>
      <c r="Z27" s="495"/>
      <c r="AA27" s="495"/>
      <c r="AB27" s="495"/>
      <c r="AC27" s="495"/>
      <c r="AD27" s="495"/>
      <c r="AE27" s="495"/>
      <c r="AF27" s="495"/>
      <c r="AG27" s="495"/>
      <c r="AH27" s="497"/>
      <c r="AI27" s="497"/>
      <c r="AJ27" s="497"/>
      <c r="AK27" s="578"/>
      <c r="AL27" s="256"/>
      <c r="AM27" s="497"/>
      <c r="AN27" s="497"/>
      <c r="AO27" s="497"/>
      <c r="AP27" s="578"/>
      <c r="AQ27" s="497"/>
      <c r="AR27" s="497"/>
      <c r="AS27" s="222"/>
      <c r="AT27" s="223"/>
      <c r="AU27" s="223"/>
      <c r="AV27" s="578"/>
      <c r="AW27" s="578"/>
      <c r="AX27" s="486"/>
      <c r="AY27" s="486"/>
      <c r="AZ27" s="486"/>
      <c r="BA27" s="486"/>
      <c r="BB27" s="486"/>
      <c r="BC27" s="486"/>
      <c r="BD27" s="486"/>
      <c r="BE27" s="486"/>
      <c r="BF27" s="486"/>
      <c r="BG27" s="486"/>
      <c r="BH27" s="486"/>
      <c r="BI27" s="486"/>
      <c r="BJ27" s="486"/>
      <c r="BK27" s="486"/>
      <c r="BL27" s="486"/>
      <c r="BM27" s="486"/>
      <c r="BN27" s="486"/>
      <c r="BO27" s="486"/>
      <c r="BP27" s="486"/>
      <c r="BQ27" s="486"/>
      <c r="BR27" s="486"/>
      <c r="BS27" s="486"/>
      <c r="BT27" s="486"/>
      <c r="BU27" s="486"/>
      <c r="BV27"/>
      <c r="BW27"/>
      <c r="BX27"/>
    </row>
    <row r="28" spans="1:76" ht="14.65" thickBot="1">
      <c r="A28" s="484" t="s">
        <v>293</v>
      </c>
      <c r="B28" s="577">
        <f>B26+B27</f>
        <v>121211609.04761907</v>
      </c>
      <c r="C28" s="224"/>
      <c r="D28" s="603"/>
      <c r="E28" s="603"/>
      <c r="F28" s="603"/>
      <c r="G28" s="603"/>
      <c r="H28" s="603"/>
      <c r="I28" s="603"/>
      <c r="J28" s="603"/>
      <c r="K28" s="603"/>
      <c r="L28" s="603"/>
      <c r="M28" s="603"/>
      <c r="N28" s="603"/>
      <c r="O28" s="603"/>
      <c r="P28" s="603"/>
      <c r="Q28" s="603"/>
      <c r="R28" s="603"/>
      <c r="S28" s="603"/>
      <c r="T28" s="603"/>
      <c r="U28" s="603"/>
      <c r="V28" s="603"/>
      <c r="W28" s="603"/>
      <c r="X28" s="603"/>
      <c r="Y28" s="603"/>
      <c r="Z28" s="580"/>
      <c r="AA28" s="580"/>
      <c r="AB28" s="580"/>
      <c r="AC28" s="580"/>
      <c r="AD28" s="580"/>
      <c r="AE28" s="580"/>
      <c r="AF28" s="580"/>
      <c r="AG28" s="580"/>
      <c r="AH28" s="603"/>
      <c r="AI28" s="603"/>
      <c r="AJ28" s="603"/>
      <c r="AK28" s="224"/>
      <c r="AL28" s="225"/>
      <c r="AM28" s="603"/>
      <c r="AN28" s="603"/>
      <c r="AO28" s="603"/>
      <c r="AP28" s="224"/>
      <c r="AQ28" s="603"/>
      <c r="AR28" s="603"/>
      <c r="AS28" s="226"/>
      <c r="AT28" s="227"/>
      <c r="AU28" s="227"/>
      <c r="AV28" s="578"/>
      <c r="AW28" s="578"/>
      <c r="AX28" s="486"/>
      <c r="AY28" s="486"/>
      <c r="AZ28" s="486"/>
      <c r="BA28" s="486"/>
      <c r="BB28" s="486"/>
      <c r="BC28" s="486"/>
      <c r="BD28" s="486"/>
      <c r="BE28" s="486"/>
      <c r="BF28" s="486"/>
      <c r="BG28" s="486"/>
      <c r="BH28" s="486"/>
      <c r="BI28" s="486"/>
      <c r="BJ28" s="486"/>
      <c r="BK28" s="486"/>
      <c r="BL28" s="486"/>
      <c r="BM28" s="486"/>
      <c r="BN28" s="486"/>
      <c r="BO28" s="486"/>
      <c r="BP28" s="486"/>
      <c r="BQ28" s="486"/>
      <c r="BR28" s="486"/>
      <c r="BS28" s="486"/>
      <c r="BT28" s="486"/>
      <c r="BU28" s="486"/>
      <c r="BV28"/>
      <c r="BW28"/>
      <c r="BX28"/>
    </row>
    <row r="29" spans="1:76" ht="14.25">
      <c r="A29" s="184" t="s">
        <v>294</v>
      </c>
      <c r="B29" s="228">
        <f>SUM(C29:AS29)</f>
        <v>19530891.685271174</v>
      </c>
      <c r="C29" s="229">
        <f>C26</f>
        <v>0</v>
      </c>
      <c r="D29" s="229">
        <f t="shared" ref="D29:AF29" si="38">IF(C30+D26&lt;=$B$30,D26,($B$30-C30))</f>
        <v>0</v>
      </c>
      <c r="E29" s="229">
        <f t="shared" si="38"/>
        <v>0</v>
      </c>
      <c r="F29" s="229">
        <f t="shared" si="38"/>
        <v>0</v>
      </c>
      <c r="G29" s="229">
        <f t="shared" si="38"/>
        <v>0</v>
      </c>
      <c r="H29" s="229">
        <f t="shared" si="38"/>
        <v>309865.5</v>
      </c>
      <c r="I29" s="229">
        <f t="shared" si="38"/>
        <v>329865.5</v>
      </c>
      <c r="J29" s="229">
        <f t="shared" si="38"/>
        <v>329865.5</v>
      </c>
      <c r="K29" s="229">
        <f t="shared" si="38"/>
        <v>329865.5</v>
      </c>
      <c r="L29" s="229">
        <f t="shared" si="38"/>
        <v>329865.5</v>
      </c>
      <c r="M29" s="229">
        <f t="shared" si="38"/>
        <v>349865.5</v>
      </c>
      <c r="N29" s="229">
        <f t="shared" si="38"/>
        <v>349865.5</v>
      </c>
      <c r="O29" s="229">
        <f t="shared" si="38"/>
        <v>659731</v>
      </c>
      <c r="P29" s="229">
        <f t="shared" si="38"/>
        <v>2294176</v>
      </c>
      <c r="Q29" s="229">
        <f t="shared" si="38"/>
        <v>659731</v>
      </c>
      <c r="R29" s="229">
        <f t="shared" si="38"/>
        <v>359865.5</v>
      </c>
      <c r="S29" s="229">
        <f t="shared" si="38"/>
        <v>359865.5</v>
      </c>
      <c r="T29" s="229">
        <f t="shared" si="38"/>
        <v>3429865.5</v>
      </c>
      <c r="U29" s="229">
        <f t="shared" si="38"/>
        <v>309865.5</v>
      </c>
      <c r="V29" s="229">
        <f t="shared" si="38"/>
        <v>309865.5</v>
      </c>
      <c r="W29" s="229">
        <f t="shared" si="38"/>
        <v>309865.5</v>
      </c>
      <c r="X29" s="229">
        <f t="shared" si="38"/>
        <v>8509002.1852711737</v>
      </c>
      <c r="Y29" s="229">
        <f t="shared" si="38"/>
        <v>0</v>
      </c>
      <c r="Z29" s="229">
        <f t="shared" si="38"/>
        <v>0</v>
      </c>
      <c r="AA29" s="229">
        <f t="shared" si="38"/>
        <v>0</v>
      </c>
      <c r="AB29" s="229">
        <f t="shared" si="38"/>
        <v>0</v>
      </c>
      <c r="AC29" s="229">
        <f t="shared" si="38"/>
        <v>0</v>
      </c>
      <c r="AD29" s="229">
        <f t="shared" si="38"/>
        <v>0</v>
      </c>
      <c r="AE29" s="229">
        <f t="shared" si="38"/>
        <v>0</v>
      </c>
      <c r="AF29" s="229">
        <f t="shared" si="38"/>
        <v>0</v>
      </c>
      <c r="AG29" s="229"/>
      <c r="AH29" s="229"/>
      <c r="AI29" s="229"/>
      <c r="AJ29" s="229"/>
      <c r="AK29" s="229"/>
      <c r="AL29" s="229"/>
      <c r="AM29" s="229"/>
      <c r="AN29" s="229"/>
      <c r="AO29" s="229"/>
      <c r="AP29" s="229"/>
      <c r="AQ29" s="229"/>
      <c r="AR29" s="229"/>
      <c r="AS29" s="229"/>
      <c r="AT29" s="229"/>
      <c r="AU29" s="229"/>
      <c r="AV29" s="489"/>
      <c r="AW29" s="489"/>
      <c r="AX29" s="489"/>
      <c r="AY29" s="489"/>
      <c r="AZ29" s="489"/>
      <c r="BA29" s="489"/>
      <c r="BB29" s="489"/>
      <c r="BC29" s="489"/>
      <c r="BD29" s="489"/>
      <c r="BE29" s="489"/>
      <c r="BF29" s="489"/>
      <c r="BG29" s="489"/>
      <c r="BH29" s="489"/>
      <c r="BI29" s="489"/>
      <c r="BJ29" s="489"/>
      <c r="BK29" s="489"/>
      <c r="BL29" s="489"/>
      <c r="BM29" s="489"/>
      <c r="BN29" s="489"/>
      <c r="BO29" s="489"/>
      <c r="BP29" s="489"/>
      <c r="BQ29" s="489"/>
      <c r="BR29" s="489"/>
      <c r="BS29" s="489"/>
      <c r="BT29" s="489"/>
      <c r="BU29" s="489"/>
      <c r="BV29"/>
      <c r="BW29"/>
      <c r="BX29"/>
    </row>
    <row r="30" spans="1:76" ht="14.65" thickBot="1">
      <c r="A30" s="492" t="s">
        <v>295</v>
      </c>
      <c r="B30" s="604">
        <f>'Phase 3 Financial'!B89</f>
        <v>19530891.685271174</v>
      </c>
      <c r="C30" s="605">
        <f>C29</f>
        <v>0</v>
      </c>
      <c r="D30" s="605">
        <f>IF(SUM($C$29:D29)&lt;=$B30,SUM($C$29:D29),0)</f>
        <v>0</v>
      </c>
      <c r="E30" s="605">
        <f>IF(SUM($C$29:E29)&lt;=$B30,SUM($C$29:E29),0)</f>
        <v>0</v>
      </c>
      <c r="F30" s="605">
        <f>IF(SUM($C$29:F29)&lt;=$B30,SUM($C$29:F29),0)</f>
        <v>0</v>
      </c>
      <c r="G30" s="605">
        <f>IF(SUM($C$29:G29)&lt;=$B30,SUM($C$29:G29),0)</f>
        <v>0</v>
      </c>
      <c r="H30" s="605">
        <f>IF(SUM($C$29:H29)&lt;=$B30,SUM($C$29:H29),0)</f>
        <v>309865.5</v>
      </c>
      <c r="I30" s="605">
        <f>IF(SUM($C$29:I29)&lt;=$B30,SUM($C$29:I29),0)</f>
        <v>639731</v>
      </c>
      <c r="J30" s="605">
        <f>IF(SUM($C$29:J29)&lt;=$B30,SUM($C$29:J29),0)</f>
        <v>969596.5</v>
      </c>
      <c r="K30" s="605">
        <f>IF(SUM($C$29:K29)&lt;=$B30,SUM($C$29:K29),0)</f>
        <v>1299462</v>
      </c>
      <c r="L30" s="605">
        <f>IF(SUM($C$29:L29)&lt;=$B30,SUM($C$29:L29),0)</f>
        <v>1629327.5</v>
      </c>
      <c r="M30" s="605">
        <f>IF(SUM($C$29:M29)&lt;=$B30,SUM($C$29:M29),0)</f>
        <v>1979193</v>
      </c>
      <c r="N30" s="605">
        <f>IF(SUM($C$29:N29)&lt;=$B30,SUM($C$29:N29),0)</f>
        <v>2329058.5</v>
      </c>
      <c r="O30" s="605">
        <f>IF(SUM($C$29:O29)&lt;=$B30,SUM($C$29:O29),0)</f>
        <v>2988789.5</v>
      </c>
      <c r="P30" s="605">
        <f>IF(SUM($C$29:P29)&lt;=$B30,SUM($C$29:P29),0)</f>
        <v>5282965.5</v>
      </c>
      <c r="Q30" s="605">
        <f>IF(SUM($C$29:Q29)&lt;=$B30,SUM($C$29:Q29),0)</f>
        <v>5942696.5</v>
      </c>
      <c r="R30" s="605">
        <f>IF(SUM($C$29:R29)&lt;=$B30,SUM($C$29:R29),0)</f>
        <v>6302562</v>
      </c>
      <c r="S30" s="605">
        <f>IF(SUM($C$29:S29)&lt;=$B30,SUM($C$29:S29),0)</f>
        <v>6662427.5</v>
      </c>
      <c r="T30" s="605">
        <f>IF(SUM($C$29:T29)&lt;=$B30,SUM($C$29:T29),0)</f>
        <v>10092293</v>
      </c>
      <c r="U30" s="605">
        <f>IF(SUM($C$29:U29)&lt;=$B30,SUM($C$29:U29),0)</f>
        <v>10402158.5</v>
      </c>
      <c r="V30" s="605">
        <f>IF(SUM($C$29:V29)&lt;=$B30,SUM($C$29:V29),0)</f>
        <v>10712024</v>
      </c>
      <c r="W30" s="605">
        <f>IF(SUM($C$29:W29)&lt;=$B30,SUM($C$29:W29),0)</f>
        <v>11021889.5</v>
      </c>
      <c r="X30" s="605">
        <f>IF(SUM($C$29:X29)&lt;=$B30,SUM($C$29:X29),0)</f>
        <v>19530891.685271174</v>
      </c>
      <c r="Y30" s="605">
        <f>IF(SUM($C$29:Y29)&lt;=$B30,SUM($C$29:Y29),0)</f>
        <v>19530891.685271174</v>
      </c>
      <c r="Z30" s="605">
        <f>IF(SUM($C$29:Z29)&lt;=$B30,SUM($C$29:Z29),0)</f>
        <v>19530891.685271174</v>
      </c>
      <c r="AA30" s="605">
        <f>IF(SUM($C$29:AA29)&lt;=$B30,SUM($C$29:AA29),0)</f>
        <v>19530891.685271174</v>
      </c>
      <c r="AB30" s="605">
        <f>IF(SUM($C$29:AB29)&lt;=$B30,SUM($C$29:AB29),0)</f>
        <v>19530891.685271174</v>
      </c>
      <c r="AC30" s="605">
        <f>IF(SUM($C$29:AC29)&lt;=$B30,SUM($C$29:AC29),0)</f>
        <v>19530891.685271174</v>
      </c>
      <c r="AD30" s="605">
        <f>IF(SUM($C$29:AD29)&lt;=$B30,SUM($C$29:AD29),0)</f>
        <v>19530891.685271174</v>
      </c>
      <c r="AE30" s="605">
        <f>IF(SUM($C$29:AE29)&lt;=$B30,SUM($C$29:AE29),0)</f>
        <v>19530891.685271174</v>
      </c>
      <c r="AF30" s="605">
        <f>IF(SUM($C$29:AF29)&lt;=$B30,SUM($C$29:AF29),0)</f>
        <v>19530891.685271174</v>
      </c>
      <c r="AG30" s="605">
        <f>IF(SUM($C$29:AG29)&lt;=$B30,SUM($C$29:AG29),0)</f>
        <v>19530891.685271174</v>
      </c>
      <c r="AH30" s="605">
        <f>IF(SUM($C$29:AH29)&lt;=$B30,SUM($C$29:AH29),0)</f>
        <v>19530891.685271174</v>
      </c>
      <c r="AI30" s="605">
        <f>IF(SUM($C$29:AI29)&lt;=$B30,SUM($C$29:AI29),0)</f>
        <v>19530891.685271174</v>
      </c>
      <c r="AJ30" s="605">
        <f>IF(SUM($C$29:AJ29)&lt;=$B30,SUM($C$29:AJ29),0)</f>
        <v>19530891.685271174</v>
      </c>
      <c r="AK30" s="605">
        <f>IF(SUM($C$29:AK29)&lt;=$B30,SUM($C$29:AK29),0)</f>
        <v>19530891.685271174</v>
      </c>
      <c r="AL30" s="605">
        <f>IF(SUM($C$29:AL29)&lt;=$B30,SUM($C$29:AL29),0)</f>
        <v>19530891.685271174</v>
      </c>
      <c r="AM30" s="605">
        <f>IF(SUM($C$29:AM29)&lt;=$B30,SUM($C$29:AM29),0)</f>
        <v>19530891.685271174</v>
      </c>
      <c r="AN30" s="605"/>
      <c r="AO30" s="605"/>
      <c r="AP30" s="605"/>
      <c r="AQ30" s="605"/>
      <c r="AR30" s="605"/>
      <c r="AS30" s="605"/>
      <c r="AT30" s="605"/>
      <c r="AU30" s="605"/>
      <c r="AV30" s="489"/>
      <c r="AW30" s="489"/>
      <c r="AX30" s="489"/>
      <c r="AY30" s="489"/>
      <c r="AZ30" s="489"/>
      <c r="BA30" s="489"/>
      <c r="BB30" s="489"/>
      <c r="BC30" s="489"/>
      <c r="BD30" s="489"/>
      <c r="BE30" s="489"/>
      <c r="BF30" s="489"/>
      <c r="BG30" s="489"/>
      <c r="BH30" s="489"/>
      <c r="BI30" s="489"/>
      <c r="BJ30" s="489"/>
      <c r="BK30" s="489"/>
      <c r="BL30" s="489"/>
      <c r="BM30" s="489"/>
      <c r="BN30" s="489"/>
      <c r="BO30" s="489"/>
      <c r="BP30" s="489"/>
      <c r="BQ30" s="489"/>
      <c r="BR30" s="489"/>
      <c r="BS30" s="489"/>
      <c r="BT30" s="489"/>
      <c r="BU30" s="489"/>
      <c r="BV30"/>
      <c r="BW30"/>
      <c r="BX30"/>
    </row>
    <row r="31" spans="1:76" ht="14.25">
      <c r="A31" s="219" t="s">
        <v>334</v>
      </c>
      <c r="B31" s="230">
        <f>'Phase 3 Financial'!B82</f>
        <v>113866000</v>
      </c>
      <c r="C31" s="231"/>
      <c r="D31" s="232"/>
      <c r="E31" s="232"/>
      <c r="F31" s="232"/>
      <c r="G31" s="232"/>
      <c r="H31" s="232"/>
      <c r="I31" s="232"/>
      <c r="J31" s="232"/>
      <c r="K31" s="232"/>
      <c r="L31" s="232"/>
      <c r="M31" s="232"/>
      <c r="N31" s="232"/>
      <c r="O31" s="232"/>
      <c r="P31" s="232"/>
      <c r="Q31" s="232"/>
      <c r="R31" s="232"/>
      <c r="S31" s="232"/>
      <c r="T31" s="232"/>
      <c r="U31" s="232"/>
      <c r="V31" s="232"/>
      <c r="W31" s="232"/>
      <c r="X31" s="232"/>
      <c r="Y31" s="232"/>
      <c r="Z31" s="232"/>
      <c r="AA31" s="232"/>
      <c r="AB31" s="232"/>
      <c r="AC31" s="232"/>
      <c r="AD31" s="232"/>
      <c r="AE31" s="232"/>
      <c r="AF31" s="232"/>
      <c r="AG31" s="232"/>
      <c r="AH31" s="232"/>
      <c r="AI31" s="232"/>
      <c r="AJ31" s="232"/>
      <c r="AK31" s="232"/>
      <c r="AL31" s="232"/>
      <c r="AM31" s="232"/>
      <c r="AN31" s="232"/>
      <c r="AO31" s="232"/>
      <c r="AP31" s="232"/>
      <c r="AQ31" s="232"/>
      <c r="AR31" s="232"/>
      <c r="AS31" s="232"/>
      <c r="AT31" s="232"/>
      <c r="AU31" s="232"/>
      <c r="AV31" s="490"/>
      <c r="AW31" s="490"/>
      <c r="AX31" s="489"/>
      <c r="AY31" s="489"/>
      <c r="AZ31" s="489"/>
      <c r="BA31" s="489"/>
      <c r="BB31" s="489"/>
      <c r="BC31" s="489"/>
      <c r="BD31" s="489"/>
      <c r="BE31" s="489"/>
      <c r="BF31" s="489"/>
      <c r="BG31" s="489"/>
      <c r="BH31" s="489"/>
      <c r="BI31" s="489"/>
      <c r="BJ31" s="489"/>
      <c r="BK31" s="489"/>
      <c r="BL31" s="489"/>
      <c r="BM31" s="489"/>
      <c r="BN31" s="489"/>
      <c r="BO31" s="489"/>
      <c r="BP31" s="489"/>
      <c r="BQ31" s="489"/>
      <c r="BR31" s="489"/>
      <c r="BS31" s="489"/>
      <c r="BT31" s="489"/>
      <c r="BU31" s="489"/>
      <c r="BV31"/>
      <c r="BW31"/>
      <c r="BX31"/>
    </row>
    <row r="32" spans="1:76" ht="14.65" thickBot="1">
      <c r="A32" s="492" t="s">
        <v>335</v>
      </c>
      <c r="B32" s="493">
        <f>PMT(0.045,30,(B31))</f>
        <v>-6990409.4248298677</v>
      </c>
      <c r="C32" s="490"/>
      <c r="D32" s="491"/>
      <c r="E32" s="491"/>
      <c r="F32" s="491"/>
      <c r="G32" s="491"/>
      <c r="H32" s="491"/>
      <c r="I32" s="491"/>
      <c r="J32" s="491"/>
      <c r="K32" s="491"/>
      <c r="L32" s="491"/>
      <c r="M32" s="491"/>
      <c r="N32" s="491"/>
      <c r="O32" s="491"/>
      <c r="P32" s="491"/>
      <c r="Q32" s="491"/>
      <c r="R32" s="491"/>
      <c r="S32" s="491"/>
      <c r="T32" s="491"/>
      <c r="U32" s="491"/>
      <c r="V32" s="491"/>
      <c r="W32" s="491"/>
      <c r="X32" s="491"/>
      <c r="Y32" s="491"/>
      <c r="Z32" s="491"/>
      <c r="AA32" s="491"/>
      <c r="AB32" s="491"/>
      <c r="AC32" s="491"/>
      <c r="AD32" s="491"/>
      <c r="AE32" s="491"/>
      <c r="AF32" s="491"/>
      <c r="AG32" s="491"/>
      <c r="AH32" s="491"/>
      <c r="AI32" s="491"/>
      <c r="AJ32" s="491"/>
      <c r="AK32" s="491"/>
      <c r="AL32" s="491"/>
      <c r="AM32" s="491"/>
      <c r="AN32" s="491"/>
      <c r="AO32" s="491"/>
      <c r="AP32" s="491"/>
      <c r="AQ32" s="491"/>
      <c r="AR32" s="491"/>
      <c r="AS32" s="491"/>
      <c r="AT32" s="491"/>
      <c r="AU32" s="491"/>
      <c r="AV32" s="490"/>
      <c r="AW32" s="490"/>
      <c r="AX32" s="489"/>
      <c r="AY32" s="489"/>
      <c r="AZ32" s="489"/>
      <c r="BA32" s="489"/>
      <c r="BB32" s="489"/>
      <c r="BC32" s="489"/>
      <c r="BD32" s="489"/>
      <c r="BE32" s="489"/>
      <c r="BF32" s="489"/>
      <c r="BG32" s="489"/>
      <c r="BH32" s="489"/>
      <c r="BI32" s="489"/>
      <c r="BJ32" s="489"/>
      <c r="BK32" s="489"/>
      <c r="BL32" s="489"/>
      <c r="BM32" s="489"/>
      <c r="BN32" s="489"/>
      <c r="BO32" s="489"/>
      <c r="BP32" s="489"/>
      <c r="BQ32" s="489"/>
      <c r="BR32" s="489"/>
      <c r="BS32" s="489"/>
      <c r="BT32" s="489"/>
      <c r="BU32" s="489"/>
      <c r="BV32"/>
      <c r="BW32"/>
      <c r="BX32"/>
    </row>
    <row r="33" spans="1:76" ht="14.25">
      <c r="A33" s="186" t="s">
        <v>298</v>
      </c>
      <c r="B33" s="187">
        <f>SUM(C33:AV33)</f>
        <v>0</v>
      </c>
      <c r="C33" s="469"/>
      <c r="D33" s="469"/>
      <c r="E33" s="469"/>
      <c r="F33" s="469"/>
      <c r="G33" s="469"/>
      <c r="H33" s="469"/>
      <c r="I33" s="469"/>
      <c r="J33" s="469"/>
      <c r="K33" s="469"/>
      <c r="L33" s="469"/>
      <c r="M33" s="469"/>
      <c r="N33" s="469"/>
      <c r="O33" s="469"/>
      <c r="P33" s="469"/>
      <c r="Q33" s="469"/>
      <c r="R33" s="469"/>
      <c r="S33" s="469"/>
      <c r="T33" s="469"/>
      <c r="U33" s="469"/>
      <c r="V33" s="469"/>
      <c r="W33" s="469"/>
      <c r="X33" s="469"/>
      <c r="Y33" s="469"/>
      <c r="Z33" s="469"/>
      <c r="AA33" s="469"/>
      <c r="AB33" s="469"/>
      <c r="AC33" s="469"/>
      <c r="AD33" s="469"/>
      <c r="AE33" s="469"/>
      <c r="AF33" s="469"/>
      <c r="AG33" s="469"/>
      <c r="AH33" s="469"/>
      <c r="AI33" s="469"/>
      <c r="AJ33" s="469"/>
      <c r="AK33" s="469"/>
      <c r="AL33" s="469"/>
      <c r="AM33" s="469"/>
      <c r="AN33" s="469"/>
      <c r="AO33" s="469"/>
      <c r="AP33" s="469"/>
      <c r="AQ33" s="469"/>
      <c r="AR33" s="469"/>
      <c r="AT33" s="318">
        <v>0</v>
      </c>
      <c r="AU33" s="318">
        <v>0</v>
      </c>
      <c r="AV33" s="495"/>
      <c r="AW33" s="490"/>
      <c r="AX33" s="489"/>
      <c r="AY33" s="489"/>
      <c r="AZ33" s="489"/>
      <c r="BA33" s="489"/>
      <c r="BB33" s="489"/>
      <c r="BC33" s="489"/>
      <c r="BD33" s="489"/>
      <c r="BE33" s="489"/>
      <c r="BF33" s="489"/>
      <c r="BG33" s="489"/>
      <c r="BH33" s="489"/>
      <c r="BI33" s="489"/>
      <c r="BJ33" s="489"/>
      <c r="BK33" s="489"/>
      <c r="BL33" s="489"/>
      <c r="BM33" s="489"/>
      <c r="BN33" s="489"/>
      <c r="BO33" s="489"/>
      <c r="BP33" s="489"/>
      <c r="BQ33" s="489"/>
      <c r="BR33" s="489"/>
      <c r="BS33" s="489"/>
      <c r="BT33" s="489"/>
      <c r="BU33" s="489"/>
      <c r="BV33"/>
      <c r="BW33"/>
      <c r="BX33"/>
    </row>
    <row r="34" spans="1:76" ht="14.25">
      <c r="A34" s="494" t="s">
        <v>299</v>
      </c>
      <c r="B34" s="187"/>
      <c r="C34" s="469"/>
      <c r="D34" s="469"/>
      <c r="E34" s="469"/>
      <c r="F34" s="469"/>
      <c r="G34" s="469"/>
      <c r="H34" s="469"/>
      <c r="I34" s="469"/>
      <c r="J34" s="469"/>
      <c r="K34" s="469"/>
      <c r="L34" s="469"/>
      <c r="M34" s="469"/>
      <c r="N34" s="469"/>
      <c r="O34" s="469"/>
      <c r="P34" s="469"/>
      <c r="Q34" s="469"/>
      <c r="R34" s="469"/>
      <c r="S34" s="469"/>
      <c r="T34" s="469"/>
      <c r="U34" s="469"/>
      <c r="V34" s="469"/>
      <c r="W34" s="469"/>
      <c r="X34" s="469"/>
      <c r="Y34" s="469"/>
      <c r="Z34" s="469"/>
      <c r="AA34" s="469"/>
      <c r="AB34" s="469"/>
      <c r="AC34" s="469"/>
      <c r="AD34" s="469"/>
      <c r="AE34" s="469"/>
      <c r="AF34" s="469"/>
      <c r="AG34" s="469"/>
      <c r="AH34" s="469"/>
      <c r="AI34" s="469"/>
      <c r="AJ34" s="469"/>
      <c r="AK34" s="469"/>
      <c r="AL34" s="469"/>
      <c r="AM34" s="469"/>
      <c r="AN34" s="469"/>
      <c r="AO34" s="469"/>
      <c r="AP34" s="469"/>
      <c r="AQ34" s="469"/>
      <c r="AR34" s="469"/>
      <c r="AS34" s="318"/>
      <c r="AT34" s="318"/>
      <c r="AU34" s="318"/>
      <c r="AV34" s="495"/>
      <c r="AW34" s="491"/>
      <c r="AX34" s="489"/>
      <c r="AY34" s="489"/>
      <c r="AZ34" s="489"/>
      <c r="BA34" s="489"/>
      <c r="BB34" s="489"/>
      <c r="BC34" s="489"/>
      <c r="BD34" s="489"/>
      <c r="BE34" s="489"/>
      <c r="BF34" s="489"/>
      <c r="BG34" s="489"/>
      <c r="BH34" s="489"/>
      <c r="BI34" s="489"/>
      <c r="BJ34" s="489"/>
      <c r="BK34" s="489"/>
      <c r="BL34" s="489"/>
      <c r="BM34" s="489"/>
      <c r="BN34" s="489"/>
      <c r="BO34" s="489"/>
      <c r="BP34" s="489"/>
      <c r="BQ34" s="489"/>
      <c r="BR34" s="489"/>
      <c r="BS34" s="489"/>
      <c r="BT34" s="489"/>
      <c r="BU34" s="489"/>
      <c r="BV34"/>
      <c r="BW34"/>
      <c r="BX34"/>
    </row>
    <row r="35" spans="1:76" ht="14.25">
      <c r="A35" s="487" t="s">
        <v>300</v>
      </c>
      <c r="B35" s="488">
        <f>'Phase 3 Financial'!B96-'Phase 3 Draw'!B31</f>
        <v>28678800</v>
      </c>
      <c r="C35" s="495"/>
      <c r="D35" s="496"/>
      <c r="E35" s="496"/>
      <c r="F35" s="496"/>
      <c r="G35" s="496"/>
      <c r="H35" s="496"/>
      <c r="I35" s="496"/>
      <c r="J35" s="496"/>
      <c r="K35" s="496"/>
      <c r="L35" s="496"/>
      <c r="M35" s="496"/>
      <c r="N35" s="496"/>
      <c r="O35" s="496"/>
      <c r="P35" s="496"/>
      <c r="Q35" s="496"/>
      <c r="R35" s="496"/>
      <c r="S35" s="496"/>
      <c r="T35" s="496"/>
      <c r="U35" s="496"/>
      <c r="V35" s="496"/>
      <c r="W35" s="496"/>
      <c r="X35" s="496"/>
      <c r="Y35" s="496"/>
      <c r="Z35" s="496"/>
      <c r="AA35" s="496"/>
      <c r="AB35" s="496"/>
      <c r="AC35" s="496"/>
      <c r="AD35" s="496"/>
      <c r="AE35" s="496"/>
      <c r="AF35" s="496"/>
      <c r="AG35" s="558"/>
      <c r="AH35" s="496"/>
      <c r="AI35" s="496"/>
      <c r="AJ35" s="496"/>
      <c r="AK35" s="496"/>
      <c r="AL35" s="496"/>
      <c r="AM35" s="496"/>
      <c r="AN35" s="496"/>
      <c r="AO35" s="496"/>
      <c r="AP35" s="496"/>
      <c r="AQ35" s="496"/>
      <c r="AR35" s="496"/>
      <c r="AS35" s="496"/>
      <c r="AT35" s="496"/>
      <c r="AU35" s="496"/>
      <c r="AV35" s="497"/>
      <c r="AW35" s="498"/>
      <c r="AX35" s="499"/>
      <c r="AY35" s="499"/>
      <c r="AZ35" s="499"/>
      <c r="BA35" s="499"/>
      <c r="BB35" s="499"/>
      <c r="BC35" s="499"/>
      <c r="BD35" s="499"/>
      <c r="BE35" s="499"/>
      <c r="BF35" s="499"/>
      <c r="BG35" s="499"/>
      <c r="BH35" s="499"/>
      <c r="BI35" s="499"/>
      <c r="BJ35" s="499"/>
      <c r="BK35" s="499"/>
      <c r="BL35" s="499"/>
      <c r="BM35" s="499"/>
      <c r="BN35" s="499"/>
      <c r="BO35" s="499"/>
      <c r="BP35" s="499"/>
      <c r="BQ35" s="499"/>
      <c r="BR35" s="499"/>
      <c r="BS35" s="499"/>
      <c r="BT35" s="499"/>
      <c r="BU35" s="499"/>
      <c r="BV35"/>
      <c r="BW35"/>
      <c r="BX35"/>
    </row>
    <row r="36" spans="1:76" ht="14.25">
      <c r="A36" s="487" t="s">
        <v>301</v>
      </c>
      <c r="B36" s="271">
        <f>SUM(C36:AU36)</f>
        <v>9147908.3147288263</v>
      </c>
      <c r="C36" s="500">
        <f t="shared" ref="C36:AR36" si="39">-C29</f>
        <v>0</v>
      </c>
      <c r="D36" s="500">
        <f t="shared" si="39"/>
        <v>0</v>
      </c>
      <c r="E36" s="500">
        <f t="shared" si="39"/>
        <v>0</v>
      </c>
      <c r="F36" s="500">
        <f t="shared" si="39"/>
        <v>0</v>
      </c>
      <c r="G36" s="500">
        <f t="shared" si="39"/>
        <v>0</v>
      </c>
      <c r="H36" s="500">
        <f t="shared" si="39"/>
        <v>-309865.5</v>
      </c>
      <c r="I36" s="500">
        <f t="shared" si="39"/>
        <v>-329865.5</v>
      </c>
      <c r="J36" s="500">
        <f t="shared" si="39"/>
        <v>-329865.5</v>
      </c>
      <c r="K36" s="500">
        <f t="shared" si="39"/>
        <v>-329865.5</v>
      </c>
      <c r="L36" s="500">
        <f t="shared" si="39"/>
        <v>-329865.5</v>
      </c>
      <c r="M36" s="500">
        <f t="shared" si="39"/>
        <v>-349865.5</v>
      </c>
      <c r="N36" s="500">
        <f t="shared" si="39"/>
        <v>-349865.5</v>
      </c>
      <c r="O36" s="500">
        <f t="shared" si="39"/>
        <v>-659731</v>
      </c>
      <c r="P36" s="500">
        <f t="shared" si="39"/>
        <v>-2294176</v>
      </c>
      <c r="Q36" s="500">
        <f t="shared" si="39"/>
        <v>-659731</v>
      </c>
      <c r="R36" s="500">
        <f t="shared" si="39"/>
        <v>-359865.5</v>
      </c>
      <c r="S36" s="500">
        <f t="shared" si="39"/>
        <v>-359865.5</v>
      </c>
      <c r="T36" s="500">
        <f t="shared" si="39"/>
        <v>-3429865.5</v>
      </c>
      <c r="U36" s="500">
        <f t="shared" si="39"/>
        <v>-309865.5</v>
      </c>
      <c r="V36" s="500">
        <f t="shared" si="39"/>
        <v>-309865.5</v>
      </c>
      <c r="W36" s="500">
        <f t="shared" si="39"/>
        <v>-309865.5</v>
      </c>
      <c r="X36" s="500">
        <f t="shared" si="39"/>
        <v>-8509002.1852711737</v>
      </c>
      <c r="Y36" s="500">
        <f t="shared" si="39"/>
        <v>0</v>
      </c>
      <c r="Z36" s="500">
        <f t="shared" si="39"/>
        <v>0</v>
      </c>
      <c r="AA36" s="500">
        <f t="shared" si="39"/>
        <v>0</v>
      </c>
      <c r="AB36" s="500">
        <f t="shared" si="39"/>
        <v>0</v>
      </c>
      <c r="AC36" s="500">
        <f t="shared" si="39"/>
        <v>0</v>
      </c>
      <c r="AD36" s="500">
        <f t="shared" si="39"/>
        <v>0</v>
      </c>
      <c r="AE36" s="500">
        <f t="shared" si="39"/>
        <v>0</v>
      </c>
      <c r="AF36" s="500">
        <f t="shared" si="39"/>
        <v>0</v>
      </c>
      <c r="AG36" s="500">
        <f t="shared" si="39"/>
        <v>0</v>
      </c>
      <c r="AH36" s="500">
        <f t="shared" si="39"/>
        <v>0</v>
      </c>
      <c r="AI36" s="500">
        <f t="shared" si="39"/>
        <v>0</v>
      </c>
      <c r="AJ36" s="192">
        <v>0</v>
      </c>
      <c r="AK36" s="189">
        <f t="shared" si="39"/>
        <v>0</v>
      </c>
      <c r="AL36" s="190">
        <f t="shared" si="39"/>
        <v>0</v>
      </c>
      <c r="AM36" s="190">
        <f>B35</f>
        <v>28678800</v>
      </c>
      <c r="AN36" s="190">
        <f t="shared" si="39"/>
        <v>0</v>
      </c>
      <c r="AO36" s="190">
        <f t="shared" si="39"/>
        <v>0</v>
      </c>
      <c r="AP36" s="190">
        <f t="shared" si="39"/>
        <v>0</v>
      </c>
      <c r="AQ36" s="190">
        <f t="shared" si="39"/>
        <v>0</v>
      </c>
      <c r="AR36" s="190">
        <f t="shared" si="39"/>
        <v>0</v>
      </c>
      <c r="AS36" s="191">
        <v>0</v>
      </c>
      <c r="AT36" s="191">
        <v>0</v>
      </c>
      <c r="AU36" s="191">
        <v>0</v>
      </c>
      <c r="AV36" s="477"/>
      <c r="AW36" s="469"/>
      <c r="AX36" s="581"/>
      <c r="AY36" s="581"/>
      <c r="AZ36" s="581"/>
      <c r="BA36" s="581"/>
      <c r="BB36" s="581"/>
      <c r="BC36" s="581"/>
      <c r="BD36" s="581"/>
      <c r="BE36" s="581"/>
      <c r="BF36" s="581"/>
      <c r="BG36" s="581"/>
      <c r="BH36" s="581"/>
      <c r="BI36" s="581"/>
      <c r="BJ36" s="581"/>
      <c r="BK36" s="581"/>
      <c r="BL36" s="581"/>
      <c r="BM36" s="581"/>
      <c r="BN36" s="581"/>
      <c r="BO36" s="581"/>
      <c r="BP36" s="581"/>
      <c r="BQ36" s="581"/>
      <c r="BR36" s="581"/>
      <c r="BS36" s="581"/>
      <c r="BT36" s="581"/>
      <c r="BU36" s="581"/>
      <c r="BV36"/>
      <c r="BW36"/>
      <c r="BX36"/>
    </row>
    <row r="37" spans="1:76" ht="14.25">
      <c r="A37" s="487" t="s">
        <v>326</v>
      </c>
      <c r="B37" s="269">
        <f>IF(B36&lt;0,0,IRR(C36:AJU36))</f>
        <v>2.0177339996107602E-2</v>
      </c>
      <c r="C37" s="503"/>
      <c r="D37" s="503"/>
      <c r="E37" s="503"/>
      <c r="F37" s="503"/>
      <c r="G37" s="503"/>
      <c r="H37" s="503"/>
      <c r="I37" s="503"/>
      <c r="J37" s="503"/>
      <c r="K37" s="503"/>
      <c r="L37" s="503"/>
      <c r="M37" s="503"/>
      <c r="N37" s="503"/>
      <c r="O37" s="503"/>
      <c r="P37" s="503"/>
      <c r="Q37" s="503"/>
      <c r="R37" s="503"/>
      <c r="S37" s="503"/>
      <c r="T37" s="503"/>
      <c r="U37" s="503"/>
      <c r="V37" s="503"/>
      <c r="W37" s="503"/>
      <c r="X37" s="503"/>
      <c r="Y37" s="503"/>
      <c r="Z37" s="503"/>
      <c r="AA37" s="503"/>
      <c r="AB37" s="503"/>
      <c r="AC37" s="503"/>
      <c r="AD37" s="503"/>
      <c r="AE37" s="503"/>
      <c r="AF37" s="503"/>
      <c r="AG37" s="503"/>
      <c r="AH37" s="503"/>
      <c r="AI37" s="503"/>
      <c r="AJ37" s="503"/>
      <c r="AK37" s="503"/>
      <c r="AL37" s="503"/>
      <c r="AM37" s="503"/>
      <c r="AN37" s="503"/>
      <c r="AO37" s="503"/>
      <c r="AP37" s="503"/>
      <c r="AQ37" s="503"/>
      <c r="AR37" s="503"/>
      <c r="AS37" s="503"/>
      <c r="AT37" s="503"/>
      <c r="AU37" s="503"/>
      <c r="AV37" s="497"/>
      <c r="AW37" s="503"/>
      <c r="AX37" s="583"/>
      <c r="AY37" s="583"/>
      <c r="AZ37" s="583"/>
      <c r="BA37" s="583"/>
      <c r="BB37" s="583"/>
      <c r="BC37" s="583"/>
      <c r="BD37" s="583"/>
      <c r="BE37" s="583"/>
      <c r="BF37" s="583"/>
      <c r="BG37" s="583"/>
      <c r="BH37" s="583"/>
      <c r="BI37" s="583"/>
      <c r="BJ37" s="583"/>
      <c r="BK37" s="583"/>
      <c r="BL37" s="583"/>
      <c r="BM37" s="583"/>
      <c r="BN37" s="583"/>
      <c r="BO37" s="583"/>
      <c r="BP37" s="583"/>
      <c r="BQ37" s="583"/>
      <c r="BR37" s="583"/>
      <c r="BS37" s="583"/>
      <c r="BT37" s="583"/>
      <c r="BU37" s="583"/>
      <c r="BV37"/>
      <c r="BW37"/>
      <c r="BX37"/>
    </row>
    <row r="38" spans="1:76" ht="13.15">
      <c r="A38" s="477" t="s">
        <v>303</v>
      </c>
      <c r="B38" s="270">
        <f>POWER((1+B37),4)-1</f>
        <v>8.3185134833311469E-2</v>
      </c>
      <c r="C38" s="497"/>
      <c r="D38" s="497"/>
      <c r="E38" s="506"/>
      <c r="F38" s="506"/>
      <c r="G38" s="506"/>
      <c r="H38" s="506"/>
      <c r="I38" s="506"/>
      <c r="J38" s="506"/>
      <c r="K38" s="506"/>
      <c r="L38" s="506"/>
      <c r="M38" s="506"/>
      <c r="N38" s="506"/>
      <c r="O38" s="506"/>
      <c r="P38" s="507"/>
      <c r="Q38" s="506"/>
      <c r="R38" s="506"/>
      <c r="S38" s="506"/>
      <c r="T38" s="506"/>
      <c r="U38" s="506"/>
      <c r="V38" s="507"/>
      <c r="W38" s="506"/>
      <c r="X38" s="506"/>
      <c r="Y38" s="506"/>
      <c r="Z38" s="506"/>
      <c r="AA38" s="506"/>
      <c r="AB38" s="506"/>
      <c r="AC38" s="506"/>
      <c r="AD38" s="506"/>
      <c r="AE38" s="506"/>
      <c r="AF38" s="506"/>
      <c r="AG38" s="506"/>
      <c r="AH38" s="506"/>
      <c r="AI38" s="503"/>
      <c r="AJ38" s="506"/>
      <c r="AK38" s="506"/>
      <c r="AL38" s="506"/>
      <c r="AM38" s="506"/>
      <c r="AN38" s="506"/>
      <c r="AO38" s="506"/>
      <c r="AP38" s="506"/>
      <c r="AQ38" s="506"/>
      <c r="AR38" s="559"/>
      <c r="AS38" s="559"/>
      <c r="AT38" s="506"/>
      <c r="AU38" s="506"/>
      <c r="AV38" s="506"/>
      <c r="AW38" s="506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</row>
    <row r="39" spans="1:76" ht="13.15">
      <c r="A39" s="509" t="s">
        <v>304</v>
      </c>
      <c r="B39" s="606"/>
      <c r="C39" s="497"/>
      <c r="D39" s="497"/>
      <c r="E39" s="497"/>
      <c r="F39" s="497"/>
      <c r="G39" s="497"/>
      <c r="H39" s="497"/>
      <c r="I39" s="497"/>
      <c r="J39" s="497"/>
      <c r="K39" s="497"/>
      <c r="L39" s="497"/>
      <c r="M39" s="497"/>
      <c r="N39" s="497"/>
      <c r="O39" s="497"/>
      <c r="P39" s="497"/>
      <c r="Q39" s="497"/>
      <c r="R39" s="497"/>
      <c r="S39" s="497"/>
      <c r="T39" s="497"/>
      <c r="U39" s="497"/>
      <c r="V39" s="497"/>
      <c r="W39" s="497"/>
      <c r="X39" s="497"/>
      <c r="Y39" s="497"/>
      <c r="Z39" s="497"/>
      <c r="AA39" s="497"/>
      <c r="AB39" s="497"/>
      <c r="AC39" s="497"/>
      <c r="AD39" s="497"/>
      <c r="AE39" s="497"/>
      <c r="AF39" s="497"/>
      <c r="AG39" s="497"/>
      <c r="AH39" s="497"/>
      <c r="AI39" s="503"/>
      <c r="AJ39" s="497"/>
      <c r="AK39" s="497"/>
      <c r="AL39" s="497"/>
      <c r="AM39" s="497"/>
      <c r="AN39" s="497"/>
      <c r="AO39" s="497"/>
      <c r="AP39" s="497"/>
      <c r="AQ39" s="497"/>
      <c r="AR39" s="497"/>
      <c r="AS39" s="497"/>
      <c r="AT39" s="497"/>
      <c r="AU39" s="497"/>
      <c r="AV39" s="497"/>
      <c r="AW39" s="497"/>
    </row>
    <row r="40" spans="1:76" ht="13.15">
      <c r="A40" s="487" t="s">
        <v>305</v>
      </c>
      <c r="B40" s="318">
        <f>'Phase 3 Financial'!B96-B27</f>
        <v>211109800</v>
      </c>
      <c r="C40" s="497"/>
      <c r="D40" s="497"/>
      <c r="E40" s="497"/>
      <c r="F40" s="497"/>
      <c r="G40" s="497"/>
      <c r="H40" s="497"/>
      <c r="I40" s="497"/>
      <c r="J40" s="497"/>
      <c r="K40" s="497"/>
      <c r="L40" s="497"/>
      <c r="M40" s="491"/>
      <c r="N40" s="497"/>
      <c r="O40" s="497"/>
      <c r="P40" s="497"/>
      <c r="Q40" s="497"/>
      <c r="R40" s="497"/>
      <c r="S40" s="491"/>
      <c r="T40" s="497"/>
      <c r="U40" s="497"/>
      <c r="V40" s="497"/>
      <c r="W40" s="497"/>
      <c r="X40" s="497"/>
      <c r="Y40" s="497"/>
      <c r="Z40" s="497"/>
      <c r="AA40" s="497"/>
      <c r="AB40" s="497"/>
      <c r="AC40" s="497"/>
      <c r="AD40" s="497"/>
      <c r="AE40" s="497"/>
      <c r="AF40" s="497"/>
      <c r="AG40" s="497"/>
      <c r="AH40" s="497"/>
      <c r="AI40" s="503"/>
      <c r="AJ40" s="497"/>
      <c r="AK40" s="497"/>
      <c r="AL40" s="497"/>
      <c r="AM40" s="497"/>
      <c r="AN40" s="497"/>
      <c r="AO40" s="497"/>
      <c r="AP40" s="497"/>
      <c r="AQ40" s="497"/>
      <c r="AR40" s="497"/>
      <c r="AS40" s="497"/>
      <c r="AT40" s="497"/>
      <c r="AU40" s="497"/>
      <c r="AV40" s="497"/>
      <c r="AW40" s="497"/>
    </row>
    <row r="41" spans="1:76" ht="13.15">
      <c r="A41" s="477" t="s">
        <v>306</v>
      </c>
      <c r="B41" s="607">
        <f>SUM(C41:AU41)</f>
        <v>-1459906.4982857257</v>
      </c>
      <c r="C41" s="469">
        <f>-C26</f>
        <v>0</v>
      </c>
      <c r="D41" s="469">
        <f t="shared" ref="D41:AI41" si="40">-D26</f>
        <v>0</v>
      </c>
      <c r="E41" s="469">
        <f t="shared" si="40"/>
        <v>0</v>
      </c>
      <c r="F41" s="469">
        <f t="shared" si="40"/>
        <v>0</v>
      </c>
      <c r="G41" s="469">
        <f t="shared" si="40"/>
        <v>0</v>
      </c>
      <c r="H41" s="469">
        <f t="shared" si="40"/>
        <v>-309865.5</v>
      </c>
      <c r="I41" s="469">
        <f t="shared" si="40"/>
        <v>-329865.5</v>
      </c>
      <c r="J41" s="469">
        <f t="shared" si="40"/>
        <v>-329865.5</v>
      </c>
      <c r="K41" s="469">
        <f t="shared" si="40"/>
        <v>-329865.5</v>
      </c>
      <c r="L41" s="469">
        <f t="shared" si="40"/>
        <v>-329865.5</v>
      </c>
      <c r="M41" s="469">
        <f t="shared" si="40"/>
        <v>-349865.5</v>
      </c>
      <c r="N41" s="469">
        <f t="shared" si="40"/>
        <v>-349865.5</v>
      </c>
      <c r="O41" s="469">
        <f t="shared" si="40"/>
        <v>-659731</v>
      </c>
      <c r="P41" s="469">
        <f t="shared" si="40"/>
        <v>-2294176</v>
      </c>
      <c r="Q41" s="469">
        <f t="shared" si="40"/>
        <v>-659731</v>
      </c>
      <c r="R41" s="469">
        <f t="shared" si="40"/>
        <v>-359865.5</v>
      </c>
      <c r="S41" s="469">
        <f t="shared" si="40"/>
        <v>-359865.5</v>
      </c>
      <c r="T41" s="469">
        <f t="shared" si="40"/>
        <v>-3429865.5</v>
      </c>
      <c r="U41" s="469">
        <f t="shared" si="40"/>
        <v>-309865.5</v>
      </c>
      <c r="V41" s="469">
        <f t="shared" si="40"/>
        <v>-309865.5</v>
      </c>
      <c r="W41" s="469">
        <f t="shared" si="40"/>
        <v>-309865.5</v>
      </c>
      <c r="X41" s="469">
        <f t="shared" si="40"/>
        <v>-9757030.5</v>
      </c>
      <c r="Y41" s="469">
        <f t="shared" si="40"/>
        <v>-9447165</v>
      </c>
      <c r="Z41" s="469">
        <f t="shared" si="40"/>
        <v>-12923109</v>
      </c>
      <c r="AA41" s="469">
        <f t="shared" si="40"/>
        <v>-12983109</v>
      </c>
      <c r="AB41" s="469">
        <f t="shared" si="40"/>
        <v>-13469665.728</v>
      </c>
      <c r="AC41" s="469">
        <f t="shared" si="40"/>
        <v>-13489665.728</v>
      </c>
      <c r="AD41" s="469">
        <f t="shared" si="40"/>
        <v>-13651851.304</v>
      </c>
      <c r="AE41" s="469">
        <f t="shared" si="40"/>
        <v>-13651851.304</v>
      </c>
      <c r="AF41" s="469">
        <f t="shared" si="40"/>
        <v>-13776851.304</v>
      </c>
      <c r="AG41" s="469">
        <f t="shared" si="40"/>
        <v>-13776851.304</v>
      </c>
      <c r="AH41" s="469">
        <f t="shared" si="40"/>
        <v>-14203740.304</v>
      </c>
      <c r="AI41" s="469">
        <f t="shared" si="40"/>
        <v>-14203740.304</v>
      </c>
      <c r="AJ41" s="608">
        <f>B40-AJ26</f>
        <v>196792481.71742857</v>
      </c>
      <c r="AK41" s="469">
        <f t="shared" ref="AK41:AU41" si="41">IF(AK30&gt;=$B$30,-(AK26+AK36),AK36)</f>
        <v>-1072355.9785714285</v>
      </c>
      <c r="AL41" s="469">
        <f t="shared" si="41"/>
        <v>-1072355.9785714285</v>
      </c>
      <c r="AM41" s="469">
        <f>IF(AM30&gt;=$B$30,-(AM26+AM36),AM36)</f>
        <v>-29751155.97857143</v>
      </c>
      <c r="AN41" s="469">
        <f t="shared" si="41"/>
        <v>0</v>
      </c>
      <c r="AO41" s="469">
        <f t="shared" si="41"/>
        <v>0</v>
      </c>
      <c r="AP41" s="469">
        <f t="shared" si="41"/>
        <v>0</v>
      </c>
      <c r="AQ41" s="469">
        <f t="shared" si="41"/>
        <v>0</v>
      </c>
      <c r="AR41" s="469">
        <f t="shared" si="41"/>
        <v>0</v>
      </c>
      <c r="AS41" s="469">
        <f t="shared" si="41"/>
        <v>0</v>
      </c>
      <c r="AT41" s="469">
        <f t="shared" si="41"/>
        <v>0</v>
      </c>
      <c r="AU41" s="469">
        <f t="shared" si="41"/>
        <v>0</v>
      </c>
      <c r="AV41" s="477"/>
      <c r="AW41" s="477"/>
    </row>
    <row r="42" spans="1:76" ht="13.15">
      <c r="A42" s="487" t="s">
        <v>307</v>
      </c>
      <c r="B42" s="269">
        <f>IF(B41&lt;0,0,IRR(C41:AU41))</f>
        <v>0</v>
      </c>
      <c r="C42" s="497"/>
      <c r="D42" s="497"/>
      <c r="E42" s="497"/>
      <c r="F42" s="497"/>
      <c r="G42" s="497"/>
      <c r="H42" s="497"/>
      <c r="I42" s="497"/>
      <c r="J42" s="497"/>
      <c r="K42" s="497"/>
      <c r="L42" s="497"/>
      <c r="M42" s="497"/>
      <c r="N42" s="497"/>
      <c r="O42" s="497"/>
      <c r="P42" s="497"/>
      <c r="Q42" s="497"/>
      <c r="R42" s="497"/>
      <c r="S42" s="497"/>
      <c r="T42" s="497"/>
      <c r="U42" s="497"/>
      <c r="V42" s="497"/>
      <c r="W42" s="497"/>
      <c r="X42" s="497"/>
      <c r="Y42" s="497"/>
      <c r="Z42" s="497"/>
      <c r="AA42" s="497"/>
      <c r="AB42" s="497"/>
      <c r="AC42" s="497"/>
      <c r="AD42" s="497"/>
      <c r="AE42" s="497"/>
      <c r="AF42" s="497"/>
      <c r="AG42" s="497"/>
      <c r="AH42" s="497"/>
      <c r="AI42" s="503"/>
      <c r="AJ42" s="497"/>
      <c r="AK42" s="497"/>
      <c r="AL42" s="497"/>
      <c r="AM42" s="497"/>
      <c r="AN42" s="497"/>
      <c r="AO42" s="497"/>
      <c r="AP42" s="497"/>
      <c r="AQ42" s="497"/>
      <c r="AR42" s="497"/>
      <c r="AS42" s="497"/>
      <c r="AT42" s="497"/>
      <c r="AU42" s="497"/>
      <c r="AV42" s="497"/>
      <c r="AW42" s="497"/>
    </row>
    <row r="43" spans="1:76" ht="13.15">
      <c r="A43" s="477" t="s">
        <v>308</v>
      </c>
      <c r="B43" s="270">
        <f>POWER((1+B42),4)-1</f>
        <v>0</v>
      </c>
      <c r="C43" s="497"/>
      <c r="D43" s="497"/>
      <c r="E43" s="497"/>
      <c r="F43" s="497"/>
      <c r="G43" s="497"/>
      <c r="H43" s="497"/>
      <c r="I43" s="497"/>
      <c r="J43" s="497"/>
      <c r="K43" s="497"/>
      <c r="L43" s="497"/>
      <c r="M43" s="497"/>
      <c r="N43" s="497"/>
      <c r="O43" s="497"/>
      <c r="P43" s="497"/>
      <c r="Q43" s="497"/>
      <c r="R43" s="497"/>
      <c r="S43" s="497"/>
      <c r="T43" s="497"/>
      <c r="U43" s="497"/>
      <c r="V43" s="497"/>
      <c r="W43" s="497"/>
      <c r="X43" s="497"/>
      <c r="Y43" s="497"/>
      <c r="Z43" s="497"/>
      <c r="AA43" s="497"/>
      <c r="AB43" s="497"/>
      <c r="AC43" s="497"/>
      <c r="AD43" s="497"/>
      <c r="AE43" s="497"/>
      <c r="AF43" s="497"/>
      <c r="AG43" s="497"/>
      <c r="AH43" s="497"/>
      <c r="AI43" s="503"/>
      <c r="AJ43" s="497"/>
      <c r="AK43" s="497"/>
      <c r="AL43" s="497"/>
      <c r="AM43" s="497"/>
      <c r="AN43" s="497"/>
      <c r="AO43" s="497"/>
      <c r="AP43" s="497"/>
      <c r="AQ43" s="497"/>
      <c r="AR43" s="497"/>
      <c r="AS43" s="497"/>
      <c r="AT43" s="497"/>
      <c r="AU43" s="497"/>
      <c r="AV43" s="497"/>
      <c r="AW43" s="497"/>
    </row>
    <row r="44" spans="1:76">
      <c r="G44" s="37"/>
      <c r="AB44" s="37"/>
      <c r="AE44" s="37"/>
      <c r="AI44" s="101"/>
    </row>
    <row r="45" spans="1:76">
      <c r="G45" s="37"/>
      <c r="AB45" s="37"/>
      <c r="AE45" s="37"/>
    </row>
    <row r="46" spans="1:76">
      <c r="G46" s="37"/>
      <c r="AB46" s="37"/>
      <c r="AE46" s="37"/>
    </row>
    <row r="47" spans="1:76">
      <c r="G47" s="37"/>
      <c r="AB47" s="37"/>
      <c r="AE47" s="37"/>
    </row>
    <row r="48" spans="1:76">
      <c r="G48" s="37"/>
      <c r="AB48" s="37"/>
      <c r="AE48" s="37"/>
    </row>
    <row r="49" spans="7:31">
      <c r="G49" s="37"/>
      <c r="AB49" s="37"/>
      <c r="AE49" s="37"/>
    </row>
    <row r="50" spans="7:31">
      <c r="G50" s="37"/>
      <c r="AB50" s="37"/>
      <c r="AE50" s="37"/>
    </row>
    <row r="51" spans="7:31">
      <c r="G51" s="37"/>
    </row>
    <row r="52" spans="7:31">
      <c r="G52" s="37"/>
    </row>
    <row r="53" spans="7:31">
      <c r="G53" s="37"/>
    </row>
    <row r="54" spans="7:31">
      <c r="G54" s="37"/>
    </row>
    <row r="55" spans="7:31">
      <c r="G55" s="37"/>
    </row>
    <row r="56" spans="7:31">
      <c r="G56" s="37"/>
    </row>
    <row r="57" spans="7:31">
      <c r="G57" s="37"/>
    </row>
    <row r="58" spans="7:31">
      <c r="G58" s="37"/>
    </row>
    <row r="59" spans="7:31">
      <c r="G59" s="37"/>
    </row>
    <row r="60" spans="7:31">
      <c r="G60" s="37"/>
    </row>
    <row r="61" spans="7:31">
      <c r="G61" s="37"/>
    </row>
    <row r="62" spans="7:31">
      <c r="G62" s="37"/>
    </row>
    <row r="63" spans="7:31">
      <c r="G63" s="37"/>
    </row>
    <row r="64" spans="7:31">
      <c r="G64" s="37"/>
    </row>
    <row r="65" spans="7:7">
      <c r="G65" s="37"/>
    </row>
    <row r="66" spans="7:7">
      <c r="G66" s="37"/>
    </row>
    <row r="67" spans="7:7">
      <c r="G67" s="37"/>
    </row>
    <row r="68" spans="7:7">
      <c r="G68" s="37"/>
    </row>
    <row r="69" spans="7:7">
      <c r="G69" s="37"/>
    </row>
    <row r="70" spans="7:7">
      <c r="G70" s="37"/>
    </row>
    <row r="71" spans="7:7">
      <c r="G71" s="37"/>
    </row>
    <row r="72" spans="7:7">
      <c r="G72" s="37"/>
    </row>
    <row r="73" spans="7:7">
      <c r="G73" s="37"/>
    </row>
    <row r="74" spans="7:7">
      <c r="G74" s="37"/>
    </row>
    <row r="75" spans="7:7">
      <c r="G75" s="37"/>
    </row>
    <row r="76" spans="7:7">
      <c r="G76" s="37"/>
    </row>
    <row r="77" spans="7:7">
      <c r="G77" s="37"/>
    </row>
    <row r="78" spans="7:7">
      <c r="G78" s="37"/>
    </row>
    <row r="79" spans="7:7">
      <c r="G79" s="37"/>
    </row>
    <row r="80" spans="7:7">
      <c r="G80" s="37"/>
    </row>
    <row r="81" spans="7:7">
      <c r="G81" s="37"/>
    </row>
    <row r="82" spans="7:7">
      <c r="G82" s="37"/>
    </row>
    <row r="83" spans="7:7">
      <c r="G83" s="37"/>
    </row>
    <row r="84" spans="7:7">
      <c r="G84" s="37"/>
    </row>
    <row r="85" spans="7:7">
      <c r="G85" s="37"/>
    </row>
    <row r="86" spans="7:7">
      <c r="G86" s="37"/>
    </row>
    <row r="87" spans="7:7">
      <c r="G87" s="37"/>
    </row>
    <row r="88" spans="7:7">
      <c r="G88" s="37"/>
    </row>
    <row r="89" spans="7:7">
      <c r="G89" s="37"/>
    </row>
    <row r="90" spans="7:7">
      <c r="G90" s="37"/>
    </row>
    <row r="91" spans="7:7">
      <c r="G91" s="37"/>
    </row>
    <row r="92" spans="7:7">
      <c r="G92" s="37"/>
    </row>
    <row r="93" spans="7:7">
      <c r="G93" s="37"/>
    </row>
    <row r="94" spans="7:7">
      <c r="G94" s="37"/>
    </row>
    <row r="95" spans="7:7">
      <c r="G95" s="37"/>
    </row>
    <row r="96" spans="7:7">
      <c r="G96" s="37"/>
    </row>
    <row r="97" spans="7:7">
      <c r="G97" s="37"/>
    </row>
    <row r="98" spans="7:7">
      <c r="G98" s="37"/>
    </row>
    <row r="99" spans="7:7">
      <c r="G99" s="37"/>
    </row>
    <row r="100" spans="7:7">
      <c r="G100" s="37"/>
    </row>
    <row r="101" spans="7:7">
      <c r="G101" s="37"/>
    </row>
    <row r="102" spans="7:7">
      <c r="G102" s="37"/>
    </row>
    <row r="103" spans="7:7">
      <c r="G103" s="37"/>
    </row>
    <row r="104" spans="7:7">
      <c r="G104" s="37"/>
    </row>
    <row r="105" spans="7:7">
      <c r="G105" s="37"/>
    </row>
    <row r="106" spans="7:7">
      <c r="G106" s="37"/>
    </row>
    <row r="107" spans="7:7">
      <c r="G107" s="37"/>
    </row>
    <row r="108" spans="7:7">
      <c r="G108" s="37"/>
    </row>
    <row r="109" spans="7:7">
      <c r="G109" s="37"/>
    </row>
    <row r="110" spans="7:7">
      <c r="G110" s="37"/>
    </row>
    <row r="111" spans="7:7">
      <c r="G111" s="37"/>
    </row>
    <row r="112" spans="7:7">
      <c r="G112" s="37"/>
    </row>
    <row r="113" spans="7:7">
      <c r="G113" s="37"/>
    </row>
    <row r="114" spans="7:7">
      <c r="G114" s="37"/>
    </row>
    <row r="115" spans="7:7">
      <c r="G115" s="37"/>
    </row>
    <row r="116" spans="7:7">
      <c r="G116" s="37"/>
    </row>
    <row r="117" spans="7:7">
      <c r="G117" s="37"/>
    </row>
    <row r="118" spans="7:7">
      <c r="G118" s="37"/>
    </row>
    <row r="119" spans="7:7">
      <c r="G119" s="37"/>
    </row>
    <row r="120" spans="7:7">
      <c r="G120" s="37"/>
    </row>
    <row r="121" spans="7:7">
      <c r="G121" s="37"/>
    </row>
    <row r="122" spans="7:7">
      <c r="G122" s="37"/>
    </row>
    <row r="123" spans="7:7">
      <c r="G123" s="37"/>
    </row>
    <row r="124" spans="7:7">
      <c r="G124" s="37"/>
    </row>
    <row r="125" spans="7:7">
      <c r="G125" s="37"/>
    </row>
    <row r="126" spans="7:7">
      <c r="G126" s="37"/>
    </row>
    <row r="127" spans="7:7">
      <c r="G127" s="37"/>
    </row>
    <row r="128" spans="7:7">
      <c r="G128" s="37"/>
    </row>
    <row r="129" spans="7:7">
      <c r="G129" s="37"/>
    </row>
    <row r="130" spans="7:7">
      <c r="G130" s="37"/>
    </row>
    <row r="131" spans="7:7">
      <c r="G131" s="37"/>
    </row>
    <row r="132" spans="7:7">
      <c r="G132" s="37"/>
    </row>
    <row r="133" spans="7:7">
      <c r="G133" s="37"/>
    </row>
    <row r="134" spans="7:7">
      <c r="G134" s="37"/>
    </row>
    <row r="135" spans="7:7">
      <c r="G135" s="37"/>
    </row>
    <row r="136" spans="7:7">
      <c r="G136" s="37"/>
    </row>
    <row r="137" spans="7:7">
      <c r="G137" s="37"/>
    </row>
    <row r="138" spans="7:7">
      <c r="G138" s="37"/>
    </row>
    <row r="139" spans="7:7">
      <c r="G139" s="37"/>
    </row>
    <row r="140" spans="7:7">
      <c r="G140" s="37"/>
    </row>
    <row r="141" spans="7:7">
      <c r="G141" s="37"/>
    </row>
    <row r="142" spans="7:7">
      <c r="G142" s="37"/>
    </row>
    <row r="143" spans="7:7">
      <c r="G143" s="37"/>
    </row>
    <row r="144" spans="7:7">
      <c r="G144" s="37"/>
    </row>
    <row r="145" spans="7:7">
      <c r="G145" s="37"/>
    </row>
    <row r="146" spans="7:7">
      <c r="G146" s="37"/>
    </row>
    <row r="147" spans="7:7">
      <c r="G147" s="37"/>
    </row>
    <row r="148" spans="7:7">
      <c r="G148" s="37"/>
    </row>
    <row r="149" spans="7:7">
      <c r="G149" s="37"/>
    </row>
    <row r="150" spans="7:7">
      <c r="G150" s="37"/>
    </row>
    <row r="151" spans="7:7">
      <c r="G151" s="37"/>
    </row>
    <row r="152" spans="7:7">
      <c r="G152" s="37"/>
    </row>
    <row r="153" spans="7:7">
      <c r="G153" s="37"/>
    </row>
    <row r="154" spans="7:7">
      <c r="G154" s="37"/>
    </row>
    <row r="155" spans="7:7">
      <c r="G155" s="37"/>
    </row>
    <row r="156" spans="7:7">
      <c r="G156" s="37"/>
    </row>
    <row r="157" spans="7:7">
      <c r="G157" s="37"/>
    </row>
    <row r="158" spans="7:7">
      <c r="G158" s="37"/>
    </row>
    <row r="159" spans="7:7">
      <c r="G159" s="37"/>
    </row>
    <row r="160" spans="7:7">
      <c r="G160" s="37"/>
    </row>
    <row r="161" spans="7:7">
      <c r="G161" s="37"/>
    </row>
    <row r="162" spans="7:7">
      <c r="G162" s="37"/>
    </row>
    <row r="163" spans="7:7">
      <c r="G163" s="37"/>
    </row>
    <row r="164" spans="7:7">
      <c r="G164" s="37"/>
    </row>
    <row r="165" spans="7:7">
      <c r="G165" s="37"/>
    </row>
    <row r="166" spans="7:7">
      <c r="G166" s="37"/>
    </row>
    <row r="167" spans="7:7">
      <c r="G167" s="37"/>
    </row>
    <row r="168" spans="7:7">
      <c r="G168" s="37"/>
    </row>
    <row r="169" spans="7:7">
      <c r="G169" s="37"/>
    </row>
    <row r="170" spans="7:7">
      <c r="G170" s="37"/>
    </row>
    <row r="171" spans="7:7">
      <c r="G171" s="37"/>
    </row>
    <row r="172" spans="7:7">
      <c r="G172" s="37"/>
    </row>
    <row r="173" spans="7:7">
      <c r="G173" s="37"/>
    </row>
    <row r="174" spans="7:7">
      <c r="G174" s="37"/>
    </row>
    <row r="175" spans="7:7">
      <c r="G175" s="37"/>
    </row>
    <row r="176" spans="7:7">
      <c r="G176" s="37"/>
    </row>
    <row r="177" spans="7:7">
      <c r="G177" s="37"/>
    </row>
    <row r="178" spans="7:7">
      <c r="G178" s="37"/>
    </row>
    <row r="179" spans="7:7">
      <c r="G179" s="37"/>
    </row>
    <row r="180" spans="7:7">
      <c r="G180" s="37"/>
    </row>
    <row r="181" spans="7:7">
      <c r="G181" s="37"/>
    </row>
    <row r="182" spans="7:7">
      <c r="G182" s="37"/>
    </row>
    <row r="183" spans="7:7">
      <c r="G183" s="37"/>
    </row>
    <row r="184" spans="7:7">
      <c r="G184" s="37"/>
    </row>
    <row r="185" spans="7:7">
      <c r="G185" s="37"/>
    </row>
    <row r="186" spans="7:7">
      <c r="G186" s="37"/>
    </row>
    <row r="187" spans="7:7">
      <c r="G187" s="37"/>
    </row>
    <row r="188" spans="7:7">
      <c r="G188" s="37"/>
    </row>
    <row r="189" spans="7:7">
      <c r="G189" s="37"/>
    </row>
    <row r="190" spans="7:7">
      <c r="G190" s="37"/>
    </row>
    <row r="191" spans="7:7">
      <c r="G191" s="37"/>
    </row>
    <row r="192" spans="7:7">
      <c r="G192" s="37"/>
    </row>
    <row r="193" spans="7:7">
      <c r="G193" s="37"/>
    </row>
    <row r="194" spans="7:7">
      <c r="G194" s="37"/>
    </row>
    <row r="195" spans="7:7">
      <c r="G195" s="37"/>
    </row>
    <row r="196" spans="7:7">
      <c r="G196" s="37"/>
    </row>
    <row r="197" spans="7:7">
      <c r="G197" s="37"/>
    </row>
    <row r="198" spans="7:7">
      <c r="G198" s="37"/>
    </row>
    <row r="199" spans="7:7">
      <c r="G199" s="37"/>
    </row>
    <row r="200" spans="7:7">
      <c r="G200" s="37"/>
    </row>
    <row r="201" spans="7:7">
      <c r="G201" s="37"/>
    </row>
    <row r="202" spans="7:7">
      <c r="G202" s="37"/>
    </row>
    <row r="203" spans="7:7">
      <c r="G203" s="37"/>
    </row>
    <row r="204" spans="7:7">
      <c r="G204" s="37"/>
    </row>
    <row r="205" spans="7:7">
      <c r="G205" s="37"/>
    </row>
    <row r="206" spans="7:7">
      <c r="G206" s="37"/>
    </row>
    <row r="207" spans="7:7">
      <c r="G207" s="37"/>
    </row>
    <row r="208" spans="7:7">
      <c r="G208" s="37"/>
    </row>
    <row r="209" spans="7:7">
      <c r="G209" s="37"/>
    </row>
    <row r="210" spans="7:7">
      <c r="G210" s="37"/>
    </row>
    <row r="211" spans="7:7">
      <c r="G211" s="37"/>
    </row>
    <row r="212" spans="7:7">
      <c r="G212" s="37"/>
    </row>
    <row r="213" spans="7:7">
      <c r="G213" s="37"/>
    </row>
    <row r="214" spans="7:7">
      <c r="G214" s="37"/>
    </row>
    <row r="215" spans="7:7">
      <c r="G215" s="37"/>
    </row>
    <row r="216" spans="7:7">
      <c r="G216" s="37"/>
    </row>
    <row r="217" spans="7:7">
      <c r="G217" s="37"/>
    </row>
    <row r="218" spans="7:7">
      <c r="G218" s="37"/>
    </row>
    <row r="219" spans="7:7">
      <c r="G219" s="37"/>
    </row>
    <row r="220" spans="7:7">
      <c r="G220" s="37"/>
    </row>
    <row r="221" spans="7:7">
      <c r="G221" s="37"/>
    </row>
    <row r="222" spans="7:7">
      <c r="G222" s="37"/>
    </row>
    <row r="223" spans="7:7">
      <c r="G223" s="37"/>
    </row>
    <row r="224" spans="7:7">
      <c r="G224" s="37"/>
    </row>
    <row r="225" spans="7:7">
      <c r="G225" s="37"/>
    </row>
    <row r="226" spans="7:7">
      <c r="G226" s="37"/>
    </row>
    <row r="227" spans="7:7">
      <c r="G227" s="37"/>
    </row>
    <row r="228" spans="7:7">
      <c r="G228" s="37"/>
    </row>
    <row r="229" spans="7:7">
      <c r="G229" s="37"/>
    </row>
    <row r="230" spans="7:7">
      <c r="G230" s="37"/>
    </row>
    <row r="231" spans="7:7">
      <c r="G231" s="37"/>
    </row>
    <row r="232" spans="7:7">
      <c r="G232" s="37"/>
    </row>
    <row r="233" spans="7:7">
      <c r="G233" s="37"/>
    </row>
    <row r="234" spans="7:7">
      <c r="G234" s="37"/>
    </row>
    <row r="235" spans="7:7">
      <c r="G235" s="37"/>
    </row>
    <row r="236" spans="7:7">
      <c r="G236" s="37"/>
    </row>
    <row r="237" spans="7:7">
      <c r="G237" s="37"/>
    </row>
    <row r="238" spans="7:7">
      <c r="G238" s="37"/>
    </row>
    <row r="239" spans="7:7">
      <c r="G239" s="37"/>
    </row>
    <row r="240" spans="7:7">
      <c r="G240" s="37"/>
    </row>
    <row r="241" spans="7:7">
      <c r="G241" s="37"/>
    </row>
    <row r="242" spans="7:7">
      <c r="G242" s="37"/>
    </row>
    <row r="243" spans="7:7">
      <c r="G243" s="37"/>
    </row>
    <row r="244" spans="7:7">
      <c r="G244" s="37"/>
    </row>
    <row r="245" spans="7:7">
      <c r="G245" s="37"/>
    </row>
    <row r="246" spans="7:7">
      <c r="G246" s="37"/>
    </row>
    <row r="247" spans="7:7">
      <c r="G247" s="37"/>
    </row>
    <row r="248" spans="7:7">
      <c r="G248" s="37"/>
    </row>
    <row r="249" spans="7:7">
      <c r="G249" s="37"/>
    </row>
    <row r="250" spans="7:7">
      <c r="G250" s="37"/>
    </row>
    <row r="251" spans="7:7">
      <c r="G251" s="37"/>
    </row>
    <row r="252" spans="7:7">
      <c r="G252" s="37"/>
    </row>
    <row r="253" spans="7:7">
      <c r="G253" s="37"/>
    </row>
    <row r="254" spans="7:7">
      <c r="G254" s="37"/>
    </row>
    <row r="255" spans="7:7">
      <c r="G255" s="37"/>
    </row>
    <row r="256" spans="7:7">
      <c r="G256" s="37"/>
    </row>
    <row r="257" spans="7:7">
      <c r="G257" s="37"/>
    </row>
    <row r="258" spans="7:7">
      <c r="G258" s="37"/>
    </row>
    <row r="259" spans="7:7">
      <c r="G259" s="37"/>
    </row>
    <row r="260" spans="7:7">
      <c r="G260" s="37"/>
    </row>
    <row r="261" spans="7:7">
      <c r="G261" s="37"/>
    </row>
    <row r="262" spans="7:7">
      <c r="G262" s="37"/>
    </row>
    <row r="263" spans="7:7">
      <c r="G263" s="37"/>
    </row>
    <row r="264" spans="7:7">
      <c r="G264" s="37"/>
    </row>
    <row r="265" spans="7:7">
      <c r="G265" s="37"/>
    </row>
    <row r="266" spans="7:7">
      <c r="G266" s="37"/>
    </row>
    <row r="267" spans="7:7">
      <c r="G267" s="37"/>
    </row>
    <row r="268" spans="7:7">
      <c r="G268" s="37"/>
    </row>
    <row r="269" spans="7:7">
      <c r="G269" s="37"/>
    </row>
    <row r="270" spans="7:7">
      <c r="G270" s="37"/>
    </row>
    <row r="271" spans="7:7">
      <c r="G271" s="37"/>
    </row>
    <row r="272" spans="7:7">
      <c r="G272" s="37"/>
    </row>
    <row r="273" spans="7:7">
      <c r="G273" s="37"/>
    </row>
    <row r="274" spans="7:7">
      <c r="G274" s="37"/>
    </row>
    <row r="275" spans="7:7">
      <c r="G275" s="37"/>
    </row>
    <row r="276" spans="7:7">
      <c r="G276" s="37"/>
    </row>
    <row r="277" spans="7:7">
      <c r="G277" s="37"/>
    </row>
    <row r="278" spans="7:7">
      <c r="G278" s="37"/>
    </row>
    <row r="279" spans="7:7">
      <c r="G279" s="37"/>
    </row>
    <row r="280" spans="7:7">
      <c r="G280" s="37"/>
    </row>
    <row r="281" spans="7:7">
      <c r="G281" s="37"/>
    </row>
    <row r="282" spans="7:7">
      <c r="G282" s="37"/>
    </row>
    <row r="283" spans="7:7">
      <c r="G283" s="37"/>
    </row>
    <row r="284" spans="7:7">
      <c r="G284" s="37"/>
    </row>
    <row r="285" spans="7:7">
      <c r="G285" s="37"/>
    </row>
    <row r="286" spans="7:7">
      <c r="G286" s="37"/>
    </row>
    <row r="287" spans="7:7">
      <c r="G287" s="37"/>
    </row>
    <row r="288" spans="7:7">
      <c r="G288" s="37"/>
    </row>
    <row r="289" spans="7:7">
      <c r="G289" s="37"/>
    </row>
    <row r="290" spans="7:7">
      <c r="G290" s="37"/>
    </row>
    <row r="291" spans="7:7">
      <c r="G291" s="37"/>
    </row>
    <row r="292" spans="7:7">
      <c r="G292" s="37"/>
    </row>
    <row r="293" spans="7:7">
      <c r="G293" s="37"/>
    </row>
    <row r="294" spans="7:7">
      <c r="G294" s="37"/>
    </row>
    <row r="295" spans="7:7">
      <c r="G295" s="37"/>
    </row>
    <row r="296" spans="7:7">
      <c r="G296" s="37"/>
    </row>
    <row r="297" spans="7:7">
      <c r="G297" s="37"/>
    </row>
    <row r="298" spans="7:7">
      <c r="G298" s="37"/>
    </row>
    <row r="299" spans="7:7">
      <c r="G299" s="37"/>
    </row>
    <row r="300" spans="7:7">
      <c r="G300" s="37"/>
    </row>
    <row r="301" spans="7:7">
      <c r="G301" s="37"/>
    </row>
    <row r="302" spans="7:7">
      <c r="G302" s="37"/>
    </row>
    <row r="303" spans="7:7">
      <c r="G303" s="37"/>
    </row>
    <row r="304" spans="7:7">
      <c r="G304" s="37"/>
    </row>
    <row r="305" spans="7:7">
      <c r="G305" s="37"/>
    </row>
    <row r="306" spans="7:7">
      <c r="G306" s="37"/>
    </row>
    <row r="307" spans="7:7">
      <c r="G307" s="37"/>
    </row>
    <row r="308" spans="7:7">
      <c r="G308" s="37"/>
    </row>
    <row r="309" spans="7:7">
      <c r="G309" s="37"/>
    </row>
    <row r="310" spans="7:7">
      <c r="G310" s="37"/>
    </row>
    <row r="311" spans="7:7">
      <c r="G311" s="37"/>
    </row>
    <row r="312" spans="7:7">
      <c r="G312" s="37"/>
    </row>
    <row r="313" spans="7:7">
      <c r="G313" s="37"/>
    </row>
    <row r="314" spans="7:7">
      <c r="G314" s="37"/>
    </row>
    <row r="315" spans="7:7">
      <c r="G315" s="37"/>
    </row>
    <row r="316" spans="7:7">
      <c r="G316" s="37"/>
    </row>
    <row r="317" spans="7:7">
      <c r="G317" s="37"/>
    </row>
    <row r="318" spans="7:7">
      <c r="G318" s="37"/>
    </row>
    <row r="319" spans="7:7">
      <c r="G319" s="37"/>
    </row>
    <row r="320" spans="7:7">
      <c r="G320" s="37"/>
    </row>
    <row r="321" spans="7:7">
      <c r="G321" s="37"/>
    </row>
    <row r="322" spans="7:7">
      <c r="G322" s="37"/>
    </row>
    <row r="323" spans="7:7">
      <c r="G323" s="37"/>
    </row>
    <row r="324" spans="7:7">
      <c r="G324" s="37"/>
    </row>
    <row r="325" spans="7:7">
      <c r="G325" s="37"/>
    </row>
    <row r="326" spans="7:7">
      <c r="G326" s="37"/>
    </row>
    <row r="327" spans="7:7">
      <c r="G327" s="37"/>
    </row>
    <row r="328" spans="7:7">
      <c r="G328" s="37"/>
    </row>
    <row r="329" spans="7:7">
      <c r="G329" s="37"/>
    </row>
    <row r="330" spans="7:7">
      <c r="G330" s="37"/>
    </row>
    <row r="331" spans="7:7">
      <c r="G331" s="37"/>
    </row>
    <row r="332" spans="7:7">
      <c r="G332" s="37"/>
    </row>
    <row r="333" spans="7:7">
      <c r="G333" s="37"/>
    </row>
    <row r="334" spans="7:7">
      <c r="G334" s="37"/>
    </row>
    <row r="335" spans="7:7">
      <c r="G335" s="37"/>
    </row>
    <row r="336" spans="7:7">
      <c r="G336" s="37"/>
    </row>
    <row r="337" spans="7:7">
      <c r="G337" s="37"/>
    </row>
    <row r="338" spans="7:7">
      <c r="G338" s="37"/>
    </row>
    <row r="339" spans="7:7">
      <c r="G339" s="37"/>
    </row>
    <row r="340" spans="7:7">
      <c r="G340" s="37"/>
    </row>
    <row r="341" spans="7:7">
      <c r="G341" s="37"/>
    </row>
    <row r="342" spans="7:7">
      <c r="G342" s="37"/>
    </row>
    <row r="343" spans="7:7">
      <c r="G343" s="37"/>
    </row>
    <row r="344" spans="7:7">
      <c r="G344" s="37"/>
    </row>
    <row r="345" spans="7:7">
      <c r="G345" s="37"/>
    </row>
    <row r="346" spans="7:7">
      <c r="G346" s="37"/>
    </row>
    <row r="347" spans="7:7">
      <c r="G347" s="37"/>
    </row>
    <row r="348" spans="7:7">
      <c r="G348" s="37"/>
    </row>
    <row r="349" spans="7:7">
      <c r="G349" s="37"/>
    </row>
    <row r="350" spans="7:7">
      <c r="G350" s="37"/>
    </row>
    <row r="351" spans="7:7">
      <c r="G351" s="37"/>
    </row>
    <row r="352" spans="7:7">
      <c r="G352" s="37"/>
    </row>
    <row r="353" spans="7:7">
      <c r="G353" s="37"/>
    </row>
    <row r="354" spans="7:7">
      <c r="G354" s="37"/>
    </row>
    <row r="355" spans="7:7">
      <c r="G355" s="37"/>
    </row>
    <row r="356" spans="7:7">
      <c r="G356" s="37"/>
    </row>
    <row r="357" spans="7:7">
      <c r="G357" s="37"/>
    </row>
    <row r="358" spans="7:7">
      <c r="G358" s="37"/>
    </row>
    <row r="359" spans="7:7">
      <c r="G359" s="37"/>
    </row>
    <row r="360" spans="7:7">
      <c r="G360" s="37"/>
    </row>
    <row r="361" spans="7:7">
      <c r="G361" s="37"/>
    </row>
    <row r="362" spans="7:7">
      <c r="G362" s="37"/>
    </row>
    <row r="363" spans="7:7">
      <c r="G363" s="37"/>
    </row>
    <row r="364" spans="7:7">
      <c r="G364" s="37"/>
    </row>
    <row r="365" spans="7:7">
      <c r="G365" s="37"/>
    </row>
    <row r="366" spans="7:7">
      <c r="G366" s="37"/>
    </row>
    <row r="367" spans="7:7">
      <c r="G367" s="37"/>
    </row>
    <row r="368" spans="7:7">
      <c r="G368" s="37"/>
    </row>
    <row r="369" spans="7:7">
      <c r="G369" s="37"/>
    </row>
    <row r="370" spans="7:7">
      <c r="G370" s="37"/>
    </row>
    <row r="371" spans="7:7">
      <c r="G371" s="37"/>
    </row>
    <row r="372" spans="7:7">
      <c r="G372" s="37"/>
    </row>
    <row r="373" spans="7:7">
      <c r="G373" s="37"/>
    </row>
    <row r="374" spans="7:7">
      <c r="G374" s="37"/>
    </row>
    <row r="375" spans="7:7">
      <c r="G375" s="37"/>
    </row>
    <row r="376" spans="7:7">
      <c r="G376" s="37"/>
    </row>
    <row r="377" spans="7:7">
      <c r="G377" s="37"/>
    </row>
    <row r="378" spans="7:7">
      <c r="G378" s="37"/>
    </row>
    <row r="379" spans="7:7">
      <c r="G379" s="37"/>
    </row>
    <row r="380" spans="7:7">
      <c r="G380" s="37"/>
    </row>
    <row r="381" spans="7:7">
      <c r="G381" s="37"/>
    </row>
    <row r="382" spans="7:7">
      <c r="G382" s="37"/>
    </row>
    <row r="383" spans="7:7">
      <c r="G383" s="37"/>
    </row>
    <row r="384" spans="7:7">
      <c r="G384" s="37"/>
    </row>
    <row r="385" spans="7:7">
      <c r="G385" s="37"/>
    </row>
    <row r="386" spans="7:7">
      <c r="G386" s="37"/>
    </row>
    <row r="387" spans="7:7">
      <c r="G387" s="37"/>
    </row>
    <row r="388" spans="7:7">
      <c r="G388" s="37"/>
    </row>
    <row r="389" spans="7:7">
      <c r="G389" s="37"/>
    </row>
    <row r="390" spans="7:7">
      <c r="G390" s="37"/>
    </row>
    <row r="391" spans="7:7">
      <c r="G391" s="37"/>
    </row>
    <row r="392" spans="7:7">
      <c r="G392" s="37"/>
    </row>
    <row r="393" spans="7:7">
      <c r="G393" s="37"/>
    </row>
    <row r="394" spans="7:7">
      <c r="G394" s="37"/>
    </row>
    <row r="395" spans="7:7">
      <c r="G395" s="37"/>
    </row>
    <row r="396" spans="7:7">
      <c r="G396" s="37"/>
    </row>
    <row r="397" spans="7:7">
      <c r="G397" s="37"/>
    </row>
    <row r="398" spans="7:7">
      <c r="G398" s="37"/>
    </row>
    <row r="399" spans="7:7">
      <c r="G399" s="37"/>
    </row>
    <row r="400" spans="7:7">
      <c r="G400" s="37"/>
    </row>
    <row r="401" spans="7:7">
      <c r="G401" s="37"/>
    </row>
    <row r="402" spans="7:7">
      <c r="G402" s="37"/>
    </row>
    <row r="403" spans="7:7">
      <c r="G403" s="37"/>
    </row>
    <row r="404" spans="7:7">
      <c r="G404" s="37"/>
    </row>
    <row r="405" spans="7:7">
      <c r="G405" s="37"/>
    </row>
    <row r="406" spans="7:7">
      <c r="G406" s="37"/>
    </row>
    <row r="407" spans="7:7">
      <c r="G407" s="37"/>
    </row>
    <row r="408" spans="7:7">
      <c r="G408" s="37"/>
    </row>
    <row r="409" spans="7:7">
      <c r="G409" s="37"/>
    </row>
    <row r="410" spans="7:7">
      <c r="G410" s="37"/>
    </row>
    <row r="411" spans="7:7">
      <c r="G411" s="37"/>
    </row>
    <row r="412" spans="7:7">
      <c r="G412" s="37"/>
    </row>
    <row r="413" spans="7:7">
      <c r="G413" s="37"/>
    </row>
    <row r="414" spans="7:7">
      <c r="G414" s="37"/>
    </row>
    <row r="415" spans="7:7">
      <c r="G415" s="37"/>
    </row>
    <row r="416" spans="7:7">
      <c r="G416" s="37"/>
    </row>
    <row r="417" spans="7:7">
      <c r="G417" s="37"/>
    </row>
    <row r="418" spans="7:7">
      <c r="G418" s="37"/>
    </row>
    <row r="419" spans="7:7">
      <c r="G419" s="37"/>
    </row>
    <row r="420" spans="7:7">
      <c r="G420" s="37"/>
    </row>
    <row r="421" spans="7:7">
      <c r="G421" s="37"/>
    </row>
    <row r="422" spans="7:7">
      <c r="G422" s="37"/>
    </row>
    <row r="423" spans="7:7">
      <c r="G423" s="37"/>
    </row>
    <row r="424" spans="7:7">
      <c r="G424" s="37"/>
    </row>
    <row r="425" spans="7:7">
      <c r="G425" s="37"/>
    </row>
    <row r="426" spans="7:7">
      <c r="G426" s="37"/>
    </row>
    <row r="427" spans="7:7">
      <c r="G427" s="37"/>
    </row>
    <row r="428" spans="7:7">
      <c r="G428" s="37"/>
    </row>
    <row r="429" spans="7:7">
      <c r="G429" s="37"/>
    </row>
    <row r="430" spans="7:7">
      <c r="G430" s="37"/>
    </row>
    <row r="431" spans="7:7">
      <c r="G431" s="37"/>
    </row>
    <row r="432" spans="7:7">
      <c r="G432" s="37"/>
    </row>
    <row r="433" spans="7:7">
      <c r="G433" s="37"/>
    </row>
    <row r="434" spans="7:7">
      <c r="G434" s="37"/>
    </row>
    <row r="435" spans="7:7">
      <c r="G435" s="37"/>
    </row>
    <row r="436" spans="7:7">
      <c r="G436" s="37"/>
    </row>
    <row r="437" spans="7:7">
      <c r="G437" s="37"/>
    </row>
    <row r="438" spans="7:7">
      <c r="G438" s="37"/>
    </row>
    <row r="439" spans="7:7">
      <c r="G439" s="37"/>
    </row>
    <row r="440" spans="7:7">
      <c r="G440" s="37"/>
    </row>
    <row r="441" spans="7:7">
      <c r="G441" s="37"/>
    </row>
    <row r="442" spans="7:7">
      <c r="G442" s="37"/>
    </row>
    <row r="443" spans="7:7">
      <c r="G443" s="37"/>
    </row>
    <row r="444" spans="7:7">
      <c r="G444" s="37"/>
    </row>
    <row r="445" spans="7:7">
      <c r="G445" s="37"/>
    </row>
    <row r="446" spans="7:7">
      <c r="G446" s="37"/>
    </row>
    <row r="447" spans="7:7">
      <c r="G447" s="37"/>
    </row>
    <row r="448" spans="7:7">
      <c r="G448" s="37"/>
    </row>
    <row r="449" spans="7:7">
      <c r="G449" s="37"/>
    </row>
    <row r="450" spans="7:7">
      <c r="G450" s="37"/>
    </row>
    <row r="451" spans="7:7">
      <c r="G451" s="37"/>
    </row>
    <row r="452" spans="7:7">
      <c r="G452" s="37"/>
    </row>
    <row r="453" spans="7:7">
      <c r="G453" s="37"/>
    </row>
    <row r="454" spans="7:7">
      <c r="G454" s="37"/>
    </row>
    <row r="455" spans="7:7">
      <c r="G455" s="37"/>
    </row>
    <row r="456" spans="7:7">
      <c r="G456" s="37"/>
    </row>
    <row r="457" spans="7:7">
      <c r="G457" s="37"/>
    </row>
    <row r="458" spans="7:7">
      <c r="G458" s="37"/>
    </row>
    <row r="459" spans="7:7">
      <c r="G459" s="37"/>
    </row>
    <row r="460" spans="7:7">
      <c r="G460" s="37"/>
    </row>
    <row r="461" spans="7:7">
      <c r="G461" s="37"/>
    </row>
    <row r="462" spans="7:7">
      <c r="G462" s="37"/>
    </row>
    <row r="463" spans="7:7">
      <c r="G463" s="37"/>
    </row>
    <row r="464" spans="7:7">
      <c r="G464" s="37"/>
    </row>
    <row r="465" spans="7:7">
      <c r="G465" s="37"/>
    </row>
    <row r="466" spans="7:7">
      <c r="G466" s="37"/>
    </row>
    <row r="467" spans="7:7">
      <c r="G467" s="37"/>
    </row>
    <row r="468" spans="7:7">
      <c r="G468" s="37"/>
    </row>
    <row r="469" spans="7:7">
      <c r="G469" s="37"/>
    </row>
    <row r="470" spans="7:7">
      <c r="G470" s="37"/>
    </row>
    <row r="471" spans="7:7">
      <c r="G471" s="37"/>
    </row>
    <row r="472" spans="7:7">
      <c r="G472" s="37"/>
    </row>
    <row r="473" spans="7:7">
      <c r="G473" s="37"/>
    </row>
    <row r="474" spans="7:7">
      <c r="G474" s="37"/>
    </row>
    <row r="475" spans="7:7">
      <c r="G475" s="37"/>
    </row>
    <row r="476" spans="7:7">
      <c r="G476" s="37"/>
    </row>
    <row r="477" spans="7:7">
      <c r="G477" s="37"/>
    </row>
    <row r="478" spans="7:7">
      <c r="G478" s="37"/>
    </row>
    <row r="479" spans="7:7">
      <c r="G479" s="37"/>
    </row>
    <row r="480" spans="7:7">
      <c r="G480" s="37"/>
    </row>
    <row r="481" spans="7:7">
      <c r="G481" s="37"/>
    </row>
    <row r="482" spans="7:7">
      <c r="G482" s="37"/>
    </row>
    <row r="483" spans="7:7">
      <c r="G483" s="37"/>
    </row>
    <row r="484" spans="7:7">
      <c r="G484" s="37"/>
    </row>
    <row r="485" spans="7:7">
      <c r="G485" s="37"/>
    </row>
    <row r="486" spans="7:7">
      <c r="G486" s="37"/>
    </row>
    <row r="487" spans="7:7">
      <c r="G487" s="37"/>
    </row>
    <row r="488" spans="7:7">
      <c r="G488" s="37"/>
    </row>
    <row r="489" spans="7:7">
      <c r="G489" s="37"/>
    </row>
    <row r="490" spans="7:7">
      <c r="G490" s="37"/>
    </row>
    <row r="491" spans="7:7">
      <c r="G491" s="37"/>
    </row>
    <row r="492" spans="7:7">
      <c r="G492" s="37"/>
    </row>
    <row r="493" spans="7:7">
      <c r="G493" s="37"/>
    </row>
    <row r="494" spans="7:7">
      <c r="G494" s="37"/>
    </row>
    <row r="495" spans="7:7">
      <c r="G495" s="37"/>
    </row>
    <row r="496" spans="7:7">
      <c r="G496" s="37"/>
    </row>
    <row r="497" spans="7:7">
      <c r="G497" s="37"/>
    </row>
    <row r="498" spans="7:7">
      <c r="G498" s="37"/>
    </row>
    <row r="499" spans="7:7">
      <c r="G499" s="37"/>
    </row>
    <row r="500" spans="7:7">
      <c r="G500" s="37"/>
    </row>
    <row r="501" spans="7:7">
      <c r="G501" s="37"/>
    </row>
    <row r="502" spans="7:7">
      <c r="G502" s="37"/>
    </row>
    <row r="503" spans="7:7">
      <c r="G503" s="37"/>
    </row>
    <row r="504" spans="7:7">
      <c r="G504" s="37"/>
    </row>
    <row r="505" spans="7:7">
      <c r="G505" s="37"/>
    </row>
    <row r="506" spans="7:7">
      <c r="G506" s="37"/>
    </row>
    <row r="507" spans="7:7">
      <c r="G507" s="37"/>
    </row>
    <row r="508" spans="7:7">
      <c r="G508" s="37"/>
    </row>
    <row r="509" spans="7:7">
      <c r="G509" s="37"/>
    </row>
    <row r="510" spans="7:7">
      <c r="G510" s="37"/>
    </row>
    <row r="511" spans="7:7">
      <c r="G511" s="37"/>
    </row>
    <row r="512" spans="7:7">
      <c r="G512" s="37"/>
    </row>
    <row r="513" spans="7:7">
      <c r="G513" s="37"/>
    </row>
    <row r="514" spans="7:7">
      <c r="G514" s="37"/>
    </row>
    <row r="515" spans="7:7">
      <c r="G515" s="37"/>
    </row>
    <row r="516" spans="7:7">
      <c r="G516" s="37"/>
    </row>
    <row r="517" spans="7:7">
      <c r="G517" s="37"/>
    </row>
    <row r="518" spans="7:7">
      <c r="G518" s="37"/>
    </row>
    <row r="519" spans="7:7">
      <c r="G519" s="37"/>
    </row>
    <row r="520" spans="7:7">
      <c r="G520" s="37"/>
    </row>
    <row r="521" spans="7:7">
      <c r="G521" s="37"/>
    </row>
    <row r="522" spans="7:7">
      <c r="G522" s="37"/>
    </row>
    <row r="523" spans="7:7">
      <c r="G523" s="37"/>
    </row>
    <row r="524" spans="7:7">
      <c r="G524" s="37"/>
    </row>
    <row r="525" spans="7:7">
      <c r="G525" s="37"/>
    </row>
    <row r="526" spans="7:7">
      <c r="G526" s="37"/>
    </row>
    <row r="527" spans="7:7">
      <c r="G527" s="37"/>
    </row>
    <row r="528" spans="7:7">
      <c r="G528" s="37"/>
    </row>
    <row r="529" spans="7:7">
      <c r="G529" s="37"/>
    </row>
    <row r="530" spans="7:7">
      <c r="G530" s="37"/>
    </row>
    <row r="531" spans="7:7">
      <c r="G531" s="37"/>
    </row>
    <row r="532" spans="7:7">
      <c r="G532" s="37"/>
    </row>
    <row r="533" spans="7:7">
      <c r="G533" s="37"/>
    </row>
    <row r="534" spans="7:7">
      <c r="G534" s="37"/>
    </row>
    <row r="535" spans="7:7">
      <c r="G535" s="37"/>
    </row>
    <row r="536" spans="7:7">
      <c r="G536" s="37"/>
    </row>
    <row r="537" spans="7:7">
      <c r="G537" s="37"/>
    </row>
    <row r="538" spans="7:7">
      <c r="G538" s="37"/>
    </row>
    <row r="539" spans="7:7">
      <c r="G539" s="37"/>
    </row>
    <row r="540" spans="7:7">
      <c r="G540" s="37"/>
    </row>
    <row r="541" spans="7:7">
      <c r="G541" s="37"/>
    </row>
    <row r="542" spans="7:7">
      <c r="G542" s="37"/>
    </row>
    <row r="543" spans="7:7">
      <c r="G543" s="37"/>
    </row>
    <row r="544" spans="7:7">
      <c r="G544" s="37"/>
    </row>
    <row r="545" spans="7:7">
      <c r="G545" s="37"/>
    </row>
    <row r="546" spans="7:7">
      <c r="G546" s="37"/>
    </row>
    <row r="547" spans="7:7">
      <c r="G547" s="37"/>
    </row>
    <row r="548" spans="7:7">
      <c r="G548" s="37"/>
    </row>
    <row r="549" spans="7:7">
      <c r="G549" s="37"/>
    </row>
    <row r="550" spans="7:7">
      <c r="G550" s="37"/>
    </row>
    <row r="551" spans="7:7">
      <c r="G551" s="37"/>
    </row>
    <row r="552" spans="7:7">
      <c r="G552" s="37"/>
    </row>
    <row r="553" spans="7:7">
      <c r="G553" s="37"/>
    </row>
    <row r="554" spans="7:7">
      <c r="G554" s="37"/>
    </row>
    <row r="555" spans="7:7">
      <c r="G555" s="37"/>
    </row>
    <row r="556" spans="7:7">
      <c r="G556" s="37"/>
    </row>
    <row r="557" spans="7:7">
      <c r="G557" s="37"/>
    </row>
    <row r="558" spans="7:7">
      <c r="G558" s="37"/>
    </row>
    <row r="559" spans="7:7">
      <c r="G559" s="37"/>
    </row>
    <row r="560" spans="7:7">
      <c r="G560" s="37"/>
    </row>
    <row r="561" spans="7:7">
      <c r="G561" s="37"/>
    </row>
    <row r="562" spans="7:7">
      <c r="G562" s="37"/>
    </row>
    <row r="563" spans="7:7">
      <c r="G563" s="37"/>
    </row>
    <row r="564" spans="7:7">
      <c r="G564" s="37"/>
    </row>
    <row r="565" spans="7:7">
      <c r="G565" s="37"/>
    </row>
    <row r="566" spans="7:7">
      <c r="G566" s="37"/>
    </row>
    <row r="567" spans="7:7">
      <c r="G567" s="37"/>
    </row>
    <row r="568" spans="7:7">
      <c r="G568" s="37"/>
    </row>
    <row r="569" spans="7:7">
      <c r="G569" s="37"/>
    </row>
    <row r="570" spans="7:7">
      <c r="G570" s="37"/>
    </row>
    <row r="571" spans="7:7">
      <c r="G571" s="37"/>
    </row>
    <row r="572" spans="7:7">
      <c r="G572" s="37"/>
    </row>
    <row r="573" spans="7:7">
      <c r="G573" s="37"/>
    </row>
    <row r="574" spans="7:7">
      <c r="G574" s="37"/>
    </row>
    <row r="575" spans="7:7">
      <c r="G575" s="37"/>
    </row>
    <row r="576" spans="7:7">
      <c r="G576" s="37"/>
    </row>
    <row r="577" spans="7:7">
      <c r="G577" s="37"/>
    </row>
    <row r="578" spans="7:7">
      <c r="G578" s="37"/>
    </row>
    <row r="579" spans="7:7">
      <c r="G579" s="37"/>
    </row>
    <row r="580" spans="7:7">
      <c r="G580" s="37"/>
    </row>
    <row r="581" spans="7:7">
      <c r="G581" s="37"/>
    </row>
    <row r="582" spans="7:7">
      <c r="G582" s="37"/>
    </row>
    <row r="583" spans="7:7">
      <c r="G583" s="37"/>
    </row>
    <row r="584" spans="7:7">
      <c r="G584" s="37"/>
    </row>
    <row r="585" spans="7:7">
      <c r="G585" s="37"/>
    </row>
    <row r="586" spans="7:7">
      <c r="G586" s="37"/>
    </row>
    <row r="587" spans="7:7">
      <c r="G587" s="37"/>
    </row>
    <row r="588" spans="7:7">
      <c r="G588" s="37"/>
    </row>
    <row r="589" spans="7:7">
      <c r="G589" s="37"/>
    </row>
    <row r="590" spans="7:7">
      <c r="G590" s="37"/>
    </row>
    <row r="591" spans="7:7">
      <c r="G591" s="37"/>
    </row>
    <row r="592" spans="7:7">
      <c r="G592" s="37"/>
    </row>
    <row r="593" spans="7:7">
      <c r="G593" s="37"/>
    </row>
    <row r="594" spans="7:7">
      <c r="G594" s="37"/>
    </row>
    <row r="595" spans="7:7">
      <c r="G595" s="37"/>
    </row>
    <row r="596" spans="7:7">
      <c r="G596" s="37"/>
    </row>
    <row r="597" spans="7:7">
      <c r="G597" s="37"/>
    </row>
    <row r="598" spans="7:7">
      <c r="G598" s="37"/>
    </row>
  </sheetData>
  <mergeCells count="2">
    <mergeCell ref="A1:A3"/>
    <mergeCell ref="AV2:AX2"/>
  </mergeCells>
  <conditionalFormatting sqref="D3:AU3">
    <cfRule type="cellIs" dxfId="39" priority="1" operator="equal">
      <formula>#REF!</formula>
    </cfRule>
    <cfRule type="cellIs" dxfId="38" priority="2" operator="equal">
      <formula>#REF!</formula>
    </cfRule>
    <cfRule type="cellIs" dxfId="37" priority="3" operator="equal">
      <formula>#REF!</formula>
    </cfRule>
    <cfRule type="cellIs" dxfId="36" priority="4" operator="equal">
      <formula>#REF!</formula>
    </cfRule>
  </conditionalFormatting>
  <conditionalFormatting sqref="G3:BU3">
    <cfRule type="cellIs" dxfId="35" priority="13" operator="equal">
      <formula>#REF!</formula>
    </cfRule>
    <cfRule type="cellIs" dxfId="34" priority="14" operator="equal">
      <formula>#REF!</formula>
    </cfRule>
    <cfRule type="cellIs" dxfId="33" priority="15" operator="equal">
      <formula>#REF!</formula>
    </cfRule>
    <cfRule type="cellIs" dxfId="32" priority="16" operator="equal">
      <formula>#REF!</formula>
    </cfRule>
  </conditionalFormatting>
  <conditionalFormatting sqref="AC4">
    <cfRule type="cellIs" dxfId="31" priority="5" operator="equal">
      <formula>#REF!</formula>
    </cfRule>
    <cfRule type="cellIs" dxfId="30" priority="6" operator="equal">
      <formula>#REF!</formula>
    </cfRule>
    <cfRule type="cellIs" dxfId="29" priority="7" operator="equal">
      <formula>#REF!</formula>
    </cfRule>
    <cfRule type="cellIs" dxfId="28" priority="8" operator="equal">
      <formula>#REF!</formula>
    </cfRule>
  </conditionalFormatting>
  <conditionalFormatting sqref="AC4:AR4">
    <cfRule type="cellIs" dxfId="27" priority="9" operator="equal">
      <formula>#REF!</formula>
    </cfRule>
    <cfRule type="cellIs" dxfId="26" priority="10" operator="equal">
      <formula>#REF!</formula>
    </cfRule>
    <cfRule type="cellIs" dxfId="25" priority="11" operator="equal">
      <formula>#REF!</formula>
    </cfRule>
    <cfRule type="cellIs" dxfId="24" priority="12" operator="equal">
      <formula>#REF!</formula>
    </cfRule>
  </conditionalFormatting>
  <pageMargins left="0.7" right="0.7" top="0.75" bottom="0.75" header="0.3" footer="0.3"/>
  <pageSetup orientation="portrait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72F2C-E2E0-4252-85C5-77BC5457C24C}">
  <sheetPr>
    <tabColor rgb="FF0070C0"/>
  </sheetPr>
  <dimension ref="A1:BW567"/>
  <sheetViews>
    <sheetView zoomScaleNormal="100" zoomScalePageLayoutView="12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G49" sqref="G49"/>
    </sheetView>
  </sheetViews>
  <sheetFormatPr defaultColWidth="8.796875" defaultRowHeight="14.25"/>
  <cols>
    <col min="1" max="1" width="35.46484375" style="37" customWidth="1"/>
    <col min="2" max="2" width="14.46484375" style="37" customWidth="1"/>
    <col min="3" max="6" width="13.796875" style="37" customWidth="1"/>
    <col min="7" max="7" width="13.796875" style="167" customWidth="1"/>
    <col min="8" max="27" width="13.796875" style="37" customWidth="1"/>
    <col min="28" max="28" width="13.796875" style="168" customWidth="1"/>
    <col min="29" max="30" width="13.796875" style="37" customWidth="1"/>
    <col min="31" max="31" width="13.796875" style="168" customWidth="1"/>
    <col min="32" max="34" width="13.796875" style="37" customWidth="1"/>
    <col min="35" max="35" width="13.796875" style="169" customWidth="1"/>
    <col min="36" max="47" width="13.796875" style="37" customWidth="1"/>
    <col min="48" max="48" width="17" style="37" customWidth="1"/>
    <col min="49" max="71" width="17" customWidth="1"/>
    <col min="72" max="72" width="16.53125" customWidth="1"/>
    <col min="73" max="73" width="15" customWidth="1"/>
    <col min="74" max="74" width="17.796875" bestFit="1" customWidth="1"/>
    <col min="75" max="75" width="9.53125" bestFit="1" customWidth="1"/>
    <col min="76" max="76" width="11.796875" style="37" bestFit="1" customWidth="1"/>
    <col min="77" max="78" width="9.53125" style="37" bestFit="1" customWidth="1"/>
    <col min="79" max="16384" width="8.796875" style="37"/>
  </cols>
  <sheetData>
    <row r="1" spans="1:48">
      <c r="A1" s="1426" t="s">
        <v>339</v>
      </c>
      <c r="G1" s="37"/>
      <c r="AB1"/>
      <c r="AC1"/>
      <c r="AD1"/>
      <c r="AE1"/>
      <c r="AI1" s="37"/>
    </row>
    <row r="2" spans="1:48">
      <c r="A2" s="1426"/>
      <c r="G2" s="37"/>
      <c r="AB2"/>
      <c r="AC2"/>
      <c r="AD2"/>
      <c r="AE2"/>
      <c r="AI2" s="37"/>
      <c r="AV2" s="170" t="s">
        <v>155</v>
      </c>
    </row>
    <row r="3" spans="1:48" ht="14.65" thickBot="1">
      <c r="A3" s="1459"/>
      <c r="B3" s="569" t="s">
        <v>340</v>
      </c>
      <c r="C3" s="617">
        <v>45658</v>
      </c>
      <c r="D3" s="289">
        <f>EOMONTH(C3,3)</f>
        <v>45777</v>
      </c>
      <c r="E3" s="289">
        <f t="shared" ref="E3:AU3" si="0">EOMONTH(D3,3)</f>
        <v>45869</v>
      </c>
      <c r="F3" s="289">
        <f t="shared" si="0"/>
        <v>45961</v>
      </c>
      <c r="G3" s="289">
        <f t="shared" si="0"/>
        <v>46053</v>
      </c>
      <c r="H3" s="289">
        <f t="shared" si="0"/>
        <v>46142</v>
      </c>
      <c r="I3" s="289">
        <f t="shared" si="0"/>
        <v>46234</v>
      </c>
      <c r="J3" s="289">
        <f t="shared" si="0"/>
        <v>46326</v>
      </c>
      <c r="K3" s="289">
        <f t="shared" si="0"/>
        <v>46418</v>
      </c>
      <c r="L3" s="289">
        <f t="shared" si="0"/>
        <v>46507</v>
      </c>
      <c r="M3" s="289">
        <f t="shared" si="0"/>
        <v>46599</v>
      </c>
      <c r="N3" s="289">
        <f t="shared" si="0"/>
        <v>46691</v>
      </c>
      <c r="O3" s="289">
        <f t="shared" si="0"/>
        <v>46783</v>
      </c>
      <c r="P3" s="289">
        <f t="shared" si="0"/>
        <v>46873</v>
      </c>
      <c r="Q3" s="289">
        <f t="shared" si="0"/>
        <v>46965</v>
      </c>
      <c r="R3" s="289">
        <f t="shared" si="0"/>
        <v>47057</v>
      </c>
      <c r="S3" s="289">
        <f t="shared" si="0"/>
        <v>47149</v>
      </c>
      <c r="T3" s="289">
        <f t="shared" si="0"/>
        <v>47238</v>
      </c>
      <c r="U3" s="289">
        <f t="shared" si="0"/>
        <v>47330</v>
      </c>
      <c r="V3" s="289">
        <f t="shared" si="0"/>
        <v>47422</v>
      </c>
      <c r="W3" s="289">
        <f t="shared" si="0"/>
        <v>47514</v>
      </c>
      <c r="X3" s="289">
        <f t="shared" si="0"/>
        <v>47603</v>
      </c>
      <c r="Y3" s="289">
        <f t="shared" si="0"/>
        <v>47695</v>
      </c>
      <c r="Z3" s="289">
        <f t="shared" si="0"/>
        <v>47787</v>
      </c>
      <c r="AA3" s="289">
        <f t="shared" si="0"/>
        <v>47879</v>
      </c>
      <c r="AB3" s="289">
        <f t="shared" si="0"/>
        <v>47968</v>
      </c>
      <c r="AC3" s="289">
        <f t="shared" si="0"/>
        <v>48060</v>
      </c>
      <c r="AD3" s="289">
        <f t="shared" si="0"/>
        <v>48152</v>
      </c>
      <c r="AE3" s="289">
        <f t="shared" si="0"/>
        <v>48244</v>
      </c>
      <c r="AF3" s="289">
        <f t="shared" si="0"/>
        <v>48334</v>
      </c>
      <c r="AG3" s="289">
        <f t="shared" si="0"/>
        <v>48426</v>
      </c>
      <c r="AH3" s="289">
        <f t="shared" si="0"/>
        <v>48518</v>
      </c>
      <c r="AI3" s="289">
        <f t="shared" si="0"/>
        <v>48610</v>
      </c>
      <c r="AJ3" s="289">
        <f t="shared" si="0"/>
        <v>48699</v>
      </c>
      <c r="AK3" s="289">
        <f t="shared" si="0"/>
        <v>48791</v>
      </c>
      <c r="AL3" s="289">
        <f t="shared" si="0"/>
        <v>48883</v>
      </c>
      <c r="AM3" s="289">
        <f t="shared" si="0"/>
        <v>48975</v>
      </c>
      <c r="AN3" s="289">
        <f>EOMONTH(AM3,3)</f>
        <v>49064</v>
      </c>
      <c r="AO3" s="289">
        <f t="shared" si="0"/>
        <v>49156</v>
      </c>
      <c r="AP3" s="289">
        <f t="shared" si="0"/>
        <v>49248</v>
      </c>
      <c r="AQ3" s="289">
        <f t="shared" si="0"/>
        <v>49340</v>
      </c>
      <c r="AR3" s="289">
        <f t="shared" si="0"/>
        <v>49429</v>
      </c>
      <c r="AS3" s="289">
        <f t="shared" si="0"/>
        <v>49521</v>
      </c>
      <c r="AT3" s="289">
        <f t="shared" si="0"/>
        <v>49613</v>
      </c>
      <c r="AU3" s="289">
        <f t="shared" si="0"/>
        <v>49705</v>
      </c>
      <c r="AV3" s="460"/>
    </row>
    <row r="4" spans="1:48">
      <c r="A4" s="487" t="s">
        <v>301</v>
      </c>
      <c r="B4" s="469">
        <f>SUM(C4:AU4)</f>
        <v>527838194.63918352</v>
      </c>
      <c r="C4" s="469">
        <f>'Phase 2b Draw'!C36+'Phase 3 Draw'!C36+'Phase 1b DRAW'!C36+'Phase 2a Draw'!C36+'Phase 1a Financial DRAW'!C36</f>
        <v>0</v>
      </c>
      <c r="D4" s="469">
        <f>'Phase 2b Draw'!D36+'Phase 3 Draw'!D36+'Phase 1b DRAW'!D36+'Phase 2a Draw'!D36+'Phase 1a Financial DRAW'!D36</f>
        <v>0</v>
      </c>
      <c r="E4" s="469">
        <f>'Phase 2b Draw'!E36+'Phase 3 Draw'!E36+'Phase 1b DRAW'!E36+'Phase 2a Draw'!E36+'Phase 1a Financial DRAW'!E36</f>
        <v>-10273748.440000001</v>
      </c>
      <c r="F4" s="469">
        <f>'Phase 2b Draw'!F36+'Phase 3 Draw'!F36+'Phase 1b DRAW'!F36+'Phase 2a Draw'!F36+'Phase 1a Financial DRAW'!F36</f>
        <v>-9873748.4400000013</v>
      </c>
      <c r="G4" s="469">
        <f>'Phase 2b Draw'!G36+'Phase 3 Draw'!G36+'Phase 1b DRAW'!G36+'Phase 2a Draw'!G36+'Phase 1a Financial DRAW'!G36</f>
        <v>-6797068.4800000004</v>
      </c>
      <c r="H4" s="469">
        <f>'Phase 2b Draw'!H36+'Phase 3 Draw'!H36+'Phase 1b DRAW'!H36+'Phase 2a Draw'!H36+'Phase 1a Financial DRAW'!H36</f>
        <v>-2895131.9800000004</v>
      </c>
      <c r="I4" s="469">
        <f>'Phase 2b Draw'!I36+'Phase 3 Draw'!I36+'Phase 1b DRAW'!I36+'Phase 2a Draw'!I36+'Phase 1a Financial DRAW'!I36</f>
        <v>-67197045.940014124</v>
      </c>
      <c r="J4" s="469">
        <f>'Phase 2b Draw'!J36+'Phase 3 Draw'!J36+'Phase 1b DRAW'!J36+'Phase 2a Draw'!J36+'Phase 1a Financial DRAW'!J36</f>
        <v>-39540969.953983337</v>
      </c>
      <c r="K4" s="469">
        <f>'Phase 2b Draw'!K36+'Phase 3 Draw'!K36+'Phase 1b DRAW'!K36+'Phase 2a Draw'!K36+'Phase 1a Financial DRAW'!K36</f>
        <v>-54013649.813983336</v>
      </c>
      <c r="L4" s="469">
        <f>'Phase 2b Draw'!L36+'Phase 3 Draw'!L36+'Phase 1b DRAW'!L36+'Phase 2a Draw'!L36+'Phase 1a Financial DRAW'!L36</f>
        <v>-57095269.813983336</v>
      </c>
      <c r="M4" s="469">
        <f>'Phase 2b Draw'!M36+'Phase 3 Draw'!M36+'Phase 1b DRAW'!M36+'Phase 2a Draw'!M36+'Phase 1a Financial DRAW'!M36</f>
        <v>-89725406.948633328</v>
      </c>
      <c r="N4" s="469">
        <f>'Phase 2b Draw'!N36+'Phase 3 Draw'!N36+'Phase 1b DRAW'!N36+'Phase 2a Draw'!N36+'Phase 1a Financial DRAW'!N36</f>
        <v>-51803198.539326817</v>
      </c>
      <c r="O4" s="469">
        <f>'Phase 2b Draw'!O36+'Phase 3 Draw'!O36+'Phase 1b DRAW'!O36+'Phase 2a Draw'!O36+'Phase 1a Financial DRAW'!O36</f>
        <v>-12570873.609999999</v>
      </c>
      <c r="P4" s="469">
        <f>'Phase 2b Draw'!P36+'Phase 3 Draw'!P36+'Phase 1b DRAW'!P36+'Phase 2a Draw'!P36+'Phase 1a Financial DRAW'!P36</f>
        <v>-5645717.4240000006</v>
      </c>
      <c r="Q4" s="469">
        <f>'Phase 2b Draw'!Q36+'Phase 3 Draw'!Q36+'Phase 1b DRAW'!Q36+'Phase 2a Draw'!Q36+'Phase 1a Financial DRAW'!Q36</f>
        <v>-63955996.753399998</v>
      </c>
      <c r="R4" s="469">
        <f>'Phase 2b Draw'!R36+'Phase 3 Draw'!R36+'Phase 1b DRAW'!R36+'Phase 2a Draw'!R36+'Phase 1a Financial DRAW'!R36</f>
        <v>-59262357.753399998</v>
      </c>
      <c r="S4" s="469">
        <f>'Phase 2b Draw'!S36+'Phase 3 Draw'!S36+'Phase 1b DRAW'!S36+'Phase 2a Draw'!S36+'Phase 1a Financial DRAW'!S36</f>
        <v>409336189.44393331</v>
      </c>
      <c r="T4" s="469">
        <f>'Phase 2b Draw'!T36+'Phase 3 Draw'!T36+'Phase 1b DRAW'!T36+'Phase 2a Draw'!T36+'Phase 1a Financial DRAW'!T36</f>
        <v>-71167450.756066665</v>
      </c>
      <c r="U4" s="469">
        <f>'Phase 2b Draw'!U36+'Phase 3 Draw'!U36+'Phase 1b DRAW'!U36+'Phase 2a Draw'!U36+'Phase 1a Financial DRAW'!U36</f>
        <v>-60592011.620687723</v>
      </c>
      <c r="V4" s="469">
        <f>'Phase 2b Draw'!V36+'Phase 3 Draw'!V36+'Phase 1b DRAW'!V36+'Phase 2a Draw'!V36+'Phase 1a Financial DRAW'!V36</f>
        <v>115530419.148</v>
      </c>
      <c r="W4" s="469">
        <f>'Phase 2b Draw'!W36+'Phase 3 Draw'!W36+'Phase 1b DRAW'!W36+'Phase 2a Draw'!W36+'Phase 1a Financial DRAW'!W36</f>
        <v>-309865.5</v>
      </c>
      <c r="X4" s="469">
        <f>'Phase 2b Draw'!X36+'Phase 3 Draw'!X36+'Phase 1b DRAW'!X36+'Phase 2a Draw'!X36+'Phase 1a Financial DRAW'!X36</f>
        <v>201556297.81472883</v>
      </c>
      <c r="Y4" s="469">
        <f>'Phase 2b Draw'!Y36+'Phase 3 Draw'!Y36+'Phase 1b DRAW'!Y36+'Phase 2a Draw'!Y36+'Phase 1a Financial DRAW'!Y36</f>
        <v>0</v>
      </c>
      <c r="Z4" s="469">
        <f>'Phase 2b Draw'!Z36+'Phase 3 Draw'!Z36+'Phase 1b DRAW'!Z36+'Phase 2a Draw'!Z36+'Phase 1a Financial DRAW'!Z36</f>
        <v>0</v>
      </c>
      <c r="AA4" s="469">
        <f>'Phase 2b Draw'!AA36+'Phase 3 Draw'!AA36+'Phase 1b DRAW'!AA36+'Phase 2a Draw'!AA36+'Phase 1a Financial DRAW'!AA36</f>
        <v>0</v>
      </c>
      <c r="AB4" s="469">
        <f>'Phase 2b Draw'!AB36+'Phase 3 Draw'!AB36+'Phase 1b DRAW'!AB36+'Phase 2a Draw'!AB36+'Phase 1a Financial DRAW'!AB36</f>
        <v>435456000</v>
      </c>
      <c r="AC4" s="469">
        <f>'Phase 2b Draw'!AC36+'Phase 3 Draw'!AC36+'Phase 1b DRAW'!AC36+'Phase 2a Draw'!AC36+'Phase 1a Financial DRAW'!AC36</f>
        <v>0</v>
      </c>
      <c r="AD4" s="469">
        <f>'Phase 2b Draw'!AD36+'Phase 3 Draw'!AD36+'Phase 1b DRAW'!AD36+'Phase 2a Draw'!AD36+'Phase 1a Financial DRAW'!AD36</f>
        <v>0</v>
      </c>
      <c r="AE4" s="469">
        <f>'Phase 2b Draw'!AE36+'Phase 3 Draw'!AE36+'Phase 1b DRAW'!AE36+'Phase 2a Draw'!AE36+'Phase 1a Financial DRAW'!AE36</f>
        <v>0</v>
      </c>
      <c r="AF4" s="469">
        <f>'Phase 2b Draw'!AF36+'Phase 3 Draw'!AF36+'Phase 1b DRAW'!AF36+'Phase 2a Draw'!AF36+'Phase 1a Financial DRAW'!AF36</f>
        <v>0</v>
      </c>
      <c r="AG4" s="469">
        <f>'Phase 2b Draw'!AG36+'Phase 3 Draw'!AG36+'Phase 1b DRAW'!AG36+'Phase 2a Draw'!AG36+'Phase 1a Financial DRAW'!AG36</f>
        <v>0</v>
      </c>
      <c r="AH4" s="469">
        <f>'Phase 2b Draw'!AH36+'Phase 3 Draw'!AH36+'Phase 1b DRAW'!AH36+'Phase 2a Draw'!AH36+'Phase 1a Financial DRAW'!AH36</f>
        <v>0</v>
      </c>
      <c r="AI4" s="469">
        <f>'Phase 2b Draw'!AI36+'Phase 3 Draw'!AI36+'Phase 1b DRAW'!AI36+'Phase 2a Draw'!AI36+'Phase 1a Financial DRAW'!AI36</f>
        <v>0</v>
      </c>
      <c r="AJ4" s="469">
        <f>'Phase 2b Draw'!AJ36+'Phase 3 Draw'!AJ36+'Phase 1b DRAW'!AJ36+'Phase 2a Draw'!AJ36+'Phase 1a Financial DRAW'!AJ36</f>
        <v>0</v>
      </c>
      <c r="AK4" s="469">
        <f>'Phase 2b Draw'!AK36+'Phase 3 Draw'!AK36+'Phase 1b DRAW'!AK36+'Phase 2a Draw'!AK36+'Phase 1a Financial DRAW'!AK36</f>
        <v>0</v>
      </c>
      <c r="AL4" s="469">
        <f>'Phase 2b Draw'!AL36+'Phase 3 Draw'!AL36+'Phase 1b DRAW'!AL36+'Phase 2a Draw'!AL36+'Phase 1a Financial DRAW'!AL36</f>
        <v>0</v>
      </c>
      <c r="AM4" s="469">
        <f>'Phase 2b Draw'!AM36+'Phase 3 Draw'!AM36+'Phase 1b DRAW'!AM36+'Phase 2a Draw'!AM36+'Phase 1a Financial DRAW'!AM36</f>
        <v>28678800</v>
      </c>
      <c r="AN4" s="469">
        <f>'Phase 2b Draw'!AN36+'Phase 3 Draw'!AN36+'Phase 1b DRAW'!AN36+'Phase 2a Draw'!AN36+'Phase 1a Financial DRAW'!AN36</f>
        <v>0</v>
      </c>
      <c r="AO4" s="469">
        <f>'Phase 2b Draw'!AO36+'Phase 3 Draw'!AO36+'Phase 1b DRAW'!AO36+'Phase 2a Draw'!AO36+'Phase 1a Financial DRAW'!AO36</f>
        <v>0</v>
      </c>
      <c r="AP4" s="469">
        <f>'Phase 2b Draw'!AP36+'Phase 3 Draw'!AP36+'Phase 1b DRAW'!AP36+'Phase 2a Draw'!AP36+'Phase 1a Financial DRAW'!AP36</f>
        <v>0</v>
      </c>
      <c r="AQ4" s="469">
        <f>'Phase 2b Draw'!AQ36+'Phase 3 Draw'!AQ36+'Phase 1b DRAW'!AQ36+'Phase 2a Draw'!AQ36+'Phase 1a Financial DRAW'!AQ36</f>
        <v>0</v>
      </c>
      <c r="AR4" s="469">
        <f>'Phase 2b Draw'!AR36+'Phase 3 Draw'!AR36+'Phase 1b DRAW'!AR36+'Phase 2a Draw'!AR36+'Phase 1a Financial DRAW'!AR36</f>
        <v>0</v>
      </c>
      <c r="AS4" s="469">
        <f>'Phase 2b Draw'!AS36+'Phase 3 Draw'!AS36+'Phase 1b DRAW'!AS36+'Phase 2a Draw'!AS36+'Phase 1a Financial DRAW'!AS36</f>
        <v>0</v>
      </c>
      <c r="AT4" s="469">
        <f>'Phase 2b Draw'!AT36+'Phase 3 Draw'!AT36+'Phase 1b DRAW'!AT36+'Phase 2a Draw'!AT36+'Phase 1a Financial DRAW'!AT36</f>
        <v>0</v>
      </c>
      <c r="AU4" s="469">
        <f>'Phase 2b Draw'!AU36+'Phase 3 Draw'!AU36+'Phase 1b DRAW'!AU36+'Phase 2a Draw'!AU36+'Phase 1a Financial DRAW'!AU36</f>
        <v>0</v>
      </c>
      <c r="AV4" s="469"/>
    </row>
    <row r="5" spans="1:48">
      <c r="A5" s="477" t="s">
        <v>326</v>
      </c>
      <c r="B5" s="582">
        <f>IF(B4&lt;0,0,IRR(C4:AU4))</f>
        <v>6.315794075103276E-2</v>
      </c>
      <c r="C5" s="503"/>
      <c r="D5" s="503"/>
      <c r="E5" s="503"/>
      <c r="F5" s="503"/>
      <c r="G5" s="503"/>
      <c r="H5" s="503"/>
      <c r="I5" s="503"/>
      <c r="J5" s="503"/>
      <c r="K5" s="503"/>
      <c r="L5" s="503"/>
      <c r="M5" s="503"/>
      <c r="N5" s="503"/>
      <c r="O5" s="503"/>
      <c r="P5" s="503"/>
      <c r="Q5" s="503"/>
      <c r="R5" s="503"/>
      <c r="S5" s="503"/>
      <c r="T5" s="503"/>
      <c r="U5" s="503"/>
      <c r="V5" s="503"/>
      <c r="W5" s="503"/>
      <c r="X5" s="503"/>
      <c r="Y5" s="503"/>
      <c r="Z5" s="503"/>
      <c r="AA5" s="503"/>
      <c r="AB5" s="503"/>
      <c r="AC5" s="503"/>
      <c r="AD5" s="503"/>
      <c r="AE5" s="503"/>
      <c r="AF5" s="503"/>
      <c r="AG5" s="503"/>
      <c r="AH5" s="503"/>
      <c r="AI5" s="503"/>
      <c r="AJ5" s="503"/>
      <c r="AK5" s="503"/>
      <c r="AL5" s="503"/>
      <c r="AM5" s="503"/>
      <c r="AN5" s="503"/>
      <c r="AO5" s="503"/>
      <c r="AP5" s="503"/>
      <c r="AQ5" s="503"/>
      <c r="AR5" s="503"/>
      <c r="AS5" s="503"/>
      <c r="AT5" s="503"/>
      <c r="AU5" s="503"/>
      <c r="AV5" s="504"/>
    </row>
    <row r="6" spans="1:48">
      <c r="A6" s="477" t="s">
        <v>303</v>
      </c>
      <c r="B6" s="584">
        <f>POWER((1+B5),4)-1</f>
        <v>0.27758895668656325</v>
      </c>
      <c r="C6" s="497"/>
      <c r="D6" s="497"/>
      <c r="E6" s="497"/>
      <c r="F6" s="497"/>
      <c r="G6" s="497"/>
      <c r="H6" s="497"/>
      <c r="I6" s="497"/>
      <c r="J6" s="497"/>
      <c r="K6" s="497"/>
      <c r="L6" s="497"/>
      <c r="M6" s="497"/>
      <c r="N6" s="497"/>
      <c r="O6" s="497"/>
      <c r="P6" s="497"/>
      <c r="Q6" s="497"/>
      <c r="R6" s="497"/>
      <c r="S6" s="497"/>
      <c r="T6" s="497"/>
      <c r="U6" s="497"/>
      <c r="V6" s="497"/>
      <c r="W6" s="497"/>
      <c r="X6" s="497"/>
      <c r="Y6" s="497"/>
      <c r="Z6" s="497"/>
      <c r="AA6" s="497"/>
      <c r="AB6" s="497"/>
      <c r="AC6" s="497"/>
      <c r="AD6" s="497"/>
      <c r="AE6" s="497"/>
      <c r="AF6" s="497"/>
      <c r="AG6" s="497"/>
      <c r="AH6" s="497"/>
      <c r="AI6" s="497"/>
      <c r="AJ6" s="497"/>
      <c r="AK6" s="497"/>
      <c r="AL6" s="497"/>
      <c r="AM6" s="497"/>
      <c r="AN6" s="497"/>
      <c r="AO6" s="497"/>
      <c r="AP6" s="497"/>
      <c r="AQ6" s="497"/>
      <c r="AR6" s="497"/>
      <c r="AS6" s="497"/>
      <c r="AT6" s="497"/>
      <c r="AU6" s="497"/>
      <c r="AV6" s="508"/>
    </row>
    <row r="7" spans="1:48">
      <c r="A7" s="497"/>
      <c r="B7" s="618"/>
      <c r="C7" s="497"/>
      <c r="D7" s="497"/>
      <c r="E7" s="497"/>
      <c r="F7" s="497"/>
      <c r="G7" s="497"/>
      <c r="H7" s="497"/>
      <c r="I7" s="497"/>
      <c r="J7" s="497"/>
      <c r="K7" s="497"/>
      <c r="L7" s="497"/>
      <c r="M7" s="497"/>
      <c r="N7" s="497"/>
      <c r="O7" s="497"/>
      <c r="P7" s="497"/>
      <c r="Q7" s="497"/>
      <c r="R7" s="497"/>
      <c r="S7" s="497"/>
      <c r="T7" s="497"/>
      <c r="U7" s="497"/>
      <c r="V7" s="497"/>
      <c r="W7" s="497"/>
      <c r="X7" s="497"/>
      <c r="Y7" s="497"/>
      <c r="Z7" s="497"/>
      <c r="AA7" s="497"/>
      <c r="AB7" s="497"/>
      <c r="AC7" s="497"/>
      <c r="AD7" s="497"/>
      <c r="AE7" s="497"/>
      <c r="AF7" s="497"/>
      <c r="AG7" s="497"/>
      <c r="AH7" s="497"/>
      <c r="AI7" s="497"/>
      <c r="AJ7" s="497"/>
      <c r="AK7" s="497"/>
      <c r="AL7" s="497"/>
      <c r="AM7" s="497"/>
      <c r="AN7" s="497"/>
      <c r="AO7" s="497"/>
      <c r="AP7" s="497"/>
      <c r="AQ7" s="497"/>
      <c r="AR7" s="497"/>
      <c r="AS7" s="497"/>
      <c r="AT7" s="497"/>
      <c r="AU7" s="497"/>
      <c r="AV7" s="508"/>
    </row>
    <row r="8" spans="1:48">
      <c r="A8" s="477" t="s">
        <v>341</v>
      </c>
      <c r="B8" s="469">
        <f>SUM(C8:AU8)</f>
        <v>269172823.17095953</v>
      </c>
      <c r="C8" s="469">
        <f>'Phase 2b Draw'!C41+'Phase 3 Draw'!C41+'Phase 1b DRAW'!C41+'Phase 2a Draw'!C41+'Phase 1a Financial DRAW'!C41</f>
        <v>0</v>
      </c>
      <c r="D8" s="469">
        <f>'Phase 2b Draw'!D41+'Phase 3 Draw'!D41+'Phase 1b DRAW'!D41+'Phase 2a Draw'!D41+'Phase 1a Financial DRAW'!D41</f>
        <v>0</v>
      </c>
      <c r="E8" s="469">
        <f>'Phase 2b Draw'!E41+'Phase 3 Draw'!E41+'Phase 1b DRAW'!E41+'Phase 2a Draw'!E41+'Phase 1a Financial DRAW'!E41</f>
        <v>-10273748.440000001</v>
      </c>
      <c r="F8" s="469">
        <f>'Phase 2b Draw'!F41+'Phase 3 Draw'!F41+'Phase 1b DRAW'!F41+'Phase 2a Draw'!F41+'Phase 1a Financial DRAW'!F41</f>
        <v>-9873748.4400000013</v>
      </c>
      <c r="G8" s="469">
        <f>'Phase 2b Draw'!G41+'Phase 3 Draw'!G41+'Phase 1b DRAW'!G41+'Phase 2a Draw'!G41+'Phase 1a Financial DRAW'!G41</f>
        <v>-6797068.4800000004</v>
      </c>
      <c r="H8" s="469">
        <f>'Phase 2b Draw'!H41+'Phase 3 Draw'!H41+'Phase 1b DRAW'!H41+'Phase 2a Draw'!H41+'Phase 1a Financial DRAW'!H41</f>
        <v>-2895131.9800000004</v>
      </c>
      <c r="I8" s="469">
        <f>'Phase 2b Draw'!I41+'Phase 3 Draw'!I41+'Phase 1b DRAW'!I41+'Phase 2a Draw'!I41+'Phase 1a Financial DRAW'!I41</f>
        <v>-67197045.940014124</v>
      </c>
      <c r="J8" s="469">
        <f>'Phase 2b Draw'!J41+'Phase 3 Draw'!J41+'Phase 1b DRAW'!J41+'Phase 2a Draw'!J41+'Phase 1a Financial DRAW'!J41</f>
        <v>-39540969.953983337</v>
      </c>
      <c r="K8" s="469">
        <f>'Phase 2b Draw'!K41+'Phase 3 Draw'!K41+'Phase 1b DRAW'!K41+'Phase 2a Draw'!K41+'Phase 1a Financial DRAW'!K41</f>
        <v>-54013649.813983336</v>
      </c>
      <c r="L8" s="469">
        <f>'Phase 2b Draw'!L41+'Phase 3 Draw'!L41+'Phase 1b DRAW'!L41+'Phase 2a Draw'!L41+'Phase 1a Financial DRAW'!L41</f>
        <v>-57095269.813983336</v>
      </c>
      <c r="M8" s="469">
        <f>'Phase 2b Draw'!M41+'Phase 3 Draw'!M41+'Phase 1b DRAW'!M41+'Phase 2a Draw'!M41+'Phase 1a Financial DRAW'!M41</f>
        <v>-89725406.948633328</v>
      </c>
      <c r="N8" s="469">
        <f>'Phase 2b Draw'!N41+'Phase 3 Draw'!N41+'Phase 1b DRAW'!N41+'Phase 2a Draw'!N41+'Phase 1a Financial DRAW'!N41</f>
        <v>-91550997.835107177</v>
      </c>
      <c r="O8" s="469">
        <f>'Phase 2b Draw'!O41+'Phase 3 Draw'!O41+'Phase 1b DRAW'!O41+'Phase 2a Draw'!O41+'Phase 1a Financial DRAW'!O41</f>
        <v>-100757118.77710718</v>
      </c>
      <c r="P8" s="469">
        <f>'Phase 2b Draw'!P41+'Phase 3 Draw'!P41+'Phase 1b DRAW'!P41+'Phase 2a Draw'!P41+'Phase 1a Financial DRAW'!P41</f>
        <v>-94031962.591107175</v>
      </c>
      <c r="Q8" s="469">
        <f>'Phase 2b Draw'!Q41+'Phase 3 Draw'!Q41+'Phase 1b DRAW'!Q41+'Phase 2a Draw'!Q41+'Phase 1a Financial DRAW'!Q41</f>
        <v>-133572541.41599847</v>
      </c>
      <c r="R8" s="469">
        <f>'Phase 2b Draw'!R41+'Phase 3 Draw'!R41+'Phase 1b DRAW'!R41+'Phase 2a Draw'!R41+'Phase 1a Financial DRAW'!R41</f>
        <v>-133656696.1736477</v>
      </c>
      <c r="S8" s="469">
        <f>'Phase 2b Draw'!S41+'Phase 3 Draw'!S41+'Phase 1b DRAW'!S41+'Phase 2a Draw'!S41+'Phase 1a Financial DRAW'!S41</f>
        <v>489760969.29473436</v>
      </c>
      <c r="T8" s="469">
        <f>'Phase 2b Draw'!T41+'Phase 3 Draw'!T41+'Phase 1b DRAW'!T41+'Phase 2a Draw'!T41+'Phase 1a Financial DRAW'!T41</f>
        <v>-125666180.38646814</v>
      </c>
      <c r="U8" s="469">
        <f>'Phase 2b Draw'!U41+'Phase 3 Draw'!U41+'Phase 1b DRAW'!U41+'Phase 2a Draw'!U41+'Phase 1a Financial DRAW'!U41</f>
        <v>-72959834.879455686</v>
      </c>
      <c r="V8" s="469">
        <f>'Phase 2b Draw'!V41+'Phase 3 Draw'!V41+'Phase 1b DRAW'!V41+'Phase 2a Draw'!V41+'Phase 1a Financial DRAW'!V41</f>
        <v>186975085.57260001</v>
      </c>
      <c r="W8" s="469">
        <f>'Phase 2b Draw'!W41+'Phase 3 Draw'!W41+'Phase 1b DRAW'!W41+'Phase 2a Draw'!W41+'Phase 1a Financial DRAW'!W41</f>
        <v>-62200646.427399993</v>
      </c>
      <c r="X8" s="469">
        <f>'Phase 2b Draw'!X41+'Phase 3 Draw'!X41+'Phase 1b DRAW'!X41+'Phase 2a Draw'!X41+'Phase 1a Financial DRAW'!X41</f>
        <v>805257054.59879994</v>
      </c>
      <c r="Y8" s="469">
        <f>'Phase 2b Draw'!Y41+'Phase 3 Draw'!Y41+'Phase 1b DRAW'!Y41+'Phase 2a Draw'!Y41+'Phase 1a Financial DRAW'!Y41</f>
        <v>-29290352</v>
      </c>
      <c r="Z8" s="469">
        <f>'Phase 2b Draw'!Z41+'Phase 3 Draw'!Z41+'Phase 1b DRAW'!Z41+'Phase 2a Draw'!Z41+'Phase 1a Financial DRAW'!Z41</f>
        <v>-32899629.333333332</v>
      </c>
      <c r="AA8" s="469">
        <f>'Phase 2b Draw'!AA41+'Phase 3 Draw'!AA41+'Phase 1b DRAW'!AA41+'Phase 2a Draw'!AA41+'Phase 1a Financial DRAW'!AA41</f>
        <v>-32959629.333333332</v>
      </c>
      <c r="AB8" s="469">
        <f>'Phase 2b Draw'!AB41+'Phase 3 Draw'!AB41+'Phase 1b DRAW'!AB41+'Phase 2a Draw'!AB41+'Phase 1a Financial DRAW'!AB41</f>
        <v>-34004719.561333328</v>
      </c>
      <c r="AC8" s="469">
        <f>'Phase 2b Draw'!AC41+'Phase 3 Draw'!AC41+'Phase 1b DRAW'!AC41+'Phase 2a Draw'!AC41+'Phase 1a Financial DRAW'!AC41</f>
        <v>-13489665.728</v>
      </c>
      <c r="AD8" s="469">
        <f>'Phase 2b Draw'!AD41+'Phase 3 Draw'!AD41+'Phase 1b DRAW'!AD41+'Phase 2a Draw'!AD41+'Phase 1a Financial DRAW'!AD41</f>
        <v>-13651851.304</v>
      </c>
      <c r="AE8" s="469">
        <f>'Phase 2b Draw'!AE41+'Phase 3 Draw'!AE41+'Phase 1b DRAW'!AE41+'Phase 2a Draw'!AE41+'Phase 1a Financial DRAW'!AE41</f>
        <v>-13651851.304</v>
      </c>
      <c r="AF8" s="469">
        <f>'Phase 2b Draw'!AF41+'Phase 3 Draw'!AF41+'Phase 1b DRAW'!AF41+'Phase 2a Draw'!AF41+'Phase 1a Financial DRAW'!AF41</f>
        <v>-13776851.304</v>
      </c>
      <c r="AG8" s="469">
        <f>'Phase 2b Draw'!AG41+'Phase 3 Draw'!AG41+'Phase 1b DRAW'!AG41+'Phase 2a Draw'!AG41+'Phase 1a Financial DRAW'!AG41</f>
        <v>-13776851.304</v>
      </c>
      <c r="AH8" s="469">
        <f>'Phase 2b Draw'!AH41+'Phase 3 Draw'!AH41+'Phase 1b DRAW'!AH41+'Phase 2a Draw'!AH41+'Phase 1a Financial DRAW'!AH41</f>
        <v>-14203740.304</v>
      </c>
      <c r="AI8" s="469">
        <f>'Phase 2b Draw'!AI41+'Phase 3 Draw'!AI41+'Phase 1b DRAW'!AI41+'Phase 2a Draw'!AI41+'Phase 1a Financial DRAW'!AI41</f>
        <v>-14203740.304</v>
      </c>
      <c r="AJ8" s="469">
        <f>'Phase 2b Draw'!AJ41+'Phase 3 Draw'!AJ41+'Phase 1b DRAW'!AJ41+'Phase 2a Draw'!AJ41+'Phase 1a Financial DRAW'!AJ41</f>
        <v>196792481.71742857</v>
      </c>
      <c r="AK8" s="469">
        <f>'Phase 2b Draw'!AK41+'Phase 3 Draw'!AK41+'Phase 1b DRAW'!AK41+'Phase 2a Draw'!AK41+'Phase 1a Financial DRAW'!AK41</f>
        <v>-1072355.9785714285</v>
      </c>
      <c r="AL8" s="469">
        <f>'Phase 2b Draw'!AL41+'Phase 3 Draw'!AL41+'Phase 1b DRAW'!AL41+'Phase 2a Draw'!AL41+'Phase 1a Financial DRAW'!AL41</f>
        <v>-1072355.9785714285</v>
      </c>
      <c r="AM8" s="469">
        <f>'Phase 2b Draw'!AM41+'Phase 3 Draw'!AM41+'Phase 1b DRAW'!AM41+'Phase 2a Draw'!AM41+'Phase 1a Financial DRAW'!AM41</f>
        <v>-29751155.97857143</v>
      </c>
      <c r="AN8" s="469">
        <f>'Phase 2b Draw'!AN41+'Phase 3 Draw'!AN41+'Phase 1b DRAW'!AN41+'Phase 2a Draw'!AN41+'Phase 1a Financial DRAW'!AN41</f>
        <v>0</v>
      </c>
      <c r="AO8" s="469">
        <f>'Phase 2b Draw'!AO41+'Phase 3 Draw'!AO41+'Phase 1b DRAW'!AO41+'Phase 2a Draw'!AO41+'Phase 1a Financial DRAW'!AO41</f>
        <v>0</v>
      </c>
      <c r="AP8" s="469">
        <f>'Phase 2b Draw'!AP41+'Phase 3 Draw'!AP41+'Phase 1b DRAW'!AP41+'Phase 2a Draw'!AP41+'Phase 1a Financial DRAW'!AP41</f>
        <v>0</v>
      </c>
      <c r="AQ8" s="469">
        <f>'Phase 2b Draw'!AQ41+'Phase 3 Draw'!AQ41+'Phase 1b DRAW'!AQ41+'Phase 2a Draw'!AQ41+'Phase 1a Financial DRAW'!AQ41</f>
        <v>0</v>
      </c>
      <c r="AR8" s="469">
        <f>'Phase 2b Draw'!AR41+'Phase 3 Draw'!AR41+'Phase 1b DRAW'!AR41+'Phase 2a Draw'!AR41+'Phase 1a Financial DRAW'!AR41</f>
        <v>0</v>
      </c>
      <c r="AS8" s="469">
        <f>'Phase 2b Draw'!AS41+'Phase 3 Draw'!AS41+'Phase 1b DRAW'!AS41+'Phase 2a Draw'!AS41+'Phase 1a Financial DRAW'!AS41</f>
        <v>0</v>
      </c>
      <c r="AT8" s="469">
        <f>'Phase 2b Draw'!AT41+'Phase 3 Draw'!AT41+'Phase 1b DRAW'!AT41+'Phase 2a Draw'!AT41+'Phase 1a Financial DRAW'!AT41</f>
        <v>0</v>
      </c>
      <c r="AU8" s="469">
        <f>'Phase 2b Draw'!AU41+'Phase 3 Draw'!AU41+'Phase 1b DRAW'!AU41+'Phase 2a Draw'!AU41+'Phase 1a Financial DRAW'!AU41</f>
        <v>0</v>
      </c>
      <c r="AV8" s="477"/>
    </row>
    <row r="9" spans="1:48">
      <c r="A9" s="477" t="s">
        <v>342</v>
      </c>
      <c r="B9" s="582">
        <f>IF(B8&lt;0,0,IRR(C8:AU8))</f>
        <v>3.0977529216188238E-2</v>
      </c>
      <c r="C9" s="491"/>
      <c r="D9" s="497"/>
      <c r="E9" s="497"/>
      <c r="F9" s="497"/>
      <c r="G9" s="497"/>
      <c r="H9" s="497"/>
      <c r="I9" s="497"/>
      <c r="J9" s="497"/>
      <c r="K9" s="497"/>
      <c r="L9" s="497"/>
      <c r="M9" s="491"/>
      <c r="N9" s="497"/>
      <c r="O9" s="497"/>
      <c r="P9" s="497"/>
      <c r="Q9" s="497"/>
      <c r="R9" s="497"/>
      <c r="S9" s="491"/>
      <c r="T9" s="497"/>
      <c r="U9" s="497"/>
      <c r="V9" s="497"/>
      <c r="W9" s="497"/>
      <c r="X9" s="497"/>
      <c r="Y9" s="497"/>
      <c r="Z9" s="497"/>
      <c r="AA9" s="497"/>
      <c r="AB9" s="497"/>
      <c r="AC9" s="497"/>
      <c r="AD9" s="497"/>
      <c r="AE9" s="497"/>
      <c r="AF9" s="497"/>
      <c r="AG9" s="497"/>
      <c r="AH9" s="497"/>
      <c r="AI9" s="497"/>
      <c r="AJ9" s="497"/>
      <c r="AK9" s="497"/>
      <c r="AL9" s="497"/>
      <c r="AM9" s="497"/>
      <c r="AN9" s="497"/>
      <c r="AO9" s="497"/>
      <c r="AP9" s="497"/>
      <c r="AQ9" s="497"/>
      <c r="AR9" s="497"/>
      <c r="AS9" s="497"/>
      <c r="AT9" s="497"/>
      <c r="AU9" s="497"/>
      <c r="AV9" s="477"/>
    </row>
    <row r="10" spans="1:48">
      <c r="A10" s="477" t="s">
        <v>308</v>
      </c>
      <c r="B10" s="584">
        <f>POWER((1+B9),4)-1</f>
        <v>0.12978758666370527</v>
      </c>
      <c r="C10" s="497"/>
      <c r="D10" s="497"/>
      <c r="E10" s="497"/>
      <c r="F10" s="497"/>
      <c r="G10" s="497"/>
      <c r="H10" s="497"/>
      <c r="I10" s="497"/>
      <c r="J10" s="497"/>
      <c r="K10" s="497"/>
      <c r="L10" s="497"/>
      <c r="M10" s="491"/>
      <c r="N10" s="497"/>
      <c r="O10" s="497"/>
      <c r="P10" s="497"/>
      <c r="Q10" s="497"/>
      <c r="R10" s="497"/>
      <c r="S10" s="491"/>
      <c r="T10" s="497"/>
      <c r="U10" s="497"/>
      <c r="V10" s="497"/>
      <c r="W10" s="497"/>
      <c r="X10" s="497"/>
      <c r="Y10" s="497"/>
      <c r="Z10" s="497"/>
      <c r="AA10" s="497"/>
      <c r="AB10" s="497"/>
      <c r="AC10" s="497"/>
      <c r="AD10" s="497"/>
      <c r="AE10" s="497"/>
      <c r="AF10" s="497"/>
      <c r="AG10" s="497"/>
      <c r="AH10" s="497"/>
      <c r="AI10" s="497"/>
      <c r="AJ10" s="497"/>
      <c r="AK10" s="497"/>
      <c r="AL10" s="497"/>
      <c r="AM10" s="497"/>
      <c r="AN10" s="497"/>
      <c r="AO10" s="497"/>
      <c r="AP10" s="497"/>
      <c r="AQ10" s="497"/>
      <c r="AR10" s="497"/>
      <c r="AS10" s="497"/>
      <c r="AT10" s="497"/>
      <c r="AU10" s="497"/>
      <c r="AV10" s="477"/>
    </row>
    <row r="11" spans="1:48">
      <c r="G11" s="37"/>
      <c r="AB11" s="37"/>
      <c r="AE11" s="37"/>
      <c r="AI11" s="37"/>
    </row>
    <row r="12" spans="1:48">
      <c r="G12" s="37"/>
      <c r="AB12" s="37"/>
      <c r="AE12" s="37"/>
      <c r="AI12" s="37"/>
    </row>
    <row r="13" spans="1:48">
      <c r="G13" s="37"/>
      <c r="AB13" s="37"/>
      <c r="AE13" s="37"/>
      <c r="AI13" s="37"/>
    </row>
    <row r="14" spans="1:48">
      <c r="G14" s="37"/>
      <c r="AB14" s="37"/>
      <c r="AE14" s="37"/>
      <c r="AI14" s="37"/>
    </row>
    <row r="15" spans="1:48">
      <c r="G15" s="37"/>
      <c r="AB15" s="37"/>
      <c r="AE15" s="37"/>
      <c r="AI15" s="37"/>
    </row>
    <row r="16" spans="1:48">
      <c r="A16" s="1426" t="s">
        <v>556</v>
      </c>
      <c r="G16" s="37"/>
      <c r="AB16"/>
      <c r="AC16"/>
      <c r="AD16"/>
      <c r="AE16"/>
      <c r="AI16" s="37"/>
    </row>
    <row r="17" spans="1:48">
      <c r="A17" s="1426"/>
      <c r="G17" s="37"/>
      <c r="AB17"/>
      <c r="AC17"/>
      <c r="AD17"/>
      <c r="AE17"/>
      <c r="AI17" s="37"/>
      <c r="AV17" s="170" t="s">
        <v>155</v>
      </c>
    </row>
    <row r="18" spans="1:48" ht="14.65" thickBot="1">
      <c r="A18" s="1459"/>
      <c r="B18" s="569" t="s">
        <v>340</v>
      </c>
      <c r="C18" s="617">
        <v>45292</v>
      </c>
      <c r="D18" s="289">
        <f>EOMONTH(C18,3)</f>
        <v>45412</v>
      </c>
      <c r="E18" s="289">
        <f t="shared" ref="E18" si="1">EOMONTH(D18,3)</f>
        <v>45504</v>
      </c>
      <c r="F18" s="289">
        <f t="shared" ref="F18" si="2">EOMONTH(E18,3)</f>
        <v>45596</v>
      </c>
      <c r="G18" s="289">
        <f t="shared" ref="G18" si="3">EOMONTH(F18,3)</f>
        <v>45688</v>
      </c>
      <c r="H18" s="289">
        <f t="shared" ref="H18" si="4">EOMONTH(G18,3)</f>
        <v>45777</v>
      </c>
      <c r="I18" s="289">
        <f t="shared" ref="I18" si="5">EOMONTH(H18,3)</f>
        <v>45869</v>
      </c>
      <c r="J18" s="289">
        <f t="shared" ref="J18" si="6">EOMONTH(I18,3)</f>
        <v>45961</v>
      </c>
      <c r="K18" s="289">
        <f t="shared" ref="K18" si="7">EOMONTH(J18,3)</f>
        <v>46053</v>
      </c>
      <c r="L18" s="289">
        <f t="shared" ref="L18" si="8">EOMONTH(K18,3)</f>
        <v>46142</v>
      </c>
      <c r="M18" s="289">
        <f t="shared" ref="M18" si="9">EOMONTH(L18,3)</f>
        <v>46234</v>
      </c>
      <c r="N18" s="289">
        <f t="shared" ref="N18" si="10">EOMONTH(M18,3)</f>
        <v>46326</v>
      </c>
      <c r="O18" s="289">
        <f t="shared" ref="O18" si="11">EOMONTH(N18,3)</f>
        <v>46418</v>
      </c>
      <c r="P18" s="289">
        <f t="shared" ref="P18" si="12">EOMONTH(O18,3)</f>
        <v>46507</v>
      </c>
      <c r="Q18" s="289">
        <f t="shared" ref="Q18" si="13">EOMONTH(P18,3)</f>
        <v>46599</v>
      </c>
      <c r="R18" s="289">
        <f t="shared" ref="R18" si="14">EOMONTH(Q18,3)</f>
        <v>46691</v>
      </c>
      <c r="S18" s="289">
        <f t="shared" ref="S18" si="15">EOMONTH(R18,3)</f>
        <v>46783</v>
      </c>
      <c r="T18" s="289">
        <f t="shared" ref="T18" si="16">EOMONTH(S18,3)</f>
        <v>46873</v>
      </c>
      <c r="U18" s="289">
        <f t="shared" ref="U18" si="17">EOMONTH(T18,3)</f>
        <v>46965</v>
      </c>
      <c r="V18" s="289">
        <f t="shared" ref="V18" si="18">EOMONTH(U18,3)</f>
        <v>47057</v>
      </c>
      <c r="W18" s="289">
        <f t="shared" ref="W18" si="19">EOMONTH(V18,3)</f>
        <v>47149</v>
      </c>
      <c r="X18" s="289">
        <f t="shared" ref="X18" si="20">EOMONTH(W18,3)</f>
        <v>47238</v>
      </c>
      <c r="Y18" s="289">
        <f t="shared" ref="Y18" si="21">EOMONTH(X18,3)</f>
        <v>47330</v>
      </c>
      <c r="Z18" s="289">
        <f t="shared" ref="Z18" si="22">EOMONTH(Y18,3)</f>
        <v>47422</v>
      </c>
      <c r="AA18" s="289">
        <f t="shared" ref="AA18" si="23">EOMONTH(Z18,3)</f>
        <v>47514</v>
      </c>
      <c r="AB18" s="289">
        <f t="shared" ref="AB18" si="24">EOMONTH(AA18,3)</f>
        <v>47603</v>
      </c>
      <c r="AC18" s="289">
        <f t="shared" ref="AC18" si="25">EOMONTH(AB18,3)</f>
        <v>47695</v>
      </c>
      <c r="AD18" s="289">
        <f t="shared" ref="AD18" si="26">EOMONTH(AC18,3)</f>
        <v>47787</v>
      </c>
      <c r="AE18" s="289">
        <f t="shared" ref="AE18" si="27">EOMONTH(AD18,3)</f>
        <v>47879</v>
      </c>
      <c r="AF18" s="289">
        <f t="shared" ref="AF18" si="28">EOMONTH(AE18,3)</f>
        <v>47968</v>
      </c>
      <c r="AG18" s="289">
        <f t="shared" ref="AG18" si="29">EOMONTH(AF18,3)</f>
        <v>48060</v>
      </c>
      <c r="AH18" s="289">
        <f t="shared" ref="AH18" si="30">EOMONTH(AG18,3)</f>
        <v>48152</v>
      </c>
      <c r="AI18" s="289">
        <f t="shared" ref="AI18" si="31">EOMONTH(AH18,3)</f>
        <v>48244</v>
      </c>
      <c r="AJ18" s="289">
        <f t="shared" ref="AJ18" si="32">EOMONTH(AI18,3)</f>
        <v>48334</v>
      </c>
      <c r="AK18" s="289">
        <f t="shared" ref="AK18" si="33">EOMONTH(AJ18,3)</f>
        <v>48426</v>
      </c>
      <c r="AL18" s="289">
        <f t="shared" ref="AL18" si="34">EOMONTH(AK18,3)</f>
        <v>48518</v>
      </c>
      <c r="AM18" s="289">
        <f t="shared" ref="AM18" si="35">EOMONTH(AL18,3)</f>
        <v>48610</v>
      </c>
      <c r="AN18" s="289">
        <f>EOMONTH(AM18,3)</f>
        <v>48699</v>
      </c>
      <c r="AO18" s="289">
        <f t="shared" ref="AO18" si="36">EOMONTH(AN18,3)</f>
        <v>48791</v>
      </c>
      <c r="AP18" s="289">
        <f t="shared" ref="AP18" si="37">EOMONTH(AO18,3)</f>
        <v>48883</v>
      </c>
      <c r="AQ18" s="289">
        <f t="shared" ref="AQ18" si="38">EOMONTH(AP18,3)</f>
        <v>48975</v>
      </c>
      <c r="AR18" s="289">
        <f t="shared" ref="AR18" si="39">EOMONTH(AQ18,3)</f>
        <v>49064</v>
      </c>
      <c r="AS18" s="289">
        <f t="shared" ref="AS18" si="40">EOMONTH(AR18,3)</f>
        <v>49156</v>
      </c>
      <c r="AT18" s="289">
        <f t="shared" ref="AT18" si="41">EOMONTH(AS18,3)</f>
        <v>49248</v>
      </c>
      <c r="AU18" s="289">
        <f t="shared" ref="AU18" si="42">EOMONTH(AT18,3)</f>
        <v>49340</v>
      </c>
      <c r="AV18" s="460"/>
    </row>
    <row r="19" spans="1:48">
      <c r="A19" s="487" t="s">
        <v>301</v>
      </c>
      <c r="B19" s="469">
        <f>SUM(C19:AU19)</f>
        <v>244479510.11007571</v>
      </c>
      <c r="C19" s="469">
        <f>'Phase 1b DRAW'!C36+'Phase 1a Financial DRAW'!C36</f>
        <v>0</v>
      </c>
      <c r="D19" s="469">
        <f>'Phase 1b DRAW'!D36+'Phase 1a Financial DRAW'!D36</f>
        <v>0</v>
      </c>
      <c r="E19" s="469">
        <f>'Phase 1b DRAW'!E36+'Phase 1a Financial DRAW'!E36</f>
        <v>-10273748.440000001</v>
      </c>
      <c r="F19" s="469">
        <f>'Phase 1b DRAW'!F36+'Phase 1a Financial DRAW'!F36</f>
        <v>-9873748.4400000013</v>
      </c>
      <c r="G19" s="469">
        <f>'Phase 1b DRAW'!G36+'Phase 1a Financial DRAW'!G36</f>
        <v>-5297068.4800000004</v>
      </c>
      <c r="H19" s="469">
        <f>'Phase 1b DRAW'!H36+'Phase 1a Financial DRAW'!H36</f>
        <v>-2585266.4800000004</v>
      </c>
      <c r="I19" s="469">
        <f>'Phase 1b DRAW'!I36+'Phase 1a Financial DRAW'!I36</f>
        <v>-66867180.440014124</v>
      </c>
      <c r="J19" s="469">
        <f>'Phase 1b DRAW'!J36+'Phase 1a Financial DRAW'!J36</f>
        <v>-39211104.453983337</v>
      </c>
      <c r="K19" s="469">
        <f>'Phase 1b DRAW'!K36+'Phase 1a Financial DRAW'!K36</f>
        <v>-39111104.453983337</v>
      </c>
      <c r="L19" s="469">
        <f>'Phase 1b DRAW'!L36+'Phase 1a Financial DRAW'!L36</f>
        <v>-48614104.453983337</v>
      </c>
      <c r="M19" s="469">
        <f>'Phase 1b DRAW'!M36+'Phase 1a Financial DRAW'!M36</f>
        <v>-86007570.828633338</v>
      </c>
      <c r="N19" s="469">
        <f>'Phase 1b DRAW'!N36+'Phase 1a Financial DRAW'!N36</f>
        <v>-48085362.419326812</v>
      </c>
      <c r="O19" s="469">
        <f>'Phase 1b DRAW'!O36+'Phase 1a Financial DRAW'!O36</f>
        <v>0</v>
      </c>
      <c r="P19" s="469">
        <f>'Phase 1b DRAW'!P36+'Phase 1a Financial DRAW'!P36</f>
        <v>0</v>
      </c>
      <c r="Q19" s="469">
        <f>'Phase 1b DRAW'!Q36+'Phase 1a Financial DRAW'!Q36</f>
        <v>0</v>
      </c>
      <c r="R19" s="469">
        <f>'Phase 1b DRAW'!R36+'Phase 1a Financial DRAW'!R36</f>
        <v>0</v>
      </c>
      <c r="S19" s="469">
        <f>'Phase 1b DRAW'!S36+'Phase 1a Financial DRAW'!S36</f>
        <v>476763400</v>
      </c>
      <c r="T19" s="469">
        <f>'Phase 1b DRAW'!T36+'Phase 1a Financial DRAW'!T36</f>
        <v>0</v>
      </c>
      <c r="U19" s="469">
        <f>'Phase 1b DRAW'!U36+'Phase 1a Financial DRAW'!U36</f>
        <v>0</v>
      </c>
      <c r="V19" s="469">
        <f>'Phase 1b DRAW'!V36+'Phase 1a Financial DRAW'!V36</f>
        <v>123642369</v>
      </c>
      <c r="W19" s="469">
        <f>'Phase 1b DRAW'!W36+'Phase 1a Financial DRAW'!W36</f>
        <v>0</v>
      </c>
      <c r="X19" s="469">
        <f>'Phase 1b DRAW'!X36+'Phase 1a Financial DRAW'!X36</f>
        <v>0</v>
      </c>
      <c r="Y19" s="469">
        <f>'Phase 1b DRAW'!Y36+'Phase 1a Financial DRAW'!Y36</f>
        <v>0</v>
      </c>
      <c r="Z19" s="469">
        <f>'Phase 1b DRAW'!Z36+'Phase 1a Financial DRAW'!Z36</f>
        <v>0</v>
      </c>
      <c r="AA19" s="469">
        <f>'Phase 1b DRAW'!AA36+'Phase 1a Financial DRAW'!AA36</f>
        <v>0</v>
      </c>
      <c r="AB19" s="469">
        <f>'Phase 1b DRAW'!AB36+'Phase 1a Financial DRAW'!AB36</f>
        <v>0</v>
      </c>
      <c r="AC19" s="469">
        <f>'Phase 1b DRAW'!AC36+'Phase 1a Financial DRAW'!AC36</f>
        <v>0</v>
      </c>
      <c r="AD19" s="469">
        <f>'Phase 1b DRAW'!AD36+'Phase 1a Financial DRAW'!AD36</f>
        <v>0</v>
      </c>
      <c r="AE19" s="469">
        <f>'Phase 1b DRAW'!AE36+'Phase 1a Financial DRAW'!AE36</f>
        <v>0</v>
      </c>
      <c r="AF19" s="469">
        <f>'Phase 1b DRAW'!AF36+'Phase 1a Financial DRAW'!AF36</f>
        <v>0</v>
      </c>
      <c r="AG19" s="469">
        <f>'Phase 1b DRAW'!AG36+'Phase 1a Financial DRAW'!AG36</f>
        <v>0</v>
      </c>
      <c r="AH19" s="469">
        <f>'Phase 1b DRAW'!AH36+'Phase 1a Financial DRAW'!AH36</f>
        <v>0</v>
      </c>
      <c r="AI19" s="469">
        <f>'Phase 1b DRAW'!AI36+'Phase 1a Financial DRAW'!AI36</f>
        <v>0</v>
      </c>
      <c r="AJ19" s="469">
        <f>'Phase 1b DRAW'!AJ36+'Phase 1a Financial DRAW'!AJ36</f>
        <v>0</v>
      </c>
      <c r="AK19" s="469">
        <f>'Phase 1b DRAW'!AK36+'Phase 1a Financial DRAW'!AK36</f>
        <v>0</v>
      </c>
      <c r="AL19" s="469">
        <f>'Phase 1b DRAW'!AL36+'Phase 1a Financial DRAW'!AL36</f>
        <v>0</v>
      </c>
      <c r="AM19" s="469">
        <f>'Phase 1b DRAW'!AM36+'Phase 1a Financial DRAW'!AM36</f>
        <v>0</v>
      </c>
      <c r="AN19" s="469">
        <f>'Phase 1b DRAW'!AN36+'Phase 1a Financial DRAW'!AN36</f>
        <v>0</v>
      </c>
      <c r="AO19" s="469">
        <f>'Phase 1b DRAW'!AO36+'Phase 1a Financial DRAW'!AO36</f>
        <v>0</v>
      </c>
      <c r="AP19" s="469">
        <f>'Phase 1b DRAW'!AP36+'Phase 1a Financial DRAW'!AP36</f>
        <v>0</v>
      </c>
      <c r="AQ19" s="469">
        <f>'Phase 1b DRAW'!AQ36+'Phase 1a Financial DRAW'!AQ36</f>
        <v>0</v>
      </c>
      <c r="AR19" s="469">
        <f>'Phase 1b DRAW'!AR36+'Phase 1a Financial DRAW'!AR36</f>
        <v>0</v>
      </c>
      <c r="AS19" s="469">
        <f>'Phase 1b DRAW'!AS36+'Phase 1a Financial DRAW'!AS36</f>
        <v>0</v>
      </c>
      <c r="AT19" s="469">
        <f>'Phase 1b DRAW'!AT36+'Phase 1a Financial DRAW'!AT36</f>
        <v>0</v>
      </c>
      <c r="AU19" s="469">
        <f>'Phase 1b DRAW'!AU36+'Phase 1a Financial DRAW'!AU36</f>
        <v>0</v>
      </c>
      <c r="AV19" s="469"/>
    </row>
    <row r="20" spans="1:48">
      <c r="A20" s="477" t="s">
        <v>326</v>
      </c>
      <c r="B20" s="582">
        <f>IF(B19&lt;0,0,IRR(C19:AU19))</f>
        <v>6.2745206775708606E-2</v>
      </c>
      <c r="C20" s="503"/>
      <c r="D20" s="503"/>
      <c r="E20" s="503"/>
      <c r="F20" s="503"/>
      <c r="G20" s="503"/>
      <c r="H20" s="503"/>
      <c r="I20" s="503"/>
      <c r="J20" s="503"/>
      <c r="K20" s="503"/>
      <c r="L20" s="503"/>
      <c r="M20" s="503"/>
      <c r="N20" s="503"/>
      <c r="O20" s="503"/>
      <c r="P20" s="503"/>
      <c r="Q20" s="503"/>
      <c r="R20" s="503"/>
      <c r="S20" s="503"/>
      <c r="T20" s="503"/>
      <c r="U20" s="503"/>
      <c r="V20" s="503"/>
      <c r="W20" s="503"/>
      <c r="X20" s="503"/>
      <c r="Y20" s="503"/>
      <c r="Z20" s="503"/>
      <c r="AA20" s="503"/>
      <c r="AB20" s="503"/>
      <c r="AC20" s="503"/>
      <c r="AD20" s="503"/>
      <c r="AE20" s="503"/>
      <c r="AF20" s="503"/>
      <c r="AG20" s="503"/>
      <c r="AH20" s="503"/>
      <c r="AI20" s="503"/>
      <c r="AJ20" s="503"/>
      <c r="AK20" s="503"/>
      <c r="AL20" s="503"/>
      <c r="AM20" s="503"/>
      <c r="AN20" s="503"/>
      <c r="AO20" s="503"/>
      <c r="AP20" s="503"/>
      <c r="AQ20" s="503"/>
      <c r="AR20" s="503"/>
      <c r="AS20" s="503"/>
      <c r="AT20" s="503"/>
      <c r="AU20" s="503"/>
      <c r="AV20" s="504"/>
    </row>
    <row r="21" spans="1:48">
      <c r="A21" s="477" t="s">
        <v>303</v>
      </c>
      <c r="B21" s="584">
        <f>POWER((1+B20),4)-1</f>
        <v>0.27560619432585542</v>
      </c>
      <c r="C21" s="497"/>
      <c r="D21" s="497"/>
      <c r="E21" s="497"/>
      <c r="F21" s="497"/>
      <c r="G21" s="497"/>
      <c r="H21" s="497"/>
      <c r="I21" s="497"/>
      <c r="J21" s="497"/>
      <c r="K21" s="497"/>
      <c r="L21" s="497"/>
      <c r="M21" s="497"/>
      <c r="N21" s="497"/>
      <c r="O21" s="497"/>
      <c r="P21" s="497"/>
      <c r="Q21" s="497"/>
      <c r="R21" s="497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7"/>
      <c r="AV21" s="508"/>
    </row>
    <row r="22" spans="1:48">
      <c r="A22" s="497"/>
      <c r="B22" s="618"/>
      <c r="C22" s="497"/>
      <c r="D22" s="497"/>
      <c r="E22" s="497"/>
      <c r="F22" s="497"/>
      <c r="G22" s="497"/>
      <c r="H22" s="497"/>
      <c r="I22" s="497"/>
      <c r="J22" s="497"/>
      <c r="K22" s="497"/>
      <c r="L22" s="497"/>
      <c r="M22" s="497"/>
      <c r="N22" s="497"/>
      <c r="O22" s="497"/>
      <c r="P22" s="497"/>
      <c r="Q22" s="497"/>
      <c r="R22" s="497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7"/>
      <c r="AV22" s="508"/>
    </row>
    <row r="23" spans="1:48">
      <c r="A23" s="477" t="s">
        <v>341</v>
      </c>
      <c r="B23" s="469">
        <f>SUM(C23:AU23)</f>
        <v>25088562.165578723</v>
      </c>
      <c r="C23" s="469">
        <f>'Phase 1b DRAW'!C41+'Phase 1a Financial DRAW'!C41</f>
        <v>0</v>
      </c>
      <c r="D23" s="469">
        <f>'Phase 1b DRAW'!D41+'Phase 1a Financial DRAW'!D41</f>
        <v>0</v>
      </c>
      <c r="E23" s="469">
        <f>'Phase 1b DRAW'!E41+'Phase 1a Financial DRAW'!E41</f>
        <v>-10273748.440000001</v>
      </c>
      <c r="F23" s="469">
        <f>'Phase 1b DRAW'!F41+'Phase 1a Financial DRAW'!F41</f>
        <v>-9873748.4400000013</v>
      </c>
      <c r="G23" s="469">
        <f>'Phase 1b DRAW'!G41+'Phase 1a Financial DRAW'!G41</f>
        <v>-5297068.4800000004</v>
      </c>
      <c r="H23" s="469">
        <f>'Phase 1b DRAW'!H41+'Phase 1a Financial DRAW'!H41</f>
        <v>-2585266.4800000004</v>
      </c>
      <c r="I23" s="469">
        <f>'Phase 1b DRAW'!I41+'Phase 1a Financial DRAW'!I41</f>
        <v>-66867180.440014124</v>
      </c>
      <c r="J23" s="469">
        <f>'Phase 1b DRAW'!J41+'Phase 1a Financial DRAW'!J41</f>
        <v>-39211104.453983337</v>
      </c>
      <c r="K23" s="469">
        <f>'Phase 1b DRAW'!K41+'Phase 1a Financial DRAW'!K41</f>
        <v>-39111104.453983337</v>
      </c>
      <c r="L23" s="469">
        <f>'Phase 1b DRAW'!L41+'Phase 1a Financial DRAW'!L41</f>
        <v>-48614104.453983337</v>
      </c>
      <c r="M23" s="469">
        <f>'Phase 1b DRAW'!M41+'Phase 1a Financial DRAW'!M41</f>
        <v>-86007570.828633338</v>
      </c>
      <c r="N23" s="469">
        <f>'Phase 1b DRAW'!N41+'Phase 1a Financial DRAW'!N41</f>
        <v>-87833161.715107173</v>
      </c>
      <c r="O23" s="469">
        <f>'Phase 1b DRAW'!O41+'Phase 1a Financial DRAW'!O41</f>
        <v>-88186245.16710718</v>
      </c>
      <c r="P23" s="469">
        <f>'Phase 1b DRAW'!P41+'Phase 1a Financial DRAW'!P41</f>
        <v>-88386245.16710718</v>
      </c>
      <c r="Q23" s="469">
        <f>'Phase 1b DRAW'!Q41+'Phase 1a Financial DRAW'!Q41</f>
        <v>-69616544.662598476</v>
      </c>
      <c r="R23" s="469">
        <f>'Phase 1b DRAW'!R41+'Phase 1a Financial DRAW'!R41</f>
        <v>-74394338.420247704</v>
      </c>
      <c r="S23" s="469">
        <f>'Phase 1b DRAW'!S41+'Phase 1a Financial DRAW'!S41</f>
        <v>557188179.85080111</v>
      </c>
      <c r="T23" s="469">
        <f>'Phase 1b DRAW'!T41+'Phase 1a Financial DRAW'!T41</f>
        <v>-54498729.630401477</v>
      </c>
      <c r="U23" s="469">
        <f>'Phase 1b DRAW'!U41+'Phase 1a Financial DRAW'!U41</f>
        <v>-10639188.452055689</v>
      </c>
      <c r="V23" s="469">
        <f>'Phase 1b DRAW'!V41+'Phase 1a Financial DRAW'!V41</f>
        <v>249295732</v>
      </c>
      <c r="W23" s="469">
        <f>'Phase 1b DRAW'!W41+'Phase 1a Financial DRAW'!W41</f>
        <v>0</v>
      </c>
      <c r="X23" s="469">
        <f>'Phase 1b DRAW'!X41+'Phase 1a Financial DRAW'!X41</f>
        <v>0</v>
      </c>
      <c r="Y23" s="469">
        <f>'Phase 1b DRAW'!Y41+'Phase 1a Financial DRAW'!Y41</f>
        <v>0</v>
      </c>
      <c r="Z23" s="469">
        <f>'Phase 1b DRAW'!Z41+'Phase 1a Financial DRAW'!Z41</f>
        <v>0</v>
      </c>
      <c r="AA23" s="469">
        <f>'Phase 1b DRAW'!AA41+'Phase 1a Financial DRAW'!AA41</f>
        <v>0</v>
      </c>
      <c r="AB23" s="469">
        <f>'Phase 1b DRAW'!AB41+'Phase 1a Financial DRAW'!AB41</f>
        <v>0</v>
      </c>
      <c r="AC23" s="469">
        <f>'Phase 1b DRAW'!AC41+'Phase 1a Financial DRAW'!AC41</f>
        <v>0</v>
      </c>
      <c r="AD23" s="469">
        <f>'Phase 1b DRAW'!AD41+'Phase 1a Financial DRAW'!AD41</f>
        <v>0</v>
      </c>
      <c r="AE23" s="469">
        <f>'Phase 1b DRAW'!AE41+'Phase 1a Financial DRAW'!AE41</f>
        <v>0</v>
      </c>
      <c r="AF23" s="469">
        <f>'Phase 1b DRAW'!AF41+'Phase 1a Financial DRAW'!AF41</f>
        <v>0</v>
      </c>
      <c r="AG23" s="469">
        <f>'Phase 1b DRAW'!AG41+'Phase 1a Financial DRAW'!AG41</f>
        <v>0</v>
      </c>
      <c r="AH23" s="469">
        <f>'Phase 1b DRAW'!AH41+'Phase 1a Financial DRAW'!AH41</f>
        <v>0</v>
      </c>
      <c r="AI23" s="469">
        <f>'Phase 1b DRAW'!AI41+'Phase 1a Financial DRAW'!AI41</f>
        <v>0</v>
      </c>
      <c r="AJ23" s="469">
        <f>'Phase 1b DRAW'!AJ41+'Phase 1a Financial DRAW'!AJ41</f>
        <v>0</v>
      </c>
      <c r="AK23" s="469">
        <f>'Phase 1b DRAW'!AK41+'Phase 1a Financial DRAW'!AK41</f>
        <v>0</v>
      </c>
      <c r="AL23" s="469">
        <f>'Phase 1b DRAW'!AL41+'Phase 1a Financial DRAW'!AL41</f>
        <v>0</v>
      </c>
      <c r="AM23" s="469">
        <f>'Phase 1b DRAW'!AM41+'Phase 1a Financial DRAW'!AM41</f>
        <v>0</v>
      </c>
      <c r="AN23" s="469">
        <f>'Phase 1b DRAW'!AN41+'Phase 1a Financial DRAW'!AN41</f>
        <v>0</v>
      </c>
      <c r="AO23" s="469">
        <f>'Phase 1b DRAW'!AO41+'Phase 1a Financial DRAW'!AO41</f>
        <v>0</v>
      </c>
      <c r="AP23" s="469">
        <f>'Phase 1b DRAW'!AP41+'Phase 1a Financial DRAW'!AP41</f>
        <v>0</v>
      </c>
      <c r="AQ23" s="469">
        <f>'Phase 1b DRAW'!AQ41+'Phase 1a Financial DRAW'!AQ41</f>
        <v>0</v>
      </c>
      <c r="AR23" s="469">
        <f>'Phase 1b DRAW'!AR41+'Phase 1a Financial DRAW'!AR41</f>
        <v>0</v>
      </c>
      <c r="AS23" s="469">
        <f>'Phase 1b DRAW'!AS41+'Phase 1a Financial DRAW'!AS41</f>
        <v>0</v>
      </c>
      <c r="AT23" s="469">
        <f>'Phase 1b DRAW'!AT41+'Phase 1a Financial DRAW'!AT41</f>
        <v>0</v>
      </c>
      <c r="AU23" s="469">
        <f>'Phase 1b DRAW'!AU41+'Phase 1a Financial DRAW'!AU41</f>
        <v>0</v>
      </c>
      <c r="AV23" s="477"/>
    </row>
    <row r="24" spans="1:48">
      <c r="A24" s="477" t="s">
        <v>342</v>
      </c>
      <c r="B24" s="582">
        <f>IF(B23&lt;0,0,IRR(C23:AU23))</f>
        <v>5.5070466848381461E-3</v>
      </c>
      <c r="C24" s="491"/>
      <c r="D24" s="497"/>
      <c r="E24" s="497"/>
      <c r="F24" s="497"/>
      <c r="G24" s="497"/>
      <c r="H24" s="497"/>
      <c r="I24" s="497"/>
      <c r="J24" s="497"/>
      <c r="K24" s="497"/>
      <c r="L24" s="497"/>
      <c r="M24" s="491"/>
      <c r="N24" s="497"/>
      <c r="O24" s="497"/>
      <c r="P24" s="497"/>
      <c r="Q24" s="497"/>
      <c r="R24" s="497"/>
      <c r="S24" s="491"/>
      <c r="T24" s="497"/>
      <c r="U24" s="497"/>
      <c r="V24" s="497"/>
      <c r="W24" s="497"/>
      <c r="X24" s="497"/>
      <c r="Y24" s="497"/>
      <c r="Z24" s="497"/>
      <c r="AA24" s="497"/>
      <c r="AB24" s="497"/>
      <c r="AC24" s="497"/>
      <c r="AD24" s="497"/>
      <c r="AE24" s="497"/>
      <c r="AF24" s="497"/>
      <c r="AG24" s="497"/>
      <c r="AH24" s="497"/>
      <c r="AI24" s="497"/>
      <c r="AJ24" s="497"/>
      <c r="AK24" s="497"/>
      <c r="AL24" s="497"/>
      <c r="AM24" s="497"/>
      <c r="AN24" s="497"/>
      <c r="AO24" s="497"/>
      <c r="AP24" s="497"/>
      <c r="AQ24" s="497"/>
      <c r="AR24" s="497"/>
      <c r="AS24" s="497"/>
      <c r="AT24" s="497"/>
      <c r="AU24" s="497"/>
      <c r="AV24" s="477"/>
    </row>
    <row r="25" spans="1:48">
      <c r="A25" s="477" t="s">
        <v>308</v>
      </c>
      <c r="B25" s="584">
        <f>POWER((1+B24),4)-1</f>
        <v>2.2210821099472922E-2</v>
      </c>
      <c r="C25" s="497"/>
      <c r="D25" s="497"/>
      <c r="E25" s="497"/>
      <c r="F25" s="497"/>
      <c r="G25" s="497"/>
      <c r="H25" s="497"/>
      <c r="I25" s="497"/>
      <c r="J25" s="497"/>
      <c r="K25" s="497"/>
      <c r="L25" s="497"/>
      <c r="M25" s="491"/>
      <c r="N25" s="497"/>
      <c r="O25" s="497"/>
      <c r="P25" s="497"/>
      <c r="Q25" s="497"/>
      <c r="R25" s="497"/>
      <c r="S25" s="491"/>
      <c r="T25" s="497"/>
      <c r="U25" s="497"/>
      <c r="V25" s="497"/>
      <c r="W25" s="497"/>
      <c r="X25" s="497"/>
      <c r="Y25" s="497"/>
      <c r="Z25" s="497"/>
      <c r="AA25" s="497"/>
      <c r="AB25" s="497"/>
      <c r="AC25" s="497"/>
      <c r="AD25" s="497"/>
      <c r="AE25" s="497"/>
      <c r="AF25" s="497"/>
      <c r="AG25" s="497"/>
      <c r="AH25" s="497"/>
      <c r="AI25" s="497"/>
      <c r="AJ25" s="497"/>
      <c r="AK25" s="497"/>
      <c r="AL25" s="497"/>
      <c r="AM25" s="497"/>
      <c r="AN25" s="497"/>
      <c r="AO25" s="497"/>
      <c r="AP25" s="497"/>
      <c r="AQ25" s="497"/>
      <c r="AR25" s="497"/>
      <c r="AS25" s="497"/>
      <c r="AT25" s="497"/>
      <c r="AU25" s="497"/>
      <c r="AV25" s="477"/>
    </row>
    <row r="26" spans="1:48">
      <c r="G26" s="37"/>
      <c r="AA26"/>
      <c r="AB26"/>
      <c r="AC26"/>
      <c r="AD26"/>
      <c r="AE26"/>
      <c r="AF26"/>
      <c r="AH26"/>
      <c r="AI26"/>
      <c r="AJ26"/>
    </row>
    <row r="27" spans="1:48">
      <c r="G27" s="37"/>
      <c r="AA27"/>
      <c r="AB27"/>
      <c r="AC27"/>
      <c r="AD27"/>
      <c r="AE27"/>
      <c r="AF27"/>
      <c r="AH27"/>
      <c r="AI27"/>
      <c r="AJ27"/>
    </row>
    <row r="28" spans="1:48">
      <c r="G28" s="37"/>
      <c r="AA28"/>
      <c r="AB28"/>
      <c r="AC28"/>
      <c r="AD28"/>
      <c r="AE28"/>
      <c r="AF28"/>
      <c r="AH28"/>
      <c r="AI28"/>
      <c r="AJ28"/>
    </row>
    <row r="29" spans="1:48">
      <c r="G29" s="37"/>
      <c r="AA29"/>
      <c r="AB29"/>
      <c r="AC29"/>
      <c r="AD29"/>
      <c r="AE29"/>
      <c r="AF29"/>
      <c r="AH29"/>
      <c r="AI29"/>
      <c r="AJ29"/>
    </row>
    <row r="30" spans="1:48">
      <c r="G30" s="37"/>
      <c r="AA30"/>
      <c r="AB30"/>
      <c r="AC30"/>
      <c r="AD30"/>
      <c r="AE30"/>
      <c r="AF30"/>
      <c r="AH30"/>
      <c r="AI30"/>
      <c r="AJ30"/>
    </row>
    <row r="31" spans="1:48">
      <c r="A31" s="1426" t="s">
        <v>557</v>
      </c>
      <c r="G31" s="37"/>
      <c r="AB31"/>
      <c r="AC31"/>
      <c r="AD31"/>
      <c r="AE31"/>
      <c r="AI31" s="37"/>
    </row>
    <row r="32" spans="1:48">
      <c r="A32" s="1426"/>
      <c r="G32" s="37"/>
      <c r="AB32"/>
      <c r="AC32"/>
      <c r="AD32"/>
      <c r="AE32"/>
      <c r="AI32" s="37"/>
      <c r="AV32" s="170" t="s">
        <v>155</v>
      </c>
    </row>
    <row r="33" spans="1:48" ht="14.65" thickBot="1">
      <c r="A33" s="1459"/>
      <c r="B33" s="569" t="s">
        <v>340</v>
      </c>
      <c r="C33" s="617">
        <v>45292</v>
      </c>
      <c r="D33" s="289">
        <f>EOMONTH(C33,3)</f>
        <v>45412</v>
      </c>
      <c r="E33" s="289">
        <f t="shared" ref="E33" si="43">EOMONTH(D33,3)</f>
        <v>45504</v>
      </c>
      <c r="F33" s="289">
        <f t="shared" ref="F33" si="44">EOMONTH(E33,3)</f>
        <v>45596</v>
      </c>
      <c r="G33" s="289">
        <f t="shared" ref="G33" si="45">EOMONTH(F33,3)</f>
        <v>45688</v>
      </c>
      <c r="H33" s="289">
        <f t="shared" ref="H33" si="46">EOMONTH(G33,3)</f>
        <v>45777</v>
      </c>
      <c r="I33" s="289">
        <f t="shared" ref="I33" si="47">EOMONTH(H33,3)</f>
        <v>45869</v>
      </c>
      <c r="J33" s="289">
        <f t="shared" ref="J33" si="48">EOMONTH(I33,3)</f>
        <v>45961</v>
      </c>
      <c r="K33" s="289">
        <f t="shared" ref="K33" si="49">EOMONTH(J33,3)</f>
        <v>46053</v>
      </c>
      <c r="L33" s="289">
        <f t="shared" ref="L33" si="50">EOMONTH(K33,3)</f>
        <v>46142</v>
      </c>
      <c r="M33" s="289">
        <f t="shared" ref="M33" si="51">EOMONTH(L33,3)</f>
        <v>46234</v>
      </c>
      <c r="N33" s="289">
        <f t="shared" ref="N33" si="52">EOMONTH(M33,3)</f>
        <v>46326</v>
      </c>
      <c r="O33" s="289">
        <f t="shared" ref="O33" si="53">EOMONTH(N33,3)</f>
        <v>46418</v>
      </c>
      <c r="P33" s="289">
        <f t="shared" ref="P33" si="54">EOMONTH(O33,3)</f>
        <v>46507</v>
      </c>
      <c r="Q33" s="289">
        <f t="shared" ref="Q33" si="55">EOMONTH(P33,3)</f>
        <v>46599</v>
      </c>
      <c r="R33" s="289">
        <f t="shared" ref="R33" si="56">EOMONTH(Q33,3)</f>
        <v>46691</v>
      </c>
      <c r="S33" s="289">
        <f t="shared" ref="S33" si="57">EOMONTH(R33,3)</f>
        <v>46783</v>
      </c>
      <c r="T33" s="289">
        <f t="shared" ref="T33" si="58">EOMONTH(S33,3)</f>
        <v>46873</v>
      </c>
      <c r="U33" s="289">
        <f t="shared" ref="U33" si="59">EOMONTH(T33,3)</f>
        <v>46965</v>
      </c>
      <c r="V33" s="289">
        <f t="shared" ref="V33" si="60">EOMONTH(U33,3)</f>
        <v>47057</v>
      </c>
      <c r="W33" s="289">
        <f t="shared" ref="W33" si="61">EOMONTH(V33,3)</f>
        <v>47149</v>
      </c>
      <c r="X33" s="289">
        <f t="shared" ref="X33" si="62">EOMONTH(W33,3)</f>
        <v>47238</v>
      </c>
      <c r="Y33" s="289">
        <f t="shared" ref="Y33" si="63">EOMONTH(X33,3)</f>
        <v>47330</v>
      </c>
      <c r="Z33" s="289">
        <f t="shared" ref="Z33" si="64">EOMONTH(Y33,3)</f>
        <v>47422</v>
      </c>
      <c r="AA33" s="289">
        <f t="shared" ref="AA33" si="65">EOMONTH(Z33,3)</f>
        <v>47514</v>
      </c>
      <c r="AB33" s="289">
        <f t="shared" ref="AB33" si="66">EOMONTH(AA33,3)</f>
        <v>47603</v>
      </c>
      <c r="AC33" s="289">
        <f t="shared" ref="AC33" si="67">EOMONTH(AB33,3)</f>
        <v>47695</v>
      </c>
      <c r="AD33" s="289">
        <f t="shared" ref="AD33" si="68">EOMONTH(AC33,3)</f>
        <v>47787</v>
      </c>
      <c r="AE33" s="289">
        <f t="shared" ref="AE33" si="69">EOMONTH(AD33,3)</f>
        <v>47879</v>
      </c>
      <c r="AF33" s="289">
        <f t="shared" ref="AF33" si="70">EOMONTH(AE33,3)</f>
        <v>47968</v>
      </c>
      <c r="AG33" s="289">
        <f t="shared" ref="AG33" si="71">EOMONTH(AF33,3)</f>
        <v>48060</v>
      </c>
      <c r="AH33" s="289">
        <f t="shared" ref="AH33" si="72">EOMONTH(AG33,3)</f>
        <v>48152</v>
      </c>
      <c r="AI33" s="289">
        <f t="shared" ref="AI33" si="73">EOMONTH(AH33,3)</f>
        <v>48244</v>
      </c>
      <c r="AJ33" s="289">
        <f t="shared" ref="AJ33" si="74">EOMONTH(AI33,3)</f>
        <v>48334</v>
      </c>
      <c r="AK33" s="289">
        <f t="shared" ref="AK33" si="75">EOMONTH(AJ33,3)</f>
        <v>48426</v>
      </c>
      <c r="AL33" s="289">
        <f t="shared" ref="AL33" si="76">EOMONTH(AK33,3)</f>
        <v>48518</v>
      </c>
      <c r="AM33" s="289">
        <f t="shared" ref="AM33" si="77">EOMONTH(AL33,3)</f>
        <v>48610</v>
      </c>
      <c r="AN33" s="289">
        <f>EOMONTH(AM33,3)</f>
        <v>48699</v>
      </c>
      <c r="AO33" s="289">
        <f t="shared" ref="AO33" si="78">EOMONTH(AN33,3)</f>
        <v>48791</v>
      </c>
      <c r="AP33" s="289">
        <f t="shared" ref="AP33" si="79">EOMONTH(AO33,3)</f>
        <v>48883</v>
      </c>
      <c r="AQ33" s="289">
        <f t="shared" ref="AQ33" si="80">EOMONTH(AP33,3)</f>
        <v>48975</v>
      </c>
      <c r="AR33" s="289">
        <f t="shared" ref="AR33" si="81">EOMONTH(AQ33,3)</f>
        <v>49064</v>
      </c>
      <c r="AS33" s="289">
        <f t="shared" ref="AS33" si="82">EOMONTH(AR33,3)</f>
        <v>49156</v>
      </c>
      <c r="AT33" s="289">
        <f t="shared" ref="AT33" si="83">EOMONTH(AS33,3)</f>
        <v>49248</v>
      </c>
      <c r="AU33" s="289">
        <f t="shared" ref="AU33" si="84">EOMONTH(AT33,3)</f>
        <v>49340</v>
      </c>
      <c r="AV33" s="460"/>
    </row>
    <row r="34" spans="1:48">
      <c r="A34" s="487" t="s">
        <v>301</v>
      </c>
      <c r="B34" s="469">
        <f>SUM(C34:AU34)</f>
        <v>274210776.21437895</v>
      </c>
      <c r="C34" s="469">
        <f>'Phase 2b Draw'!C36+'Phase 2a Draw'!C36</f>
        <v>0</v>
      </c>
      <c r="D34" s="469">
        <f>'Phase 2b Draw'!D36+'Phase 2a Draw'!D36</f>
        <v>0</v>
      </c>
      <c r="E34" s="469">
        <f>'Phase 2b Draw'!E36+'Phase 2a Draw'!E36</f>
        <v>0</v>
      </c>
      <c r="F34" s="469">
        <f>'Phase 2b Draw'!F36+'Phase 2a Draw'!F36</f>
        <v>0</v>
      </c>
      <c r="G34" s="469">
        <f>'Phase 2b Draw'!G36+'Phase 2a Draw'!G36</f>
        <v>-1500000</v>
      </c>
      <c r="H34" s="469">
        <f>'Phase 2b Draw'!H36+'Phase 2a Draw'!H36</f>
        <v>0</v>
      </c>
      <c r="I34" s="469">
        <f>'Phase 2b Draw'!I36+'Phase 2a Draw'!I36</f>
        <v>0</v>
      </c>
      <c r="J34" s="469">
        <f>'Phase 2b Draw'!J36+'Phase 2a Draw'!J36</f>
        <v>0</v>
      </c>
      <c r="K34" s="469">
        <f>'Phase 2b Draw'!K36+'Phase 2a Draw'!K36</f>
        <v>-14572679.859999999</v>
      </c>
      <c r="L34" s="469">
        <f>'Phase 2b Draw'!L36+'Phase 2a Draw'!L36</f>
        <v>-8151299.8599999994</v>
      </c>
      <c r="M34" s="469">
        <f>'Phase 2b Draw'!M36+'Phase 2a Draw'!M36</f>
        <v>-3367970.62</v>
      </c>
      <c r="N34" s="469">
        <f>'Phase 2b Draw'!N36+'Phase 2a Draw'!N36</f>
        <v>-3367970.62</v>
      </c>
      <c r="O34" s="469">
        <f>'Phase 2b Draw'!O36+'Phase 2a Draw'!O36</f>
        <v>-11911142.609999999</v>
      </c>
      <c r="P34" s="469">
        <f>'Phase 2b Draw'!P36+'Phase 2a Draw'!P36</f>
        <v>-3351541.4240000001</v>
      </c>
      <c r="Q34" s="469">
        <f>'Phase 2b Draw'!Q36+'Phase 2a Draw'!Q36</f>
        <v>-63296265.753399998</v>
      </c>
      <c r="R34" s="469">
        <f>'Phase 2b Draw'!R36+'Phase 2a Draw'!R36</f>
        <v>-58902492.253399998</v>
      </c>
      <c r="S34" s="469">
        <f>'Phase 2b Draw'!S36+'Phase 2a Draw'!S36</f>
        <v>-67067345.056066662</v>
      </c>
      <c r="T34" s="469">
        <f>'Phase 2b Draw'!T36+'Phase 2a Draw'!T36</f>
        <v>-67737585.256066665</v>
      </c>
      <c r="U34" s="469">
        <f>'Phase 2b Draw'!U36+'Phase 2a Draw'!U36</f>
        <v>-60282146.120687723</v>
      </c>
      <c r="V34" s="469">
        <f>'Phase 2b Draw'!V36+'Phase 2a Draw'!V36</f>
        <v>-7802084.3519999981</v>
      </c>
      <c r="W34" s="469">
        <f>'Phase 2b Draw'!W36+'Phase 2a Draw'!W36</f>
        <v>0</v>
      </c>
      <c r="X34" s="469">
        <f>'Phase 2b Draw'!X36+'Phase 2a Draw'!X36</f>
        <v>210065300</v>
      </c>
      <c r="Y34" s="469">
        <f>'Phase 2b Draw'!Y36+'Phase 2a Draw'!Y36</f>
        <v>0</v>
      </c>
      <c r="Z34" s="469">
        <f>'Phase 2b Draw'!Z36+'Phase 2a Draw'!Z36</f>
        <v>0</v>
      </c>
      <c r="AA34" s="469">
        <f>'Phase 2b Draw'!AA36+'Phase 2a Draw'!AA36</f>
        <v>0</v>
      </c>
      <c r="AB34" s="469">
        <f>'Phase 2b Draw'!AB36+'Phase 2a Draw'!AB36</f>
        <v>435456000</v>
      </c>
      <c r="AC34" s="469">
        <f>'Phase 2b Draw'!AC36+'Phase 2a Draw'!AC36</f>
        <v>0</v>
      </c>
      <c r="AD34" s="469">
        <f>'Phase 2b Draw'!AD36+'Phase 2a Draw'!AD36</f>
        <v>0</v>
      </c>
      <c r="AE34" s="469">
        <f>'Phase 2b Draw'!AE36+'Phase 2a Draw'!AE36</f>
        <v>0</v>
      </c>
      <c r="AF34" s="469">
        <f>'Phase 2b Draw'!AF36+'Phase 2a Draw'!AF36</f>
        <v>0</v>
      </c>
      <c r="AG34" s="469">
        <f>'Phase 2b Draw'!AG36+'Phase 2a Draw'!AG36</f>
        <v>0</v>
      </c>
      <c r="AH34" s="469">
        <f>'Phase 2b Draw'!AH36+'Phase 2a Draw'!AH36</f>
        <v>0</v>
      </c>
      <c r="AI34" s="469">
        <f>'Phase 2b Draw'!AI36+'Phase 2a Draw'!AI36</f>
        <v>0</v>
      </c>
      <c r="AJ34" s="469">
        <f>'Phase 2b Draw'!AJ36+'Phase 2a Draw'!AJ36</f>
        <v>0</v>
      </c>
      <c r="AK34" s="469">
        <f>'Phase 2b Draw'!AK36+'Phase 2a Draw'!AK36</f>
        <v>0</v>
      </c>
      <c r="AL34" s="469">
        <f>'Phase 2b Draw'!AL36+'Phase 2a Draw'!AL36</f>
        <v>0</v>
      </c>
      <c r="AM34" s="469">
        <f>'Phase 2b Draw'!AM36+'Phase 2a Draw'!AM36</f>
        <v>0</v>
      </c>
      <c r="AN34" s="469">
        <f>'Phase 2b Draw'!AN36+'Phase 2a Draw'!AN36</f>
        <v>0</v>
      </c>
      <c r="AO34" s="469">
        <f>'Phase 2b Draw'!AO36+'Phase 2a Draw'!AO36</f>
        <v>0</v>
      </c>
      <c r="AP34" s="469">
        <f>'Phase 2b Draw'!AP36+'Phase 2a Draw'!AP36</f>
        <v>0</v>
      </c>
      <c r="AQ34" s="469">
        <f>'Phase 2b Draw'!AQ36+'Phase 2a Draw'!AQ36</f>
        <v>0</v>
      </c>
      <c r="AR34" s="469">
        <f>'Phase 2b Draw'!AR36+'Phase 2a Draw'!AR36</f>
        <v>0</v>
      </c>
      <c r="AS34" s="469">
        <f>'Phase 2b Draw'!AS36+'Phase 2a Draw'!AS36</f>
        <v>0</v>
      </c>
      <c r="AT34" s="469">
        <f>'Phase 2b Draw'!AT36+'Phase 2a Draw'!AT36</f>
        <v>0</v>
      </c>
      <c r="AU34" s="469">
        <f>'Phase 2b Draw'!AU36+'Phase 2a Draw'!AU36</f>
        <v>0</v>
      </c>
      <c r="AV34" s="469"/>
    </row>
    <row r="35" spans="1:48">
      <c r="A35" s="477" t="s">
        <v>326</v>
      </c>
      <c r="B35" s="582">
        <f>IF(B34&lt;0,0,IRR(C34:AU34))</f>
        <v>6.7079991294954899E-2</v>
      </c>
      <c r="C35" s="503"/>
      <c r="D35" s="503"/>
      <c r="E35" s="503"/>
      <c r="F35" s="503"/>
      <c r="G35" s="503"/>
      <c r="H35" s="503"/>
      <c r="I35" s="503"/>
      <c r="J35" s="503"/>
      <c r="K35" s="503"/>
      <c r="L35" s="503"/>
      <c r="M35" s="503"/>
      <c r="N35" s="503"/>
      <c r="O35" s="503"/>
      <c r="P35" s="503"/>
      <c r="Q35" s="503"/>
      <c r="R35" s="503"/>
      <c r="S35" s="503"/>
      <c r="T35" s="503"/>
      <c r="U35" s="503"/>
      <c r="V35" s="503"/>
      <c r="W35" s="503"/>
      <c r="X35" s="503"/>
      <c r="Y35" s="503"/>
      <c r="Z35" s="503"/>
      <c r="AA35" s="503"/>
      <c r="AB35" s="503"/>
      <c r="AC35" s="503"/>
      <c r="AD35" s="503"/>
      <c r="AE35" s="503"/>
      <c r="AF35" s="503"/>
      <c r="AG35" s="503"/>
      <c r="AH35" s="503"/>
      <c r="AI35" s="503"/>
      <c r="AJ35" s="503"/>
      <c r="AK35" s="503"/>
      <c r="AL35" s="503"/>
      <c r="AM35" s="503"/>
      <c r="AN35" s="503"/>
      <c r="AO35" s="503"/>
      <c r="AP35" s="503"/>
      <c r="AQ35" s="503"/>
      <c r="AR35" s="503"/>
      <c r="AS35" s="503"/>
      <c r="AT35" s="503"/>
      <c r="AU35" s="503"/>
      <c r="AV35" s="504"/>
    </row>
    <row r="36" spans="1:48">
      <c r="A36" s="477" t="s">
        <v>303</v>
      </c>
      <c r="B36" s="584">
        <f>POWER((1+B35),4)-1</f>
        <v>0.29654593021737585</v>
      </c>
      <c r="C36" s="497"/>
      <c r="D36" s="497"/>
      <c r="E36" s="497"/>
      <c r="F36" s="497"/>
      <c r="G36" s="497"/>
      <c r="H36" s="497"/>
      <c r="I36" s="497"/>
      <c r="J36" s="497"/>
      <c r="K36" s="497"/>
      <c r="L36" s="497"/>
      <c r="M36" s="497"/>
      <c r="N36" s="497"/>
      <c r="O36" s="497"/>
      <c r="P36" s="497"/>
      <c r="Q36" s="497"/>
      <c r="R36" s="497"/>
      <c r="S36" s="497"/>
      <c r="T36" s="497"/>
      <c r="U36" s="497"/>
      <c r="V36" s="497"/>
      <c r="W36" s="497"/>
      <c r="X36" s="497"/>
      <c r="Y36" s="497"/>
      <c r="Z36" s="497"/>
      <c r="AA36" s="497"/>
      <c r="AB36" s="497"/>
      <c r="AC36" s="497"/>
      <c r="AD36" s="497"/>
      <c r="AE36" s="497"/>
      <c r="AF36" s="497"/>
      <c r="AG36" s="497"/>
      <c r="AH36" s="497"/>
      <c r="AI36" s="497"/>
      <c r="AJ36" s="497"/>
      <c r="AK36" s="497"/>
      <c r="AL36" s="497"/>
      <c r="AM36" s="497"/>
      <c r="AN36" s="497"/>
      <c r="AO36" s="497"/>
      <c r="AP36" s="497"/>
      <c r="AQ36" s="497"/>
      <c r="AR36" s="497"/>
      <c r="AS36" s="497"/>
      <c r="AT36" s="497"/>
      <c r="AU36" s="497"/>
      <c r="AV36" s="508"/>
    </row>
    <row r="37" spans="1:48">
      <c r="A37" s="497"/>
      <c r="B37" s="618"/>
      <c r="C37" s="497"/>
      <c r="D37" s="497"/>
      <c r="E37" s="497"/>
      <c r="F37" s="497"/>
      <c r="G37" s="497"/>
      <c r="H37" s="497"/>
      <c r="I37" s="497"/>
      <c r="J37" s="497"/>
      <c r="K37" s="497"/>
      <c r="L37" s="497"/>
      <c r="M37" s="497"/>
      <c r="N37" s="497"/>
      <c r="O37" s="497"/>
      <c r="P37" s="497"/>
      <c r="Q37" s="497"/>
      <c r="R37" s="497"/>
      <c r="S37" s="497"/>
      <c r="T37" s="497"/>
      <c r="U37" s="497"/>
      <c r="V37" s="497"/>
      <c r="W37" s="497"/>
      <c r="X37" s="497"/>
      <c r="Y37" s="497"/>
      <c r="Z37" s="497"/>
      <c r="AA37" s="497"/>
      <c r="AB37" s="497"/>
      <c r="AC37" s="497"/>
      <c r="AD37" s="497"/>
      <c r="AE37" s="497"/>
      <c r="AF37" s="497"/>
      <c r="AG37" s="497"/>
      <c r="AH37" s="497"/>
      <c r="AI37" s="497"/>
      <c r="AJ37" s="497"/>
      <c r="AK37" s="497"/>
      <c r="AL37" s="497"/>
      <c r="AM37" s="497"/>
      <c r="AN37" s="497"/>
      <c r="AO37" s="497"/>
      <c r="AP37" s="497"/>
      <c r="AQ37" s="497"/>
      <c r="AR37" s="497"/>
      <c r="AS37" s="497"/>
      <c r="AT37" s="497"/>
      <c r="AU37" s="497"/>
      <c r="AV37" s="508"/>
    </row>
    <row r="38" spans="1:48">
      <c r="A38" s="477" t="s">
        <v>341</v>
      </c>
      <c r="B38" s="469">
        <f>SUM(C38:AU38)</f>
        <v>245544167.50366664</v>
      </c>
      <c r="C38" s="469">
        <f>'Phase 2b Draw'!C41+'Phase 2a Draw'!C41</f>
        <v>0</v>
      </c>
      <c r="D38" s="469">
        <f>'Phase 2b Draw'!D41+'Phase 2a Draw'!D41</f>
        <v>0</v>
      </c>
      <c r="E38" s="469">
        <f>'Phase 2b Draw'!E41+'Phase 2a Draw'!E41</f>
        <v>0</v>
      </c>
      <c r="F38" s="469">
        <f>'Phase 2b Draw'!F41+'Phase 2a Draw'!F41</f>
        <v>0</v>
      </c>
      <c r="G38" s="469">
        <f>'Phase 2b Draw'!G41+'Phase 2a Draw'!G41</f>
        <v>-1500000</v>
      </c>
      <c r="H38" s="469">
        <f>'Phase 2b Draw'!H41+'Phase 2a Draw'!H41</f>
        <v>0</v>
      </c>
      <c r="I38" s="469">
        <f>'Phase 2b Draw'!I41+'Phase 2a Draw'!I41</f>
        <v>0</v>
      </c>
      <c r="J38" s="469">
        <f>'Phase 2b Draw'!J41+'Phase 2a Draw'!J41</f>
        <v>0</v>
      </c>
      <c r="K38" s="469">
        <f>'Phase 2b Draw'!K41+'Phase 2a Draw'!K41</f>
        <v>-14572679.859999999</v>
      </c>
      <c r="L38" s="469">
        <f>'Phase 2b Draw'!L41+'Phase 2a Draw'!L41</f>
        <v>-8151299.8599999994</v>
      </c>
      <c r="M38" s="469">
        <f>'Phase 2b Draw'!M41+'Phase 2a Draw'!M41</f>
        <v>-3367970.62</v>
      </c>
      <c r="N38" s="469">
        <f>'Phase 2b Draw'!N41+'Phase 2a Draw'!N41</f>
        <v>-3367970.62</v>
      </c>
      <c r="O38" s="469">
        <f>'Phase 2b Draw'!O41+'Phase 2a Draw'!O41</f>
        <v>-11911142.609999999</v>
      </c>
      <c r="P38" s="469">
        <f>'Phase 2b Draw'!P41+'Phase 2a Draw'!P41</f>
        <v>-3351541.4240000001</v>
      </c>
      <c r="Q38" s="469">
        <f>'Phase 2b Draw'!Q41+'Phase 2a Draw'!Q41</f>
        <v>-63296265.753399998</v>
      </c>
      <c r="R38" s="469">
        <f>'Phase 2b Draw'!R41+'Phase 2a Draw'!R41</f>
        <v>-58902492.253399998</v>
      </c>
      <c r="S38" s="469">
        <f>'Phase 2b Draw'!S41+'Phase 2a Draw'!S41</f>
        <v>-67067345.056066662</v>
      </c>
      <c r="T38" s="469">
        <f>'Phase 2b Draw'!T41+'Phase 2a Draw'!T41</f>
        <v>-67737585.256066665</v>
      </c>
      <c r="U38" s="469">
        <f>'Phase 2b Draw'!U41+'Phase 2a Draw'!U41</f>
        <v>-62010780.927399993</v>
      </c>
      <c r="V38" s="469">
        <f>'Phase 2b Draw'!V41+'Phase 2a Draw'!V41</f>
        <v>-62010780.927399993</v>
      </c>
      <c r="W38" s="469">
        <f>'Phase 2b Draw'!W41+'Phase 2a Draw'!W41</f>
        <v>-61890780.927399993</v>
      </c>
      <c r="X38" s="469">
        <f>'Phase 2b Draw'!X41+'Phase 2a Draw'!X41</f>
        <v>815014085.09879994</v>
      </c>
      <c r="Y38" s="469">
        <f>'Phase 2b Draw'!Y41+'Phase 2a Draw'!Y41</f>
        <v>-19843187</v>
      </c>
      <c r="Z38" s="469">
        <f>'Phase 2b Draw'!Z41+'Phase 2a Draw'!Z41</f>
        <v>-19976520.333333332</v>
      </c>
      <c r="AA38" s="469">
        <f>'Phase 2b Draw'!AA41+'Phase 2a Draw'!AA41</f>
        <v>-19976520.333333332</v>
      </c>
      <c r="AB38" s="469">
        <f>'Phase 2b Draw'!AB41+'Phase 2a Draw'!AB41</f>
        <v>-20535053.833333332</v>
      </c>
      <c r="AC38" s="469">
        <f>'Phase 2b Draw'!AC41+'Phase 2a Draw'!AC41</f>
        <v>0</v>
      </c>
      <c r="AD38" s="469">
        <f>'Phase 2b Draw'!AD41+'Phase 2a Draw'!AD41</f>
        <v>0</v>
      </c>
      <c r="AE38" s="469">
        <f>'Phase 2b Draw'!AE41+'Phase 2a Draw'!AE41</f>
        <v>0</v>
      </c>
      <c r="AF38" s="469">
        <f>'Phase 2b Draw'!AF41+'Phase 2a Draw'!AF41</f>
        <v>0</v>
      </c>
      <c r="AG38" s="469">
        <f>'Phase 2b Draw'!AG41+'Phase 2a Draw'!AG41</f>
        <v>0</v>
      </c>
      <c r="AH38" s="469">
        <f>'Phase 2b Draw'!AH41+'Phase 2a Draw'!AH41</f>
        <v>0</v>
      </c>
      <c r="AI38" s="469">
        <f>'Phase 2b Draw'!AI41+'Phase 2a Draw'!AI41</f>
        <v>0</v>
      </c>
      <c r="AJ38" s="469">
        <f>'Phase 2b Draw'!AJ41+'Phase 2a Draw'!AJ41</f>
        <v>0</v>
      </c>
      <c r="AK38" s="469">
        <f>'Phase 2b Draw'!AK41+'Phase 2a Draw'!AK41</f>
        <v>0</v>
      </c>
      <c r="AL38" s="469">
        <f>'Phase 2b Draw'!AL41+'Phase 2a Draw'!AL41</f>
        <v>0</v>
      </c>
      <c r="AM38" s="469">
        <f>'Phase 2b Draw'!AM41+'Phase 2a Draw'!AM41</f>
        <v>0</v>
      </c>
      <c r="AN38" s="469">
        <f>'Phase 2b Draw'!AN41+'Phase 2a Draw'!AN41</f>
        <v>0</v>
      </c>
      <c r="AO38" s="469">
        <f>'Phase 2b Draw'!AO41+'Phase 2a Draw'!AO41</f>
        <v>0</v>
      </c>
      <c r="AP38" s="469">
        <f>'Phase 2b Draw'!AP41+'Phase 2a Draw'!AP41</f>
        <v>0</v>
      </c>
      <c r="AQ38" s="469">
        <f>'Phase 2b Draw'!AQ41+'Phase 2a Draw'!AQ41</f>
        <v>0</v>
      </c>
      <c r="AR38" s="469">
        <f>'Phase 2b Draw'!AR41+'Phase 2a Draw'!AR41</f>
        <v>0</v>
      </c>
      <c r="AS38" s="469">
        <f>'Phase 2b Draw'!AS41+'Phase 2a Draw'!AS41</f>
        <v>0</v>
      </c>
      <c r="AT38" s="469">
        <f>'Phase 2b Draw'!AT41+'Phase 2a Draw'!AT41</f>
        <v>0</v>
      </c>
      <c r="AU38" s="469">
        <f>'Phase 2b Draw'!AU41+'Phase 2a Draw'!AU41</f>
        <v>0</v>
      </c>
      <c r="AV38" s="477"/>
    </row>
    <row r="39" spans="1:48">
      <c r="A39" s="477" t="s">
        <v>342</v>
      </c>
      <c r="B39" s="582">
        <f>IF(B38&lt;0,0,IRR(C38:AU38))</f>
        <v>8.781249153987325E-2</v>
      </c>
      <c r="C39" s="491"/>
      <c r="D39" s="497"/>
      <c r="E39" s="497"/>
      <c r="F39" s="497"/>
      <c r="G39" s="497"/>
      <c r="H39" s="497"/>
      <c r="I39" s="497"/>
      <c r="J39" s="497"/>
      <c r="K39" s="497"/>
      <c r="L39" s="497"/>
      <c r="M39" s="491"/>
      <c r="N39" s="497"/>
      <c r="O39" s="497"/>
      <c r="P39" s="497"/>
      <c r="Q39" s="497"/>
      <c r="R39" s="497"/>
      <c r="S39" s="491"/>
      <c r="T39" s="497"/>
      <c r="U39" s="497"/>
      <c r="V39" s="497"/>
      <c r="W39" s="497"/>
      <c r="X39" s="497"/>
      <c r="Y39" s="497"/>
      <c r="Z39" s="497"/>
      <c r="AA39" s="497"/>
      <c r="AB39" s="497"/>
      <c r="AC39" s="497"/>
      <c r="AD39" s="497"/>
      <c r="AE39" s="497"/>
      <c r="AF39" s="497"/>
      <c r="AG39" s="497"/>
      <c r="AH39" s="497"/>
      <c r="AI39" s="497"/>
      <c r="AJ39" s="497"/>
      <c r="AK39" s="497"/>
      <c r="AL39" s="497"/>
      <c r="AM39" s="497"/>
      <c r="AN39" s="497"/>
      <c r="AO39" s="497"/>
      <c r="AP39" s="497"/>
      <c r="AQ39" s="497"/>
      <c r="AR39" s="497"/>
      <c r="AS39" s="497"/>
      <c r="AT39" s="497"/>
      <c r="AU39" s="497"/>
      <c r="AV39" s="477"/>
    </row>
    <row r="40" spans="1:48">
      <c r="A40" s="477" t="s">
        <v>308</v>
      </c>
      <c r="B40" s="584">
        <f>POWER((1+B39),4)-1</f>
        <v>0.40028412853819817</v>
      </c>
      <c r="C40" s="497"/>
      <c r="D40" s="497"/>
      <c r="E40" s="497"/>
      <c r="F40" s="497"/>
      <c r="G40" s="497"/>
      <c r="H40" s="497"/>
      <c r="I40" s="497"/>
      <c r="J40" s="497"/>
      <c r="K40" s="497"/>
      <c r="L40" s="497"/>
      <c r="M40" s="491"/>
      <c r="N40" s="497"/>
      <c r="O40" s="497"/>
      <c r="P40" s="497"/>
      <c r="Q40" s="497"/>
      <c r="R40" s="497"/>
      <c r="S40" s="491"/>
      <c r="T40" s="497"/>
      <c r="U40" s="497"/>
      <c r="V40" s="497"/>
      <c r="W40" s="497"/>
      <c r="X40" s="497"/>
      <c r="Y40" s="497"/>
      <c r="Z40" s="497"/>
      <c r="AA40" s="497"/>
      <c r="AB40" s="497"/>
      <c r="AC40" s="497"/>
      <c r="AD40" s="497"/>
      <c r="AE40" s="497"/>
      <c r="AF40" s="497"/>
      <c r="AG40" s="497"/>
      <c r="AH40" s="497"/>
      <c r="AI40" s="497"/>
      <c r="AJ40" s="497"/>
      <c r="AK40" s="497"/>
      <c r="AL40" s="497"/>
      <c r="AM40" s="497"/>
      <c r="AN40" s="497"/>
      <c r="AO40" s="497"/>
      <c r="AP40" s="497"/>
      <c r="AQ40" s="497"/>
      <c r="AR40" s="497"/>
      <c r="AS40" s="497"/>
      <c r="AT40" s="497"/>
      <c r="AU40" s="497"/>
      <c r="AV40" s="477"/>
    </row>
    <row r="41" spans="1:48">
      <c r="G41" s="37"/>
      <c r="AA41"/>
      <c r="AB41"/>
      <c r="AC41"/>
      <c r="AD41"/>
      <c r="AE41"/>
      <c r="AF41"/>
      <c r="AH41"/>
      <c r="AI41"/>
      <c r="AJ41"/>
    </row>
    <row r="42" spans="1:48">
      <c r="G42" s="37"/>
      <c r="AA42"/>
      <c r="AB42"/>
      <c r="AC42"/>
      <c r="AD42"/>
      <c r="AE42"/>
      <c r="AF42"/>
      <c r="AH42"/>
      <c r="AI42"/>
      <c r="AJ42"/>
    </row>
    <row r="43" spans="1:48">
      <c r="G43" s="37"/>
      <c r="AA43"/>
      <c r="AB43"/>
      <c r="AC43"/>
      <c r="AD43"/>
      <c r="AE43"/>
      <c r="AF43"/>
      <c r="AH43"/>
      <c r="AI43"/>
      <c r="AJ43"/>
    </row>
    <row r="44" spans="1:48">
      <c r="G44" s="37"/>
      <c r="AA44"/>
      <c r="AB44"/>
      <c r="AC44"/>
      <c r="AD44"/>
      <c r="AE44"/>
      <c r="AF44"/>
      <c r="AH44"/>
      <c r="AI44"/>
      <c r="AJ44"/>
    </row>
    <row r="45" spans="1:48">
      <c r="G45" s="37"/>
      <c r="AA45"/>
      <c r="AB45"/>
      <c r="AC45"/>
      <c r="AD45"/>
      <c r="AE45"/>
      <c r="AF45"/>
      <c r="AH45"/>
      <c r="AI45"/>
      <c r="AJ45"/>
    </row>
    <row r="46" spans="1:48">
      <c r="G46" s="37"/>
      <c r="AA46"/>
      <c r="AB46"/>
      <c r="AC46"/>
      <c r="AD46"/>
      <c r="AE46"/>
      <c r="AF46"/>
      <c r="AH46"/>
      <c r="AI46"/>
      <c r="AJ46"/>
    </row>
    <row r="47" spans="1:48">
      <c r="G47" s="37"/>
      <c r="AA47"/>
      <c r="AB47"/>
      <c r="AC47"/>
      <c r="AD47"/>
      <c r="AE47"/>
      <c r="AF47"/>
      <c r="AH47"/>
      <c r="AI47"/>
      <c r="AJ47"/>
    </row>
    <row r="48" spans="1:48">
      <c r="G48" s="37"/>
      <c r="AA48"/>
      <c r="AB48"/>
      <c r="AC48"/>
      <c r="AD48"/>
      <c r="AE48"/>
      <c r="AF48"/>
      <c r="AH48"/>
      <c r="AI48"/>
      <c r="AJ48"/>
    </row>
    <row r="49" spans="7:32">
      <c r="G49" s="37"/>
      <c r="AA49"/>
      <c r="AB49"/>
      <c r="AC49"/>
      <c r="AD49"/>
      <c r="AE49"/>
      <c r="AF49"/>
    </row>
    <row r="50" spans="7:32">
      <c r="G50" s="37"/>
      <c r="AA50"/>
      <c r="AB50"/>
      <c r="AC50"/>
      <c r="AD50"/>
      <c r="AE50"/>
      <c r="AF50"/>
    </row>
    <row r="51" spans="7:32">
      <c r="G51" s="37"/>
      <c r="AA51"/>
      <c r="AB51"/>
      <c r="AC51"/>
      <c r="AD51"/>
      <c r="AE51"/>
      <c r="AF51"/>
    </row>
    <row r="52" spans="7:32">
      <c r="G52" s="37"/>
      <c r="AA52"/>
      <c r="AB52"/>
      <c r="AC52"/>
      <c r="AD52"/>
      <c r="AE52"/>
      <c r="AF52"/>
    </row>
    <row r="53" spans="7:32">
      <c r="G53" s="37"/>
      <c r="AA53"/>
      <c r="AB53"/>
      <c r="AC53"/>
      <c r="AD53"/>
      <c r="AE53"/>
      <c r="AF53"/>
    </row>
    <row r="54" spans="7:32">
      <c r="G54" s="37"/>
      <c r="AA54"/>
      <c r="AB54"/>
      <c r="AC54"/>
      <c r="AD54"/>
      <c r="AE54"/>
      <c r="AF54"/>
    </row>
    <row r="55" spans="7:32">
      <c r="G55" s="37"/>
      <c r="AA55"/>
      <c r="AB55"/>
      <c r="AC55"/>
      <c r="AD55"/>
      <c r="AE55"/>
      <c r="AF55"/>
    </row>
    <row r="56" spans="7:32">
      <c r="G56" s="37"/>
      <c r="AA56"/>
      <c r="AB56"/>
      <c r="AC56"/>
      <c r="AD56"/>
      <c r="AE56"/>
      <c r="AF56"/>
    </row>
    <row r="57" spans="7:32">
      <c r="G57" s="37"/>
      <c r="AA57"/>
      <c r="AB57"/>
      <c r="AC57"/>
      <c r="AD57"/>
      <c r="AE57"/>
      <c r="AF57"/>
    </row>
    <row r="58" spans="7:32">
      <c r="G58" s="37"/>
      <c r="AA58"/>
      <c r="AB58"/>
      <c r="AC58"/>
      <c r="AD58"/>
      <c r="AE58"/>
      <c r="AF58"/>
    </row>
    <row r="59" spans="7:32">
      <c r="G59" s="37"/>
      <c r="AA59"/>
      <c r="AB59"/>
      <c r="AC59"/>
      <c r="AD59"/>
      <c r="AE59"/>
      <c r="AF59"/>
    </row>
    <row r="60" spans="7:32">
      <c r="G60" s="37"/>
      <c r="AA60"/>
      <c r="AB60"/>
      <c r="AC60"/>
      <c r="AD60"/>
      <c r="AE60"/>
      <c r="AF60"/>
    </row>
    <row r="61" spans="7:32">
      <c r="G61" s="37"/>
      <c r="AA61"/>
      <c r="AB61"/>
      <c r="AC61"/>
      <c r="AD61"/>
      <c r="AE61"/>
      <c r="AF61"/>
    </row>
    <row r="62" spans="7:32">
      <c r="G62" s="37"/>
      <c r="AA62"/>
      <c r="AB62"/>
      <c r="AC62"/>
      <c r="AD62"/>
      <c r="AE62"/>
      <c r="AF62"/>
    </row>
    <row r="63" spans="7:32">
      <c r="G63" s="37"/>
      <c r="AA63"/>
      <c r="AB63"/>
      <c r="AC63"/>
      <c r="AD63"/>
      <c r="AE63"/>
      <c r="AF63"/>
    </row>
    <row r="64" spans="7:32">
      <c r="G64" s="37"/>
      <c r="AA64"/>
      <c r="AB64"/>
      <c r="AC64"/>
      <c r="AD64"/>
      <c r="AE64"/>
      <c r="AF64"/>
    </row>
    <row r="65" spans="7:32">
      <c r="G65" s="37"/>
      <c r="AA65"/>
      <c r="AB65"/>
      <c r="AC65"/>
      <c r="AD65"/>
      <c r="AE65"/>
      <c r="AF65"/>
    </row>
    <row r="66" spans="7:32">
      <c r="G66" s="37"/>
      <c r="AA66"/>
      <c r="AB66"/>
      <c r="AC66"/>
      <c r="AD66"/>
      <c r="AE66"/>
      <c r="AF66"/>
    </row>
    <row r="67" spans="7:32">
      <c r="G67" s="37"/>
      <c r="AA67"/>
      <c r="AB67"/>
      <c r="AC67"/>
      <c r="AD67"/>
      <c r="AE67"/>
      <c r="AF67"/>
    </row>
    <row r="68" spans="7:32">
      <c r="G68" s="37"/>
      <c r="AA68"/>
      <c r="AB68"/>
      <c r="AC68"/>
      <c r="AD68"/>
      <c r="AE68"/>
      <c r="AF68"/>
    </row>
    <row r="69" spans="7:32">
      <c r="G69" s="37"/>
      <c r="AA69"/>
      <c r="AB69"/>
      <c r="AC69"/>
      <c r="AD69"/>
      <c r="AE69"/>
      <c r="AF69"/>
    </row>
    <row r="70" spans="7:32">
      <c r="G70" s="37"/>
      <c r="AA70"/>
      <c r="AB70"/>
      <c r="AC70"/>
      <c r="AD70"/>
      <c r="AE70"/>
      <c r="AF70"/>
    </row>
    <row r="71" spans="7:32">
      <c r="G71" s="37"/>
      <c r="AA71"/>
      <c r="AB71"/>
      <c r="AC71"/>
      <c r="AD71"/>
      <c r="AE71"/>
      <c r="AF71"/>
    </row>
    <row r="72" spans="7:32">
      <c r="G72" s="37"/>
      <c r="AA72"/>
      <c r="AB72"/>
      <c r="AC72"/>
      <c r="AD72"/>
      <c r="AE72"/>
      <c r="AF72"/>
    </row>
    <row r="73" spans="7:32">
      <c r="G73" s="37"/>
      <c r="AA73"/>
      <c r="AB73"/>
      <c r="AC73"/>
      <c r="AD73"/>
      <c r="AE73"/>
      <c r="AF73"/>
    </row>
    <row r="74" spans="7:32">
      <c r="G74" s="37"/>
      <c r="AA74"/>
      <c r="AB74"/>
      <c r="AC74"/>
      <c r="AD74"/>
      <c r="AE74"/>
      <c r="AF74"/>
    </row>
    <row r="75" spans="7:32">
      <c r="G75" s="37"/>
      <c r="AA75"/>
      <c r="AB75"/>
      <c r="AC75"/>
      <c r="AD75"/>
      <c r="AE75"/>
      <c r="AF75"/>
    </row>
    <row r="76" spans="7:32">
      <c r="G76" s="37"/>
      <c r="AA76"/>
      <c r="AB76"/>
      <c r="AC76"/>
      <c r="AD76"/>
      <c r="AE76"/>
      <c r="AF76"/>
    </row>
    <row r="77" spans="7:32">
      <c r="G77" s="37"/>
      <c r="AA77"/>
      <c r="AB77"/>
      <c r="AC77"/>
      <c r="AD77"/>
      <c r="AE77"/>
      <c r="AF77"/>
    </row>
    <row r="78" spans="7:32">
      <c r="G78" s="37"/>
      <c r="AA78"/>
      <c r="AB78"/>
      <c r="AC78"/>
      <c r="AD78"/>
      <c r="AE78"/>
      <c r="AF78"/>
    </row>
    <row r="79" spans="7:32">
      <c r="G79" s="37"/>
      <c r="AA79"/>
      <c r="AB79"/>
      <c r="AC79"/>
      <c r="AD79"/>
      <c r="AE79"/>
      <c r="AF79"/>
    </row>
    <row r="80" spans="7:32">
      <c r="G80" s="37"/>
      <c r="AA80"/>
      <c r="AB80"/>
      <c r="AC80"/>
      <c r="AD80"/>
      <c r="AE80"/>
      <c r="AF80"/>
    </row>
    <row r="81" spans="7:32">
      <c r="G81" s="37"/>
      <c r="AA81"/>
      <c r="AB81"/>
      <c r="AC81"/>
      <c r="AD81"/>
      <c r="AE81"/>
      <c r="AF81"/>
    </row>
    <row r="82" spans="7:32">
      <c r="G82" s="37"/>
      <c r="AA82"/>
      <c r="AB82"/>
      <c r="AC82"/>
      <c r="AD82"/>
      <c r="AE82"/>
      <c r="AF82"/>
    </row>
    <row r="83" spans="7:32">
      <c r="G83" s="37"/>
      <c r="AA83"/>
      <c r="AB83"/>
      <c r="AC83"/>
      <c r="AD83"/>
      <c r="AE83"/>
      <c r="AF83"/>
    </row>
    <row r="84" spans="7:32">
      <c r="G84" s="37"/>
      <c r="AA84"/>
      <c r="AB84"/>
      <c r="AC84"/>
      <c r="AD84"/>
      <c r="AE84"/>
      <c r="AF84"/>
    </row>
    <row r="85" spans="7:32">
      <c r="G85" s="37"/>
      <c r="AA85"/>
      <c r="AB85"/>
      <c r="AC85"/>
      <c r="AD85"/>
      <c r="AE85"/>
      <c r="AF85"/>
    </row>
    <row r="86" spans="7:32">
      <c r="G86" s="37"/>
      <c r="AA86"/>
      <c r="AB86"/>
      <c r="AC86"/>
      <c r="AD86"/>
      <c r="AE86"/>
      <c r="AF86"/>
    </row>
    <row r="87" spans="7:32">
      <c r="G87" s="37"/>
      <c r="AA87"/>
      <c r="AB87"/>
      <c r="AC87"/>
      <c r="AD87"/>
      <c r="AE87"/>
      <c r="AF87"/>
    </row>
    <row r="88" spans="7:32">
      <c r="G88" s="37"/>
      <c r="AA88"/>
      <c r="AB88"/>
      <c r="AC88"/>
      <c r="AD88"/>
      <c r="AE88"/>
      <c r="AF88"/>
    </row>
    <row r="89" spans="7:32">
      <c r="G89" s="37"/>
      <c r="AA89"/>
      <c r="AB89"/>
      <c r="AC89"/>
      <c r="AD89"/>
      <c r="AE89"/>
      <c r="AF89"/>
    </row>
    <row r="90" spans="7:32">
      <c r="G90" s="37"/>
      <c r="AA90"/>
      <c r="AB90"/>
      <c r="AC90"/>
      <c r="AD90"/>
      <c r="AE90"/>
      <c r="AF90"/>
    </row>
    <row r="91" spans="7:32">
      <c r="G91" s="37"/>
      <c r="AA91"/>
      <c r="AB91"/>
      <c r="AC91"/>
      <c r="AD91"/>
      <c r="AE91"/>
      <c r="AF91"/>
    </row>
    <row r="92" spans="7:32">
      <c r="G92" s="37"/>
      <c r="AA92"/>
      <c r="AB92"/>
      <c r="AC92"/>
      <c r="AD92"/>
      <c r="AE92"/>
      <c r="AF92"/>
    </row>
    <row r="93" spans="7:32">
      <c r="G93" s="37"/>
      <c r="AA93"/>
      <c r="AB93"/>
      <c r="AC93"/>
      <c r="AD93"/>
      <c r="AE93"/>
      <c r="AF93"/>
    </row>
    <row r="94" spans="7:32">
      <c r="G94" s="37"/>
      <c r="AA94"/>
      <c r="AB94"/>
      <c r="AC94"/>
      <c r="AD94"/>
      <c r="AE94"/>
      <c r="AF94"/>
    </row>
    <row r="95" spans="7:32">
      <c r="G95" s="37"/>
      <c r="AA95"/>
      <c r="AB95"/>
      <c r="AC95"/>
      <c r="AD95"/>
      <c r="AE95"/>
      <c r="AF95"/>
    </row>
    <row r="96" spans="7:32">
      <c r="G96" s="37"/>
      <c r="AA96"/>
      <c r="AB96"/>
      <c r="AC96"/>
      <c r="AD96"/>
      <c r="AE96"/>
      <c r="AF96"/>
    </row>
    <row r="97" spans="7:32">
      <c r="G97" s="37"/>
      <c r="AA97"/>
      <c r="AB97"/>
      <c r="AC97"/>
      <c r="AD97"/>
      <c r="AE97"/>
      <c r="AF97"/>
    </row>
    <row r="98" spans="7:32">
      <c r="G98" s="37"/>
      <c r="AA98"/>
      <c r="AB98"/>
      <c r="AC98"/>
      <c r="AD98"/>
      <c r="AE98"/>
      <c r="AF98"/>
    </row>
    <row r="99" spans="7:32">
      <c r="G99" s="37"/>
      <c r="AA99"/>
      <c r="AB99"/>
      <c r="AC99"/>
      <c r="AD99"/>
      <c r="AE99"/>
      <c r="AF99"/>
    </row>
    <row r="100" spans="7:32">
      <c r="G100" s="37"/>
      <c r="AA100"/>
      <c r="AB100"/>
      <c r="AC100"/>
      <c r="AD100"/>
      <c r="AE100"/>
      <c r="AF100"/>
    </row>
    <row r="101" spans="7:32">
      <c r="G101" s="37"/>
      <c r="AA101"/>
      <c r="AB101"/>
      <c r="AC101"/>
      <c r="AD101"/>
      <c r="AE101"/>
      <c r="AF101"/>
    </row>
    <row r="102" spans="7:32">
      <c r="G102" s="37"/>
      <c r="AA102"/>
      <c r="AB102"/>
      <c r="AC102"/>
      <c r="AD102"/>
      <c r="AE102"/>
      <c r="AF102"/>
    </row>
    <row r="103" spans="7:32">
      <c r="G103" s="37"/>
      <c r="AA103"/>
      <c r="AB103"/>
      <c r="AC103"/>
      <c r="AD103"/>
      <c r="AE103"/>
      <c r="AF103"/>
    </row>
    <row r="104" spans="7:32">
      <c r="G104" s="37"/>
      <c r="AA104"/>
      <c r="AB104"/>
      <c r="AC104"/>
      <c r="AD104"/>
      <c r="AE104"/>
      <c r="AF104"/>
    </row>
    <row r="105" spans="7:32">
      <c r="G105" s="37"/>
      <c r="AA105"/>
      <c r="AB105"/>
      <c r="AC105"/>
      <c r="AD105"/>
      <c r="AE105"/>
      <c r="AF105"/>
    </row>
    <row r="106" spans="7:32">
      <c r="G106" s="37"/>
      <c r="AA106"/>
      <c r="AB106"/>
      <c r="AC106"/>
      <c r="AD106"/>
      <c r="AE106"/>
      <c r="AF106"/>
    </row>
    <row r="107" spans="7:32">
      <c r="G107" s="37"/>
      <c r="AA107"/>
      <c r="AB107"/>
      <c r="AC107"/>
      <c r="AD107"/>
      <c r="AE107"/>
      <c r="AF107"/>
    </row>
    <row r="108" spans="7:32">
      <c r="G108" s="37"/>
      <c r="AA108"/>
      <c r="AB108"/>
      <c r="AC108"/>
      <c r="AD108"/>
      <c r="AE108"/>
      <c r="AF108"/>
    </row>
    <row r="109" spans="7:32">
      <c r="G109" s="37"/>
      <c r="AA109"/>
      <c r="AB109"/>
      <c r="AC109"/>
      <c r="AD109"/>
      <c r="AE109"/>
      <c r="AF109"/>
    </row>
    <row r="110" spans="7:32">
      <c r="G110" s="37"/>
      <c r="AA110"/>
      <c r="AB110"/>
      <c r="AC110"/>
      <c r="AD110"/>
      <c r="AE110"/>
      <c r="AF110"/>
    </row>
    <row r="111" spans="7:32">
      <c r="G111" s="37"/>
      <c r="AA111"/>
      <c r="AB111"/>
      <c r="AC111"/>
      <c r="AD111"/>
      <c r="AE111"/>
      <c r="AF111"/>
    </row>
    <row r="112" spans="7:32">
      <c r="G112" s="37"/>
      <c r="AA112"/>
      <c r="AB112"/>
      <c r="AC112"/>
      <c r="AD112"/>
      <c r="AE112"/>
      <c r="AF112"/>
    </row>
    <row r="113" spans="7:32">
      <c r="G113" s="37"/>
      <c r="AA113"/>
      <c r="AB113"/>
      <c r="AC113"/>
      <c r="AD113"/>
      <c r="AE113"/>
      <c r="AF113"/>
    </row>
    <row r="114" spans="7:32">
      <c r="G114" s="37"/>
      <c r="AA114"/>
      <c r="AB114"/>
      <c r="AC114"/>
      <c r="AD114"/>
      <c r="AE114"/>
      <c r="AF114"/>
    </row>
    <row r="115" spans="7:32">
      <c r="G115" s="37"/>
      <c r="AA115"/>
      <c r="AB115"/>
      <c r="AC115"/>
      <c r="AD115"/>
      <c r="AE115"/>
      <c r="AF115"/>
    </row>
    <row r="116" spans="7:32">
      <c r="G116" s="37"/>
      <c r="AA116"/>
      <c r="AB116"/>
      <c r="AC116"/>
      <c r="AD116"/>
      <c r="AE116"/>
      <c r="AF116"/>
    </row>
    <row r="117" spans="7:32">
      <c r="G117" s="37"/>
      <c r="AA117"/>
      <c r="AB117"/>
      <c r="AC117"/>
      <c r="AD117"/>
      <c r="AE117"/>
      <c r="AF117"/>
    </row>
    <row r="118" spans="7:32">
      <c r="G118" s="37"/>
      <c r="AA118"/>
      <c r="AB118"/>
      <c r="AC118"/>
      <c r="AD118"/>
      <c r="AE118"/>
      <c r="AF118"/>
    </row>
    <row r="119" spans="7:32">
      <c r="G119" s="37"/>
      <c r="AA119"/>
      <c r="AB119"/>
      <c r="AC119"/>
      <c r="AD119"/>
      <c r="AE119"/>
      <c r="AF119"/>
    </row>
    <row r="120" spans="7:32">
      <c r="G120" s="37"/>
      <c r="AA120"/>
      <c r="AB120"/>
      <c r="AC120"/>
      <c r="AD120"/>
      <c r="AE120"/>
      <c r="AF120"/>
    </row>
    <row r="121" spans="7:32">
      <c r="G121" s="37"/>
      <c r="AA121"/>
      <c r="AB121"/>
      <c r="AC121"/>
      <c r="AD121"/>
      <c r="AE121"/>
      <c r="AF121"/>
    </row>
    <row r="122" spans="7:32">
      <c r="G122" s="37"/>
      <c r="AA122"/>
      <c r="AB122"/>
      <c r="AC122"/>
      <c r="AD122"/>
      <c r="AE122"/>
      <c r="AF122"/>
    </row>
    <row r="123" spans="7:32">
      <c r="G123" s="37"/>
      <c r="AA123"/>
      <c r="AB123"/>
      <c r="AC123"/>
      <c r="AD123"/>
      <c r="AE123"/>
      <c r="AF123"/>
    </row>
    <row r="124" spans="7:32">
      <c r="G124" s="37"/>
      <c r="AA124"/>
      <c r="AB124"/>
      <c r="AC124"/>
      <c r="AD124"/>
      <c r="AE124"/>
      <c r="AF124"/>
    </row>
    <row r="125" spans="7:32">
      <c r="G125" s="37"/>
      <c r="AA125"/>
      <c r="AB125"/>
      <c r="AC125"/>
      <c r="AD125"/>
      <c r="AE125"/>
      <c r="AF125"/>
    </row>
    <row r="126" spans="7:32">
      <c r="G126" s="37"/>
      <c r="AA126"/>
      <c r="AB126"/>
      <c r="AC126"/>
      <c r="AD126"/>
      <c r="AE126"/>
      <c r="AF126"/>
    </row>
    <row r="127" spans="7:32">
      <c r="G127" s="37"/>
      <c r="AA127"/>
      <c r="AB127"/>
      <c r="AC127"/>
      <c r="AD127"/>
      <c r="AE127"/>
      <c r="AF127"/>
    </row>
    <row r="128" spans="7:32">
      <c r="G128" s="37"/>
      <c r="AA128"/>
      <c r="AB128"/>
      <c r="AC128"/>
      <c r="AD128"/>
      <c r="AE128"/>
      <c r="AF128"/>
    </row>
    <row r="129" spans="7:32">
      <c r="G129" s="37"/>
      <c r="AA129"/>
      <c r="AB129"/>
      <c r="AC129"/>
      <c r="AD129"/>
      <c r="AE129"/>
      <c r="AF129"/>
    </row>
    <row r="130" spans="7:32">
      <c r="G130" s="37"/>
      <c r="AA130"/>
      <c r="AB130"/>
      <c r="AC130"/>
      <c r="AD130"/>
      <c r="AE130"/>
      <c r="AF130"/>
    </row>
    <row r="131" spans="7:32">
      <c r="G131" s="37"/>
      <c r="AA131"/>
      <c r="AB131"/>
      <c r="AC131"/>
      <c r="AD131"/>
      <c r="AE131"/>
      <c r="AF131"/>
    </row>
    <row r="132" spans="7:32">
      <c r="G132" s="37"/>
      <c r="AA132"/>
      <c r="AB132"/>
      <c r="AC132"/>
      <c r="AD132"/>
      <c r="AE132"/>
      <c r="AF132"/>
    </row>
    <row r="133" spans="7:32">
      <c r="G133" s="37"/>
      <c r="AA133"/>
      <c r="AB133"/>
      <c r="AC133"/>
      <c r="AD133"/>
      <c r="AE133"/>
      <c r="AF133"/>
    </row>
    <row r="134" spans="7:32">
      <c r="G134" s="37"/>
      <c r="AA134"/>
      <c r="AB134"/>
      <c r="AC134"/>
      <c r="AD134"/>
      <c r="AE134"/>
      <c r="AF134"/>
    </row>
    <row r="135" spans="7:32">
      <c r="G135" s="37"/>
      <c r="AA135"/>
      <c r="AB135"/>
      <c r="AC135"/>
      <c r="AD135"/>
      <c r="AE135"/>
      <c r="AF135"/>
    </row>
    <row r="136" spans="7:32">
      <c r="G136" s="37"/>
      <c r="AA136"/>
      <c r="AB136"/>
      <c r="AC136"/>
      <c r="AD136"/>
      <c r="AE136"/>
      <c r="AF136"/>
    </row>
    <row r="137" spans="7:32">
      <c r="G137" s="37"/>
      <c r="AA137"/>
      <c r="AB137"/>
      <c r="AC137"/>
      <c r="AD137"/>
      <c r="AE137"/>
      <c r="AF137"/>
    </row>
    <row r="138" spans="7:32">
      <c r="G138" s="37"/>
      <c r="AA138"/>
      <c r="AB138"/>
      <c r="AC138"/>
      <c r="AD138"/>
      <c r="AE138"/>
      <c r="AF138"/>
    </row>
    <row r="139" spans="7:32">
      <c r="G139" s="37"/>
      <c r="AA139"/>
      <c r="AB139"/>
      <c r="AC139"/>
      <c r="AD139"/>
      <c r="AE139"/>
      <c r="AF139"/>
    </row>
    <row r="140" spans="7:32">
      <c r="G140" s="37"/>
      <c r="AA140"/>
      <c r="AB140"/>
      <c r="AC140"/>
      <c r="AD140"/>
      <c r="AE140"/>
      <c r="AF140"/>
    </row>
    <row r="141" spans="7:32">
      <c r="G141" s="37"/>
      <c r="AA141"/>
      <c r="AB141"/>
      <c r="AC141"/>
      <c r="AD141"/>
      <c r="AE141"/>
      <c r="AF141"/>
    </row>
    <row r="142" spans="7:32">
      <c r="G142" s="37"/>
      <c r="AA142"/>
      <c r="AB142"/>
      <c r="AC142"/>
      <c r="AD142"/>
      <c r="AE142"/>
      <c r="AF142"/>
    </row>
    <row r="143" spans="7:32">
      <c r="G143" s="37"/>
      <c r="AA143"/>
      <c r="AB143"/>
      <c r="AC143"/>
      <c r="AD143"/>
      <c r="AE143"/>
      <c r="AF143"/>
    </row>
    <row r="144" spans="7:32">
      <c r="G144" s="37"/>
      <c r="AA144"/>
      <c r="AB144"/>
      <c r="AC144"/>
      <c r="AD144"/>
      <c r="AE144"/>
      <c r="AF144"/>
    </row>
    <row r="145" spans="7:32">
      <c r="G145" s="37"/>
      <c r="AA145"/>
      <c r="AB145"/>
      <c r="AC145"/>
      <c r="AD145"/>
      <c r="AE145"/>
      <c r="AF145"/>
    </row>
    <row r="146" spans="7:32">
      <c r="G146" s="37"/>
      <c r="AA146"/>
      <c r="AB146"/>
      <c r="AC146"/>
      <c r="AD146"/>
      <c r="AE146"/>
      <c r="AF146"/>
    </row>
    <row r="147" spans="7:32">
      <c r="G147" s="37"/>
      <c r="AA147"/>
      <c r="AB147"/>
      <c r="AC147"/>
      <c r="AD147"/>
      <c r="AE147"/>
      <c r="AF147"/>
    </row>
    <row r="148" spans="7:32">
      <c r="G148" s="37"/>
      <c r="AA148"/>
      <c r="AB148"/>
      <c r="AC148"/>
      <c r="AD148"/>
      <c r="AE148"/>
      <c r="AF148"/>
    </row>
    <row r="149" spans="7:32">
      <c r="G149" s="37"/>
      <c r="AA149"/>
      <c r="AB149"/>
      <c r="AC149"/>
      <c r="AD149"/>
      <c r="AE149"/>
      <c r="AF149"/>
    </row>
    <row r="150" spans="7:32">
      <c r="G150" s="37"/>
      <c r="AA150"/>
      <c r="AB150"/>
      <c r="AC150"/>
      <c r="AD150"/>
      <c r="AE150"/>
      <c r="AF150"/>
    </row>
    <row r="151" spans="7:32">
      <c r="G151" s="37"/>
      <c r="AA151"/>
      <c r="AB151"/>
      <c r="AC151"/>
      <c r="AD151"/>
      <c r="AE151"/>
      <c r="AF151"/>
    </row>
    <row r="152" spans="7:32">
      <c r="G152" s="37"/>
      <c r="AA152"/>
      <c r="AB152"/>
      <c r="AC152"/>
      <c r="AD152"/>
      <c r="AE152"/>
      <c r="AF152"/>
    </row>
    <row r="153" spans="7:32">
      <c r="G153" s="37"/>
      <c r="AA153"/>
      <c r="AB153"/>
      <c r="AC153"/>
      <c r="AD153"/>
      <c r="AE153"/>
      <c r="AF153"/>
    </row>
    <row r="154" spans="7:32">
      <c r="G154" s="37"/>
      <c r="AA154"/>
      <c r="AB154"/>
      <c r="AC154"/>
      <c r="AD154"/>
      <c r="AE154"/>
      <c r="AF154"/>
    </row>
    <row r="155" spans="7:32">
      <c r="G155" s="37"/>
      <c r="AA155"/>
      <c r="AB155"/>
      <c r="AC155"/>
      <c r="AD155"/>
      <c r="AE155"/>
      <c r="AF155"/>
    </row>
    <row r="156" spans="7:32">
      <c r="G156" s="37"/>
      <c r="AA156"/>
      <c r="AB156"/>
      <c r="AC156"/>
      <c r="AD156"/>
      <c r="AE156"/>
      <c r="AF156"/>
    </row>
    <row r="157" spans="7:32">
      <c r="G157" s="37"/>
      <c r="AA157"/>
      <c r="AB157"/>
      <c r="AC157"/>
      <c r="AD157"/>
      <c r="AE157"/>
      <c r="AF157"/>
    </row>
    <row r="158" spans="7:32">
      <c r="G158" s="37"/>
      <c r="AA158"/>
      <c r="AB158"/>
      <c r="AC158"/>
      <c r="AD158"/>
      <c r="AE158"/>
      <c r="AF158"/>
    </row>
    <row r="159" spans="7:32">
      <c r="G159" s="37"/>
      <c r="AA159"/>
      <c r="AB159"/>
      <c r="AC159"/>
      <c r="AD159"/>
      <c r="AE159"/>
      <c r="AF159"/>
    </row>
    <row r="160" spans="7:32">
      <c r="G160" s="37"/>
      <c r="AA160"/>
      <c r="AB160"/>
      <c r="AC160"/>
      <c r="AD160"/>
      <c r="AE160"/>
      <c r="AF160"/>
    </row>
    <row r="161" spans="7:32">
      <c r="G161" s="37"/>
      <c r="AA161"/>
      <c r="AB161"/>
      <c r="AC161"/>
      <c r="AD161"/>
      <c r="AE161"/>
      <c r="AF161"/>
    </row>
    <row r="162" spans="7:32">
      <c r="G162" s="37"/>
      <c r="AA162"/>
      <c r="AB162"/>
      <c r="AC162"/>
      <c r="AD162"/>
      <c r="AE162"/>
      <c r="AF162"/>
    </row>
    <row r="163" spans="7:32">
      <c r="G163" s="37"/>
      <c r="AA163"/>
      <c r="AB163"/>
      <c r="AC163"/>
      <c r="AD163"/>
      <c r="AE163"/>
      <c r="AF163"/>
    </row>
    <row r="164" spans="7:32">
      <c r="G164" s="37"/>
      <c r="AA164"/>
      <c r="AB164"/>
      <c r="AC164"/>
      <c r="AD164"/>
      <c r="AE164"/>
      <c r="AF164"/>
    </row>
    <row r="165" spans="7:32">
      <c r="G165" s="37"/>
      <c r="AA165"/>
      <c r="AB165"/>
      <c r="AC165"/>
      <c r="AD165"/>
      <c r="AE165"/>
      <c r="AF165"/>
    </row>
    <row r="166" spans="7:32">
      <c r="G166" s="37"/>
      <c r="AA166"/>
      <c r="AB166"/>
      <c r="AC166"/>
      <c r="AD166"/>
      <c r="AE166"/>
      <c r="AF166"/>
    </row>
    <row r="167" spans="7:32">
      <c r="G167" s="37"/>
      <c r="AA167"/>
      <c r="AB167"/>
      <c r="AC167"/>
      <c r="AD167"/>
      <c r="AE167"/>
      <c r="AF167"/>
    </row>
    <row r="168" spans="7:32">
      <c r="G168" s="37"/>
      <c r="AA168"/>
      <c r="AB168"/>
      <c r="AC168"/>
      <c r="AD168"/>
      <c r="AE168"/>
      <c r="AF168"/>
    </row>
    <row r="169" spans="7:32">
      <c r="G169" s="37"/>
      <c r="AA169"/>
      <c r="AB169"/>
      <c r="AC169"/>
      <c r="AD169"/>
      <c r="AE169"/>
      <c r="AF169"/>
    </row>
    <row r="170" spans="7:32">
      <c r="G170" s="37"/>
      <c r="AA170"/>
      <c r="AB170"/>
      <c r="AC170"/>
      <c r="AD170"/>
      <c r="AE170"/>
      <c r="AF170"/>
    </row>
    <row r="171" spans="7:32">
      <c r="G171" s="37"/>
      <c r="AA171"/>
      <c r="AB171"/>
      <c r="AC171"/>
      <c r="AD171"/>
      <c r="AE171"/>
      <c r="AF171"/>
    </row>
    <row r="172" spans="7:32">
      <c r="G172" s="37"/>
      <c r="AA172"/>
      <c r="AB172"/>
      <c r="AC172"/>
      <c r="AD172"/>
      <c r="AE172"/>
      <c r="AF172"/>
    </row>
    <row r="173" spans="7:32">
      <c r="G173" s="37"/>
      <c r="AA173"/>
      <c r="AB173"/>
      <c r="AC173"/>
      <c r="AD173"/>
      <c r="AE173"/>
      <c r="AF173"/>
    </row>
    <row r="174" spans="7:32">
      <c r="G174" s="37"/>
      <c r="AA174"/>
      <c r="AB174"/>
      <c r="AC174"/>
      <c r="AD174"/>
      <c r="AE174"/>
      <c r="AF174"/>
    </row>
    <row r="175" spans="7:32">
      <c r="G175" s="37"/>
      <c r="AA175"/>
      <c r="AB175"/>
      <c r="AC175"/>
      <c r="AD175"/>
      <c r="AE175"/>
      <c r="AF175"/>
    </row>
    <row r="176" spans="7:32">
      <c r="G176" s="37"/>
      <c r="AA176"/>
      <c r="AB176"/>
      <c r="AC176"/>
      <c r="AD176"/>
      <c r="AE176"/>
      <c r="AF176"/>
    </row>
    <row r="177" spans="7:32">
      <c r="G177" s="37"/>
      <c r="AA177"/>
      <c r="AB177"/>
      <c r="AC177"/>
      <c r="AD177"/>
      <c r="AE177"/>
      <c r="AF177"/>
    </row>
    <row r="178" spans="7:32">
      <c r="G178" s="37"/>
      <c r="AA178"/>
      <c r="AB178"/>
      <c r="AC178"/>
      <c r="AD178"/>
      <c r="AE178"/>
      <c r="AF178"/>
    </row>
    <row r="179" spans="7:32">
      <c r="G179" s="37"/>
      <c r="AA179"/>
      <c r="AB179"/>
      <c r="AC179"/>
      <c r="AD179"/>
      <c r="AE179"/>
      <c r="AF179"/>
    </row>
    <row r="180" spans="7:32">
      <c r="G180" s="37"/>
      <c r="AA180"/>
      <c r="AB180"/>
      <c r="AC180"/>
      <c r="AD180"/>
      <c r="AE180"/>
      <c r="AF180"/>
    </row>
    <row r="181" spans="7:32">
      <c r="G181" s="37"/>
      <c r="AA181"/>
      <c r="AB181"/>
      <c r="AC181"/>
      <c r="AD181"/>
      <c r="AE181"/>
      <c r="AF181"/>
    </row>
    <row r="182" spans="7:32">
      <c r="G182" s="37"/>
      <c r="AA182"/>
      <c r="AB182"/>
      <c r="AC182"/>
      <c r="AD182"/>
      <c r="AE182"/>
      <c r="AF182"/>
    </row>
    <row r="183" spans="7:32">
      <c r="G183" s="37"/>
      <c r="AA183"/>
      <c r="AB183"/>
      <c r="AC183"/>
      <c r="AD183"/>
      <c r="AE183"/>
      <c r="AF183"/>
    </row>
    <row r="184" spans="7:32">
      <c r="G184" s="37"/>
      <c r="AA184"/>
      <c r="AB184"/>
      <c r="AC184"/>
      <c r="AD184"/>
      <c r="AE184"/>
      <c r="AF184"/>
    </row>
    <row r="185" spans="7:32">
      <c r="G185" s="37"/>
      <c r="AA185"/>
      <c r="AB185"/>
      <c r="AC185"/>
      <c r="AD185"/>
      <c r="AE185"/>
      <c r="AF185"/>
    </row>
    <row r="186" spans="7:32">
      <c r="G186" s="37"/>
      <c r="AA186"/>
      <c r="AB186"/>
      <c r="AC186"/>
      <c r="AD186"/>
      <c r="AE186"/>
      <c r="AF186"/>
    </row>
    <row r="187" spans="7:32">
      <c r="G187" s="37"/>
      <c r="AA187"/>
      <c r="AB187"/>
      <c r="AC187"/>
      <c r="AD187"/>
      <c r="AE187"/>
      <c r="AF187"/>
    </row>
    <row r="188" spans="7:32">
      <c r="G188" s="37"/>
      <c r="AA188"/>
      <c r="AB188"/>
      <c r="AC188"/>
      <c r="AD188"/>
      <c r="AE188"/>
      <c r="AF188"/>
    </row>
    <row r="189" spans="7:32">
      <c r="G189" s="37"/>
      <c r="AA189"/>
      <c r="AB189"/>
      <c r="AC189"/>
      <c r="AD189"/>
      <c r="AE189"/>
      <c r="AF189"/>
    </row>
    <row r="190" spans="7:32">
      <c r="G190" s="37"/>
      <c r="AA190"/>
      <c r="AB190"/>
      <c r="AC190"/>
      <c r="AD190"/>
      <c r="AE190"/>
      <c r="AF190"/>
    </row>
    <row r="191" spans="7:32">
      <c r="G191" s="37"/>
      <c r="AA191"/>
      <c r="AB191"/>
      <c r="AC191"/>
      <c r="AD191"/>
      <c r="AE191"/>
      <c r="AF191"/>
    </row>
    <row r="192" spans="7:32">
      <c r="G192" s="37"/>
      <c r="AA192"/>
      <c r="AB192"/>
      <c r="AC192"/>
      <c r="AD192"/>
      <c r="AE192"/>
      <c r="AF192"/>
    </row>
    <row r="193" spans="7:32">
      <c r="G193" s="37"/>
      <c r="AA193"/>
      <c r="AB193"/>
      <c r="AC193"/>
      <c r="AD193"/>
      <c r="AE193"/>
      <c r="AF193"/>
    </row>
    <row r="194" spans="7:32">
      <c r="G194" s="37"/>
      <c r="AA194"/>
      <c r="AB194"/>
      <c r="AC194"/>
      <c r="AD194"/>
      <c r="AE194"/>
      <c r="AF194"/>
    </row>
    <row r="195" spans="7:32">
      <c r="G195" s="37"/>
      <c r="AA195"/>
      <c r="AB195"/>
      <c r="AC195"/>
      <c r="AD195"/>
      <c r="AE195"/>
      <c r="AF195"/>
    </row>
    <row r="196" spans="7:32">
      <c r="G196" s="37"/>
      <c r="AA196"/>
      <c r="AB196"/>
      <c r="AC196"/>
      <c r="AD196"/>
      <c r="AE196"/>
      <c r="AF196"/>
    </row>
    <row r="197" spans="7:32">
      <c r="G197" s="37"/>
      <c r="AA197"/>
      <c r="AB197"/>
      <c r="AC197"/>
      <c r="AD197"/>
      <c r="AE197"/>
      <c r="AF197"/>
    </row>
    <row r="198" spans="7:32">
      <c r="G198" s="37"/>
      <c r="AA198"/>
      <c r="AB198"/>
      <c r="AC198"/>
      <c r="AD198"/>
      <c r="AE198"/>
      <c r="AF198"/>
    </row>
    <row r="199" spans="7:32">
      <c r="G199" s="37"/>
      <c r="AA199"/>
      <c r="AB199"/>
      <c r="AC199"/>
      <c r="AD199"/>
      <c r="AE199"/>
      <c r="AF199"/>
    </row>
    <row r="200" spans="7:32">
      <c r="G200" s="37"/>
      <c r="AA200"/>
      <c r="AB200"/>
      <c r="AC200"/>
      <c r="AD200"/>
      <c r="AE200"/>
      <c r="AF200"/>
    </row>
    <row r="201" spans="7:32">
      <c r="G201" s="37"/>
      <c r="AA201"/>
      <c r="AB201"/>
      <c r="AC201"/>
      <c r="AD201"/>
      <c r="AE201"/>
      <c r="AF201"/>
    </row>
    <row r="202" spans="7:32">
      <c r="G202" s="37"/>
      <c r="AA202"/>
      <c r="AB202"/>
      <c r="AC202"/>
      <c r="AD202"/>
      <c r="AE202"/>
      <c r="AF202"/>
    </row>
    <row r="203" spans="7:32">
      <c r="G203" s="37"/>
      <c r="AA203"/>
      <c r="AB203"/>
      <c r="AC203"/>
      <c r="AD203"/>
      <c r="AE203"/>
      <c r="AF203"/>
    </row>
    <row r="204" spans="7:32">
      <c r="G204" s="37"/>
      <c r="AA204"/>
      <c r="AB204"/>
      <c r="AC204"/>
      <c r="AD204"/>
      <c r="AE204"/>
      <c r="AF204"/>
    </row>
    <row r="205" spans="7:32">
      <c r="G205" s="37"/>
      <c r="AA205"/>
      <c r="AB205"/>
      <c r="AC205"/>
      <c r="AD205"/>
      <c r="AE205"/>
      <c r="AF205"/>
    </row>
    <row r="206" spans="7:32">
      <c r="G206" s="37"/>
      <c r="AA206"/>
      <c r="AB206"/>
      <c r="AC206"/>
      <c r="AD206"/>
      <c r="AE206"/>
      <c r="AF206"/>
    </row>
    <row r="207" spans="7:32">
      <c r="G207" s="37"/>
      <c r="AA207"/>
      <c r="AB207"/>
      <c r="AC207"/>
      <c r="AD207"/>
      <c r="AE207"/>
      <c r="AF207"/>
    </row>
    <row r="208" spans="7:32">
      <c r="G208" s="37"/>
      <c r="AA208"/>
      <c r="AB208"/>
      <c r="AC208"/>
      <c r="AD208"/>
      <c r="AE208"/>
      <c r="AF208"/>
    </row>
    <row r="209" spans="7:32">
      <c r="G209" s="37"/>
      <c r="AA209"/>
      <c r="AB209"/>
      <c r="AC209"/>
      <c r="AD209"/>
      <c r="AE209"/>
      <c r="AF209"/>
    </row>
    <row r="210" spans="7:32">
      <c r="G210" s="37"/>
      <c r="AA210"/>
      <c r="AB210"/>
      <c r="AC210"/>
      <c r="AD210"/>
      <c r="AE210"/>
      <c r="AF210"/>
    </row>
    <row r="211" spans="7:32">
      <c r="G211" s="37"/>
      <c r="AA211"/>
      <c r="AB211"/>
      <c r="AC211"/>
      <c r="AD211"/>
      <c r="AE211"/>
      <c r="AF211"/>
    </row>
    <row r="212" spans="7:32">
      <c r="G212" s="37"/>
      <c r="AA212"/>
      <c r="AB212"/>
      <c r="AC212"/>
      <c r="AD212"/>
      <c r="AE212"/>
      <c r="AF212"/>
    </row>
    <row r="213" spans="7:32">
      <c r="G213" s="37"/>
      <c r="AA213"/>
      <c r="AB213"/>
      <c r="AC213"/>
      <c r="AD213"/>
      <c r="AE213"/>
      <c r="AF213"/>
    </row>
    <row r="214" spans="7:32">
      <c r="G214" s="37"/>
      <c r="AA214"/>
      <c r="AB214"/>
      <c r="AC214"/>
      <c r="AD214"/>
      <c r="AE214"/>
      <c r="AF214"/>
    </row>
    <row r="215" spans="7:32">
      <c r="G215" s="37"/>
      <c r="AA215"/>
      <c r="AB215"/>
      <c r="AC215"/>
      <c r="AD215"/>
      <c r="AE215"/>
      <c r="AF215"/>
    </row>
    <row r="216" spans="7:32">
      <c r="G216" s="37"/>
      <c r="AA216"/>
      <c r="AB216"/>
      <c r="AC216"/>
      <c r="AD216"/>
      <c r="AE216"/>
      <c r="AF216"/>
    </row>
    <row r="217" spans="7:32">
      <c r="G217" s="37"/>
      <c r="AA217"/>
      <c r="AB217"/>
      <c r="AC217"/>
      <c r="AD217"/>
      <c r="AE217"/>
      <c r="AF217"/>
    </row>
    <row r="218" spans="7:32">
      <c r="G218" s="37"/>
      <c r="AA218"/>
      <c r="AB218"/>
      <c r="AC218"/>
      <c r="AD218"/>
      <c r="AE218"/>
      <c r="AF218"/>
    </row>
    <row r="219" spans="7:32">
      <c r="G219" s="37"/>
      <c r="AA219"/>
      <c r="AB219"/>
      <c r="AC219"/>
      <c r="AD219"/>
      <c r="AE219"/>
      <c r="AF219"/>
    </row>
    <row r="220" spans="7:32">
      <c r="G220" s="37"/>
      <c r="AA220"/>
      <c r="AB220"/>
      <c r="AC220"/>
      <c r="AD220"/>
      <c r="AE220"/>
      <c r="AF220"/>
    </row>
    <row r="221" spans="7:32">
      <c r="G221" s="37"/>
      <c r="AA221"/>
      <c r="AB221"/>
      <c r="AC221"/>
      <c r="AD221"/>
      <c r="AE221"/>
      <c r="AF221"/>
    </row>
    <row r="222" spans="7:32">
      <c r="G222" s="37"/>
      <c r="AA222"/>
      <c r="AB222"/>
      <c r="AC222"/>
      <c r="AD222"/>
      <c r="AE222"/>
      <c r="AF222"/>
    </row>
    <row r="223" spans="7:32">
      <c r="G223" s="37"/>
      <c r="AA223"/>
      <c r="AB223"/>
      <c r="AC223"/>
      <c r="AD223"/>
      <c r="AE223"/>
      <c r="AF223"/>
    </row>
    <row r="224" spans="7:32">
      <c r="G224" s="37"/>
      <c r="AA224"/>
      <c r="AB224"/>
      <c r="AC224"/>
      <c r="AD224"/>
      <c r="AE224"/>
      <c r="AF224"/>
    </row>
    <row r="225" spans="7:32">
      <c r="G225" s="37"/>
      <c r="AA225"/>
      <c r="AB225"/>
      <c r="AC225"/>
      <c r="AD225"/>
      <c r="AE225"/>
      <c r="AF225"/>
    </row>
    <row r="226" spans="7:32">
      <c r="G226" s="37"/>
      <c r="AA226"/>
      <c r="AB226"/>
      <c r="AC226"/>
      <c r="AD226"/>
      <c r="AE226"/>
      <c r="AF226"/>
    </row>
    <row r="227" spans="7:32">
      <c r="G227" s="37"/>
      <c r="AA227"/>
      <c r="AB227"/>
      <c r="AC227"/>
      <c r="AD227"/>
      <c r="AE227"/>
      <c r="AF227"/>
    </row>
    <row r="228" spans="7:32">
      <c r="G228" s="37"/>
      <c r="AA228"/>
      <c r="AB228"/>
      <c r="AC228"/>
      <c r="AD228"/>
      <c r="AE228"/>
      <c r="AF228"/>
    </row>
    <row r="229" spans="7:32">
      <c r="G229" s="37"/>
      <c r="AA229"/>
      <c r="AB229"/>
      <c r="AC229"/>
      <c r="AD229"/>
      <c r="AE229"/>
      <c r="AF229"/>
    </row>
    <row r="230" spans="7:32">
      <c r="G230" s="37"/>
      <c r="AA230"/>
      <c r="AB230"/>
      <c r="AC230"/>
      <c r="AD230"/>
      <c r="AE230"/>
      <c r="AF230"/>
    </row>
    <row r="231" spans="7:32">
      <c r="G231" s="37"/>
      <c r="AA231"/>
      <c r="AB231"/>
      <c r="AC231"/>
      <c r="AD231"/>
      <c r="AE231"/>
      <c r="AF231"/>
    </row>
    <row r="232" spans="7:32">
      <c r="G232" s="37"/>
      <c r="AA232"/>
      <c r="AB232"/>
      <c r="AC232"/>
      <c r="AD232"/>
      <c r="AE232"/>
      <c r="AF232"/>
    </row>
    <row r="233" spans="7:32">
      <c r="G233" s="37"/>
      <c r="AA233"/>
      <c r="AB233"/>
      <c r="AC233"/>
      <c r="AD233"/>
      <c r="AE233"/>
      <c r="AF233"/>
    </row>
    <row r="234" spans="7:32">
      <c r="G234" s="37"/>
      <c r="AA234"/>
      <c r="AB234"/>
      <c r="AC234"/>
      <c r="AD234"/>
      <c r="AE234"/>
      <c r="AF234"/>
    </row>
    <row r="235" spans="7:32">
      <c r="G235" s="37"/>
      <c r="AA235"/>
      <c r="AB235"/>
      <c r="AC235"/>
      <c r="AD235"/>
      <c r="AE235"/>
      <c r="AF235"/>
    </row>
    <row r="236" spans="7:32">
      <c r="G236" s="37"/>
      <c r="AA236"/>
      <c r="AB236"/>
      <c r="AC236"/>
      <c r="AD236"/>
      <c r="AE236"/>
      <c r="AF236"/>
    </row>
    <row r="237" spans="7:32">
      <c r="G237" s="37"/>
      <c r="AA237"/>
      <c r="AB237"/>
      <c r="AC237"/>
      <c r="AD237"/>
      <c r="AE237"/>
      <c r="AF237"/>
    </row>
    <row r="238" spans="7:32">
      <c r="G238" s="37"/>
      <c r="AA238"/>
      <c r="AB238"/>
      <c r="AC238"/>
      <c r="AD238"/>
      <c r="AE238"/>
      <c r="AF238"/>
    </row>
    <row r="239" spans="7:32">
      <c r="G239" s="37"/>
      <c r="AA239"/>
      <c r="AB239"/>
      <c r="AC239"/>
      <c r="AD239"/>
      <c r="AE239"/>
      <c r="AF239"/>
    </row>
    <row r="240" spans="7:32">
      <c r="G240" s="37"/>
      <c r="AA240"/>
      <c r="AB240"/>
      <c r="AC240"/>
      <c r="AD240"/>
      <c r="AE240"/>
      <c r="AF240"/>
    </row>
    <row r="241" spans="7:32">
      <c r="G241" s="37"/>
      <c r="AA241"/>
      <c r="AB241"/>
      <c r="AC241"/>
      <c r="AD241"/>
      <c r="AE241"/>
      <c r="AF241"/>
    </row>
    <row r="242" spans="7:32">
      <c r="G242" s="37"/>
      <c r="AA242"/>
      <c r="AB242"/>
      <c r="AC242"/>
      <c r="AD242"/>
      <c r="AE242"/>
      <c r="AF242"/>
    </row>
    <row r="243" spans="7:32">
      <c r="G243" s="37"/>
      <c r="AA243"/>
      <c r="AB243"/>
      <c r="AC243"/>
      <c r="AD243"/>
      <c r="AE243"/>
      <c r="AF243"/>
    </row>
    <row r="244" spans="7:32">
      <c r="G244" s="37"/>
      <c r="AA244"/>
      <c r="AB244"/>
      <c r="AC244"/>
      <c r="AD244"/>
      <c r="AE244"/>
      <c r="AF244"/>
    </row>
    <row r="245" spans="7:32">
      <c r="G245" s="37"/>
      <c r="AA245"/>
      <c r="AB245"/>
      <c r="AC245"/>
      <c r="AD245"/>
      <c r="AE245"/>
      <c r="AF245"/>
    </row>
    <row r="246" spans="7:32">
      <c r="G246" s="37"/>
      <c r="AA246"/>
      <c r="AB246"/>
      <c r="AC246"/>
      <c r="AD246"/>
      <c r="AE246"/>
      <c r="AF246"/>
    </row>
    <row r="247" spans="7:32">
      <c r="G247" s="37"/>
      <c r="AA247"/>
      <c r="AB247"/>
      <c r="AC247"/>
      <c r="AD247"/>
      <c r="AE247"/>
      <c r="AF247"/>
    </row>
    <row r="248" spans="7:32">
      <c r="G248" s="37"/>
      <c r="AA248"/>
      <c r="AB248"/>
      <c r="AC248"/>
      <c r="AD248"/>
      <c r="AE248"/>
      <c r="AF248"/>
    </row>
    <row r="249" spans="7:32">
      <c r="G249" s="37"/>
      <c r="AA249"/>
      <c r="AB249"/>
      <c r="AC249"/>
      <c r="AD249"/>
      <c r="AE249"/>
      <c r="AF249"/>
    </row>
    <row r="250" spans="7:32">
      <c r="G250" s="37"/>
      <c r="AA250"/>
      <c r="AB250"/>
      <c r="AC250"/>
      <c r="AD250"/>
      <c r="AE250"/>
      <c r="AF250"/>
    </row>
    <row r="251" spans="7:32">
      <c r="G251" s="37"/>
      <c r="AA251"/>
      <c r="AB251"/>
      <c r="AC251"/>
      <c r="AD251"/>
      <c r="AE251"/>
      <c r="AF251"/>
    </row>
    <row r="252" spans="7:32">
      <c r="G252" s="37"/>
      <c r="AA252"/>
      <c r="AB252"/>
      <c r="AC252"/>
      <c r="AD252"/>
      <c r="AE252"/>
      <c r="AF252"/>
    </row>
    <row r="253" spans="7:32">
      <c r="G253" s="37"/>
      <c r="AA253"/>
      <c r="AB253"/>
      <c r="AC253"/>
      <c r="AD253"/>
      <c r="AE253"/>
      <c r="AF253"/>
    </row>
    <row r="254" spans="7:32">
      <c r="G254" s="37"/>
      <c r="AA254"/>
      <c r="AB254"/>
      <c r="AC254"/>
      <c r="AD254"/>
      <c r="AE254"/>
      <c r="AF254"/>
    </row>
    <row r="255" spans="7:32">
      <c r="G255" s="37"/>
      <c r="AA255"/>
      <c r="AB255"/>
      <c r="AC255"/>
      <c r="AD255"/>
      <c r="AE255"/>
      <c r="AF255"/>
    </row>
    <row r="256" spans="7:32">
      <c r="G256" s="37"/>
      <c r="AA256"/>
      <c r="AB256"/>
      <c r="AC256"/>
      <c r="AD256"/>
      <c r="AE256"/>
      <c r="AF256"/>
    </row>
    <row r="257" spans="7:32">
      <c r="G257" s="37"/>
      <c r="AA257"/>
      <c r="AB257"/>
      <c r="AC257"/>
      <c r="AD257"/>
      <c r="AE257"/>
      <c r="AF257"/>
    </row>
    <row r="258" spans="7:32">
      <c r="G258" s="37"/>
      <c r="AA258"/>
      <c r="AB258"/>
      <c r="AC258"/>
      <c r="AD258"/>
      <c r="AE258"/>
      <c r="AF258"/>
    </row>
    <row r="259" spans="7:32">
      <c r="G259" s="37"/>
      <c r="AA259"/>
      <c r="AB259"/>
      <c r="AC259"/>
      <c r="AD259"/>
      <c r="AE259"/>
      <c r="AF259"/>
    </row>
    <row r="260" spans="7:32">
      <c r="G260" s="37"/>
      <c r="AA260"/>
      <c r="AB260"/>
      <c r="AC260"/>
      <c r="AD260"/>
      <c r="AE260"/>
      <c r="AF260"/>
    </row>
    <row r="261" spans="7:32">
      <c r="G261" s="37"/>
      <c r="AA261"/>
      <c r="AB261"/>
      <c r="AC261"/>
      <c r="AD261"/>
      <c r="AE261"/>
      <c r="AF261"/>
    </row>
    <row r="262" spans="7:32">
      <c r="G262" s="37"/>
      <c r="AA262"/>
      <c r="AB262"/>
      <c r="AC262"/>
      <c r="AD262"/>
      <c r="AE262"/>
      <c r="AF262"/>
    </row>
    <row r="263" spans="7:32">
      <c r="G263" s="37"/>
      <c r="AA263"/>
      <c r="AB263"/>
      <c r="AC263"/>
      <c r="AD263"/>
      <c r="AE263"/>
      <c r="AF263"/>
    </row>
    <row r="264" spans="7:32">
      <c r="G264" s="37"/>
      <c r="AA264"/>
      <c r="AB264"/>
      <c r="AC264"/>
      <c r="AD264"/>
      <c r="AE264"/>
      <c r="AF264"/>
    </row>
    <row r="265" spans="7:32">
      <c r="G265" s="37"/>
      <c r="AA265"/>
      <c r="AB265"/>
      <c r="AC265"/>
      <c r="AD265"/>
      <c r="AE265"/>
      <c r="AF265"/>
    </row>
    <row r="266" spans="7:32">
      <c r="G266" s="37"/>
      <c r="AA266"/>
      <c r="AB266"/>
      <c r="AC266"/>
      <c r="AD266"/>
      <c r="AE266"/>
      <c r="AF266"/>
    </row>
    <row r="267" spans="7:32">
      <c r="G267" s="37"/>
      <c r="AA267"/>
      <c r="AB267"/>
      <c r="AC267"/>
      <c r="AD267"/>
      <c r="AE267"/>
      <c r="AF267"/>
    </row>
    <row r="268" spans="7:32">
      <c r="G268" s="37"/>
      <c r="AA268"/>
      <c r="AB268"/>
      <c r="AC268"/>
      <c r="AD268"/>
      <c r="AE268"/>
      <c r="AF268"/>
    </row>
    <row r="269" spans="7:32">
      <c r="G269" s="37"/>
      <c r="AA269"/>
      <c r="AB269"/>
      <c r="AC269"/>
      <c r="AD269"/>
      <c r="AE269"/>
      <c r="AF269"/>
    </row>
    <row r="270" spans="7:32">
      <c r="G270" s="37"/>
      <c r="AA270"/>
      <c r="AB270"/>
      <c r="AC270"/>
      <c r="AD270"/>
      <c r="AE270"/>
      <c r="AF270"/>
    </row>
    <row r="271" spans="7:32">
      <c r="G271" s="37"/>
      <c r="AA271"/>
      <c r="AB271"/>
      <c r="AC271"/>
      <c r="AD271"/>
      <c r="AE271"/>
      <c r="AF271"/>
    </row>
    <row r="272" spans="7:32">
      <c r="G272" s="37"/>
      <c r="AA272"/>
      <c r="AB272"/>
      <c r="AC272"/>
      <c r="AD272"/>
      <c r="AE272"/>
      <c r="AF272"/>
    </row>
    <row r="273" spans="7:32">
      <c r="G273" s="37"/>
      <c r="AA273"/>
      <c r="AB273"/>
      <c r="AC273"/>
      <c r="AD273"/>
      <c r="AE273"/>
      <c r="AF273"/>
    </row>
    <row r="274" spans="7:32">
      <c r="G274" s="37"/>
      <c r="AA274"/>
      <c r="AB274"/>
      <c r="AC274"/>
      <c r="AD274"/>
      <c r="AE274"/>
      <c r="AF274"/>
    </row>
    <row r="275" spans="7:32">
      <c r="G275" s="37"/>
      <c r="AA275"/>
      <c r="AB275"/>
      <c r="AC275"/>
      <c r="AD275"/>
      <c r="AE275"/>
      <c r="AF275"/>
    </row>
    <row r="276" spans="7:32">
      <c r="G276" s="37"/>
      <c r="AA276"/>
      <c r="AB276"/>
      <c r="AC276"/>
      <c r="AD276"/>
      <c r="AE276"/>
      <c r="AF276"/>
    </row>
    <row r="277" spans="7:32">
      <c r="G277" s="37"/>
      <c r="AA277"/>
      <c r="AB277"/>
      <c r="AC277"/>
      <c r="AD277"/>
      <c r="AE277"/>
      <c r="AF277"/>
    </row>
    <row r="278" spans="7:32">
      <c r="G278" s="37"/>
      <c r="AA278"/>
      <c r="AB278"/>
      <c r="AC278"/>
      <c r="AD278"/>
      <c r="AE278"/>
      <c r="AF278"/>
    </row>
    <row r="279" spans="7:32">
      <c r="G279" s="37"/>
      <c r="AA279"/>
      <c r="AB279"/>
      <c r="AC279"/>
      <c r="AD279"/>
      <c r="AE279"/>
      <c r="AF279"/>
    </row>
    <row r="280" spans="7:32">
      <c r="G280" s="37"/>
      <c r="AA280"/>
      <c r="AB280"/>
      <c r="AC280"/>
      <c r="AD280"/>
      <c r="AE280"/>
      <c r="AF280"/>
    </row>
    <row r="281" spans="7:32">
      <c r="G281" s="37"/>
      <c r="AA281"/>
      <c r="AB281"/>
      <c r="AC281"/>
      <c r="AD281"/>
      <c r="AE281"/>
      <c r="AF281"/>
    </row>
    <row r="282" spans="7:32">
      <c r="G282" s="37"/>
      <c r="AA282"/>
      <c r="AB282"/>
      <c r="AC282"/>
      <c r="AD282"/>
      <c r="AE282"/>
      <c r="AF282"/>
    </row>
    <row r="283" spans="7:32">
      <c r="G283" s="37"/>
      <c r="AA283"/>
      <c r="AB283"/>
      <c r="AC283"/>
      <c r="AD283"/>
      <c r="AE283"/>
      <c r="AF283"/>
    </row>
    <row r="284" spans="7:32">
      <c r="G284" s="37"/>
      <c r="AA284"/>
      <c r="AB284"/>
      <c r="AC284"/>
      <c r="AD284"/>
      <c r="AE284"/>
      <c r="AF284"/>
    </row>
    <row r="285" spans="7:32">
      <c r="G285" s="37"/>
      <c r="AA285"/>
      <c r="AB285"/>
      <c r="AC285"/>
      <c r="AD285"/>
      <c r="AE285"/>
      <c r="AF285"/>
    </row>
    <row r="286" spans="7:32">
      <c r="G286" s="37"/>
      <c r="AA286"/>
      <c r="AB286"/>
      <c r="AC286"/>
      <c r="AD286"/>
      <c r="AE286"/>
      <c r="AF286"/>
    </row>
    <row r="287" spans="7:32">
      <c r="G287" s="37"/>
      <c r="AA287"/>
      <c r="AB287"/>
      <c r="AC287"/>
      <c r="AD287"/>
      <c r="AE287"/>
      <c r="AF287"/>
    </row>
    <row r="288" spans="7:32">
      <c r="G288" s="37"/>
      <c r="AA288"/>
      <c r="AB288"/>
      <c r="AC288"/>
      <c r="AD288"/>
      <c r="AE288"/>
      <c r="AF288"/>
    </row>
    <row r="289" spans="7:32">
      <c r="G289" s="37"/>
      <c r="AA289"/>
      <c r="AB289"/>
      <c r="AC289"/>
      <c r="AD289"/>
      <c r="AE289"/>
      <c r="AF289"/>
    </row>
    <row r="290" spans="7:32">
      <c r="G290" s="37"/>
      <c r="AA290"/>
      <c r="AB290"/>
      <c r="AC290"/>
      <c r="AD290"/>
      <c r="AE290"/>
      <c r="AF290"/>
    </row>
    <row r="291" spans="7:32">
      <c r="G291" s="37"/>
      <c r="AA291"/>
      <c r="AB291"/>
      <c r="AC291"/>
      <c r="AD291"/>
      <c r="AE291"/>
      <c r="AF291"/>
    </row>
    <row r="292" spans="7:32">
      <c r="G292" s="37"/>
      <c r="AA292"/>
      <c r="AB292"/>
      <c r="AC292"/>
      <c r="AD292"/>
      <c r="AE292"/>
      <c r="AF292"/>
    </row>
    <row r="293" spans="7:32">
      <c r="G293" s="37"/>
      <c r="AA293"/>
      <c r="AB293"/>
      <c r="AC293"/>
      <c r="AD293"/>
      <c r="AE293"/>
      <c r="AF293"/>
    </row>
    <row r="294" spans="7:32">
      <c r="G294" s="37"/>
      <c r="AA294"/>
      <c r="AB294"/>
      <c r="AC294"/>
      <c r="AD294"/>
      <c r="AE294"/>
      <c r="AF294"/>
    </row>
    <row r="295" spans="7:32">
      <c r="G295" s="37"/>
      <c r="AA295"/>
      <c r="AB295"/>
      <c r="AC295"/>
      <c r="AD295"/>
      <c r="AE295"/>
      <c r="AF295"/>
    </row>
    <row r="296" spans="7:32">
      <c r="G296" s="37"/>
      <c r="AA296"/>
      <c r="AB296"/>
      <c r="AC296"/>
      <c r="AD296"/>
      <c r="AE296"/>
      <c r="AF296"/>
    </row>
    <row r="297" spans="7:32">
      <c r="G297" s="37"/>
      <c r="AA297"/>
      <c r="AB297"/>
      <c r="AC297"/>
      <c r="AD297"/>
      <c r="AE297"/>
      <c r="AF297"/>
    </row>
    <row r="298" spans="7:32">
      <c r="G298" s="37"/>
      <c r="AA298"/>
      <c r="AB298"/>
      <c r="AC298"/>
      <c r="AD298"/>
      <c r="AE298"/>
      <c r="AF298"/>
    </row>
    <row r="299" spans="7:32">
      <c r="G299" s="37"/>
      <c r="AA299"/>
      <c r="AB299"/>
      <c r="AC299"/>
      <c r="AD299"/>
      <c r="AE299"/>
      <c r="AF299"/>
    </row>
    <row r="300" spans="7:32">
      <c r="G300" s="37"/>
      <c r="AA300"/>
      <c r="AB300"/>
      <c r="AC300"/>
      <c r="AD300"/>
      <c r="AE300"/>
      <c r="AF300"/>
    </row>
    <row r="301" spans="7:32">
      <c r="G301" s="37"/>
      <c r="AA301"/>
      <c r="AB301"/>
      <c r="AC301"/>
      <c r="AD301"/>
      <c r="AE301"/>
      <c r="AF301"/>
    </row>
    <row r="302" spans="7:32">
      <c r="G302" s="37"/>
      <c r="AA302"/>
      <c r="AB302"/>
      <c r="AC302"/>
      <c r="AD302"/>
      <c r="AE302"/>
      <c r="AF302"/>
    </row>
    <row r="303" spans="7:32">
      <c r="G303" s="37"/>
      <c r="AA303"/>
      <c r="AB303"/>
      <c r="AC303"/>
      <c r="AD303"/>
      <c r="AE303"/>
      <c r="AF303"/>
    </row>
    <row r="304" spans="7:32">
      <c r="G304" s="37"/>
      <c r="AA304"/>
      <c r="AB304"/>
      <c r="AC304"/>
      <c r="AD304"/>
      <c r="AE304"/>
      <c r="AF304"/>
    </row>
    <row r="305" spans="7:32">
      <c r="G305" s="37"/>
      <c r="AA305"/>
      <c r="AB305"/>
      <c r="AC305"/>
      <c r="AD305"/>
      <c r="AE305"/>
      <c r="AF305"/>
    </row>
    <row r="306" spans="7:32">
      <c r="G306" s="37"/>
      <c r="AA306"/>
      <c r="AB306"/>
      <c r="AC306"/>
      <c r="AD306"/>
      <c r="AE306"/>
      <c r="AF306"/>
    </row>
    <row r="307" spans="7:32">
      <c r="G307" s="37"/>
      <c r="AA307"/>
      <c r="AB307"/>
      <c r="AC307"/>
      <c r="AD307"/>
      <c r="AE307"/>
      <c r="AF307"/>
    </row>
    <row r="308" spans="7:32">
      <c r="G308" s="37"/>
      <c r="AA308"/>
      <c r="AB308"/>
      <c r="AC308"/>
      <c r="AD308"/>
      <c r="AE308"/>
      <c r="AF308"/>
    </row>
    <row r="309" spans="7:32">
      <c r="G309" s="37"/>
      <c r="AA309"/>
      <c r="AB309"/>
      <c r="AC309"/>
      <c r="AD309"/>
      <c r="AE309"/>
      <c r="AF309"/>
    </row>
    <row r="310" spans="7:32">
      <c r="G310" s="37"/>
      <c r="AA310"/>
      <c r="AB310"/>
      <c r="AC310"/>
      <c r="AD310"/>
      <c r="AE310"/>
      <c r="AF310"/>
    </row>
    <row r="311" spans="7:32">
      <c r="G311" s="37"/>
      <c r="AA311"/>
      <c r="AB311"/>
      <c r="AC311"/>
      <c r="AD311"/>
      <c r="AE311"/>
      <c r="AF311"/>
    </row>
    <row r="312" spans="7:32">
      <c r="G312" s="37"/>
      <c r="AA312"/>
      <c r="AB312"/>
      <c r="AC312"/>
      <c r="AD312"/>
      <c r="AE312"/>
      <c r="AF312"/>
    </row>
    <row r="313" spans="7:32">
      <c r="G313" s="37"/>
      <c r="AA313"/>
      <c r="AB313"/>
      <c r="AC313"/>
      <c r="AD313"/>
      <c r="AE313"/>
      <c r="AF313"/>
    </row>
    <row r="314" spans="7:32">
      <c r="G314" s="37"/>
      <c r="AA314"/>
      <c r="AB314"/>
      <c r="AC314"/>
      <c r="AD314"/>
      <c r="AE314"/>
      <c r="AF314"/>
    </row>
    <row r="315" spans="7:32">
      <c r="G315" s="37"/>
      <c r="AA315"/>
      <c r="AB315"/>
      <c r="AC315"/>
      <c r="AD315"/>
      <c r="AE315"/>
      <c r="AF315"/>
    </row>
    <row r="316" spans="7:32">
      <c r="G316" s="37"/>
      <c r="AA316"/>
      <c r="AB316"/>
      <c r="AC316"/>
      <c r="AD316"/>
      <c r="AE316"/>
      <c r="AF316"/>
    </row>
    <row r="317" spans="7:32">
      <c r="G317" s="37"/>
      <c r="AA317"/>
      <c r="AB317"/>
      <c r="AC317"/>
      <c r="AD317"/>
      <c r="AE317"/>
      <c r="AF317"/>
    </row>
    <row r="318" spans="7:32">
      <c r="G318" s="37"/>
      <c r="AA318"/>
      <c r="AB318"/>
      <c r="AC318"/>
      <c r="AD318"/>
      <c r="AE318"/>
      <c r="AF318"/>
    </row>
    <row r="319" spans="7:32">
      <c r="G319" s="37"/>
      <c r="AA319"/>
      <c r="AB319"/>
      <c r="AC319"/>
      <c r="AD319"/>
      <c r="AE319"/>
      <c r="AF319"/>
    </row>
    <row r="320" spans="7:32">
      <c r="G320" s="37"/>
      <c r="AA320"/>
      <c r="AB320"/>
      <c r="AC320"/>
      <c r="AD320"/>
      <c r="AE320"/>
      <c r="AF320"/>
    </row>
    <row r="321" spans="7:32">
      <c r="G321" s="37"/>
      <c r="AA321"/>
      <c r="AB321"/>
      <c r="AC321"/>
      <c r="AD321"/>
      <c r="AE321"/>
      <c r="AF321"/>
    </row>
    <row r="322" spans="7:32">
      <c r="G322" s="37"/>
      <c r="AA322"/>
      <c r="AB322"/>
      <c r="AC322"/>
      <c r="AD322"/>
      <c r="AE322"/>
      <c r="AF322"/>
    </row>
    <row r="323" spans="7:32">
      <c r="G323" s="37"/>
      <c r="AA323"/>
      <c r="AB323"/>
      <c r="AC323"/>
      <c r="AD323"/>
      <c r="AE323"/>
      <c r="AF323"/>
    </row>
    <row r="324" spans="7:32">
      <c r="G324" s="37"/>
      <c r="AA324"/>
      <c r="AB324"/>
      <c r="AC324"/>
      <c r="AD324"/>
      <c r="AE324"/>
      <c r="AF324"/>
    </row>
    <row r="325" spans="7:32">
      <c r="G325" s="37"/>
      <c r="AA325"/>
      <c r="AB325"/>
      <c r="AC325"/>
      <c r="AD325"/>
      <c r="AE325"/>
      <c r="AF325"/>
    </row>
    <row r="326" spans="7:32">
      <c r="G326" s="37"/>
      <c r="AA326"/>
      <c r="AB326"/>
      <c r="AC326"/>
      <c r="AD326"/>
      <c r="AE326"/>
      <c r="AF326"/>
    </row>
    <row r="327" spans="7:32">
      <c r="G327" s="37"/>
      <c r="AA327"/>
      <c r="AB327"/>
      <c r="AC327"/>
      <c r="AD327"/>
      <c r="AE327"/>
      <c r="AF327"/>
    </row>
    <row r="328" spans="7:32">
      <c r="G328" s="37"/>
      <c r="AA328"/>
      <c r="AB328"/>
      <c r="AC328"/>
      <c r="AD328"/>
      <c r="AE328"/>
      <c r="AF328"/>
    </row>
    <row r="329" spans="7:32">
      <c r="G329" s="37"/>
      <c r="AA329"/>
      <c r="AB329"/>
      <c r="AC329"/>
      <c r="AD329"/>
      <c r="AE329"/>
      <c r="AF329"/>
    </row>
    <row r="330" spans="7:32">
      <c r="G330" s="37"/>
      <c r="AA330"/>
      <c r="AB330"/>
      <c r="AC330"/>
      <c r="AD330"/>
      <c r="AE330"/>
      <c r="AF330"/>
    </row>
    <row r="331" spans="7:32">
      <c r="G331" s="37"/>
      <c r="AA331"/>
      <c r="AB331"/>
      <c r="AC331"/>
      <c r="AD331"/>
      <c r="AE331"/>
      <c r="AF331"/>
    </row>
    <row r="332" spans="7:32">
      <c r="G332" s="37"/>
      <c r="AA332"/>
      <c r="AB332"/>
      <c r="AC332"/>
      <c r="AD332"/>
      <c r="AE332"/>
      <c r="AF332"/>
    </row>
    <row r="333" spans="7:32">
      <c r="G333" s="37"/>
      <c r="AA333"/>
      <c r="AB333"/>
      <c r="AC333"/>
      <c r="AD333"/>
      <c r="AE333"/>
      <c r="AF333"/>
    </row>
    <row r="334" spans="7:32">
      <c r="G334" s="37"/>
      <c r="AA334"/>
      <c r="AB334"/>
      <c r="AC334"/>
      <c r="AD334"/>
      <c r="AE334"/>
      <c r="AF334"/>
    </row>
    <row r="335" spans="7:32">
      <c r="G335" s="37"/>
      <c r="AA335"/>
      <c r="AB335"/>
      <c r="AC335"/>
      <c r="AD335"/>
      <c r="AE335"/>
      <c r="AF335"/>
    </row>
    <row r="336" spans="7:32">
      <c r="G336" s="37"/>
      <c r="AA336"/>
      <c r="AB336"/>
      <c r="AC336"/>
      <c r="AD336"/>
      <c r="AE336"/>
      <c r="AF336"/>
    </row>
    <row r="337" spans="7:32">
      <c r="G337" s="37"/>
      <c r="AA337"/>
      <c r="AB337"/>
      <c r="AC337"/>
      <c r="AD337"/>
      <c r="AE337"/>
      <c r="AF337"/>
    </row>
    <row r="338" spans="7:32">
      <c r="G338" s="37"/>
      <c r="AA338"/>
      <c r="AB338"/>
      <c r="AC338"/>
      <c r="AD338"/>
      <c r="AE338"/>
      <c r="AF338"/>
    </row>
    <row r="339" spans="7:32">
      <c r="G339" s="37"/>
      <c r="AA339"/>
      <c r="AB339"/>
      <c r="AC339"/>
      <c r="AD339"/>
      <c r="AE339"/>
      <c r="AF339"/>
    </row>
    <row r="340" spans="7:32">
      <c r="G340" s="37"/>
      <c r="AA340"/>
      <c r="AB340"/>
      <c r="AC340"/>
      <c r="AD340"/>
      <c r="AE340"/>
      <c r="AF340"/>
    </row>
    <row r="341" spans="7:32">
      <c r="G341" s="37"/>
      <c r="AA341"/>
      <c r="AB341"/>
      <c r="AC341"/>
      <c r="AD341"/>
      <c r="AE341"/>
      <c r="AF341"/>
    </row>
    <row r="342" spans="7:32">
      <c r="G342" s="37"/>
      <c r="AA342"/>
      <c r="AB342"/>
      <c r="AC342"/>
      <c r="AD342"/>
      <c r="AE342"/>
      <c r="AF342"/>
    </row>
    <row r="343" spans="7:32">
      <c r="G343" s="37"/>
      <c r="AA343"/>
      <c r="AB343"/>
      <c r="AC343"/>
      <c r="AD343"/>
      <c r="AE343"/>
      <c r="AF343"/>
    </row>
    <row r="344" spans="7:32">
      <c r="G344" s="37"/>
      <c r="AA344"/>
      <c r="AB344"/>
      <c r="AC344"/>
      <c r="AD344"/>
      <c r="AE344"/>
      <c r="AF344"/>
    </row>
    <row r="345" spans="7:32">
      <c r="G345" s="37"/>
      <c r="AA345"/>
      <c r="AB345"/>
      <c r="AC345"/>
      <c r="AD345"/>
      <c r="AE345"/>
      <c r="AF345"/>
    </row>
    <row r="346" spans="7:32">
      <c r="G346" s="37"/>
      <c r="AA346"/>
      <c r="AB346"/>
      <c r="AC346"/>
      <c r="AD346"/>
      <c r="AE346"/>
      <c r="AF346"/>
    </row>
    <row r="347" spans="7:32">
      <c r="G347" s="37"/>
      <c r="AA347"/>
      <c r="AB347"/>
      <c r="AC347"/>
      <c r="AD347"/>
      <c r="AE347"/>
      <c r="AF347"/>
    </row>
    <row r="348" spans="7:32">
      <c r="G348" s="37"/>
      <c r="AA348"/>
      <c r="AB348"/>
      <c r="AC348"/>
      <c r="AD348"/>
      <c r="AE348"/>
      <c r="AF348"/>
    </row>
    <row r="349" spans="7:32">
      <c r="G349" s="37"/>
      <c r="AA349"/>
      <c r="AB349"/>
      <c r="AC349"/>
      <c r="AD349"/>
      <c r="AE349"/>
      <c r="AF349"/>
    </row>
    <row r="350" spans="7:32">
      <c r="G350" s="37"/>
      <c r="AA350"/>
      <c r="AB350"/>
      <c r="AC350"/>
      <c r="AD350"/>
      <c r="AE350"/>
      <c r="AF350"/>
    </row>
    <row r="351" spans="7:32">
      <c r="G351" s="37"/>
      <c r="AA351"/>
      <c r="AB351"/>
      <c r="AC351"/>
      <c r="AD351"/>
      <c r="AE351"/>
      <c r="AF351"/>
    </row>
    <row r="352" spans="7:32">
      <c r="G352" s="37"/>
      <c r="AA352"/>
      <c r="AB352"/>
      <c r="AC352"/>
      <c r="AD352"/>
      <c r="AE352"/>
      <c r="AF352"/>
    </row>
    <row r="353" spans="7:32">
      <c r="G353" s="37"/>
      <c r="AA353"/>
      <c r="AB353"/>
      <c r="AC353"/>
      <c r="AD353"/>
      <c r="AE353"/>
      <c r="AF353"/>
    </row>
    <row r="354" spans="7:32">
      <c r="G354" s="37"/>
      <c r="AA354"/>
      <c r="AB354"/>
      <c r="AC354"/>
      <c r="AD354"/>
      <c r="AE354"/>
      <c r="AF354"/>
    </row>
    <row r="355" spans="7:32">
      <c r="G355" s="37"/>
      <c r="AA355"/>
      <c r="AB355"/>
      <c r="AC355"/>
      <c r="AD355"/>
      <c r="AE355"/>
      <c r="AF355"/>
    </row>
    <row r="356" spans="7:32">
      <c r="G356" s="37"/>
      <c r="AA356"/>
      <c r="AB356"/>
      <c r="AC356"/>
      <c r="AD356"/>
      <c r="AE356"/>
      <c r="AF356"/>
    </row>
    <row r="357" spans="7:32">
      <c r="G357" s="37"/>
      <c r="AA357"/>
      <c r="AB357"/>
      <c r="AC357"/>
      <c r="AD357"/>
      <c r="AE357"/>
      <c r="AF357"/>
    </row>
    <row r="358" spans="7:32">
      <c r="G358" s="37"/>
      <c r="AA358"/>
      <c r="AB358"/>
      <c r="AC358"/>
      <c r="AD358"/>
      <c r="AE358"/>
      <c r="AF358"/>
    </row>
    <row r="359" spans="7:32">
      <c r="G359" s="37"/>
      <c r="AA359"/>
      <c r="AB359"/>
      <c r="AC359"/>
      <c r="AD359"/>
      <c r="AE359"/>
      <c r="AF359"/>
    </row>
    <row r="360" spans="7:32">
      <c r="G360" s="37"/>
      <c r="AA360"/>
      <c r="AB360"/>
      <c r="AC360"/>
      <c r="AD360"/>
      <c r="AE360"/>
      <c r="AF360"/>
    </row>
    <row r="361" spans="7:32">
      <c r="G361" s="37"/>
      <c r="AA361"/>
      <c r="AB361"/>
      <c r="AC361"/>
      <c r="AD361"/>
      <c r="AE361"/>
      <c r="AF361"/>
    </row>
    <row r="362" spans="7:32">
      <c r="G362" s="37"/>
      <c r="AA362"/>
      <c r="AB362"/>
      <c r="AC362"/>
      <c r="AD362"/>
      <c r="AE362"/>
      <c r="AF362"/>
    </row>
    <row r="363" spans="7:32">
      <c r="G363" s="37"/>
      <c r="AA363"/>
      <c r="AB363"/>
      <c r="AC363"/>
      <c r="AD363"/>
      <c r="AE363"/>
      <c r="AF363"/>
    </row>
    <row r="364" spans="7:32">
      <c r="G364" s="37"/>
      <c r="AA364"/>
      <c r="AB364"/>
      <c r="AC364"/>
      <c r="AD364"/>
      <c r="AE364"/>
      <c r="AF364"/>
    </row>
    <row r="365" spans="7:32">
      <c r="G365" s="37"/>
      <c r="AA365"/>
      <c r="AB365"/>
      <c r="AC365"/>
      <c r="AD365"/>
      <c r="AE365"/>
      <c r="AF365"/>
    </row>
    <row r="366" spans="7:32">
      <c r="G366" s="37"/>
      <c r="AA366"/>
      <c r="AB366"/>
      <c r="AC366"/>
      <c r="AD366"/>
      <c r="AE366"/>
      <c r="AF366"/>
    </row>
    <row r="367" spans="7:32">
      <c r="G367" s="37"/>
      <c r="AA367"/>
      <c r="AB367"/>
      <c r="AC367"/>
      <c r="AD367"/>
      <c r="AE367"/>
      <c r="AF367"/>
    </row>
    <row r="368" spans="7:32">
      <c r="G368" s="37"/>
      <c r="AA368"/>
      <c r="AB368"/>
      <c r="AC368"/>
      <c r="AD368"/>
      <c r="AE368"/>
      <c r="AF368"/>
    </row>
    <row r="369" spans="7:32">
      <c r="G369" s="37"/>
      <c r="AA369"/>
      <c r="AB369"/>
      <c r="AC369"/>
      <c r="AD369"/>
      <c r="AE369"/>
      <c r="AF369"/>
    </row>
    <row r="370" spans="7:32">
      <c r="G370" s="37"/>
      <c r="AA370"/>
      <c r="AB370"/>
      <c r="AC370"/>
      <c r="AD370"/>
      <c r="AE370"/>
      <c r="AF370"/>
    </row>
    <row r="371" spans="7:32">
      <c r="G371" s="37"/>
      <c r="AA371"/>
      <c r="AB371"/>
      <c r="AC371"/>
      <c r="AD371"/>
      <c r="AE371"/>
      <c r="AF371"/>
    </row>
    <row r="372" spans="7:32">
      <c r="G372" s="37"/>
      <c r="AA372"/>
      <c r="AB372"/>
      <c r="AC372"/>
      <c r="AD372"/>
      <c r="AE372"/>
      <c r="AF372"/>
    </row>
    <row r="373" spans="7:32">
      <c r="G373" s="37"/>
      <c r="AA373"/>
      <c r="AB373"/>
      <c r="AC373"/>
      <c r="AD373"/>
      <c r="AE373"/>
      <c r="AF373"/>
    </row>
    <row r="374" spans="7:32">
      <c r="G374" s="37"/>
      <c r="AA374"/>
      <c r="AB374"/>
      <c r="AC374"/>
      <c r="AD374"/>
      <c r="AE374"/>
      <c r="AF374"/>
    </row>
    <row r="375" spans="7:32">
      <c r="G375" s="37"/>
      <c r="AA375"/>
      <c r="AB375"/>
      <c r="AC375"/>
      <c r="AD375"/>
      <c r="AE375"/>
      <c r="AF375"/>
    </row>
    <row r="376" spans="7:32">
      <c r="G376" s="37"/>
      <c r="AA376"/>
      <c r="AB376"/>
      <c r="AC376"/>
      <c r="AD376"/>
      <c r="AE376"/>
      <c r="AF376"/>
    </row>
    <row r="377" spans="7:32">
      <c r="G377" s="37"/>
      <c r="AA377"/>
      <c r="AB377"/>
      <c r="AC377"/>
      <c r="AD377"/>
      <c r="AE377"/>
      <c r="AF377"/>
    </row>
    <row r="378" spans="7:32">
      <c r="G378" s="37"/>
      <c r="AA378"/>
      <c r="AB378"/>
      <c r="AC378"/>
      <c r="AD378"/>
      <c r="AE378"/>
      <c r="AF378"/>
    </row>
    <row r="379" spans="7:32">
      <c r="G379" s="37"/>
      <c r="AA379"/>
      <c r="AB379"/>
      <c r="AC379"/>
      <c r="AD379"/>
      <c r="AE379"/>
      <c r="AF379"/>
    </row>
    <row r="380" spans="7:32">
      <c r="G380" s="37"/>
      <c r="AA380"/>
      <c r="AB380"/>
      <c r="AC380"/>
      <c r="AD380"/>
      <c r="AE380"/>
      <c r="AF380"/>
    </row>
    <row r="381" spans="7:32">
      <c r="G381" s="37"/>
      <c r="AA381"/>
      <c r="AB381"/>
      <c r="AC381"/>
      <c r="AD381"/>
      <c r="AE381"/>
      <c r="AF381"/>
    </row>
    <row r="382" spans="7:32">
      <c r="G382" s="37"/>
      <c r="AA382"/>
      <c r="AB382"/>
      <c r="AC382"/>
      <c r="AD382"/>
      <c r="AE382"/>
      <c r="AF382"/>
    </row>
    <row r="383" spans="7:32">
      <c r="G383" s="37"/>
      <c r="AA383"/>
      <c r="AB383"/>
      <c r="AC383"/>
      <c r="AD383"/>
      <c r="AE383"/>
      <c r="AF383"/>
    </row>
    <row r="384" spans="7:32">
      <c r="G384" s="37"/>
      <c r="AA384"/>
      <c r="AB384"/>
      <c r="AC384"/>
      <c r="AD384"/>
      <c r="AE384"/>
      <c r="AF384"/>
    </row>
    <row r="385" spans="7:32">
      <c r="G385" s="37"/>
      <c r="AA385"/>
      <c r="AB385"/>
      <c r="AC385"/>
      <c r="AD385"/>
      <c r="AE385"/>
      <c r="AF385"/>
    </row>
    <row r="386" spans="7:32">
      <c r="G386" s="37"/>
      <c r="AA386"/>
      <c r="AB386"/>
      <c r="AC386"/>
      <c r="AD386"/>
      <c r="AE386"/>
      <c r="AF386"/>
    </row>
    <row r="387" spans="7:32">
      <c r="G387" s="37"/>
      <c r="AA387"/>
      <c r="AB387"/>
      <c r="AC387"/>
      <c r="AD387"/>
      <c r="AE387"/>
      <c r="AF387"/>
    </row>
    <row r="388" spans="7:32">
      <c r="G388" s="37"/>
      <c r="AA388"/>
      <c r="AB388"/>
      <c r="AC388"/>
      <c r="AD388"/>
      <c r="AE388"/>
      <c r="AF388"/>
    </row>
    <row r="389" spans="7:32">
      <c r="G389" s="37"/>
      <c r="AA389"/>
      <c r="AB389"/>
      <c r="AC389"/>
      <c r="AD389"/>
      <c r="AE389"/>
      <c r="AF389"/>
    </row>
    <row r="390" spans="7:32">
      <c r="G390" s="37"/>
      <c r="AA390"/>
      <c r="AB390"/>
      <c r="AC390"/>
      <c r="AD390"/>
      <c r="AE390"/>
      <c r="AF390"/>
    </row>
    <row r="391" spans="7:32">
      <c r="G391" s="37"/>
      <c r="AA391"/>
      <c r="AB391"/>
      <c r="AC391"/>
      <c r="AD391"/>
      <c r="AE391"/>
      <c r="AF391"/>
    </row>
    <row r="392" spans="7:32">
      <c r="G392" s="37"/>
      <c r="AA392"/>
      <c r="AB392"/>
      <c r="AC392"/>
      <c r="AD392"/>
      <c r="AE392"/>
      <c r="AF392"/>
    </row>
    <row r="393" spans="7:32">
      <c r="G393" s="37"/>
      <c r="AA393"/>
      <c r="AB393"/>
      <c r="AC393"/>
      <c r="AD393"/>
      <c r="AE393"/>
      <c r="AF393"/>
    </row>
    <row r="394" spans="7:32">
      <c r="G394" s="37"/>
      <c r="AA394"/>
      <c r="AB394"/>
      <c r="AC394"/>
      <c r="AD394"/>
      <c r="AE394"/>
      <c r="AF394"/>
    </row>
    <row r="395" spans="7:32">
      <c r="G395" s="37"/>
      <c r="AA395"/>
      <c r="AB395"/>
      <c r="AC395"/>
      <c r="AD395"/>
      <c r="AE395"/>
      <c r="AF395"/>
    </row>
    <row r="396" spans="7:32">
      <c r="G396" s="37"/>
      <c r="AA396"/>
      <c r="AB396"/>
      <c r="AC396"/>
      <c r="AD396"/>
      <c r="AE396"/>
      <c r="AF396"/>
    </row>
    <row r="397" spans="7:32">
      <c r="G397" s="37"/>
      <c r="AA397"/>
      <c r="AB397"/>
      <c r="AC397"/>
      <c r="AD397"/>
      <c r="AE397"/>
      <c r="AF397"/>
    </row>
    <row r="398" spans="7:32">
      <c r="G398" s="37"/>
      <c r="AA398"/>
      <c r="AB398"/>
      <c r="AC398"/>
      <c r="AD398"/>
      <c r="AE398"/>
      <c r="AF398"/>
    </row>
    <row r="399" spans="7:32">
      <c r="G399" s="37"/>
      <c r="AA399"/>
      <c r="AB399"/>
      <c r="AC399"/>
      <c r="AD399"/>
      <c r="AE399"/>
      <c r="AF399"/>
    </row>
    <row r="400" spans="7:32">
      <c r="G400" s="37"/>
      <c r="AA400"/>
      <c r="AB400"/>
      <c r="AC400"/>
      <c r="AD400"/>
      <c r="AE400"/>
      <c r="AF400"/>
    </row>
    <row r="401" spans="7:32">
      <c r="G401" s="37"/>
      <c r="AA401"/>
      <c r="AB401"/>
      <c r="AC401"/>
      <c r="AD401"/>
      <c r="AE401"/>
      <c r="AF401"/>
    </row>
    <row r="402" spans="7:32">
      <c r="G402" s="37"/>
      <c r="AA402"/>
      <c r="AB402"/>
      <c r="AC402"/>
      <c r="AD402"/>
      <c r="AE402"/>
      <c r="AF402"/>
    </row>
    <row r="403" spans="7:32">
      <c r="G403" s="37"/>
      <c r="AA403"/>
      <c r="AB403"/>
      <c r="AC403"/>
      <c r="AD403"/>
      <c r="AE403"/>
      <c r="AF403"/>
    </row>
    <row r="404" spans="7:32">
      <c r="G404" s="37"/>
      <c r="AA404"/>
      <c r="AB404"/>
      <c r="AC404"/>
      <c r="AD404"/>
      <c r="AE404"/>
      <c r="AF404"/>
    </row>
    <row r="405" spans="7:32">
      <c r="G405" s="37"/>
      <c r="AA405"/>
      <c r="AB405"/>
      <c r="AC405"/>
      <c r="AD405"/>
      <c r="AE405"/>
      <c r="AF405"/>
    </row>
    <row r="406" spans="7:32">
      <c r="G406" s="37"/>
      <c r="AA406"/>
      <c r="AB406"/>
      <c r="AC406"/>
      <c r="AD406"/>
      <c r="AE406"/>
      <c r="AF406"/>
    </row>
    <row r="407" spans="7:32">
      <c r="G407" s="37"/>
      <c r="AA407"/>
      <c r="AB407"/>
      <c r="AC407"/>
      <c r="AD407"/>
      <c r="AE407"/>
      <c r="AF407"/>
    </row>
    <row r="408" spans="7:32">
      <c r="G408" s="37"/>
      <c r="AA408"/>
      <c r="AB408"/>
      <c r="AC408"/>
      <c r="AD408"/>
      <c r="AE408"/>
      <c r="AF408"/>
    </row>
    <row r="409" spans="7:32">
      <c r="G409" s="37"/>
      <c r="AA409"/>
      <c r="AB409"/>
      <c r="AC409"/>
      <c r="AD409"/>
      <c r="AE409"/>
      <c r="AF409"/>
    </row>
    <row r="410" spans="7:32">
      <c r="G410" s="37"/>
      <c r="AA410"/>
      <c r="AB410"/>
      <c r="AC410"/>
      <c r="AD410"/>
      <c r="AE410"/>
      <c r="AF410"/>
    </row>
    <row r="411" spans="7:32">
      <c r="G411" s="37"/>
      <c r="AA411"/>
      <c r="AB411"/>
      <c r="AC411"/>
      <c r="AD411"/>
      <c r="AE411"/>
      <c r="AF411"/>
    </row>
    <row r="412" spans="7:32">
      <c r="G412" s="37"/>
      <c r="AA412"/>
      <c r="AB412"/>
      <c r="AC412"/>
      <c r="AD412"/>
      <c r="AE412"/>
      <c r="AF412"/>
    </row>
    <row r="413" spans="7:32">
      <c r="G413" s="37"/>
      <c r="AA413"/>
      <c r="AB413"/>
      <c r="AC413"/>
      <c r="AD413"/>
      <c r="AE413"/>
      <c r="AF413"/>
    </row>
    <row r="414" spans="7:32">
      <c r="G414" s="37"/>
      <c r="AA414"/>
      <c r="AB414"/>
      <c r="AC414"/>
      <c r="AD414"/>
      <c r="AE414"/>
      <c r="AF414"/>
    </row>
    <row r="415" spans="7:32">
      <c r="G415" s="37"/>
      <c r="AA415"/>
      <c r="AB415"/>
      <c r="AC415"/>
      <c r="AD415"/>
      <c r="AE415"/>
      <c r="AF415"/>
    </row>
    <row r="416" spans="7:32">
      <c r="G416" s="37"/>
      <c r="AA416"/>
      <c r="AB416"/>
      <c r="AC416"/>
      <c r="AD416"/>
      <c r="AE416"/>
      <c r="AF416"/>
    </row>
    <row r="417" spans="7:32">
      <c r="G417" s="37"/>
      <c r="AA417"/>
      <c r="AB417"/>
      <c r="AC417"/>
      <c r="AD417"/>
      <c r="AE417"/>
      <c r="AF417"/>
    </row>
    <row r="418" spans="7:32">
      <c r="G418" s="37"/>
      <c r="AA418"/>
      <c r="AB418"/>
      <c r="AC418"/>
      <c r="AD418"/>
      <c r="AE418"/>
      <c r="AF418"/>
    </row>
    <row r="419" spans="7:32">
      <c r="G419" s="37"/>
      <c r="AA419"/>
      <c r="AB419"/>
      <c r="AC419"/>
      <c r="AD419"/>
      <c r="AE419"/>
      <c r="AF419"/>
    </row>
    <row r="420" spans="7:32">
      <c r="G420" s="37"/>
      <c r="AA420"/>
      <c r="AB420"/>
      <c r="AC420"/>
      <c r="AD420"/>
      <c r="AE420"/>
      <c r="AF420"/>
    </row>
    <row r="421" spans="7:32">
      <c r="G421" s="37"/>
      <c r="AA421"/>
      <c r="AB421"/>
      <c r="AC421"/>
      <c r="AD421"/>
      <c r="AE421"/>
      <c r="AF421"/>
    </row>
    <row r="422" spans="7:32">
      <c r="G422" s="37"/>
      <c r="AA422"/>
      <c r="AB422"/>
      <c r="AC422"/>
      <c r="AD422"/>
      <c r="AE422"/>
      <c r="AF422"/>
    </row>
    <row r="423" spans="7:32">
      <c r="G423" s="37"/>
      <c r="AA423"/>
      <c r="AB423"/>
      <c r="AC423"/>
      <c r="AD423"/>
      <c r="AE423"/>
      <c r="AF423"/>
    </row>
    <row r="424" spans="7:32">
      <c r="G424" s="37"/>
      <c r="AA424"/>
      <c r="AB424"/>
      <c r="AC424"/>
      <c r="AD424"/>
      <c r="AE424"/>
      <c r="AF424"/>
    </row>
    <row r="425" spans="7:32">
      <c r="G425" s="37"/>
      <c r="AA425"/>
      <c r="AB425"/>
      <c r="AC425"/>
      <c r="AD425"/>
      <c r="AE425"/>
      <c r="AF425"/>
    </row>
    <row r="426" spans="7:32">
      <c r="G426" s="37"/>
      <c r="AA426"/>
      <c r="AB426"/>
      <c r="AC426"/>
      <c r="AD426"/>
      <c r="AE426"/>
      <c r="AF426"/>
    </row>
    <row r="427" spans="7:32">
      <c r="G427" s="37"/>
      <c r="AA427"/>
      <c r="AB427"/>
      <c r="AC427"/>
      <c r="AD427"/>
      <c r="AE427"/>
      <c r="AF427"/>
    </row>
    <row r="428" spans="7:32">
      <c r="G428" s="37"/>
      <c r="AA428"/>
      <c r="AB428"/>
      <c r="AC428"/>
      <c r="AD428"/>
      <c r="AE428"/>
      <c r="AF428"/>
    </row>
    <row r="429" spans="7:32">
      <c r="G429" s="37"/>
      <c r="AA429"/>
      <c r="AB429"/>
      <c r="AC429"/>
      <c r="AD429"/>
      <c r="AE429"/>
      <c r="AF429"/>
    </row>
    <row r="430" spans="7:32">
      <c r="G430" s="37"/>
      <c r="AA430"/>
      <c r="AB430"/>
      <c r="AC430"/>
      <c r="AD430"/>
      <c r="AE430"/>
      <c r="AF430"/>
    </row>
    <row r="431" spans="7:32">
      <c r="G431" s="37"/>
      <c r="AA431"/>
      <c r="AB431"/>
      <c r="AC431"/>
      <c r="AD431"/>
      <c r="AE431"/>
      <c r="AF431"/>
    </row>
    <row r="432" spans="7:32">
      <c r="G432" s="37"/>
      <c r="AA432"/>
      <c r="AB432"/>
      <c r="AC432"/>
      <c r="AD432"/>
      <c r="AE432"/>
      <c r="AF432"/>
    </row>
    <row r="433" spans="7:32">
      <c r="G433" s="37"/>
      <c r="AA433"/>
      <c r="AB433"/>
      <c r="AC433"/>
      <c r="AD433"/>
      <c r="AE433"/>
      <c r="AF433"/>
    </row>
    <row r="434" spans="7:32">
      <c r="G434" s="37"/>
      <c r="AA434"/>
      <c r="AB434"/>
      <c r="AC434"/>
      <c r="AD434"/>
      <c r="AE434"/>
      <c r="AF434"/>
    </row>
    <row r="435" spans="7:32">
      <c r="G435" s="37"/>
      <c r="AA435"/>
      <c r="AB435"/>
      <c r="AC435"/>
      <c r="AD435"/>
      <c r="AE435"/>
      <c r="AF435"/>
    </row>
    <row r="436" spans="7:32">
      <c r="G436" s="37"/>
      <c r="AA436"/>
      <c r="AB436"/>
      <c r="AC436"/>
      <c r="AD436"/>
      <c r="AE436"/>
      <c r="AF436"/>
    </row>
    <row r="437" spans="7:32">
      <c r="G437" s="37"/>
      <c r="AA437"/>
      <c r="AB437"/>
      <c r="AC437"/>
      <c r="AD437"/>
      <c r="AE437"/>
      <c r="AF437"/>
    </row>
    <row r="438" spans="7:32">
      <c r="G438" s="37"/>
      <c r="AA438"/>
      <c r="AB438"/>
      <c r="AC438"/>
      <c r="AD438"/>
      <c r="AE438"/>
      <c r="AF438"/>
    </row>
    <row r="439" spans="7:32">
      <c r="G439" s="37"/>
      <c r="AA439"/>
      <c r="AB439"/>
      <c r="AC439"/>
      <c r="AD439"/>
      <c r="AE439"/>
      <c r="AF439"/>
    </row>
    <row r="440" spans="7:32">
      <c r="G440" s="37"/>
      <c r="AA440"/>
      <c r="AB440"/>
      <c r="AC440"/>
      <c r="AD440"/>
      <c r="AE440"/>
      <c r="AF440"/>
    </row>
    <row r="441" spans="7:32">
      <c r="G441" s="37"/>
      <c r="AA441"/>
      <c r="AB441"/>
      <c r="AC441"/>
      <c r="AD441"/>
      <c r="AE441"/>
      <c r="AF441"/>
    </row>
    <row r="442" spans="7:32">
      <c r="G442" s="37"/>
      <c r="AA442"/>
      <c r="AB442"/>
      <c r="AC442"/>
      <c r="AD442"/>
      <c r="AE442"/>
      <c r="AF442"/>
    </row>
    <row r="443" spans="7:32">
      <c r="G443" s="37"/>
      <c r="AA443"/>
      <c r="AB443"/>
      <c r="AC443"/>
      <c r="AD443"/>
      <c r="AE443"/>
      <c r="AF443"/>
    </row>
    <row r="444" spans="7:32">
      <c r="G444" s="37"/>
      <c r="AA444"/>
      <c r="AB444"/>
      <c r="AC444"/>
      <c r="AD444"/>
      <c r="AE444"/>
      <c r="AF444"/>
    </row>
    <row r="445" spans="7:32">
      <c r="G445" s="37"/>
      <c r="AA445"/>
      <c r="AB445"/>
      <c r="AC445"/>
      <c r="AD445"/>
      <c r="AE445"/>
      <c r="AF445"/>
    </row>
    <row r="446" spans="7:32">
      <c r="G446" s="37"/>
      <c r="AA446"/>
      <c r="AB446"/>
      <c r="AC446"/>
      <c r="AD446"/>
      <c r="AE446"/>
      <c r="AF446"/>
    </row>
    <row r="447" spans="7:32">
      <c r="G447" s="37"/>
      <c r="AA447"/>
      <c r="AB447"/>
      <c r="AC447"/>
      <c r="AD447"/>
      <c r="AE447"/>
      <c r="AF447"/>
    </row>
    <row r="448" spans="7:32">
      <c r="G448" s="37"/>
      <c r="AA448"/>
      <c r="AB448"/>
      <c r="AC448"/>
      <c r="AD448"/>
      <c r="AE448"/>
      <c r="AF448"/>
    </row>
    <row r="449" spans="7:32">
      <c r="G449" s="37"/>
      <c r="AA449"/>
      <c r="AB449"/>
      <c r="AC449"/>
      <c r="AD449"/>
      <c r="AE449"/>
      <c r="AF449"/>
    </row>
    <row r="450" spans="7:32">
      <c r="G450" s="37"/>
      <c r="AA450"/>
      <c r="AB450"/>
      <c r="AC450"/>
      <c r="AD450"/>
      <c r="AE450"/>
      <c r="AF450"/>
    </row>
    <row r="451" spans="7:32">
      <c r="G451" s="37"/>
      <c r="AA451"/>
      <c r="AB451"/>
      <c r="AC451"/>
      <c r="AD451"/>
      <c r="AE451"/>
      <c r="AF451"/>
    </row>
    <row r="452" spans="7:32">
      <c r="G452" s="37"/>
      <c r="AA452"/>
      <c r="AB452"/>
      <c r="AC452"/>
      <c r="AD452"/>
      <c r="AE452"/>
      <c r="AF452"/>
    </row>
    <row r="453" spans="7:32">
      <c r="G453" s="37"/>
      <c r="AA453"/>
      <c r="AB453"/>
      <c r="AC453"/>
      <c r="AD453"/>
      <c r="AE453"/>
      <c r="AF453"/>
    </row>
    <row r="454" spans="7:32">
      <c r="G454" s="37"/>
      <c r="AA454"/>
      <c r="AB454"/>
      <c r="AC454"/>
      <c r="AD454"/>
      <c r="AE454"/>
      <c r="AF454"/>
    </row>
    <row r="455" spans="7:32">
      <c r="G455" s="37"/>
      <c r="AA455"/>
      <c r="AB455"/>
      <c r="AC455"/>
      <c r="AD455"/>
      <c r="AE455"/>
      <c r="AF455"/>
    </row>
    <row r="456" spans="7:32">
      <c r="G456" s="37"/>
      <c r="AA456"/>
      <c r="AB456"/>
      <c r="AC456"/>
      <c r="AD456"/>
      <c r="AE456"/>
      <c r="AF456"/>
    </row>
    <row r="457" spans="7:32">
      <c r="G457" s="37"/>
      <c r="AA457"/>
      <c r="AB457"/>
      <c r="AC457"/>
      <c r="AD457"/>
      <c r="AE457"/>
      <c r="AF457"/>
    </row>
    <row r="458" spans="7:32">
      <c r="G458" s="37"/>
      <c r="AA458"/>
      <c r="AB458"/>
      <c r="AC458"/>
      <c r="AD458"/>
      <c r="AE458"/>
      <c r="AF458"/>
    </row>
    <row r="459" spans="7:32">
      <c r="G459" s="37"/>
      <c r="AA459"/>
      <c r="AB459"/>
      <c r="AC459"/>
      <c r="AD459"/>
      <c r="AE459"/>
      <c r="AF459"/>
    </row>
    <row r="460" spans="7:32">
      <c r="G460" s="37"/>
      <c r="AA460"/>
      <c r="AB460"/>
      <c r="AC460"/>
      <c r="AD460"/>
      <c r="AE460"/>
      <c r="AF460"/>
    </row>
    <row r="461" spans="7:32">
      <c r="G461" s="37"/>
      <c r="AA461"/>
      <c r="AB461"/>
      <c r="AC461"/>
      <c r="AD461"/>
      <c r="AE461"/>
      <c r="AF461"/>
    </row>
    <row r="462" spans="7:32">
      <c r="G462" s="37"/>
      <c r="AA462"/>
      <c r="AB462"/>
      <c r="AC462"/>
      <c r="AD462"/>
      <c r="AE462"/>
      <c r="AF462"/>
    </row>
    <row r="463" spans="7:32">
      <c r="G463" s="37"/>
      <c r="AA463"/>
      <c r="AB463"/>
      <c r="AC463"/>
      <c r="AD463"/>
      <c r="AE463"/>
      <c r="AF463"/>
    </row>
    <row r="464" spans="7:32">
      <c r="G464" s="37"/>
      <c r="AA464"/>
      <c r="AB464"/>
      <c r="AC464"/>
      <c r="AD464"/>
      <c r="AE464"/>
      <c r="AF464"/>
    </row>
    <row r="465" spans="7:32">
      <c r="G465" s="37"/>
      <c r="AA465"/>
      <c r="AB465"/>
      <c r="AC465"/>
      <c r="AD465"/>
      <c r="AE465"/>
      <c r="AF465"/>
    </row>
    <row r="466" spans="7:32">
      <c r="G466" s="37"/>
      <c r="AA466"/>
      <c r="AB466"/>
      <c r="AC466"/>
      <c r="AD466"/>
      <c r="AE466"/>
      <c r="AF466"/>
    </row>
    <row r="467" spans="7:32">
      <c r="G467" s="37"/>
      <c r="AA467"/>
      <c r="AB467"/>
      <c r="AC467"/>
      <c r="AD467"/>
      <c r="AE467"/>
      <c r="AF467"/>
    </row>
    <row r="468" spans="7:32">
      <c r="G468" s="37"/>
      <c r="AA468"/>
      <c r="AB468"/>
      <c r="AC468"/>
      <c r="AD468"/>
      <c r="AE468"/>
      <c r="AF468"/>
    </row>
    <row r="469" spans="7:32">
      <c r="G469" s="37"/>
      <c r="AA469"/>
      <c r="AB469"/>
      <c r="AC469"/>
      <c r="AD469"/>
      <c r="AE469"/>
      <c r="AF469"/>
    </row>
    <row r="470" spans="7:32">
      <c r="G470" s="37"/>
      <c r="AA470"/>
      <c r="AB470"/>
      <c r="AC470"/>
      <c r="AD470"/>
      <c r="AE470"/>
      <c r="AF470"/>
    </row>
    <row r="471" spans="7:32">
      <c r="G471" s="37"/>
      <c r="AA471"/>
      <c r="AB471"/>
      <c r="AC471"/>
      <c r="AD471"/>
      <c r="AE471"/>
      <c r="AF471"/>
    </row>
    <row r="472" spans="7:32">
      <c r="G472" s="37"/>
      <c r="AA472"/>
      <c r="AB472"/>
      <c r="AC472"/>
      <c r="AD472"/>
      <c r="AE472"/>
      <c r="AF472"/>
    </row>
    <row r="473" spans="7:32">
      <c r="G473" s="37"/>
      <c r="AA473"/>
      <c r="AB473"/>
      <c r="AC473"/>
      <c r="AD473"/>
      <c r="AE473"/>
      <c r="AF473"/>
    </row>
    <row r="474" spans="7:32">
      <c r="G474" s="37"/>
      <c r="AA474"/>
      <c r="AB474"/>
      <c r="AC474"/>
      <c r="AD474"/>
      <c r="AE474"/>
      <c r="AF474"/>
    </row>
    <row r="475" spans="7:32">
      <c r="G475" s="37"/>
      <c r="AA475"/>
      <c r="AB475"/>
      <c r="AC475"/>
      <c r="AD475"/>
      <c r="AE475"/>
      <c r="AF475"/>
    </row>
    <row r="476" spans="7:32">
      <c r="G476" s="37"/>
      <c r="AA476"/>
      <c r="AB476"/>
      <c r="AC476"/>
      <c r="AD476"/>
      <c r="AE476"/>
      <c r="AF476"/>
    </row>
    <row r="477" spans="7:32">
      <c r="G477" s="37"/>
      <c r="AA477"/>
      <c r="AB477"/>
      <c r="AC477"/>
      <c r="AD477"/>
      <c r="AE477"/>
      <c r="AF477"/>
    </row>
    <row r="478" spans="7:32">
      <c r="G478" s="37"/>
      <c r="AA478"/>
      <c r="AB478"/>
      <c r="AC478"/>
      <c r="AD478"/>
      <c r="AE478"/>
      <c r="AF478"/>
    </row>
    <row r="479" spans="7:32">
      <c r="G479" s="37"/>
      <c r="AA479"/>
      <c r="AB479"/>
      <c r="AC479"/>
      <c r="AD479"/>
      <c r="AE479"/>
      <c r="AF479"/>
    </row>
    <row r="480" spans="7:32">
      <c r="G480" s="37"/>
      <c r="AA480"/>
      <c r="AB480"/>
      <c r="AC480"/>
      <c r="AD480"/>
      <c r="AE480"/>
      <c r="AF480"/>
    </row>
    <row r="481" spans="7:32">
      <c r="G481" s="37"/>
      <c r="AA481"/>
      <c r="AB481"/>
      <c r="AC481"/>
      <c r="AD481"/>
      <c r="AE481"/>
      <c r="AF481"/>
    </row>
    <row r="482" spans="7:32">
      <c r="G482" s="37"/>
      <c r="AA482"/>
      <c r="AB482"/>
      <c r="AC482"/>
      <c r="AD482"/>
      <c r="AE482"/>
      <c r="AF482"/>
    </row>
    <row r="483" spans="7:32">
      <c r="G483" s="37"/>
      <c r="AA483"/>
      <c r="AB483"/>
      <c r="AC483"/>
      <c r="AD483"/>
      <c r="AE483"/>
      <c r="AF483"/>
    </row>
    <row r="484" spans="7:32">
      <c r="G484" s="37"/>
      <c r="AA484"/>
      <c r="AB484"/>
      <c r="AC484"/>
      <c r="AD484"/>
      <c r="AE484"/>
      <c r="AF484"/>
    </row>
    <row r="485" spans="7:32">
      <c r="G485" s="37"/>
      <c r="AA485"/>
      <c r="AB485"/>
      <c r="AC485"/>
      <c r="AD485"/>
      <c r="AE485"/>
      <c r="AF485"/>
    </row>
    <row r="486" spans="7:32">
      <c r="G486" s="37"/>
      <c r="AA486"/>
      <c r="AB486"/>
      <c r="AC486"/>
      <c r="AD486"/>
      <c r="AE486"/>
      <c r="AF486"/>
    </row>
    <row r="487" spans="7:32">
      <c r="G487" s="37"/>
      <c r="AA487"/>
      <c r="AB487"/>
      <c r="AC487"/>
      <c r="AD487"/>
      <c r="AE487"/>
      <c r="AF487"/>
    </row>
    <row r="488" spans="7:32">
      <c r="G488" s="37"/>
      <c r="AA488"/>
      <c r="AB488"/>
      <c r="AC488"/>
      <c r="AD488"/>
      <c r="AE488"/>
      <c r="AF488"/>
    </row>
    <row r="489" spans="7:32">
      <c r="G489" s="37"/>
      <c r="AA489"/>
      <c r="AB489"/>
      <c r="AC489"/>
      <c r="AD489"/>
      <c r="AE489"/>
      <c r="AF489"/>
    </row>
    <row r="490" spans="7:32">
      <c r="G490" s="37"/>
      <c r="AA490"/>
      <c r="AB490"/>
      <c r="AC490"/>
      <c r="AD490"/>
      <c r="AE490"/>
      <c r="AF490"/>
    </row>
    <row r="491" spans="7:32">
      <c r="G491" s="37"/>
      <c r="AA491"/>
      <c r="AB491"/>
      <c r="AC491"/>
      <c r="AD491"/>
      <c r="AE491"/>
      <c r="AF491"/>
    </row>
    <row r="492" spans="7:32">
      <c r="G492" s="37"/>
      <c r="AA492"/>
      <c r="AB492"/>
      <c r="AC492"/>
      <c r="AD492"/>
      <c r="AE492"/>
      <c r="AF492"/>
    </row>
    <row r="493" spans="7:32">
      <c r="G493" s="37"/>
      <c r="AA493"/>
      <c r="AB493"/>
      <c r="AC493"/>
      <c r="AD493"/>
      <c r="AE493"/>
      <c r="AF493"/>
    </row>
    <row r="494" spans="7:32">
      <c r="G494" s="37"/>
      <c r="AA494"/>
      <c r="AB494"/>
      <c r="AC494"/>
      <c r="AD494"/>
      <c r="AE494"/>
      <c r="AF494"/>
    </row>
    <row r="495" spans="7:32">
      <c r="G495" s="37"/>
      <c r="AA495"/>
      <c r="AB495"/>
      <c r="AC495"/>
      <c r="AD495"/>
      <c r="AE495"/>
      <c r="AF495"/>
    </row>
    <row r="496" spans="7:32">
      <c r="G496" s="37"/>
      <c r="AA496"/>
      <c r="AB496"/>
      <c r="AC496"/>
      <c r="AD496"/>
      <c r="AE496"/>
      <c r="AF496"/>
    </row>
    <row r="497" spans="7:32">
      <c r="G497" s="37"/>
      <c r="AA497"/>
      <c r="AB497"/>
      <c r="AC497"/>
      <c r="AD497"/>
      <c r="AE497"/>
      <c r="AF497"/>
    </row>
    <row r="498" spans="7:32">
      <c r="G498" s="37"/>
      <c r="AA498"/>
      <c r="AB498"/>
      <c r="AC498"/>
      <c r="AD498"/>
      <c r="AE498"/>
      <c r="AF498"/>
    </row>
    <row r="499" spans="7:32">
      <c r="G499" s="37"/>
      <c r="AA499"/>
      <c r="AB499"/>
      <c r="AC499"/>
      <c r="AD499"/>
      <c r="AE499"/>
      <c r="AF499"/>
    </row>
    <row r="500" spans="7:32">
      <c r="G500" s="37"/>
      <c r="AA500"/>
      <c r="AB500"/>
      <c r="AC500"/>
      <c r="AD500"/>
      <c r="AE500"/>
      <c r="AF500"/>
    </row>
    <row r="501" spans="7:32">
      <c r="G501" s="37"/>
      <c r="AA501"/>
      <c r="AB501"/>
      <c r="AC501"/>
      <c r="AD501"/>
      <c r="AE501"/>
      <c r="AF501"/>
    </row>
    <row r="502" spans="7:32">
      <c r="G502" s="37"/>
      <c r="AA502"/>
      <c r="AB502"/>
      <c r="AC502"/>
      <c r="AD502"/>
      <c r="AE502"/>
      <c r="AF502"/>
    </row>
    <row r="503" spans="7:32">
      <c r="G503" s="37"/>
      <c r="AA503"/>
      <c r="AB503"/>
      <c r="AC503"/>
      <c r="AD503"/>
      <c r="AE503"/>
      <c r="AF503"/>
    </row>
    <row r="504" spans="7:32">
      <c r="G504" s="37"/>
      <c r="AA504"/>
      <c r="AB504"/>
      <c r="AC504"/>
      <c r="AD504"/>
      <c r="AE504"/>
      <c r="AF504"/>
    </row>
    <row r="505" spans="7:32">
      <c r="G505" s="37"/>
      <c r="AA505"/>
      <c r="AB505"/>
      <c r="AC505"/>
      <c r="AD505"/>
      <c r="AE505"/>
      <c r="AF505"/>
    </row>
    <row r="506" spans="7:32">
      <c r="G506" s="37"/>
      <c r="AA506"/>
      <c r="AB506"/>
      <c r="AC506"/>
      <c r="AD506"/>
      <c r="AE506"/>
      <c r="AF506"/>
    </row>
    <row r="507" spans="7:32">
      <c r="G507" s="37"/>
      <c r="AA507"/>
      <c r="AB507"/>
      <c r="AC507"/>
      <c r="AD507"/>
      <c r="AE507"/>
      <c r="AF507"/>
    </row>
    <row r="508" spans="7:32">
      <c r="G508" s="37"/>
      <c r="AA508"/>
      <c r="AB508"/>
      <c r="AC508"/>
      <c r="AD508"/>
      <c r="AE508"/>
      <c r="AF508"/>
    </row>
    <row r="509" spans="7:32">
      <c r="G509" s="37"/>
      <c r="AA509"/>
      <c r="AB509"/>
      <c r="AC509"/>
      <c r="AD509"/>
      <c r="AE509"/>
      <c r="AF509"/>
    </row>
    <row r="510" spans="7:32">
      <c r="G510" s="37"/>
      <c r="AA510"/>
      <c r="AB510"/>
      <c r="AC510"/>
      <c r="AD510"/>
      <c r="AE510"/>
      <c r="AF510"/>
    </row>
    <row r="511" spans="7:32">
      <c r="G511" s="37"/>
      <c r="AA511"/>
      <c r="AB511"/>
      <c r="AC511"/>
      <c r="AD511"/>
      <c r="AE511"/>
      <c r="AF511"/>
    </row>
    <row r="512" spans="7:32">
      <c r="G512" s="37"/>
      <c r="AA512"/>
      <c r="AB512"/>
      <c r="AC512"/>
      <c r="AD512"/>
      <c r="AE512"/>
      <c r="AF512"/>
    </row>
    <row r="513" spans="7:32">
      <c r="G513" s="37"/>
      <c r="AA513"/>
      <c r="AB513"/>
      <c r="AC513"/>
      <c r="AD513"/>
      <c r="AE513"/>
      <c r="AF513"/>
    </row>
    <row r="514" spans="7:32">
      <c r="G514" s="37"/>
      <c r="AA514"/>
      <c r="AB514"/>
      <c r="AC514"/>
      <c r="AD514"/>
      <c r="AE514"/>
      <c r="AF514"/>
    </row>
    <row r="515" spans="7:32">
      <c r="G515" s="37"/>
      <c r="AA515"/>
      <c r="AB515"/>
      <c r="AC515"/>
      <c r="AD515"/>
      <c r="AE515"/>
      <c r="AF515"/>
    </row>
    <row r="516" spans="7:32">
      <c r="G516" s="37"/>
      <c r="AA516"/>
      <c r="AB516"/>
      <c r="AC516"/>
      <c r="AD516"/>
      <c r="AE516"/>
      <c r="AF516"/>
    </row>
    <row r="517" spans="7:32">
      <c r="G517" s="37"/>
      <c r="AA517"/>
      <c r="AB517"/>
      <c r="AC517"/>
      <c r="AD517"/>
      <c r="AE517"/>
      <c r="AF517"/>
    </row>
    <row r="518" spans="7:32">
      <c r="G518" s="37"/>
      <c r="AA518"/>
      <c r="AB518"/>
      <c r="AC518"/>
      <c r="AD518"/>
      <c r="AE518"/>
      <c r="AF518"/>
    </row>
    <row r="519" spans="7:32">
      <c r="G519" s="37"/>
      <c r="AA519"/>
      <c r="AB519"/>
      <c r="AC519"/>
      <c r="AD519"/>
      <c r="AE519"/>
      <c r="AF519"/>
    </row>
    <row r="520" spans="7:32">
      <c r="G520" s="37"/>
      <c r="AA520"/>
      <c r="AB520"/>
      <c r="AC520"/>
      <c r="AD520"/>
      <c r="AE520"/>
      <c r="AF520"/>
    </row>
    <row r="521" spans="7:32">
      <c r="G521" s="37"/>
      <c r="AA521"/>
      <c r="AB521"/>
      <c r="AC521"/>
      <c r="AD521"/>
      <c r="AE521"/>
      <c r="AF521"/>
    </row>
    <row r="522" spans="7:32">
      <c r="G522" s="37"/>
      <c r="AA522"/>
      <c r="AB522"/>
      <c r="AC522"/>
      <c r="AD522"/>
      <c r="AE522"/>
      <c r="AF522"/>
    </row>
    <row r="523" spans="7:32">
      <c r="G523" s="37"/>
      <c r="AA523"/>
      <c r="AB523"/>
      <c r="AC523"/>
      <c r="AD523"/>
      <c r="AE523"/>
      <c r="AF523"/>
    </row>
    <row r="524" spans="7:32">
      <c r="G524" s="37"/>
      <c r="AA524"/>
      <c r="AB524"/>
      <c r="AC524"/>
      <c r="AD524"/>
      <c r="AE524"/>
      <c r="AF524"/>
    </row>
    <row r="525" spans="7:32">
      <c r="G525" s="37"/>
      <c r="AA525"/>
      <c r="AB525"/>
      <c r="AC525"/>
      <c r="AD525"/>
      <c r="AE525"/>
      <c r="AF525"/>
    </row>
    <row r="526" spans="7:32">
      <c r="G526" s="37"/>
      <c r="AA526"/>
      <c r="AB526"/>
      <c r="AC526"/>
      <c r="AD526"/>
      <c r="AE526"/>
      <c r="AF526"/>
    </row>
    <row r="527" spans="7:32">
      <c r="G527" s="37"/>
      <c r="AA527"/>
      <c r="AB527"/>
      <c r="AC527"/>
      <c r="AD527"/>
      <c r="AE527"/>
      <c r="AF527"/>
    </row>
    <row r="528" spans="7:32">
      <c r="G528" s="37"/>
      <c r="AA528"/>
      <c r="AB528"/>
      <c r="AC528"/>
      <c r="AD528"/>
      <c r="AE528"/>
      <c r="AF528"/>
    </row>
    <row r="529" spans="7:32">
      <c r="G529" s="37"/>
      <c r="AA529"/>
      <c r="AB529"/>
      <c r="AC529"/>
      <c r="AD529"/>
      <c r="AE529"/>
      <c r="AF529"/>
    </row>
    <row r="530" spans="7:32">
      <c r="G530" s="37"/>
      <c r="AA530"/>
      <c r="AB530"/>
      <c r="AC530"/>
      <c r="AD530"/>
      <c r="AE530"/>
      <c r="AF530"/>
    </row>
    <row r="531" spans="7:32">
      <c r="G531" s="37"/>
      <c r="AA531"/>
      <c r="AB531"/>
      <c r="AC531"/>
      <c r="AD531"/>
      <c r="AE531"/>
      <c r="AF531"/>
    </row>
    <row r="532" spans="7:32">
      <c r="G532" s="37"/>
      <c r="AA532"/>
      <c r="AB532"/>
      <c r="AC532"/>
      <c r="AD532"/>
      <c r="AE532"/>
      <c r="AF532"/>
    </row>
    <row r="533" spans="7:32">
      <c r="G533" s="37"/>
      <c r="AA533"/>
      <c r="AB533"/>
      <c r="AC533"/>
      <c r="AD533"/>
      <c r="AE533"/>
      <c r="AF533"/>
    </row>
    <row r="534" spans="7:32">
      <c r="G534" s="37"/>
      <c r="AA534"/>
      <c r="AB534"/>
      <c r="AC534"/>
      <c r="AD534"/>
      <c r="AE534"/>
      <c r="AF534"/>
    </row>
    <row r="535" spans="7:32">
      <c r="G535" s="37"/>
      <c r="AA535"/>
      <c r="AB535"/>
      <c r="AC535"/>
      <c r="AD535"/>
      <c r="AE535"/>
      <c r="AF535"/>
    </row>
    <row r="536" spans="7:32">
      <c r="G536" s="37"/>
      <c r="AA536"/>
      <c r="AB536"/>
      <c r="AC536"/>
      <c r="AD536"/>
      <c r="AE536"/>
      <c r="AF536"/>
    </row>
    <row r="537" spans="7:32">
      <c r="G537" s="37"/>
      <c r="AA537"/>
      <c r="AB537"/>
      <c r="AC537"/>
      <c r="AD537"/>
      <c r="AE537"/>
      <c r="AF537"/>
    </row>
    <row r="538" spans="7:32">
      <c r="G538" s="37"/>
      <c r="AA538"/>
      <c r="AB538"/>
      <c r="AC538"/>
      <c r="AD538"/>
      <c r="AE538"/>
      <c r="AF538"/>
    </row>
    <row r="539" spans="7:32">
      <c r="G539" s="37"/>
      <c r="AA539"/>
      <c r="AB539"/>
      <c r="AC539"/>
      <c r="AD539"/>
      <c r="AE539"/>
      <c r="AF539"/>
    </row>
    <row r="540" spans="7:32">
      <c r="G540" s="37"/>
      <c r="AA540"/>
      <c r="AB540"/>
      <c r="AC540"/>
      <c r="AD540"/>
      <c r="AE540"/>
      <c r="AF540"/>
    </row>
    <row r="541" spans="7:32">
      <c r="G541" s="37"/>
      <c r="AA541"/>
      <c r="AB541"/>
      <c r="AC541"/>
      <c r="AD541"/>
      <c r="AE541"/>
      <c r="AF541"/>
    </row>
    <row r="542" spans="7:32">
      <c r="G542" s="37"/>
      <c r="AA542"/>
      <c r="AB542"/>
      <c r="AC542"/>
      <c r="AD542"/>
      <c r="AE542"/>
      <c r="AF542"/>
    </row>
    <row r="543" spans="7:32">
      <c r="G543" s="37"/>
      <c r="AA543"/>
      <c r="AB543"/>
      <c r="AC543"/>
      <c r="AD543"/>
      <c r="AE543"/>
      <c r="AF543"/>
    </row>
    <row r="544" spans="7:32">
      <c r="G544" s="37"/>
      <c r="AA544"/>
      <c r="AB544"/>
      <c r="AC544"/>
      <c r="AD544"/>
      <c r="AE544"/>
      <c r="AF544"/>
    </row>
    <row r="545" spans="7:32">
      <c r="G545" s="37"/>
      <c r="AA545"/>
      <c r="AB545"/>
      <c r="AC545"/>
      <c r="AD545"/>
      <c r="AE545"/>
      <c r="AF545"/>
    </row>
    <row r="546" spans="7:32">
      <c r="G546" s="37"/>
      <c r="AA546"/>
      <c r="AB546"/>
      <c r="AC546"/>
      <c r="AD546"/>
      <c r="AE546"/>
      <c r="AF546"/>
    </row>
    <row r="547" spans="7:32">
      <c r="G547" s="37"/>
      <c r="AA547"/>
      <c r="AB547"/>
      <c r="AC547"/>
      <c r="AD547"/>
      <c r="AE547"/>
      <c r="AF547"/>
    </row>
    <row r="548" spans="7:32">
      <c r="G548" s="37"/>
      <c r="AA548"/>
      <c r="AB548"/>
      <c r="AC548"/>
      <c r="AD548"/>
      <c r="AE548"/>
      <c r="AF548"/>
    </row>
    <row r="549" spans="7:32">
      <c r="G549" s="37"/>
      <c r="AA549"/>
      <c r="AB549"/>
      <c r="AC549"/>
      <c r="AD549"/>
      <c r="AE549"/>
      <c r="AF549"/>
    </row>
    <row r="550" spans="7:32">
      <c r="G550" s="37"/>
      <c r="AA550"/>
      <c r="AB550"/>
      <c r="AC550"/>
      <c r="AD550"/>
      <c r="AE550"/>
      <c r="AF550"/>
    </row>
    <row r="551" spans="7:32">
      <c r="G551" s="37"/>
      <c r="AA551"/>
      <c r="AB551"/>
      <c r="AC551"/>
      <c r="AD551"/>
      <c r="AE551"/>
      <c r="AF551"/>
    </row>
    <row r="552" spans="7:32">
      <c r="G552" s="37"/>
      <c r="AA552"/>
      <c r="AB552"/>
      <c r="AC552"/>
      <c r="AD552"/>
      <c r="AE552"/>
      <c r="AF552"/>
    </row>
    <row r="553" spans="7:32">
      <c r="G553" s="37"/>
      <c r="AA553"/>
      <c r="AB553"/>
      <c r="AC553"/>
      <c r="AD553"/>
      <c r="AE553"/>
      <c r="AF553"/>
    </row>
    <row r="554" spans="7:32">
      <c r="G554" s="37"/>
      <c r="AA554"/>
      <c r="AB554"/>
      <c r="AC554"/>
      <c r="AD554"/>
      <c r="AE554"/>
      <c r="AF554"/>
    </row>
    <row r="555" spans="7:32">
      <c r="G555" s="37"/>
      <c r="AA555"/>
      <c r="AB555"/>
      <c r="AC555"/>
      <c r="AD555"/>
      <c r="AE555"/>
      <c r="AF555"/>
    </row>
    <row r="556" spans="7:32">
      <c r="G556" s="37"/>
      <c r="AA556"/>
      <c r="AB556"/>
      <c r="AC556"/>
      <c r="AD556"/>
      <c r="AE556"/>
      <c r="AF556"/>
    </row>
    <row r="557" spans="7:32">
      <c r="G557" s="37"/>
      <c r="AA557"/>
      <c r="AB557"/>
      <c r="AC557"/>
      <c r="AD557"/>
      <c r="AE557"/>
      <c r="AF557"/>
    </row>
    <row r="558" spans="7:32">
      <c r="G558" s="37"/>
      <c r="AA558"/>
      <c r="AB558"/>
      <c r="AC558"/>
      <c r="AD558"/>
      <c r="AE558"/>
      <c r="AF558"/>
    </row>
    <row r="559" spans="7:32">
      <c r="G559" s="37"/>
      <c r="AA559"/>
      <c r="AB559"/>
      <c r="AC559"/>
      <c r="AD559"/>
      <c r="AE559"/>
      <c r="AF559"/>
    </row>
    <row r="560" spans="7:32">
      <c r="G560" s="37"/>
      <c r="AA560"/>
      <c r="AB560"/>
      <c r="AC560"/>
      <c r="AD560"/>
      <c r="AE560"/>
      <c r="AF560"/>
    </row>
    <row r="561" spans="7:32">
      <c r="G561" s="37"/>
      <c r="AA561"/>
      <c r="AB561"/>
      <c r="AC561"/>
      <c r="AD561"/>
      <c r="AE561"/>
      <c r="AF561"/>
    </row>
    <row r="562" spans="7:32">
      <c r="G562" s="37"/>
      <c r="AA562"/>
      <c r="AB562"/>
      <c r="AC562"/>
      <c r="AD562"/>
      <c r="AE562"/>
      <c r="AF562"/>
    </row>
    <row r="563" spans="7:32">
      <c r="G563" s="37"/>
      <c r="AA563"/>
      <c r="AB563"/>
      <c r="AC563"/>
      <c r="AD563"/>
      <c r="AE563"/>
      <c r="AF563"/>
    </row>
    <row r="564" spans="7:32">
      <c r="G564" s="37"/>
      <c r="AA564"/>
      <c r="AB564"/>
      <c r="AC564"/>
      <c r="AD564"/>
      <c r="AE564"/>
      <c r="AF564"/>
    </row>
    <row r="565" spans="7:32">
      <c r="G565" s="37"/>
      <c r="AA565"/>
      <c r="AB565"/>
      <c r="AC565"/>
      <c r="AD565"/>
      <c r="AE565"/>
      <c r="AF565"/>
    </row>
    <row r="566" spans="7:32">
      <c r="G566" s="37"/>
      <c r="AA566"/>
      <c r="AB566"/>
      <c r="AC566"/>
      <c r="AD566"/>
      <c r="AE566"/>
      <c r="AF566"/>
    </row>
    <row r="567" spans="7:32">
      <c r="G567" s="37"/>
      <c r="AA567"/>
      <c r="AB567"/>
      <c r="AC567"/>
      <c r="AD567"/>
      <c r="AE567"/>
      <c r="AF567"/>
    </row>
  </sheetData>
  <mergeCells count="3">
    <mergeCell ref="A1:A3"/>
    <mergeCell ref="A16:A18"/>
    <mergeCell ref="A31:A33"/>
  </mergeCells>
  <conditionalFormatting sqref="D3:AU3">
    <cfRule type="cellIs" dxfId="23" priority="17" operator="equal">
      <formula>#REF!</formula>
    </cfRule>
    <cfRule type="cellIs" dxfId="22" priority="18" operator="equal">
      <formula>#REF!</formula>
    </cfRule>
    <cfRule type="cellIs" dxfId="21" priority="19" operator="equal">
      <formula>#REF!</formula>
    </cfRule>
    <cfRule type="cellIs" dxfId="20" priority="20" operator="equal">
      <formula>#REF!</formula>
    </cfRule>
  </conditionalFormatting>
  <conditionalFormatting sqref="D18:AU18">
    <cfRule type="cellIs" dxfId="19" priority="9" operator="equal">
      <formula>#REF!</formula>
    </cfRule>
    <cfRule type="cellIs" dxfId="18" priority="10" operator="equal">
      <formula>#REF!</formula>
    </cfRule>
    <cfRule type="cellIs" dxfId="17" priority="11" operator="equal">
      <formula>#REF!</formula>
    </cfRule>
    <cfRule type="cellIs" dxfId="16" priority="12" operator="equal">
      <formula>#REF!</formula>
    </cfRule>
  </conditionalFormatting>
  <conditionalFormatting sqref="D33:AU33">
    <cfRule type="cellIs" dxfId="15" priority="1" operator="equal">
      <formula>#REF!</formula>
    </cfRule>
    <cfRule type="cellIs" dxfId="14" priority="2" operator="equal">
      <formula>#REF!</formula>
    </cfRule>
    <cfRule type="cellIs" dxfId="13" priority="3" operator="equal">
      <formula>#REF!</formula>
    </cfRule>
    <cfRule type="cellIs" dxfId="12" priority="4" operator="equal">
      <formula>#REF!</formula>
    </cfRule>
  </conditionalFormatting>
  <conditionalFormatting sqref="G3:AV3">
    <cfRule type="cellIs" dxfId="11" priority="21" operator="equal">
      <formula>#REF!</formula>
    </cfRule>
    <cfRule type="cellIs" dxfId="10" priority="22" operator="equal">
      <formula>#REF!</formula>
    </cfRule>
    <cfRule type="cellIs" dxfId="9" priority="23" operator="equal">
      <formula>#REF!</formula>
    </cfRule>
    <cfRule type="cellIs" dxfId="8" priority="24" operator="equal">
      <formula>#REF!</formula>
    </cfRule>
  </conditionalFormatting>
  <conditionalFormatting sqref="G18:AV18">
    <cfRule type="cellIs" dxfId="7" priority="13" operator="equal">
      <formula>#REF!</formula>
    </cfRule>
    <cfRule type="cellIs" dxfId="6" priority="14" operator="equal">
      <formula>#REF!</formula>
    </cfRule>
    <cfRule type="cellIs" dxfId="5" priority="15" operator="equal">
      <formula>#REF!</formula>
    </cfRule>
    <cfRule type="cellIs" dxfId="4" priority="16" operator="equal">
      <formula>#REF!</formula>
    </cfRule>
  </conditionalFormatting>
  <conditionalFormatting sqref="G33:AV33">
    <cfRule type="cellIs" dxfId="3" priority="5" operator="equal">
      <formula>#REF!</formula>
    </cfRule>
    <cfRule type="cellIs" dxfId="2" priority="6" operator="equal">
      <formula>#REF!</formula>
    </cfRule>
    <cfRule type="cellIs" dxfId="1" priority="7" operator="equal">
      <formula>#REF!</formula>
    </cfRule>
    <cfRule type="cellIs" dxfId="0" priority="8" operator="equal">
      <formula>#REF!</formula>
    </cfRule>
  </conditionalFormatting>
  <pageMargins left="0.7" right="0.7" top="0.75" bottom="0.75" header="0.3" footer="0.3"/>
  <pageSetup orientation="portrait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AE8C2-2257-4B43-A4EE-DA28C5CEE083}">
  <sheetPr>
    <tabColor theme="2" tint="-0.249977111117893"/>
  </sheetPr>
  <dimension ref="B1:G12"/>
  <sheetViews>
    <sheetView zoomScale="75" zoomScaleNormal="75" workbookViewId="0">
      <selection activeCell="L12" sqref="L12"/>
    </sheetView>
  </sheetViews>
  <sheetFormatPr defaultRowHeight="14.25"/>
  <cols>
    <col min="2" max="4" width="22.796875" customWidth="1"/>
    <col min="5" max="5" width="22.53125" customWidth="1"/>
    <col min="6" max="6" width="19.796875" customWidth="1"/>
    <col min="7" max="7" width="19.53125" customWidth="1"/>
  </cols>
  <sheetData>
    <row r="1" spans="2:7" ht="14.65" thickBot="1"/>
    <row r="2" spans="2:7" ht="14.65" thickBot="1">
      <c r="B2" s="1332" t="s">
        <v>161</v>
      </c>
      <c r="C2" s="1333"/>
      <c r="D2" s="1333"/>
      <c r="E2" s="1333"/>
      <c r="F2" s="1333"/>
      <c r="G2" s="1334"/>
    </row>
    <row r="3" spans="2:7" ht="28.15">
      <c r="B3" s="238" t="s">
        <v>162</v>
      </c>
      <c r="C3" s="237" t="s">
        <v>163</v>
      </c>
      <c r="D3" s="237" t="s">
        <v>164</v>
      </c>
      <c r="E3" s="237" t="s">
        <v>165</v>
      </c>
      <c r="F3" s="239" t="s">
        <v>166</v>
      </c>
      <c r="G3" s="261" t="s">
        <v>167</v>
      </c>
    </row>
    <row r="4" spans="2:7" ht="45" customHeight="1">
      <c r="B4" s="334" t="s">
        <v>168</v>
      </c>
      <c r="C4" s="335" t="s">
        <v>169</v>
      </c>
      <c r="D4" s="336" t="s">
        <v>170</v>
      </c>
      <c r="E4" s="336" t="s">
        <v>171</v>
      </c>
      <c r="F4" s="337">
        <v>0.3</v>
      </c>
      <c r="G4" s="262" t="s">
        <v>172</v>
      </c>
    </row>
    <row r="5" spans="2:7" ht="45" customHeight="1">
      <c r="B5" s="334" t="s">
        <v>173</v>
      </c>
      <c r="C5" s="336" t="s">
        <v>174</v>
      </c>
      <c r="D5" s="336" t="s">
        <v>175</v>
      </c>
      <c r="E5" s="335" t="s">
        <v>176</v>
      </c>
      <c r="F5" s="338">
        <v>0.2</v>
      </c>
      <c r="G5" s="263" t="s">
        <v>177</v>
      </c>
    </row>
    <row r="6" spans="2:7" ht="64.8" customHeight="1">
      <c r="B6" s="334" t="s">
        <v>178</v>
      </c>
      <c r="C6" s="336" t="s">
        <v>179</v>
      </c>
      <c r="D6" s="336" t="s">
        <v>180</v>
      </c>
      <c r="E6" s="335" t="s">
        <v>4</v>
      </c>
      <c r="F6" s="338">
        <v>0.3</v>
      </c>
      <c r="G6" s="263" t="s">
        <v>172</v>
      </c>
    </row>
    <row r="7" spans="2:7" ht="45" customHeight="1">
      <c r="B7" s="334" t="s">
        <v>181</v>
      </c>
      <c r="C7" s="336" t="s">
        <v>179</v>
      </c>
      <c r="D7" s="336" t="s">
        <v>175</v>
      </c>
      <c r="E7" s="336" t="s">
        <v>182</v>
      </c>
      <c r="F7" s="337" t="s">
        <v>183</v>
      </c>
      <c r="G7" s="262" t="s">
        <v>184</v>
      </c>
    </row>
    <row r="8" spans="2:7" ht="45" customHeight="1">
      <c r="B8" s="334" t="s">
        <v>185</v>
      </c>
      <c r="C8" s="336" t="s">
        <v>362</v>
      </c>
      <c r="D8" s="336" t="s">
        <v>175</v>
      </c>
      <c r="E8" s="335" t="s">
        <v>187</v>
      </c>
      <c r="F8" s="337">
        <v>0.3</v>
      </c>
      <c r="G8" s="264" t="s">
        <v>172</v>
      </c>
    </row>
    <row r="9" spans="2:7" ht="45" customHeight="1">
      <c r="B9" s="334" t="s">
        <v>188</v>
      </c>
      <c r="C9" s="335" t="s">
        <v>193</v>
      </c>
      <c r="D9" s="336" t="s">
        <v>175</v>
      </c>
      <c r="E9" s="335" t="s">
        <v>189</v>
      </c>
      <c r="F9" s="338">
        <v>0.3</v>
      </c>
      <c r="G9" s="263" t="s">
        <v>172</v>
      </c>
    </row>
    <row r="10" spans="2:7" ht="45" customHeight="1" thickBot="1">
      <c r="B10" s="339" t="s">
        <v>190</v>
      </c>
      <c r="C10" s="340" t="s">
        <v>186</v>
      </c>
      <c r="D10" s="340" t="s">
        <v>175</v>
      </c>
      <c r="E10" s="341" t="s">
        <v>191</v>
      </c>
      <c r="F10" s="342">
        <v>0.3</v>
      </c>
      <c r="G10" s="343" t="s">
        <v>172</v>
      </c>
    </row>
    <row r="11" spans="2:7" ht="37.450000000000003" customHeight="1" thickBot="1">
      <c r="B11" s="344" t="s">
        <v>192</v>
      </c>
      <c r="C11" s="340" t="s">
        <v>193</v>
      </c>
      <c r="D11" s="340" t="s">
        <v>180</v>
      </c>
      <c r="E11" s="341" t="s">
        <v>194</v>
      </c>
      <c r="F11" s="342">
        <v>0.3</v>
      </c>
      <c r="G11" s="343" t="s">
        <v>172</v>
      </c>
    </row>
    <row r="12" spans="2:7" ht="63" customHeight="1" thickBot="1">
      <c r="B12" s="344" t="s">
        <v>195</v>
      </c>
      <c r="C12" s="340" t="s">
        <v>196</v>
      </c>
      <c r="D12" s="340" t="s">
        <v>197</v>
      </c>
      <c r="E12" s="341" t="s">
        <v>198</v>
      </c>
      <c r="F12" s="345" t="s">
        <v>199</v>
      </c>
      <c r="G12" s="262" t="s">
        <v>184</v>
      </c>
    </row>
  </sheetData>
  <mergeCells count="1">
    <mergeCell ref="B2:G2"/>
  </mergeCells>
  <pageMargins left="0.7" right="0.7" top="0.75" bottom="0.75" header="0.3" footer="0.3"/>
  <pageSetup orientation="portrait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  <pageSetUpPr fitToPage="1"/>
  </sheetPr>
  <dimension ref="A1:AB122"/>
  <sheetViews>
    <sheetView showGridLines="0" zoomScale="95" zoomScaleNormal="95" zoomScaleSheetLayoutView="90" workbookViewId="0">
      <selection activeCell="A6" sqref="A6:A13"/>
    </sheetView>
  </sheetViews>
  <sheetFormatPr defaultColWidth="8.796875" defaultRowHeight="23.25" customHeight="1"/>
  <cols>
    <col min="1" max="1" width="30.9296875" style="33" bestFit="1" customWidth="1"/>
    <col min="2" max="2" width="26.6640625" style="105" bestFit="1" customWidth="1"/>
    <col min="3" max="3" width="20" style="33" bestFit="1" customWidth="1"/>
    <col min="4" max="4" width="17.19921875" style="33" bestFit="1" customWidth="1"/>
    <col min="5" max="5" width="44.73046875" style="33" customWidth="1"/>
    <col min="6" max="6" width="23.59765625" style="33" customWidth="1"/>
    <col min="7" max="7" width="54" style="33" bestFit="1" customWidth="1"/>
    <col min="8" max="8" width="39.19921875" style="33" bestFit="1" customWidth="1"/>
    <col min="9" max="9" width="30.06640625" style="33" customWidth="1"/>
    <col min="10" max="10" width="44" style="33" bestFit="1" customWidth="1"/>
    <col min="11" max="11" width="39" style="33" bestFit="1" customWidth="1"/>
    <col min="12" max="12" width="17.33203125" style="33" bestFit="1" customWidth="1"/>
    <col min="13" max="13" width="18" style="33" customWidth="1"/>
    <col min="14" max="14" width="15.6640625" style="33" bestFit="1" customWidth="1"/>
    <col min="15" max="15" width="30.3984375" style="33" bestFit="1" customWidth="1"/>
    <col min="16" max="16" width="36.265625" style="33" bestFit="1" customWidth="1"/>
    <col min="17" max="17" width="95.73046875" style="33" bestFit="1" customWidth="1"/>
    <col min="18" max="18" width="20.73046875" style="33" customWidth="1"/>
    <col min="19" max="19" width="17" style="33" customWidth="1"/>
    <col min="20" max="20" width="22.19921875" style="33" customWidth="1"/>
    <col min="21" max="21" width="54.53125" style="33" bestFit="1" customWidth="1"/>
    <col min="22" max="22" width="37.9296875" style="33" customWidth="1"/>
    <col min="23" max="23" width="27.796875" style="33" bestFit="1" customWidth="1"/>
    <col min="24" max="24" width="23" style="33" customWidth="1"/>
    <col min="25" max="25" width="27.796875" style="33" bestFit="1" customWidth="1"/>
    <col min="26" max="26" width="10.86328125" style="33" bestFit="1" customWidth="1"/>
    <col min="27" max="27" width="81.796875" style="33" bestFit="1" customWidth="1"/>
    <col min="28" max="28" width="34.19921875" style="33" customWidth="1"/>
    <col min="29" max="16384" width="8.796875" style="33"/>
  </cols>
  <sheetData>
    <row r="1" spans="1:28" ht="23.25" customHeight="1">
      <c r="A1" s="636" t="s">
        <v>582</v>
      </c>
    </row>
    <row r="2" spans="1:28" ht="23.25" customHeight="1" thickBot="1"/>
    <row r="3" spans="1:28" ht="23.25" customHeight="1">
      <c r="A3" s="1335" t="s">
        <v>141</v>
      </c>
      <c r="B3" s="1336"/>
      <c r="C3" s="1336"/>
      <c r="D3" s="1336"/>
      <c r="E3" s="1336"/>
      <c r="F3" s="1336"/>
      <c r="G3" s="1336"/>
      <c r="H3" s="1336"/>
      <c r="I3" s="1336"/>
      <c r="J3" s="1336"/>
      <c r="K3" s="1336"/>
      <c r="L3" s="1336"/>
      <c r="M3" s="1336"/>
      <c r="N3" s="1336"/>
      <c r="O3" s="1336"/>
      <c r="P3" s="1336"/>
      <c r="Q3" s="1336"/>
      <c r="R3" s="1336"/>
      <c r="S3" s="1337"/>
      <c r="T3" s="829"/>
      <c r="U3" s="1380" t="s">
        <v>432</v>
      </c>
      <c r="V3" s="1380"/>
      <c r="W3" s="1380"/>
      <c r="X3" s="1380"/>
      <c r="Y3" s="1380"/>
      <c r="Z3" s="1380"/>
      <c r="AA3" s="1380"/>
      <c r="AB3" s="1380"/>
    </row>
    <row r="4" spans="1:28" ht="23.25" customHeight="1" thickBot="1">
      <c r="A4" s="1338"/>
      <c r="B4" s="1339"/>
      <c r="C4" s="1339"/>
      <c r="D4" s="1339"/>
      <c r="E4" s="1339"/>
      <c r="F4" s="1339"/>
      <c r="G4" s="1339"/>
      <c r="H4" s="1339"/>
      <c r="I4" s="1339"/>
      <c r="J4" s="1339"/>
      <c r="K4" s="1339"/>
      <c r="L4" s="1339"/>
      <c r="M4" s="1339"/>
      <c r="N4" s="1339"/>
      <c r="O4" s="1339"/>
      <c r="P4" s="1339"/>
      <c r="Q4" s="1339"/>
      <c r="R4" s="1339"/>
      <c r="S4" s="1340"/>
      <c r="T4" s="829"/>
      <c r="U4" s="1380"/>
      <c r="V4" s="1380"/>
      <c r="W4" s="1380"/>
      <c r="X4" s="1380"/>
      <c r="Y4" s="1380"/>
      <c r="Z4" s="1380"/>
      <c r="AA4" s="1380"/>
      <c r="AB4" s="1380"/>
    </row>
    <row r="5" spans="1:28" ht="30.4" thickBot="1">
      <c r="A5" s="1002" t="s">
        <v>142</v>
      </c>
      <c r="B5" s="1008" t="s">
        <v>143</v>
      </c>
      <c r="C5" s="1008" t="s">
        <v>409</v>
      </c>
      <c r="D5" s="1003" t="s">
        <v>144</v>
      </c>
      <c r="E5" s="1004" t="s">
        <v>367</v>
      </c>
      <c r="F5" s="1042" t="s">
        <v>145</v>
      </c>
      <c r="G5" s="1007" t="s">
        <v>368</v>
      </c>
      <c r="H5" s="1001" t="s">
        <v>385</v>
      </c>
      <c r="I5" s="1001" t="s">
        <v>408</v>
      </c>
      <c r="J5" s="1001" t="s">
        <v>421</v>
      </c>
      <c r="K5" s="1006" t="s">
        <v>369</v>
      </c>
      <c r="L5" s="1007" t="s">
        <v>146</v>
      </c>
      <c r="M5" s="1008" t="s">
        <v>147</v>
      </c>
      <c r="N5" s="1008" t="s">
        <v>148</v>
      </c>
      <c r="O5" s="1003" t="s">
        <v>149</v>
      </c>
      <c r="P5" s="1076" t="s">
        <v>370</v>
      </c>
      <c r="Q5" s="1009" t="s">
        <v>371</v>
      </c>
      <c r="R5" s="1009" t="s">
        <v>551</v>
      </c>
      <c r="S5" s="1043" t="s">
        <v>150</v>
      </c>
      <c r="T5" s="829"/>
      <c r="U5" s="1341" t="s">
        <v>353</v>
      </c>
      <c r="V5" s="1341"/>
      <c r="W5" s="928"/>
      <c r="X5" s="1341" t="s">
        <v>375</v>
      </c>
      <c r="Y5" s="1341"/>
      <c r="Z5" s="829"/>
      <c r="AA5" s="1379" t="s">
        <v>378</v>
      </c>
      <c r="AB5" s="1379"/>
    </row>
    <row r="6" spans="1:28" ht="15.4" thickBot="1">
      <c r="A6" s="1349" t="s">
        <v>353</v>
      </c>
      <c r="B6" s="1067" t="s">
        <v>354</v>
      </c>
      <c r="C6" s="1067" t="s">
        <v>410</v>
      </c>
      <c r="D6" s="646">
        <v>57120</v>
      </c>
      <c r="E6" s="1352" t="s">
        <v>517</v>
      </c>
      <c r="F6" s="1346" t="s">
        <v>390</v>
      </c>
      <c r="G6" s="1149"/>
      <c r="H6" s="1196">
        <f>'Phase 1b Financial'!B10</f>
        <v>366</v>
      </c>
      <c r="I6" s="1158">
        <f>'Phase 1b Financial'!B14</f>
        <v>67</v>
      </c>
      <c r="J6" s="1158"/>
      <c r="K6" s="1068">
        <f>SUM('Phase 1a Financial'!B40,'Phase 1a Financial'!B52:B56)</f>
        <v>236002.71428571429</v>
      </c>
      <c r="L6" s="1007"/>
      <c r="M6" s="1007"/>
      <c r="N6" s="1007"/>
      <c r="O6" s="1007"/>
      <c r="P6" s="1005"/>
      <c r="Q6" s="1143">
        <f>V15</f>
        <v>5689586.0022693248</v>
      </c>
      <c r="R6" s="1126"/>
      <c r="S6" s="1010"/>
      <c r="T6" s="829"/>
      <c r="U6" s="1011"/>
      <c r="V6" s="1011"/>
      <c r="W6" s="1011"/>
      <c r="X6" s="829"/>
      <c r="Y6" s="829"/>
      <c r="Z6" s="829"/>
    </row>
    <row r="7" spans="1:28" ht="15">
      <c r="A7" s="1350"/>
      <c r="B7" s="1048" t="s">
        <v>512</v>
      </c>
      <c r="C7" s="1342" t="s">
        <v>360</v>
      </c>
      <c r="D7" s="1077">
        <v>4260</v>
      </c>
      <c r="E7" s="1353"/>
      <c r="F7" s="1347"/>
      <c r="G7" s="1202">
        <f>'Phase 1a Financial'!B34-'Phase 1a Financial'!B33</f>
        <v>995</v>
      </c>
      <c r="H7" s="1197">
        <f>H6/G8</f>
        <v>0.84526558891454961</v>
      </c>
      <c r="I7" s="1159">
        <f>I6/G8</f>
        <v>0.15473441108545036</v>
      </c>
      <c r="J7" s="1159"/>
      <c r="K7" s="1064">
        <f>'Phase 1a Financial'!B41</f>
        <v>22600</v>
      </c>
      <c r="L7" s="832">
        <f>'Phase 1a Financial'!D89+'Phase 1b Financial'!D31</f>
        <v>1220531493.2410119</v>
      </c>
      <c r="M7" s="832">
        <f>'Phase 1a Financial'!C113+'Phase 1b Financial'!C55</f>
        <v>913665200.82348394</v>
      </c>
      <c r="N7" s="832">
        <f>'Phase 1a Financial'!B127+'Phase 1b Financial'!B66</f>
        <v>355926258.88992429</v>
      </c>
      <c r="O7" s="832">
        <f>'Phase 1a Financial'!B123+'Phase 1b Financial'!B65</f>
        <v>548198767.33829045</v>
      </c>
      <c r="P7" s="642">
        <f>'Phase 1a Financial'!B117+'Phase 1b Financial'!B59</f>
        <v>25205000</v>
      </c>
      <c r="Q7" s="1133">
        <f>V20</f>
        <v>3350000</v>
      </c>
      <c r="R7" s="1122">
        <v>0</v>
      </c>
      <c r="S7" s="1069"/>
      <c r="T7" s="829"/>
      <c r="U7" s="1356" t="s">
        <v>423</v>
      </c>
      <c r="V7" s="1357"/>
      <c r="W7" s="1011"/>
      <c r="X7" s="1356" t="s">
        <v>482</v>
      </c>
      <c r="Y7" s="1357"/>
      <c r="Z7" s="829"/>
      <c r="AA7" s="1354" t="s">
        <v>438</v>
      </c>
      <c r="AB7" s="1355"/>
    </row>
    <row r="8" spans="1:28" ht="15.4">
      <c r="A8" s="1350"/>
      <c r="B8" s="1048" t="s">
        <v>513</v>
      </c>
      <c r="C8" s="1343"/>
      <c r="D8" s="757">
        <v>28320</v>
      </c>
      <c r="E8" s="1353"/>
      <c r="F8" s="1347"/>
      <c r="G8" s="1203">
        <f>'Phase 1b Financial'!B15</f>
        <v>433</v>
      </c>
      <c r="H8" s="1198">
        <f>'Phase 1a Financial'!B11+'Phase 1a Financial'!B23</f>
        <v>585</v>
      </c>
      <c r="I8" s="1161"/>
      <c r="J8" s="1160">
        <f>'Phase 1a Financial'!B17+'Phase 1a Financial'!B28</f>
        <v>410</v>
      </c>
      <c r="K8" s="1065">
        <f>SUM('Phase 1a Financial'!B42:B43)</f>
        <v>85000</v>
      </c>
      <c r="L8" s="647"/>
      <c r="M8" s="647"/>
      <c r="N8" s="647"/>
      <c r="O8" s="647"/>
      <c r="Q8" s="1135">
        <f>V24</f>
        <v>500000</v>
      </c>
      <c r="R8" s="1123"/>
      <c r="S8" s="1224">
        <f>'All Components Draw'!B21</f>
        <v>0.27560619432585542</v>
      </c>
      <c r="T8" s="829"/>
      <c r="U8" s="842" t="s">
        <v>428</v>
      </c>
      <c r="V8" s="843">
        <v>654740686.82345891</v>
      </c>
      <c r="W8" s="1011"/>
      <c r="X8" s="727" t="s">
        <v>483</v>
      </c>
      <c r="Y8" s="945">
        <v>27640</v>
      </c>
      <c r="Z8" s="829"/>
      <c r="AA8" s="727" t="s">
        <v>428</v>
      </c>
      <c r="AB8" s="726">
        <v>577947600</v>
      </c>
    </row>
    <row r="9" spans="1:28" ht="15">
      <c r="A9" s="1350"/>
      <c r="B9" s="1048" t="s">
        <v>524</v>
      </c>
      <c r="C9" s="1344"/>
      <c r="D9" s="757">
        <v>6600</v>
      </c>
      <c r="E9" s="1353"/>
      <c r="F9" s="1347"/>
      <c r="G9" s="647"/>
      <c r="H9" s="1199">
        <f>H8/G7</f>
        <v>0.5879396984924623</v>
      </c>
      <c r="I9" s="1161"/>
      <c r="J9" s="1159">
        <f>J8/G7</f>
        <v>0.4120603015075377</v>
      </c>
      <c r="K9" s="1063">
        <f>SUM('Phase 1a Financial'!B46:B48,'Phase 1a Financial'!B59)</f>
        <v>136965</v>
      </c>
      <c r="L9" s="647"/>
      <c r="M9" s="647"/>
      <c r="N9" s="647"/>
      <c r="O9" s="647"/>
      <c r="Q9" s="832"/>
      <c r="R9" s="1124"/>
      <c r="S9" s="1069"/>
      <c r="T9" s="829"/>
      <c r="U9" s="842" t="s">
        <v>416</v>
      </c>
      <c r="V9" s="843">
        <v>-86849721.611125648</v>
      </c>
      <c r="W9" s="1011"/>
      <c r="X9" s="727" t="s">
        <v>433</v>
      </c>
      <c r="Y9" s="946">
        <v>463</v>
      </c>
      <c r="Z9" s="829"/>
      <c r="AA9" s="727" t="s">
        <v>416</v>
      </c>
      <c r="AB9" s="726">
        <v>-70105347.318000004</v>
      </c>
    </row>
    <row r="10" spans="1:28" ht="15.4">
      <c r="A10" s="1350"/>
      <c r="B10" s="1048" t="s">
        <v>357</v>
      </c>
      <c r="C10" s="1048" t="s">
        <v>410</v>
      </c>
      <c r="D10" s="757">
        <v>16266</v>
      </c>
      <c r="E10" s="1353"/>
      <c r="F10" s="1347"/>
      <c r="G10" s="1204">
        <f>'Phase 1a Financial'!B33</f>
        <v>390</v>
      </c>
      <c r="H10" s="1200"/>
      <c r="I10" s="1163"/>
      <c r="J10" s="1163"/>
      <c r="K10" s="706"/>
      <c r="L10" s="647"/>
      <c r="M10" s="647"/>
      <c r="N10" s="647"/>
      <c r="O10" s="647"/>
      <c r="Q10" s="1066"/>
      <c r="R10" s="1125"/>
      <c r="S10" s="833"/>
      <c r="T10" s="829"/>
      <c r="U10" s="845" t="s">
        <v>437</v>
      </c>
      <c r="V10" s="1038">
        <v>5.0599999999999999E-2</v>
      </c>
      <c r="W10" s="862"/>
      <c r="X10" s="739" t="s">
        <v>484</v>
      </c>
      <c r="Y10" s="1081">
        <v>12797320</v>
      </c>
      <c r="Z10" s="829"/>
      <c r="AA10" s="219" t="s">
        <v>437</v>
      </c>
      <c r="AB10" s="1079">
        <v>0.80985776219158967</v>
      </c>
    </row>
    <row r="11" spans="1:28" ht="15">
      <c r="A11" s="1350"/>
      <c r="B11" s="1049" t="s">
        <v>514</v>
      </c>
      <c r="C11" s="1048" t="s">
        <v>520</v>
      </c>
      <c r="D11" s="757">
        <v>6600</v>
      </c>
      <c r="E11" s="1078">
        <v>6000000</v>
      </c>
      <c r="F11" s="1347"/>
      <c r="G11" s="647"/>
      <c r="H11" s="1200"/>
      <c r="I11" s="1163"/>
      <c r="J11" s="1163"/>
      <c r="K11" s="706"/>
      <c r="L11" s="832"/>
      <c r="M11" s="832"/>
      <c r="N11" s="832"/>
      <c r="O11" s="832"/>
      <c r="P11" s="642"/>
      <c r="Q11" s="832"/>
      <c r="R11" s="1125"/>
      <c r="S11" s="833"/>
      <c r="T11" s="829"/>
      <c r="U11" s="847" t="s">
        <v>361</v>
      </c>
      <c r="V11" s="848">
        <v>28735282.839744061</v>
      </c>
      <c r="X11" s="727" t="s">
        <v>490</v>
      </c>
      <c r="Y11" s="843">
        <v>3245743</v>
      </c>
      <c r="AA11" s="775" t="s">
        <v>361</v>
      </c>
      <c r="AB11" s="776">
        <v>411279990.30338031</v>
      </c>
    </row>
    <row r="12" spans="1:28" ht="15">
      <c r="A12" s="1350"/>
      <c r="B12" s="1049" t="s">
        <v>515</v>
      </c>
      <c r="C12" s="1342" t="s">
        <v>360</v>
      </c>
      <c r="D12" s="757">
        <v>6600</v>
      </c>
      <c r="E12" s="1078">
        <v>5500000</v>
      </c>
      <c r="F12" s="1347"/>
      <c r="G12" s="647"/>
      <c r="H12" s="1200"/>
      <c r="I12" s="1163"/>
      <c r="J12" s="1163"/>
      <c r="K12" s="706"/>
      <c r="L12" s="832"/>
      <c r="M12" s="832"/>
      <c r="N12" s="832"/>
      <c r="O12" s="832"/>
      <c r="P12" s="642"/>
      <c r="Q12" s="832"/>
      <c r="R12" s="1125"/>
      <c r="S12" s="833"/>
      <c r="T12" s="829"/>
      <c r="U12" s="842" t="s">
        <v>430</v>
      </c>
      <c r="V12" s="1056">
        <v>0.2</v>
      </c>
      <c r="X12" s="727" t="s">
        <v>485</v>
      </c>
      <c r="Y12" s="949">
        <v>32457430</v>
      </c>
      <c r="AA12" s="806" t="s">
        <v>361</v>
      </c>
      <c r="AB12" s="1079">
        <v>0.4</v>
      </c>
    </row>
    <row r="13" spans="1:28" ht="15.4" thickBot="1">
      <c r="A13" s="1351"/>
      <c r="B13" s="1070" t="s">
        <v>516</v>
      </c>
      <c r="C13" s="1345"/>
      <c r="D13" s="758">
        <v>6600</v>
      </c>
      <c r="E13" s="1144">
        <v>5500000</v>
      </c>
      <c r="F13" s="1348"/>
      <c r="G13" s="1207">
        <f>SUM(G6:G9)</f>
        <v>1428</v>
      </c>
      <c r="H13" s="1201">
        <f>SUM(H6,H8)</f>
        <v>951</v>
      </c>
      <c r="I13" s="1164">
        <f>I6</f>
        <v>67</v>
      </c>
      <c r="J13" s="1164">
        <f>SUM(J6,J8)</f>
        <v>410</v>
      </c>
      <c r="K13" s="1071">
        <f>SUM(K8:K9)</f>
        <v>221965</v>
      </c>
      <c r="L13" s="839"/>
      <c r="M13" s="839"/>
      <c r="N13" s="839"/>
      <c r="O13" s="839"/>
      <c r="P13" s="1072"/>
      <c r="Q13" s="832"/>
      <c r="R13" s="1145"/>
      <c r="S13" s="840"/>
      <c r="T13" s="829"/>
      <c r="U13" s="847" t="s">
        <v>429</v>
      </c>
      <c r="V13" s="848">
        <v>5747056.5679488126</v>
      </c>
      <c r="X13" s="739" t="s">
        <v>439</v>
      </c>
      <c r="Y13" s="740">
        <v>0.99</v>
      </c>
      <c r="AA13" s="775" t="s">
        <v>417</v>
      </c>
      <c r="AB13" s="776">
        <v>164511996.12135214</v>
      </c>
    </row>
    <row r="14" spans="1:28" ht="15.4" thickBot="1">
      <c r="A14" s="1363" t="s">
        <v>375</v>
      </c>
      <c r="B14" s="644" t="s">
        <v>365</v>
      </c>
      <c r="C14" s="1369" t="s">
        <v>360</v>
      </c>
      <c r="D14" s="646">
        <v>57256</v>
      </c>
      <c r="E14" s="1352" t="s">
        <v>517</v>
      </c>
      <c r="F14" s="1346" t="s">
        <v>379</v>
      </c>
      <c r="G14" s="1142">
        <f>'Phase 2a Financial'!B8</f>
        <v>421</v>
      </c>
      <c r="H14" s="1157">
        <f>'Phase 2b Financial'!B10</f>
        <v>333</v>
      </c>
      <c r="I14" s="1158">
        <f>'Phase 2b Financial'!B14</f>
        <v>52</v>
      </c>
      <c r="J14" s="1157">
        <f>'Phase 2b Financial'!B15-'Phase 2b Financial'!B14</f>
        <v>58</v>
      </c>
      <c r="K14" s="1073">
        <f>SUM('Phase 2a Financial'!B28:B29)</f>
        <v>110000</v>
      </c>
      <c r="L14" s="830">
        <f>'Phase 2a Financial'!D60+'Phase 2b Financial'!D32</f>
        <v>1288944199.0434878</v>
      </c>
      <c r="M14" s="830">
        <f>'Phase 2a Financial'!C84+'Phase 2b Financial'!C56</f>
        <v>1029407263.8913333</v>
      </c>
      <c r="N14" s="830">
        <f>'Phase 2a Financial'!B99+'Phase 2b Financial'!B67</f>
        <v>371310523.78562105</v>
      </c>
      <c r="O14" s="830">
        <f>'Phase 2a Financial'!B94+'Phase 2b Financial'!B66</f>
        <v>617644000</v>
      </c>
      <c r="P14" s="1227">
        <f>'Phase 2a Financial'!B88+'Phase 2b Financial'!B60</f>
        <v>-37912000</v>
      </c>
      <c r="Q14" s="1231">
        <f>Y19</f>
        <v>2900000</v>
      </c>
      <c r="R14" s="1228">
        <v>0</v>
      </c>
      <c r="S14" s="841"/>
      <c r="T14" s="829"/>
      <c r="U14" s="850" t="s">
        <v>439</v>
      </c>
      <c r="V14" s="1057">
        <v>0.99</v>
      </c>
      <c r="X14" s="728" t="s">
        <v>484</v>
      </c>
      <c r="Y14" s="1058">
        <v>32132855.699999999</v>
      </c>
      <c r="AA14" s="739" t="s">
        <v>422</v>
      </c>
      <c r="AB14" s="1079">
        <v>8.0399999999999999E-2</v>
      </c>
    </row>
    <row r="15" spans="1:28" ht="15.4" thickBot="1">
      <c r="A15" s="1364"/>
      <c r="B15" s="645" t="s">
        <v>526</v>
      </c>
      <c r="C15" s="1370"/>
      <c r="D15" s="1375">
        <f>82432*(2/3)</f>
        <v>54954.666666666664</v>
      </c>
      <c r="E15" s="1353"/>
      <c r="F15" s="1347"/>
      <c r="G15" s="831">
        <f>'Phase 2a Financial'!B21-'Phase 2a Financial'!B8</f>
        <v>1153</v>
      </c>
      <c r="H15" s="1162">
        <f>H14/G16</f>
        <v>0.75169300225733637</v>
      </c>
      <c r="I15" s="1162">
        <f>I14/G16</f>
        <v>0.11738148984198646</v>
      </c>
      <c r="J15" s="1162">
        <f>J14/G16</f>
        <v>0.1309255079006772</v>
      </c>
      <c r="K15" s="1113">
        <f>'Phase 2a Financial'!B26</f>
        <v>120000</v>
      </c>
      <c r="L15" s="832"/>
      <c r="M15" s="832"/>
      <c r="N15" s="832"/>
      <c r="O15" s="832"/>
      <c r="P15" s="854"/>
      <c r="Q15" s="1134">
        <f>Y29</f>
        <v>100000</v>
      </c>
      <c r="R15" s="836"/>
      <c r="S15" s="844"/>
      <c r="T15" s="829"/>
      <c r="U15" s="1080" t="s">
        <v>420</v>
      </c>
      <c r="V15" s="851">
        <v>5689586.0022693248</v>
      </c>
      <c r="AA15" s="727" t="s">
        <v>418</v>
      </c>
      <c r="AB15" s="726">
        <v>13226764.488156712</v>
      </c>
    </row>
    <row r="16" spans="1:28" ht="15.4" thickBot="1">
      <c r="A16" s="1364"/>
      <c r="B16" s="1046"/>
      <c r="C16" s="1370"/>
      <c r="D16" s="1376"/>
      <c r="E16" s="1353"/>
      <c r="F16" s="1347"/>
      <c r="G16" s="835">
        <f>'Phase 2b Financial'!B16</f>
        <v>443</v>
      </c>
      <c r="H16" s="1160">
        <f>'Phase 2a Financial'!B14</f>
        <v>690</v>
      </c>
      <c r="I16" s="1165"/>
      <c r="J16" s="1160">
        <f>'Phase 2a Financial'!B20</f>
        <v>463</v>
      </c>
      <c r="K16" s="1114">
        <f>SUM('Phase 2a Financial'!B27)</f>
        <v>5000</v>
      </c>
      <c r="L16" s="832"/>
      <c r="M16" s="832"/>
      <c r="N16" s="832"/>
      <c r="O16" s="832"/>
      <c r="P16" s="854"/>
      <c r="Q16" s="1139">
        <f>Y22</f>
        <v>5319382.6057123328</v>
      </c>
      <c r="R16" s="836"/>
      <c r="S16" s="1225">
        <f>'All Components Draw'!B36</f>
        <v>0.29654593021737585</v>
      </c>
      <c r="T16" s="829"/>
      <c r="X16" s="1354" t="s">
        <v>534</v>
      </c>
      <c r="Y16" s="1355"/>
      <c r="AA16" s="727" t="s">
        <v>481</v>
      </c>
      <c r="AB16" s="726">
        <v>1000000</v>
      </c>
    </row>
    <row r="17" spans="1:28" ht="15">
      <c r="A17" s="1364"/>
      <c r="B17" s="1046"/>
      <c r="C17" s="1370"/>
      <c r="D17" s="1376"/>
      <c r="E17" s="1353"/>
      <c r="F17" s="1347"/>
      <c r="G17" s="236"/>
      <c r="H17" s="1162">
        <f>H16/G15</f>
        <v>0.59843885516045103</v>
      </c>
      <c r="I17" s="1165"/>
      <c r="J17" s="1162">
        <f>J16/G15</f>
        <v>0.40156114483954902</v>
      </c>
      <c r="K17" s="1115">
        <f>'Phase 2a Financial'!B34</f>
        <v>23000</v>
      </c>
      <c r="L17" s="832"/>
      <c r="M17" s="832"/>
      <c r="N17" s="832"/>
      <c r="O17" s="832"/>
      <c r="P17" s="854"/>
      <c r="Q17" s="1229">
        <f>Y14</f>
        <v>32132855.699999999</v>
      </c>
      <c r="R17" s="836"/>
      <c r="S17" s="844"/>
      <c r="T17" s="829"/>
      <c r="U17" s="1354" t="s">
        <v>534</v>
      </c>
      <c r="V17" s="1355"/>
      <c r="X17" s="1098" t="s">
        <v>535</v>
      </c>
      <c r="Y17" s="949">
        <v>50000</v>
      </c>
      <c r="AA17" s="727" t="s">
        <v>419</v>
      </c>
      <c r="AB17" s="726">
        <v>10000000</v>
      </c>
    </row>
    <row r="18" spans="1:28" ht="15.4" thickBot="1">
      <c r="A18" s="1364"/>
      <c r="B18" s="1046"/>
      <c r="C18" s="1370"/>
      <c r="D18" s="1376"/>
      <c r="E18" s="1353"/>
      <c r="F18" s="1347"/>
      <c r="G18" s="831"/>
      <c r="H18" s="1163"/>
      <c r="I18" s="1165"/>
      <c r="J18" s="1160"/>
      <c r="K18" s="1116"/>
      <c r="L18" s="832"/>
      <c r="M18" s="832"/>
      <c r="N18" s="832"/>
      <c r="O18" s="832"/>
      <c r="P18" s="854"/>
      <c r="Q18" s="647"/>
      <c r="R18" s="836"/>
      <c r="S18" s="844"/>
      <c r="T18" s="829"/>
      <c r="U18" s="1098" t="s">
        <v>535</v>
      </c>
      <c r="V18" s="949">
        <v>50000</v>
      </c>
      <c r="X18" s="1098" t="s">
        <v>536</v>
      </c>
      <c r="Y18" s="1099">
        <v>58</v>
      </c>
      <c r="AA18" s="1101" t="s">
        <v>439</v>
      </c>
      <c r="AB18" s="1102">
        <v>0.99</v>
      </c>
    </row>
    <row r="19" spans="1:28" ht="15.4" thickBot="1">
      <c r="A19" s="1364"/>
      <c r="B19" s="1046"/>
      <c r="C19" s="1370"/>
      <c r="D19" s="1376"/>
      <c r="E19" s="1353"/>
      <c r="F19" s="1347"/>
      <c r="G19" s="831"/>
      <c r="H19" s="1163"/>
      <c r="I19" s="1163"/>
      <c r="J19" s="1163"/>
      <c r="K19" s="1116"/>
      <c r="L19" s="832"/>
      <c r="M19" s="832"/>
      <c r="N19" s="832"/>
      <c r="O19" s="832"/>
      <c r="P19" s="854"/>
      <c r="Q19" s="647"/>
      <c r="R19" s="836"/>
      <c r="S19" s="844"/>
      <c r="T19" s="829"/>
      <c r="U19" s="1098" t="s">
        <v>536</v>
      </c>
      <c r="V19" s="1099">
        <v>67</v>
      </c>
      <c r="X19" s="1110" t="s">
        <v>420</v>
      </c>
      <c r="Y19" s="1111">
        <f>Y17*Y18</f>
        <v>2900000</v>
      </c>
      <c r="AA19" s="730" t="s">
        <v>420</v>
      </c>
      <c r="AB19" s="731">
        <v>9900000</v>
      </c>
    </row>
    <row r="20" spans="1:28" ht="15.4" thickBot="1">
      <c r="A20" s="1365"/>
      <c r="B20" s="1047"/>
      <c r="C20" s="1371"/>
      <c r="D20" s="1377"/>
      <c r="E20" s="1378"/>
      <c r="F20" s="1348"/>
      <c r="G20" s="1146">
        <f>SUM(G14:G16)</f>
        <v>2017</v>
      </c>
      <c r="H20" s="1166">
        <f>SUM(H14,H16)</f>
        <v>1023</v>
      </c>
      <c r="I20" s="1166">
        <f>SUM(I14,I16)</f>
        <v>52</v>
      </c>
      <c r="J20" s="1166">
        <f>SUM(J14,J16)</f>
        <v>521</v>
      </c>
      <c r="K20" s="1150">
        <f>SUM(K14:K18)</f>
        <v>258000</v>
      </c>
      <c r="L20" s="832"/>
      <c r="M20" s="832"/>
      <c r="N20" s="832"/>
      <c r="O20" s="832"/>
      <c r="P20" s="855"/>
      <c r="Q20" s="1230"/>
      <c r="R20" s="856"/>
      <c r="S20" s="849"/>
      <c r="T20" s="829"/>
      <c r="U20" s="1117" t="s">
        <v>420</v>
      </c>
      <c r="V20" s="1118">
        <f>V18*V19</f>
        <v>3350000</v>
      </c>
    </row>
    <row r="21" spans="1:28" ht="15.4" customHeight="1" thickBot="1">
      <c r="A21" s="1363" t="s">
        <v>378</v>
      </c>
      <c r="B21" s="1372" t="s">
        <v>366</v>
      </c>
      <c r="C21" s="1369" t="s">
        <v>562</v>
      </c>
      <c r="D21" s="1374">
        <f>82432*(1/3)</f>
        <v>27477.333333333332</v>
      </c>
      <c r="E21" s="1352" t="s">
        <v>517</v>
      </c>
      <c r="F21" s="1374" t="s">
        <v>380</v>
      </c>
      <c r="G21" s="1147"/>
      <c r="H21" s="1167"/>
      <c r="I21" s="1168"/>
      <c r="J21" s="1168"/>
      <c r="K21" s="1152"/>
      <c r="L21" s="1155">
        <f>'Phase 3 Financial'!D48</f>
        <v>145453943.77142859</v>
      </c>
      <c r="M21" s="1151">
        <f>'Phase 3 Financial'!C72</f>
        <v>189776609.04761907</v>
      </c>
      <c r="N21" s="1112">
        <f>'Phase 3 Financial'!B89</f>
        <v>19530891.685271174</v>
      </c>
      <c r="O21" s="1112">
        <f>'Phase 3 Financial'!B82</f>
        <v>113866000</v>
      </c>
      <c r="P21" s="1156">
        <f>'Phase 3 Financial'!B76</f>
        <v>-68565000</v>
      </c>
      <c r="Q21" s="1132">
        <v>9900000</v>
      </c>
      <c r="R21" s="1148">
        <v>0</v>
      </c>
      <c r="S21" s="841"/>
      <c r="T21" s="829"/>
      <c r="X21" s="1381" t="s">
        <v>545</v>
      </c>
      <c r="Y21" s="1382"/>
      <c r="AA21" s="1356" t="s">
        <v>531</v>
      </c>
      <c r="AB21" s="1357"/>
    </row>
    <row r="22" spans="1:28" ht="15.4" customHeight="1">
      <c r="A22" s="1364"/>
      <c r="B22" s="1373"/>
      <c r="C22" s="1370"/>
      <c r="D22" s="1343"/>
      <c r="E22" s="1353"/>
      <c r="F22" s="1343"/>
      <c r="G22" s="831">
        <f>'Phase 3 Financial'!B16</f>
        <v>620</v>
      </c>
      <c r="H22" s="1165"/>
      <c r="I22" s="1169"/>
      <c r="J22" s="1170">
        <f>'Phase 3 Financial'!B15</f>
        <v>120</v>
      </c>
      <c r="K22" s="1153">
        <f>'Phase 3 Financial'!B21</f>
        <v>12500</v>
      </c>
      <c r="L22" s="853"/>
      <c r="M22" s="852"/>
      <c r="N22" s="832"/>
      <c r="O22" s="832"/>
      <c r="P22" s="1125"/>
      <c r="Q22" s="1136">
        <f>AB23</f>
        <v>1267004</v>
      </c>
      <c r="R22" s="1128"/>
      <c r="S22" s="844"/>
      <c r="T22" s="829"/>
      <c r="U22" s="1354" t="s">
        <v>577</v>
      </c>
      <c r="V22" s="1355"/>
      <c r="X22" s="1097" t="s">
        <v>420</v>
      </c>
      <c r="Y22" s="1129">
        <v>5319382.6057123328</v>
      </c>
      <c r="AA22" s="1098" t="s">
        <v>576</v>
      </c>
      <c r="AB22" s="949">
        <v>120</v>
      </c>
    </row>
    <row r="23" spans="1:28" ht="15.75" customHeight="1" thickBot="1">
      <c r="A23" s="1364"/>
      <c r="B23" s="1373"/>
      <c r="C23" s="1370"/>
      <c r="D23" s="1343"/>
      <c r="E23" s="1353"/>
      <c r="F23" s="1343"/>
      <c r="G23" s="1075"/>
      <c r="H23" s="1171">
        <f>'Phase 3 Financial'!B12</f>
        <v>200</v>
      </c>
      <c r="I23" s="1169"/>
      <c r="J23" s="1172">
        <f>'Phase 3 Financial'!B8</f>
        <v>300</v>
      </c>
      <c r="K23" s="1153"/>
      <c r="L23" s="853"/>
      <c r="M23" s="852"/>
      <c r="N23" s="832"/>
      <c r="O23" s="832"/>
      <c r="P23" s="1125"/>
      <c r="Q23" s="1137">
        <f>AB33</f>
        <v>4000000</v>
      </c>
      <c r="R23" s="1128"/>
      <c r="S23" s="844"/>
      <c r="T23" s="829"/>
      <c r="U23" s="1098" t="s">
        <v>543</v>
      </c>
      <c r="V23" s="949">
        <v>500000</v>
      </c>
      <c r="AA23" s="122" t="s">
        <v>490</v>
      </c>
      <c r="AB23" s="1109">
        <v>1267004</v>
      </c>
    </row>
    <row r="24" spans="1:28" ht="15.4" customHeight="1" thickBot="1">
      <c r="A24" s="1364"/>
      <c r="B24" s="1373"/>
      <c r="C24" s="1370"/>
      <c r="D24" s="1343"/>
      <c r="E24" s="1353"/>
      <c r="F24" s="1343"/>
      <c r="G24" s="1075"/>
      <c r="H24" s="1165"/>
      <c r="I24" s="1169"/>
      <c r="J24" s="1173"/>
      <c r="K24" s="1153"/>
      <c r="L24" s="853"/>
      <c r="M24" s="852"/>
      <c r="N24" s="832"/>
      <c r="O24" s="832"/>
      <c r="P24" s="1125"/>
      <c r="Q24" s="1138">
        <f>AB29</f>
        <v>5708333.333333333</v>
      </c>
      <c r="R24" s="1128"/>
      <c r="S24" s="1225">
        <f>'Phase 3 Financial'!B107</f>
        <v>8.3185134833311469E-2</v>
      </c>
      <c r="T24" s="829"/>
      <c r="U24" s="1117" t="s">
        <v>420</v>
      </c>
      <c r="V24" s="1118">
        <v>500000</v>
      </c>
      <c r="X24" s="1390" t="s">
        <v>578</v>
      </c>
      <c r="Y24" s="1390"/>
      <c r="AA24" s="1107" t="s">
        <v>484</v>
      </c>
      <c r="AB24" s="1108">
        <f>AB23</f>
        <v>1267004</v>
      </c>
    </row>
    <row r="25" spans="1:28" ht="15.75" customHeight="1" thickBot="1">
      <c r="A25" s="1364"/>
      <c r="B25" s="1373"/>
      <c r="C25" s="1370"/>
      <c r="D25" s="1343"/>
      <c r="E25" s="1353"/>
      <c r="F25" s="1343"/>
      <c r="G25" s="1075"/>
      <c r="H25" s="1165"/>
      <c r="I25" s="1169"/>
      <c r="J25" s="1173"/>
      <c r="K25" s="1153"/>
      <c r="L25" s="853"/>
      <c r="M25" s="852"/>
      <c r="N25" s="832"/>
      <c r="O25" s="832"/>
      <c r="P25" s="1125"/>
      <c r="Q25" s="1139">
        <f>AB41</f>
        <v>10316449.775030553</v>
      </c>
      <c r="R25" s="1128"/>
      <c r="S25" s="844"/>
      <c r="T25" s="829"/>
      <c r="X25" s="1391"/>
      <c r="Y25" s="1391"/>
    </row>
    <row r="26" spans="1:28" ht="15.75" customHeight="1">
      <c r="A26" s="1364"/>
      <c r="B26" s="1373"/>
      <c r="C26" s="1370"/>
      <c r="D26" s="1343"/>
      <c r="E26" s="1353"/>
      <c r="F26" s="1343"/>
      <c r="H26" s="1163"/>
      <c r="I26" s="1174"/>
      <c r="J26" s="1174"/>
      <c r="K26" s="236"/>
      <c r="L26" s="853"/>
      <c r="M26" s="852"/>
      <c r="N26" s="832"/>
      <c r="O26" s="832"/>
      <c r="P26" s="1125"/>
      <c r="Q26" s="1141">
        <f>AB38</f>
        <v>3000000</v>
      </c>
      <c r="R26" s="1128"/>
      <c r="S26" s="844"/>
      <c r="T26" s="829"/>
      <c r="X26" s="1074" t="s">
        <v>547</v>
      </c>
      <c r="Y26" s="1130">
        <v>10000</v>
      </c>
      <c r="AA26" s="1356" t="s">
        <v>538</v>
      </c>
      <c r="AB26" s="1357"/>
    </row>
    <row r="27" spans="1:28" ht="15.75" customHeight="1">
      <c r="A27" s="1364"/>
      <c r="B27" s="1373"/>
      <c r="C27" s="1370"/>
      <c r="D27" s="1343"/>
      <c r="E27" s="1353"/>
      <c r="F27" s="1343"/>
      <c r="G27" s="1052"/>
      <c r="H27" s="1166"/>
      <c r="I27" s="1175"/>
      <c r="J27" s="1175"/>
      <c r="K27" s="1154"/>
      <c r="L27" s="853"/>
      <c r="M27" s="852"/>
      <c r="N27" s="832"/>
      <c r="O27" s="832"/>
      <c r="P27" s="1125"/>
      <c r="Q27" s="1140"/>
      <c r="R27" s="1128"/>
      <c r="S27" s="844"/>
      <c r="T27" s="829"/>
      <c r="X27" s="236" t="s">
        <v>548</v>
      </c>
      <c r="Y27" s="706">
        <v>10</v>
      </c>
      <c r="AA27" s="1098" t="s">
        <v>542</v>
      </c>
      <c r="AB27" s="1121">
        <v>5708333</v>
      </c>
    </row>
    <row r="28" spans="1:28" ht="15.75" customHeight="1" thickBot="1">
      <c r="A28" s="1364"/>
      <c r="B28" s="1373"/>
      <c r="C28" s="1370"/>
      <c r="D28" s="1343"/>
      <c r="E28" s="1353"/>
      <c r="F28" s="1343"/>
      <c r="G28" s="1052"/>
      <c r="H28" s="1166"/>
      <c r="I28" s="1175"/>
      <c r="J28" s="1175"/>
      <c r="K28" s="1154"/>
      <c r="L28" s="853"/>
      <c r="M28" s="852"/>
      <c r="N28" s="832"/>
      <c r="O28" s="832"/>
      <c r="P28" s="1125"/>
      <c r="R28" s="1128"/>
      <c r="S28" s="844"/>
      <c r="T28" s="829"/>
      <c r="X28" s="1095" t="s">
        <v>549</v>
      </c>
      <c r="Y28" s="1096">
        <v>10</v>
      </c>
      <c r="AA28" s="122" t="s">
        <v>433</v>
      </c>
      <c r="AB28" s="1109">
        <v>300</v>
      </c>
    </row>
    <row r="29" spans="1:28" ht="28.5" customHeight="1" thickBot="1">
      <c r="A29" s="1364"/>
      <c r="B29" s="1373"/>
      <c r="C29" s="1370"/>
      <c r="D29" s="1343"/>
      <c r="E29" s="1353"/>
      <c r="F29" s="1343"/>
      <c r="G29" s="1052"/>
      <c r="H29" s="1166"/>
      <c r="I29" s="1175"/>
      <c r="J29" s="1175"/>
      <c r="K29" s="1154"/>
      <c r="L29" s="853"/>
      <c r="M29" s="852"/>
      <c r="N29" s="832"/>
      <c r="O29" s="832"/>
      <c r="P29" s="1125"/>
      <c r="Q29" s="1127"/>
      <c r="R29" s="1128"/>
      <c r="S29" s="844"/>
      <c r="T29" s="829"/>
      <c r="X29" s="1097" t="s">
        <v>420</v>
      </c>
      <c r="Y29" s="1131">
        <v>100000</v>
      </c>
      <c r="AA29" s="1107" t="s">
        <v>539</v>
      </c>
      <c r="AB29" s="1108">
        <v>5708333.333333333</v>
      </c>
    </row>
    <row r="30" spans="1:28" ht="15.75" customHeight="1" thickBot="1">
      <c r="A30" s="1364"/>
      <c r="B30" s="1373"/>
      <c r="C30" s="1370"/>
      <c r="D30" s="1343"/>
      <c r="E30" s="1353"/>
      <c r="F30" s="1343"/>
      <c r="G30" s="1052">
        <f>G22</f>
        <v>620</v>
      </c>
      <c r="H30" s="1166">
        <f>H23</f>
        <v>200</v>
      </c>
      <c r="I30" s="1175"/>
      <c r="J30" s="1175">
        <f>SUM(J22:J23)</f>
        <v>420</v>
      </c>
      <c r="K30" s="1154">
        <f>SUM(K21:K22)</f>
        <v>12500</v>
      </c>
      <c r="L30" s="853"/>
      <c r="M30" s="852"/>
      <c r="N30" s="832"/>
      <c r="O30" s="832"/>
      <c r="P30" s="1125"/>
      <c r="Q30" s="1127"/>
      <c r="R30" s="1128"/>
      <c r="S30" s="844"/>
      <c r="T30" s="829"/>
    </row>
    <row r="31" spans="1:28" ht="15.4" thickBot="1">
      <c r="A31" s="1180" t="s">
        <v>151</v>
      </c>
      <c r="B31" s="1181"/>
      <c r="C31" s="1181"/>
      <c r="D31" s="1182">
        <f>SUM(D6:D26)</f>
        <v>272054</v>
      </c>
      <c r="E31" s="1183"/>
      <c r="F31" s="1184"/>
      <c r="G31" s="1208">
        <f>SUM(G13,G20,G22)</f>
        <v>4065</v>
      </c>
      <c r="H31" s="1185">
        <f>SUM(H13,H20,H30)</f>
        <v>2174</v>
      </c>
      <c r="I31" s="1185">
        <f>SUM(I13,I20,I30)</f>
        <v>119</v>
      </c>
      <c r="J31" s="1185">
        <f>SUM(J13,J20,J30)</f>
        <v>1351</v>
      </c>
      <c r="K31" s="1186">
        <f>SUM(K13,K20,K30)</f>
        <v>492465</v>
      </c>
      <c r="L31" s="1187">
        <f>SUM(L6:L26)</f>
        <v>2654929636.0559282</v>
      </c>
      <c r="M31" s="1187">
        <f>SUM(M6:M26)</f>
        <v>2132849073.7624364</v>
      </c>
      <c r="N31" s="1187">
        <f t="shared" ref="N31:O31" si="0">SUM(N6:N26)</f>
        <v>746767674.36081648</v>
      </c>
      <c r="O31" s="1187">
        <f t="shared" si="0"/>
        <v>1279708767.3382905</v>
      </c>
      <c r="P31" s="1188">
        <f>SUM(P7:P26)</f>
        <v>-81272000</v>
      </c>
      <c r="Q31" s="1189">
        <f>SUM(Q6:Q26)</f>
        <v>84183611.416345537</v>
      </c>
      <c r="R31" s="1189">
        <f>SUM(R6:R22)</f>
        <v>0</v>
      </c>
      <c r="S31" s="1190">
        <f>'All Components Draw'!B6</f>
        <v>0.27758895668656325</v>
      </c>
      <c r="T31" s="829"/>
      <c r="AA31" s="1356" t="s">
        <v>488</v>
      </c>
      <c r="AB31" s="1357"/>
    </row>
    <row r="32" spans="1:28" ht="15.4" thickBot="1">
      <c r="A32" s="637"/>
      <c r="B32" s="643"/>
      <c r="C32" s="638"/>
      <c r="D32" s="829"/>
      <c r="E32" s="639"/>
      <c r="F32" s="640"/>
      <c r="G32" s="829"/>
      <c r="H32" s="1061">
        <f>H31/$G$31</f>
        <v>0.53480934809348091</v>
      </c>
      <c r="I32" s="1061">
        <f t="shared" ref="I32:J32" si="1">I31/$G$31</f>
        <v>2.9274292742927428E-2</v>
      </c>
      <c r="J32" s="1061">
        <f t="shared" si="1"/>
        <v>0.33234932349323493</v>
      </c>
      <c r="K32" s="641"/>
      <c r="L32" s="641"/>
      <c r="M32" s="641"/>
      <c r="N32" s="642"/>
      <c r="O32" s="829"/>
      <c r="P32" s="829"/>
      <c r="Q32" s="643"/>
      <c r="R32" s="829"/>
      <c r="S32" s="829"/>
      <c r="T32" s="829"/>
      <c r="AA32" s="122" t="s">
        <v>489</v>
      </c>
      <c r="AB32" s="1109">
        <v>7234545.9380763592</v>
      </c>
    </row>
    <row r="33" spans="1:28" ht="15.4" thickBot="1">
      <c r="A33" s="1366" t="s">
        <v>152</v>
      </c>
      <c r="B33" s="1367"/>
      <c r="C33" s="1367"/>
      <c r="D33" s="1367"/>
      <c r="E33" s="1367"/>
      <c r="F33" s="1367"/>
      <c r="G33" s="1368"/>
      <c r="H33" s="829"/>
      <c r="I33" s="929"/>
      <c r="J33" s="829"/>
      <c r="K33" s="829"/>
      <c r="L33" s="857"/>
      <c r="M33" s="829"/>
      <c r="N33" s="829"/>
      <c r="O33" s="829"/>
      <c r="P33" s="829"/>
      <c r="Q33" s="829"/>
      <c r="R33" s="829"/>
      <c r="S33" s="829"/>
      <c r="T33" s="829"/>
      <c r="AA33" s="1107" t="s">
        <v>537</v>
      </c>
      <c r="AB33" s="1108">
        <v>4000000</v>
      </c>
    </row>
    <row r="34" spans="1:28" ht="15.4" thickBot="1">
      <c r="A34" s="858" t="s">
        <v>153</v>
      </c>
      <c r="B34" s="105" t="s">
        <v>477</v>
      </c>
      <c r="C34" s="859" t="s">
        <v>154</v>
      </c>
      <c r="D34" s="860" t="s">
        <v>353</v>
      </c>
      <c r="E34" s="860" t="s">
        <v>375</v>
      </c>
      <c r="F34" s="861" t="s">
        <v>378</v>
      </c>
      <c r="G34" s="1000" t="s">
        <v>504</v>
      </c>
      <c r="J34" s="829"/>
      <c r="K34" s="829"/>
      <c r="L34" s="862"/>
      <c r="M34" s="863"/>
      <c r="N34" s="864"/>
      <c r="O34" s="863"/>
      <c r="P34" s="1039"/>
      <c r="Q34" s="1039"/>
      <c r="R34" s="864"/>
      <c r="S34" s="829"/>
      <c r="T34" s="829"/>
      <c r="AA34" s="1119"/>
      <c r="AB34" s="1120"/>
    </row>
    <row r="35" spans="1:28" ht="15">
      <c r="A35" s="930" t="s">
        <v>466</v>
      </c>
      <c r="B35" s="1029">
        <v>11467</v>
      </c>
      <c r="C35" s="933">
        <f>SUM(D35:F35)</f>
        <v>172005</v>
      </c>
      <c r="D35" s="865">
        <f>B35*G35</f>
        <v>172005</v>
      </c>
      <c r="E35" s="1031">
        <v>0</v>
      </c>
      <c r="F35" s="1032">
        <v>0</v>
      </c>
      <c r="G35" s="1030">
        <v>15</v>
      </c>
      <c r="J35" s="829"/>
      <c r="K35" s="829"/>
      <c r="L35" s="834"/>
      <c r="M35" s="866"/>
      <c r="N35" s="867"/>
      <c r="O35" s="867"/>
      <c r="P35" s="943"/>
      <c r="Q35" s="1040"/>
      <c r="R35" s="867"/>
      <c r="S35" s="829"/>
      <c r="T35" s="829"/>
      <c r="AA35" s="1082" t="s">
        <v>540</v>
      </c>
      <c r="AB35" s="1083"/>
    </row>
    <row r="36" spans="1:28" ht="13.5" customHeight="1">
      <c r="A36" s="930" t="s">
        <v>467</v>
      </c>
      <c r="B36" s="1029">
        <v>27039</v>
      </c>
      <c r="C36" s="933">
        <f t="shared" ref="C36:C42" si="2">SUM(D36:F36)</f>
        <v>5407800</v>
      </c>
      <c r="D36" s="865">
        <v>0</v>
      </c>
      <c r="E36" s="1031">
        <f>B36*G36</f>
        <v>5407800</v>
      </c>
      <c r="F36" s="1032">
        <v>0</v>
      </c>
      <c r="G36" s="1030">
        <v>200</v>
      </c>
      <c r="J36" s="829"/>
      <c r="K36" s="829"/>
      <c r="L36" s="834"/>
      <c r="M36" s="868"/>
      <c r="N36" s="869"/>
      <c r="O36" s="868"/>
      <c r="P36" s="829"/>
      <c r="Q36" s="939"/>
      <c r="R36" s="869"/>
      <c r="S36" s="829"/>
      <c r="T36" s="829"/>
      <c r="V36" s="1383"/>
      <c r="W36" s="1383"/>
      <c r="AA36" s="1098" t="s">
        <v>541</v>
      </c>
      <c r="AB36" s="1121">
        <v>300</v>
      </c>
    </row>
    <row r="37" spans="1:28" ht="13.5" customHeight="1" thickBot="1">
      <c r="A37" s="930" t="s">
        <v>469</v>
      </c>
      <c r="B37" s="1029">
        <v>18511</v>
      </c>
      <c r="C37" s="933">
        <f t="shared" si="2"/>
        <v>925550</v>
      </c>
      <c r="D37" s="865">
        <v>0</v>
      </c>
      <c r="E37" s="1031">
        <f>B37*G37</f>
        <v>925550</v>
      </c>
      <c r="F37" s="1033">
        <v>0</v>
      </c>
      <c r="G37" s="1030">
        <v>50</v>
      </c>
      <c r="I37" s="1062"/>
      <c r="J37" s="829"/>
      <c r="K37" s="829"/>
      <c r="L37" s="834"/>
      <c r="M37" s="868"/>
      <c r="N37" s="869"/>
      <c r="O37" s="870"/>
      <c r="P37" s="829"/>
      <c r="Q37" s="1041"/>
      <c r="R37" s="870"/>
      <c r="S37" s="829"/>
      <c r="T37" s="829"/>
      <c r="AA37" s="122"/>
      <c r="AB37" s="1109"/>
    </row>
    <row r="38" spans="1:28" ht="13.5" customHeight="1" thickBot="1">
      <c r="A38" s="930" t="s">
        <v>470</v>
      </c>
      <c r="B38" s="1029">
        <v>16108</v>
      </c>
      <c r="C38" s="933">
        <f t="shared" si="2"/>
        <v>805400</v>
      </c>
      <c r="D38" s="865">
        <v>0</v>
      </c>
      <c r="E38" s="1031">
        <v>0</v>
      </c>
      <c r="F38" s="1033">
        <f>B38*G38</f>
        <v>805400</v>
      </c>
      <c r="G38" s="1030">
        <v>50</v>
      </c>
      <c r="J38" s="829"/>
      <c r="K38" s="829"/>
      <c r="L38" s="834"/>
      <c r="M38" s="868"/>
      <c r="N38" s="869"/>
      <c r="O38" s="870"/>
      <c r="P38" s="829"/>
      <c r="Q38" s="939"/>
      <c r="R38" s="870"/>
      <c r="S38" s="829"/>
      <c r="T38" s="829"/>
      <c r="AA38" s="1107" t="s">
        <v>420</v>
      </c>
      <c r="AB38" s="1108">
        <v>3000000</v>
      </c>
    </row>
    <row r="39" spans="1:28" ht="13.5" customHeight="1" thickBot="1">
      <c r="A39" s="930" t="s">
        <v>471</v>
      </c>
      <c r="B39" s="1029">
        <v>174148</v>
      </c>
      <c r="C39" s="933">
        <f t="shared" si="2"/>
        <v>3482960</v>
      </c>
      <c r="D39" s="865">
        <f>B39*G39</f>
        <v>3482960</v>
      </c>
      <c r="E39" s="1031">
        <v>0</v>
      </c>
      <c r="F39" s="1033">
        <v>0</v>
      </c>
      <c r="G39" s="1030">
        <v>20</v>
      </c>
      <c r="J39" s="829"/>
      <c r="K39" s="829"/>
      <c r="L39" s="834"/>
      <c r="M39" s="868"/>
      <c r="N39" s="869"/>
      <c r="O39" s="870"/>
      <c r="P39" s="829"/>
      <c r="Q39" s="940"/>
      <c r="R39" s="870"/>
      <c r="S39" s="829"/>
      <c r="T39" s="829"/>
    </row>
    <row r="40" spans="1:28" ht="13.5" customHeight="1">
      <c r="A40" s="930" t="s">
        <v>468</v>
      </c>
      <c r="B40" s="1029">
        <v>77840</v>
      </c>
      <c r="C40" s="933">
        <f t="shared" si="2"/>
        <v>3892000</v>
      </c>
      <c r="D40" s="865">
        <f>($B$40*$G$40)/3</f>
        <v>1297333.3333333333</v>
      </c>
      <c r="E40" s="1031">
        <f>($B$40*$G$40)/3</f>
        <v>1297333.3333333333</v>
      </c>
      <c r="F40" s="1033">
        <f>($B$40*$G$40)/3</f>
        <v>1297333.3333333333</v>
      </c>
      <c r="G40" s="1030">
        <v>50</v>
      </c>
      <c r="J40" s="829"/>
      <c r="K40" s="829"/>
      <c r="L40" s="834"/>
      <c r="M40" s="868"/>
      <c r="N40" s="869"/>
      <c r="O40" s="870"/>
      <c r="P40" s="870"/>
      <c r="Q40" s="870"/>
      <c r="R40" s="870"/>
      <c r="S40" s="829"/>
      <c r="T40" s="829"/>
      <c r="AA40" s="1358" t="s">
        <v>545</v>
      </c>
      <c r="AB40" s="1359"/>
    </row>
    <row r="41" spans="1:28" ht="13.5" customHeight="1" thickBot="1">
      <c r="A41" s="930" t="s">
        <v>505</v>
      </c>
      <c r="B41" s="1029">
        <f>B42*350</f>
        <v>3500</v>
      </c>
      <c r="C41" s="933">
        <f t="shared" si="2"/>
        <v>87500</v>
      </c>
      <c r="D41" s="865">
        <v>0</v>
      </c>
      <c r="E41" s="1031">
        <f>B41*G41</f>
        <v>87500</v>
      </c>
      <c r="F41" s="1033">
        <v>0</v>
      </c>
      <c r="G41" s="1030">
        <v>25</v>
      </c>
      <c r="J41" s="829"/>
      <c r="K41" s="829"/>
      <c r="L41" s="834"/>
      <c r="M41" s="868"/>
      <c r="N41" s="869"/>
      <c r="O41" s="870"/>
      <c r="P41" s="870"/>
      <c r="Q41" s="870"/>
      <c r="R41" s="870"/>
      <c r="S41" s="829"/>
      <c r="T41" s="829"/>
      <c r="AA41" s="1100" t="s">
        <v>420</v>
      </c>
      <c r="AB41" s="1226">
        <v>10316449.775030553</v>
      </c>
    </row>
    <row r="42" spans="1:28" ht="15">
      <c r="A42" s="931" t="s">
        <v>546</v>
      </c>
      <c r="B42" s="1029">
        <v>10</v>
      </c>
      <c r="C42" s="933">
        <f t="shared" si="2"/>
        <v>50000</v>
      </c>
      <c r="D42" s="1030">
        <v>0</v>
      </c>
      <c r="E42" s="1031">
        <f>B42*G42</f>
        <v>50000</v>
      </c>
      <c r="F42" s="1033">
        <v>0</v>
      </c>
      <c r="G42" s="1030">
        <v>5000</v>
      </c>
      <c r="J42" s="829"/>
      <c r="K42" s="829"/>
      <c r="L42" s="834"/>
      <c r="M42" s="870"/>
      <c r="N42" s="870"/>
      <c r="O42" s="870"/>
      <c r="P42" s="870"/>
      <c r="Q42" s="1259"/>
      <c r="R42" s="870"/>
      <c r="S42" s="829"/>
      <c r="T42" s="829"/>
    </row>
    <row r="43" spans="1:28" ht="15">
      <c r="A43" s="931"/>
      <c r="B43" s="936"/>
      <c r="C43" s="934"/>
      <c r="D43" s="872"/>
      <c r="E43" s="872"/>
      <c r="F43" s="872"/>
      <c r="G43" s="871"/>
      <c r="I43" s="1398"/>
      <c r="K43" s="829"/>
      <c r="L43" s="846"/>
      <c r="M43" s="866"/>
      <c r="N43" s="867"/>
      <c r="O43" s="867"/>
      <c r="P43" s="867"/>
      <c r="Q43" s="1260"/>
      <c r="R43" s="867"/>
      <c r="S43" s="829"/>
      <c r="T43" s="829"/>
    </row>
    <row r="44" spans="1:28" ht="15.75" customHeight="1" thickBot="1">
      <c r="A44" s="932"/>
      <c r="B44" s="1036"/>
      <c r="C44" s="935"/>
      <c r="D44" s="873"/>
      <c r="E44" s="873"/>
      <c r="F44" s="874"/>
      <c r="G44" s="871"/>
      <c r="I44" s="1398"/>
      <c r="K44" s="1296"/>
      <c r="L44" s="1297"/>
      <c r="M44" s="875"/>
      <c r="N44" s="863"/>
      <c r="O44" s="875"/>
      <c r="P44" s="1257"/>
      <c r="Q44" s="1261"/>
      <c r="R44" s="863"/>
      <c r="S44" s="829"/>
      <c r="T44" s="829"/>
    </row>
    <row r="45" spans="1:28" ht="23.25" customHeight="1" thickTop="1">
      <c r="A45" s="1034" t="s">
        <v>155</v>
      </c>
      <c r="B45" s="1037">
        <f>SUM(B35:B41)</f>
        <v>328613</v>
      </c>
      <c r="C45" s="1035">
        <f>SUM(C35:C44)</f>
        <v>14823215</v>
      </c>
      <c r="D45" s="876">
        <f t="shared" ref="D45:F45" si="3">SUM(D35:D44)</f>
        <v>4952298.333333333</v>
      </c>
      <c r="E45" s="876">
        <f t="shared" si="3"/>
        <v>7768183.333333333</v>
      </c>
      <c r="F45" s="876">
        <f t="shared" si="3"/>
        <v>2102733.333333333</v>
      </c>
      <c r="G45" s="876"/>
      <c r="H45" s="829"/>
      <c r="I45" s="1398"/>
      <c r="K45" s="1296"/>
      <c r="L45" s="1297"/>
      <c r="M45" s="868"/>
      <c r="N45" s="877"/>
      <c r="O45" s="868"/>
      <c r="P45" s="877"/>
      <c r="Q45" s="1261"/>
      <c r="R45" s="877"/>
      <c r="S45" s="829"/>
      <c r="T45" s="829"/>
    </row>
    <row r="46" spans="1:28" ht="23.25" customHeight="1" thickBot="1">
      <c r="A46" s="878"/>
      <c r="B46" s="829"/>
      <c r="C46" s="829"/>
      <c r="D46" s="829"/>
      <c r="E46" s="829"/>
      <c r="F46" s="829"/>
      <c r="G46" s="829"/>
      <c r="H46" s="829"/>
      <c r="I46" s="1398"/>
      <c r="J46" s="829"/>
      <c r="K46" s="1296"/>
      <c r="L46" s="1297"/>
      <c r="M46" s="868"/>
      <c r="N46" s="879"/>
      <c r="O46" s="868"/>
      <c r="P46" s="877"/>
      <c r="Q46" s="1261"/>
      <c r="R46" s="879"/>
      <c r="S46" s="829"/>
      <c r="T46" s="829"/>
    </row>
    <row r="47" spans="1:28" ht="15.75" customHeight="1" thickBot="1">
      <c r="A47" s="1360" t="s">
        <v>156</v>
      </c>
      <c r="B47" s="1361"/>
      <c r="C47" s="1361"/>
      <c r="D47" s="1361"/>
      <c r="E47" s="1362"/>
      <c r="F47" s="829"/>
      <c r="G47" s="829"/>
      <c r="H47" s="829"/>
      <c r="I47" s="1398"/>
      <c r="J47" s="829"/>
      <c r="K47" s="1296"/>
      <c r="L47" s="1297"/>
      <c r="M47" s="868"/>
      <c r="N47" s="877"/>
      <c r="O47" s="868"/>
      <c r="P47" s="877"/>
      <c r="Q47" s="1261"/>
      <c r="R47" s="877"/>
      <c r="S47" s="829"/>
      <c r="T47" s="829"/>
    </row>
    <row r="48" spans="1:28" ht="15.4" customHeight="1">
      <c r="A48" s="880" t="s">
        <v>142</v>
      </c>
      <c r="B48" s="881" t="s">
        <v>157</v>
      </c>
      <c r="C48" s="882" t="s">
        <v>20</v>
      </c>
      <c r="D48" s="881" t="s">
        <v>158</v>
      </c>
      <c r="E48" s="883" t="s">
        <v>159</v>
      </c>
      <c r="F48" s="829"/>
      <c r="G48" s="884"/>
      <c r="H48" s="829"/>
      <c r="I48" s="1398"/>
      <c r="J48" s="829"/>
      <c r="K48" s="1296"/>
      <c r="L48" s="1297"/>
      <c r="M48" s="868"/>
      <c r="N48" s="869"/>
      <c r="O48" s="868"/>
      <c r="P48" s="1258"/>
      <c r="Q48" s="868"/>
      <c r="R48" s="869"/>
      <c r="S48" s="829"/>
      <c r="T48" s="829"/>
    </row>
    <row r="49" spans="1:20" ht="15.75" customHeight="1">
      <c r="A49" s="885" t="s">
        <v>353</v>
      </c>
      <c r="B49" s="886" t="s">
        <v>343</v>
      </c>
      <c r="C49" s="887" t="s">
        <v>372</v>
      </c>
      <c r="D49" s="887" t="s">
        <v>373</v>
      </c>
      <c r="E49" s="888" t="s">
        <v>374</v>
      </c>
      <c r="F49" s="829"/>
      <c r="G49" s="829"/>
      <c r="H49" s="829"/>
      <c r="I49" s="1398"/>
      <c r="K49" s="1296"/>
      <c r="L49" s="1297"/>
      <c r="M49" s="889"/>
      <c r="N49" s="1239"/>
      <c r="O49" s="889"/>
      <c r="P49" s="877"/>
      <c r="Q49" s="889"/>
      <c r="R49" s="877"/>
      <c r="S49" s="829"/>
      <c r="T49" s="829"/>
    </row>
    <row r="50" spans="1:20" ht="15.75" customHeight="1">
      <c r="A50" s="885" t="s">
        <v>375</v>
      </c>
      <c r="B50" s="886" t="s">
        <v>530</v>
      </c>
      <c r="C50" s="890" t="s">
        <v>160</v>
      </c>
      <c r="D50" s="887" t="s">
        <v>376</v>
      </c>
      <c r="E50" s="888" t="s">
        <v>377</v>
      </c>
      <c r="F50" s="829"/>
      <c r="G50" s="829"/>
      <c r="H50" s="829"/>
      <c r="I50" s="1398"/>
      <c r="J50" s="829"/>
      <c r="K50" s="1296"/>
      <c r="L50" s="1297"/>
      <c r="M50" s="907"/>
      <c r="N50" s="1240"/>
      <c r="O50" s="868"/>
      <c r="P50" s="891"/>
      <c r="Q50" s="868"/>
      <c r="R50" s="891"/>
      <c r="S50" s="829"/>
      <c r="T50" s="829"/>
    </row>
    <row r="51" spans="1:20" ht="15.4" thickBot="1">
      <c r="A51" s="893" t="s">
        <v>378</v>
      </c>
      <c r="B51" s="894" t="s">
        <v>552</v>
      </c>
      <c r="C51" s="895" t="s">
        <v>560</v>
      </c>
      <c r="D51" s="896" t="s">
        <v>553</v>
      </c>
      <c r="E51" s="897" t="s">
        <v>554</v>
      </c>
      <c r="F51" s="829"/>
      <c r="G51" s="829"/>
      <c r="H51" s="829"/>
      <c r="I51" s="829"/>
      <c r="J51" s="829"/>
      <c r="K51" s="829"/>
      <c r="L51" s="829"/>
      <c r="M51" s="868"/>
      <c r="N51" s="898"/>
      <c r="O51" s="868"/>
      <c r="P51" s="898"/>
      <c r="Q51" s="868"/>
      <c r="R51" s="898"/>
      <c r="S51" s="829"/>
      <c r="T51" s="829"/>
    </row>
    <row r="52" spans="1:20" ht="15">
      <c r="A52" s="901"/>
      <c r="B52" s="902"/>
      <c r="C52" s="903"/>
      <c r="D52" s="903"/>
      <c r="E52" s="904"/>
      <c r="F52" s="829"/>
      <c r="G52" s="829"/>
      <c r="H52" s="829"/>
      <c r="I52" s="829"/>
      <c r="J52" s="829"/>
      <c r="K52" s="829"/>
      <c r="L52" s="829"/>
      <c r="M52" s="868"/>
      <c r="N52" s="877"/>
      <c r="O52" s="868"/>
      <c r="P52" s="877"/>
      <c r="Q52" s="868"/>
      <c r="R52" s="877"/>
      <c r="S52" s="829"/>
      <c r="T52" s="829"/>
    </row>
    <row r="53" spans="1:20" ht="15">
      <c r="A53" s="901"/>
      <c r="B53" s="902"/>
      <c r="C53" s="903"/>
      <c r="D53" s="903"/>
      <c r="E53" s="904"/>
      <c r="F53" s="829"/>
      <c r="G53" s="829"/>
      <c r="H53" s="829"/>
      <c r="I53" s="829"/>
      <c r="J53" s="829"/>
      <c r="K53" s="829"/>
      <c r="L53" s="829"/>
      <c r="M53" s="868"/>
      <c r="N53" s="879"/>
      <c r="O53" s="868"/>
      <c r="P53" s="879"/>
      <c r="Q53" s="868"/>
      <c r="R53" s="879"/>
      <c r="S53" s="829"/>
      <c r="T53" s="829"/>
    </row>
    <row r="54" spans="1:20" ht="15">
      <c r="A54" s="901"/>
      <c r="B54" s="902"/>
      <c r="C54" s="903"/>
      <c r="D54" s="903"/>
      <c r="E54" s="904"/>
      <c r="F54" s="829"/>
      <c r="G54" s="829"/>
      <c r="H54" s="829"/>
      <c r="M54" s="907"/>
      <c r="N54" s="877"/>
      <c r="O54" s="907"/>
      <c r="P54" s="877"/>
      <c r="Q54" s="907"/>
      <c r="R54" s="877"/>
      <c r="S54" s="829"/>
      <c r="T54" s="829"/>
    </row>
    <row r="55" spans="1:20" ht="15">
      <c r="A55" s="901"/>
      <c r="B55" s="902"/>
      <c r="C55" s="903"/>
      <c r="D55" s="903"/>
      <c r="E55" s="904"/>
      <c r="F55" s="829"/>
      <c r="G55" s="829"/>
      <c r="H55" s="829"/>
      <c r="M55" s="907"/>
      <c r="N55" s="1241"/>
      <c r="O55" s="907"/>
      <c r="P55" s="863"/>
      <c r="Q55" s="907"/>
      <c r="R55" s="863"/>
      <c r="S55" s="829"/>
      <c r="T55" s="829"/>
    </row>
    <row r="56" spans="1:20" ht="23.25" customHeight="1">
      <c r="A56" s="901"/>
      <c r="B56" s="902"/>
      <c r="C56" s="903"/>
      <c r="D56" s="903"/>
      <c r="E56" s="904"/>
      <c r="F56" s="829"/>
      <c r="G56" s="829"/>
      <c r="H56" s="829"/>
      <c r="M56" s="875"/>
      <c r="N56" s="863"/>
      <c r="O56" s="875"/>
      <c r="P56" s="863"/>
      <c r="Q56" s="875"/>
      <c r="R56" s="863"/>
      <c r="S56" s="829"/>
      <c r="T56" s="829"/>
    </row>
    <row r="57" spans="1:20" ht="23.25" customHeight="1">
      <c r="A57" s="878"/>
      <c r="B57" s="910"/>
      <c r="C57" s="903"/>
      <c r="D57" s="903"/>
      <c r="E57" s="903"/>
      <c r="F57" s="829"/>
      <c r="G57" s="829"/>
      <c r="H57" s="829"/>
      <c r="M57" s="868"/>
      <c r="N57" s="891"/>
      <c r="O57" s="868"/>
      <c r="P57" s="891"/>
      <c r="Q57" s="868"/>
      <c r="R57" s="891"/>
      <c r="S57" s="829"/>
      <c r="T57" s="829"/>
    </row>
    <row r="58" spans="1:20" ht="23.25" customHeight="1">
      <c r="A58" s="878"/>
      <c r="B58" s="642"/>
      <c r="C58" s="639"/>
      <c r="D58" s="639"/>
      <c r="E58" s="639"/>
      <c r="F58" s="829"/>
      <c r="G58" s="829"/>
      <c r="H58" s="829"/>
      <c r="M58" s="868"/>
      <c r="N58" s="877"/>
      <c r="O58" s="868"/>
      <c r="P58" s="877"/>
      <c r="Q58" s="868"/>
      <c r="R58" s="877"/>
      <c r="S58" s="829"/>
      <c r="T58" s="829"/>
    </row>
    <row r="59" spans="1:20" ht="23.25" customHeight="1" thickBot="1">
      <c r="M59" s="818"/>
      <c r="N59" s="820"/>
      <c r="O59" s="818"/>
      <c r="P59" s="820"/>
      <c r="Q59" s="818"/>
      <c r="R59" s="820"/>
    </row>
    <row r="60" spans="1:20" ht="23.25" customHeight="1" thickBot="1">
      <c r="A60" s="1395" t="s">
        <v>567</v>
      </c>
      <c r="B60" s="1396"/>
      <c r="C60" s="1397"/>
      <c r="E60" s="1398"/>
      <c r="G60" s="829"/>
      <c r="H60" s="846"/>
      <c r="M60" s="822"/>
      <c r="N60" s="1242"/>
      <c r="O60" s="822"/>
      <c r="P60" s="819"/>
      <c r="Q60" s="822"/>
      <c r="R60" s="819"/>
    </row>
    <row r="61" spans="1:20" ht="23.25" customHeight="1">
      <c r="A61" s="1219" t="s">
        <v>563</v>
      </c>
      <c r="B61" s="1220">
        <f>SUM('Phase 1a Financial'!B11,'Phase 1a Financial'!B17,'Phase 1a Financial'!B23,'Phase 1a Financial'!B28,'Phase 2a Financial'!B21,'Phase 3 Financial'!B16)</f>
        <v>3189</v>
      </c>
      <c r="C61" s="1218">
        <f>B61/$B$63</f>
        <v>0.78450184501845022</v>
      </c>
      <c r="E61" s="1398"/>
      <c r="G61" s="1296"/>
      <c r="H61" s="1297"/>
      <c r="M61" s="794"/>
      <c r="N61" s="794"/>
      <c r="O61" s="794"/>
      <c r="P61" s="794"/>
      <c r="Q61" s="794"/>
      <c r="R61" s="794"/>
    </row>
    <row r="62" spans="1:20" ht="23.25" customHeight="1" thickBot="1">
      <c r="A62" s="1212" t="s">
        <v>564</v>
      </c>
      <c r="B62" s="1149">
        <f>SUM('Phase 1b Financial'!B15,'Phase 2b Financial'!B16)</f>
        <v>876</v>
      </c>
      <c r="C62" s="1192">
        <f>B62/$B$63</f>
        <v>0.21549815498154981</v>
      </c>
      <c r="E62" s="1398"/>
      <c r="G62" s="1296"/>
      <c r="H62" s="1297"/>
      <c r="M62" s="1193"/>
      <c r="N62" s="817"/>
      <c r="O62" s="817"/>
      <c r="P62" s="817"/>
      <c r="Q62" s="817"/>
      <c r="R62" s="817"/>
    </row>
    <row r="63" spans="1:20" ht="23.25" customHeight="1" thickBot="1">
      <c r="A63" s="1215" t="s">
        <v>260</v>
      </c>
      <c r="B63" s="1221">
        <f>SUM(B61:B62)</f>
        <v>4065</v>
      </c>
      <c r="C63" s="1222"/>
      <c r="E63" s="1398"/>
      <c r="F63" s="829"/>
      <c r="G63" s="1296"/>
      <c r="H63" s="1297"/>
      <c r="M63" s="823"/>
      <c r="N63" s="824"/>
      <c r="O63" s="824"/>
      <c r="P63" s="824"/>
      <c r="Q63" s="824"/>
      <c r="R63" s="824"/>
    </row>
    <row r="64" spans="1:20" ht="23.25" customHeight="1" thickBot="1">
      <c r="B64" s="33"/>
      <c r="E64" s="1398"/>
      <c r="F64" s="829"/>
      <c r="G64" s="1296"/>
      <c r="H64" s="1297"/>
      <c r="M64" s="794"/>
      <c r="N64" s="821"/>
      <c r="O64" s="794"/>
      <c r="P64" s="821"/>
      <c r="Q64" s="794"/>
      <c r="R64" s="821"/>
    </row>
    <row r="65" spans="1:26" ht="23.25" customHeight="1" thickBot="1">
      <c r="A65" s="1392" t="s">
        <v>565</v>
      </c>
      <c r="B65" s="1393"/>
      <c r="C65" s="1394"/>
      <c r="E65" s="1398"/>
      <c r="F65" s="829"/>
      <c r="G65" s="1296"/>
      <c r="H65" s="1297"/>
      <c r="M65" s="826"/>
      <c r="N65" s="1243"/>
      <c r="O65" s="794"/>
      <c r="P65" s="825"/>
      <c r="Q65" s="794"/>
      <c r="R65" s="825"/>
    </row>
    <row r="66" spans="1:26" ht="23.25" customHeight="1">
      <c r="A66" s="1206" t="s">
        <v>387</v>
      </c>
      <c r="B66" s="1220">
        <f>SUM(H8,H16,H23)</f>
        <v>1475</v>
      </c>
      <c r="C66" s="1214">
        <f ca="1">B66/$B$68</f>
        <v>0.54267844002943344</v>
      </c>
      <c r="E66" s="1398"/>
      <c r="F66" s="829"/>
      <c r="G66" s="1296"/>
      <c r="H66" s="1297"/>
      <c r="M66" s="826"/>
      <c r="N66" s="827"/>
      <c r="O66" s="826"/>
      <c r="P66" s="827"/>
      <c r="Q66" s="826"/>
      <c r="R66" s="827"/>
    </row>
    <row r="67" spans="1:26" ht="23.25" customHeight="1" thickBot="1">
      <c r="A67" s="1205" t="s">
        <v>29</v>
      </c>
      <c r="B67" s="1149">
        <f>SUM(J8,J16,J22,J23)</f>
        <v>1293</v>
      </c>
      <c r="C67" s="1192">
        <f ca="1">B67/$B$68</f>
        <v>0.45732155997056662</v>
      </c>
      <c r="E67" s="1298"/>
      <c r="M67" s="794"/>
      <c r="N67" s="794"/>
      <c r="O67" s="794"/>
      <c r="P67" s="794"/>
      <c r="Q67" s="794"/>
      <c r="R67" s="794"/>
    </row>
    <row r="68" spans="1:26" ht="23.25" customHeight="1" thickBot="1">
      <c r="A68" s="1209" t="s">
        <v>436</v>
      </c>
      <c r="B68" s="1221">
        <f ca="1">SUM(B66:B68)</f>
        <v>2718</v>
      </c>
      <c r="C68" s="1210"/>
      <c r="E68" s="1398"/>
      <c r="G68" s="829"/>
      <c r="H68" s="846"/>
      <c r="M68" s="1193"/>
      <c r="N68" s="817"/>
      <c r="O68" s="817"/>
      <c r="P68" s="817"/>
      <c r="Q68" s="817"/>
      <c r="R68" s="817"/>
    </row>
    <row r="69" spans="1:26" ht="23.25" customHeight="1" thickBot="1">
      <c r="B69" s="33"/>
      <c r="E69" s="1398"/>
      <c r="G69" s="1296"/>
      <c r="H69" s="1297"/>
      <c r="M69" s="794"/>
      <c r="N69" s="794"/>
      <c r="O69" s="794"/>
      <c r="P69" s="794"/>
      <c r="Q69" s="794"/>
      <c r="R69" s="794"/>
    </row>
    <row r="70" spans="1:26" ht="23.25" customHeight="1" thickBot="1">
      <c r="A70" s="1384" t="s">
        <v>566</v>
      </c>
      <c r="B70" s="1385"/>
      <c r="C70" s="1386"/>
      <c r="E70" s="1398"/>
      <c r="F70" s="829"/>
      <c r="G70" s="1296"/>
      <c r="H70" s="1297"/>
      <c r="M70" s="826"/>
      <c r="N70" s="828"/>
      <c r="O70" s="826"/>
      <c r="P70" s="828"/>
      <c r="Q70" s="794"/>
      <c r="R70" s="792"/>
    </row>
    <row r="71" spans="1:26" ht="23.25" customHeight="1">
      <c r="A71" s="1206" t="s">
        <v>387</v>
      </c>
      <c r="B71" s="1194">
        <v>1896</v>
      </c>
      <c r="C71" s="1195">
        <f>B71/$B$73</f>
        <v>0.59454374412041389</v>
      </c>
      <c r="D71" s="1062"/>
      <c r="E71" s="1398"/>
      <c r="F71" s="829"/>
      <c r="G71" s="1296"/>
      <c r="H71" s="1297"/>
      <c r="M71" s="794"/>
      <c r="N71" s="794"/>
      <c r="O71" s="794"/>
      <c r="P71" s="794"/>
      <c r="Q71" s="794"/>
      <c r="R71" s="794"/>
    </row>
    <row r="72" spans="1:26" ht="23.25" customHeight="1" thickBot="1">
      <c r="A72" s="1212" t="s">
        <v>29</v>
      </c>
      <c r="B72" s="1149">
        <f>SUM(J8,J16,J22,J23)</f>
        <v>1293</v>
      </c>
      <c r="C72" s="1192">
        <f>B72/$B$73</f>
        <v>0.40545625587958606</v>
      </c>
      <c r="E72" s="1298"/>
      <c r="H72" s="1297"/>
      <c r="M72" s="794"/>
      <c r="N72" s="794"/>
      <c r="O72" s="794"/>
      <c r="P72" s="794"/>
      <c r="Q72" s="794"/>
      <c r="R72" s="794"/>
      <c r="W72" s="834"/>
      <c r="X72" s="829"/>
      <c r="Y72" s="829"/>
      <c r="Z72" s="829"/>
    </row>
    <row r="73" spans="1:26" ht="23.25" customHeight="1" thickBot="1">
      <c r="A73" s="1215" t="s">
        <v>260</v>
      </c>
      <c r="B73" s="1221">
        <f>SUM(B71:B72)</f>
        <v>3189</v>
      </c>
      <c r="C73" s="1222"/>
      <c r="E73" s="1398"/>
      <c r="G73" s="829"/>
      <c r="H73" s="846"/>
      <c r="W73" s="834"/>
      <c r="Z73" s="829"/>
    </row>
    <row r="74" spans="1:26" ht="23.25" customHeight="1" thickBot="1">
      <c r="B74" s="1233"/>
      <c r="E74" s="1398"/>
      <c r="G74" s="1299"/>
      <c r="H74" s="1232"/>
      <c r="W74" s="834"/>
      <c r="Z74" s="829"/>
    </row>
    <row r="75" spans="1:26" ht="23.25" customHeight="1" thickBot="1">
      <c r="A75" s="1387" t="s">
        <v>564</v>
      </c>
      <c r="B75" s="1388"/>
      <c r="C75" s="1389"/>
      <c r="E75" s="1398"/>
      <c r="G75" s="1299"/>
      <c r="H75" s="1232"/>
      <c r="M75" s="636"/>
      <c r="N75" s="1244"/>
      <c r="W75" s="829"/>
      <c r="Z75" s="829"/>
    </row>
    <row r="76" spans="1:26" ht="23.25" customHeight="1">
      <c r="A76" s="1219" t="s">
        <v>387</v>
      </c>
      <c r="B76" s="1237">
        <f>SUM(H6,H14)</f>
        <v>699</v>
      </c>
      <c r="C76" s="1218">
        <f>B76/$B$79</f>
        <v>0.79794520547945202</v>
      </c>
      <c r="E76" s="1398"/>
      <c r="G76" s="1299"/>
      <c r="H76" s="1232"/>
      <c r="W76" s="846"/>
      <c r="Z76" s="829"/>
    </row>
    <row r="77" spans="1:26" ht="23.25" customHeight="1">
      <c r="A77" s="1236" t="s">
        <v>570</v>
      </c>
      <c r="B77" s="1191">
        <f>SUM(I6,I14)</f>
        <v>119</v>
      </c>
      <c r="C77" s="1213">
        <f>B77/$B$79</f>
        <v>0.13584474885844749</v>
      </c>
      <c r="E77" s="1398"/>
      <c r="G77" s="1299"/>
      <c r="H77" s="1232"/>
      <c r="W77" s="846"/>
      <c r="Z77" s="829"/>
    </row>
    <row r="78" spans="1:26" ht="23.25" customHeight="1" thickBot="1">
      <c r="A78" s="1212" t="s">
        <v>29</v>
      </c>
      <c r="B78" s="1238">
        <f>SUM(J14)</f>
        <v>58</v>
      </c>
      <c r="C78" s="1192">
        <f>B78/$B$79</f>
        <v>6.6210045662100453E-2</v>
      </c>
      <c r="E78" s="1398"/>
      <c r="G78" s="1299"/>
      <c r="H78" s="1232"/>
      <c r="W78" s="834"/>
      <c r="Z78" s="829"/>
    </row>
    <row r="79" spans="1:26" ht="23.25" customHeight="1" thickBot="1">
      <c r="A79" s="1215" t="s">
        <v>260</v>
      </c>
      <c r="B79" s="1221">
        <f>SUM(B76:B78)</f>
        <v>876</v>
      </c>
      <c r="C79" s="1216"/>
      <c r="E79" s="1398"/>
      <c r="G79" s="1299"/>
      <c r="H79" s="1232"/>
      <c r="W79" s="829"/>
      <c r="Z79" s="829"/>
    </row>
    <row r="80" spans="1:26" ht="23.25" customHeight="1" thickBot="1">
      <c r="B80" s="33"/>
      <c r="E80" s="1398"/>
      <c r="G80" s="1299"/>
      <c r="H80" s="1232"/>
      <c r="W80" s="829"/>
      <c r="Z80" s="829"/>
    </row>
    <row r="81" spans="1:26" ht="23.25" customHeight="1" thickBot="1">
      <c r="A81" s="1387" t="s">
        <v>568</v>
      </c>
      <c r="B81" s="1388"/>
      <c r="C81" s="1389"/>
      <c r="E81" s="1398"/>
      <c r="G81" s="1299"/>
      <c r="H81" s="1232"/>
      <c r="W81" s="829"/>
      <c r="Z81" s="829"/>
    </row>
    <row r="82" spans="1:26" ht="23.25" customHeight="1" thickBot="1">
      <c r="A82" s="1206" t="s">
        <v>569</v>
      </c>
      <c r="B82" s="1237">
        <f>H31</f>
        <v>2174</v>
      </c>
      <c r="C82" s="1234">
        <f>H32</f>
        <v>0.53480934809348091</v>
      </c>
      <c r="U82" s="829"/>
      <c r="V82" s="829"/>
      <c r="W82" s="829"/>
      <c r="Z82" s="829"/>
    </row>
    <row r="83" spans="1:26" ht="23.25" customHeight="1">
      <c r="A83" s="1211" t="s">
        <v>570</v>
      </c>
      <c r="B83" s="1191">
        <f>I31</f>
        <v>119</v>
      </c>
      <c r="C83" s="1217">
        <f>I32</f>
        <v>2.9274292742927428E-2</v>
      </c>
      <c r="U83" s="722" t="s">
        <v>438</v>
      </c>
      <c r="V83" s="723"/>
      <c r="W83" s="829"/>
      <c r="Z83" s="829"/>
    </row>
    <row r="84" spans="1:26" ht="23.25" customHeight="1" thickBot="1">
      <c r="A84" s="1212" t="s">
        <v>29</v>
      </c>
      <c r="B84" s="1238">
        <f>J31</f>
        <v>1351</v>
      </c>
      <c r="C84" s="1235">
        <f>J32</f>
        <v>0.33234932349323493</v>
      </c>
      <c r="U84" s="727" t="s">
        <v>428</v>
      </c>
      <c r="V84" s="736">
        <f>V8</f>
        <v>654740686.82345891</v>
      </c>
      <c r="W84" s="829"/>
      <c r="Z84" s="829"/>
    </row>
    <row r="85" spans="1:26" ht="23.25" customHeight="1" thickBot="1">
      <c r="A85" s="1215" t="s">
        <v>260</v>
      </c>
      <c r="B85" s="1221">
        <f>SUM(B82:B84)</f>
        <v>3644</v>
      </c>
      <c r="C85" s="1216"/>
      <c r="U85" s="727" t="s">
        <v>416</v>
      </c>
      <c r="V85" s="726">
        <f>V9</f>
        <v>-86849721.611125648</v>
      </c>
      <c r="W85" s="829"/>
      <c r="Z85" s="829"/>
    </row>
    <row r="86" spans="1:26" ht="23.25" customHeight="1">
      <c r="U86" s="724" t="s">
        <v>437</v>
      </c>
      <c r="V86" s="774">
        <v>0.63</v>
      </c>
      <c r="W86" s="829"/>
      <c r="Z86" s="829"/>
    </row>
    <row r="87" spans="1:26" ht="23.25" customHeight="1">
      <c r="U87" s="775" t="s">
        <v>361</v>
      </c>
      <c r="V87" s="776">
        <f>SUM(V84:V85)*V86</f>
        <v>357771308.08376992</v>
      </c>
      <c r="W87" s="829"/>
      <c r="Z87" s="829"/>
    </row>
    <row r="88" spans="1:26" ht="23.25" customHeight="1">
      <c r="U88" s="724" t="s">
        <v>431</v>
      </c>
      <c r="V88" s="746">
        <f>-V15</f>
        <v>-5689586.0022693248</v>
      </c>
      <c r="W88" s="829"/>
      <c r="Z88" s="829"/>
    </row>
    <row r="89" spans="1:26" ht="23.25" customHeight="1">
      <c r="U89" s="775" t="s">
        <v>361</v>
      </c>
      <c r="V89" s="777">
        <f>SUM(V87:V88)</f>
        <v>352081722.08150059</v>
      </c>
      <c r="W89" s="829"/>
      <c r="Z89" s="829"/>
    </row>
    <row r="90" spans="1:26" ht="23.25" customHeight="1">
      <c r="U90" s="727" t="s">
        <v>361</v>
      </c>
      <c r="V90" s="737">
        <f>J9</f>
        <v>0.4120603015075377</v>
      </c>
      <c r="W90" s="829"/>
      <c r="Z90" s="829"/>
    </row>
    <row r="91" spans="1:26" ht="23.25" customHeight="1">
      <c r="U91" s="775" t="s">
        <v>417</v>
      </c>
      <c r="V91" s="776">
        <f>V89*V90</f>
        <v>145078900.55619621</v>
      </c>
      <c r="W91" s="829"/>
      <c r="Z91" s="829"/>
    </row>
    <row r="92" spans="1:26" ht="23.25" customHeight="1">
      <c r="U92" s="727" t="s">
        <v>422</v>
      </c>
      <c r="V92" s="738">
        <v>8.0399999999999999E-2</v>
      </c>
      <c r="W92" s="829"/>
      <c r="Z92" s="829"/>
    </row>
    <row r="93" spans="1:26" ht="23.25" customHeight="1">
      <c r="U93" s="775" t="s">
        <v>418</v>
      </c>
      <c r="V93" s="776">
        <f>V89*V90</f>
        <v>145078900.55619621</v>
      </c>
      <c r="W93" s="829"/>
      <c r="Z93" s="829"/>
    </row>
    <row r="94" spans="1:26" ht="23.25" customHeight="1">
      <c r="U94" s="727" t="s">
        <v>481</v>
      </c>
      <c r="V94" s="726">
        <v>1000000</v>
      </c>
      <c r="W94" s="829"/>
      <c r="Z94" s="829"/>
    </row>
    <row r="95" spans="1:26" ht="23.25" customHeight="1">
      <c r="U95" s="727" t="s">
        <v>419</v>
      </c>
      <c r="V95" s="726">
        <f>V94*10</f>
        <v>10000000</v>
      </c>
      <c r="W95" s="829"/>
      <c r="Z95" s="829"/>
    </row>
    <row r="96" spans="1:26" ht="23.25" customHeight="1">
      <c r="U96" s="739" t="s">
        <v>439</v>
      </c>
      <c r="V96" s="740">
        <v>0.89</v>
      </c>
      <c r="W96" s="829"/>
      <c r="Z96" s="829"/>
    </row>
    <row r="97" spans="21:26" ht="23.25" customHeight="1" thickBot="1">
      <c r="U97" s="728" t="s">
        <v>420</v>
      </c>
      <c r="V97" s="729">
        <f>V95*V96</f>
        <v>8900000</v>
      </c>
      <c r="W97" s="829"/>
      <c r="X97" s="829"/>
      <c r="Y97" s="829"/>
      <c r="Z97" s="829"/>
    </row>
    <row r="98" spans="21:26" ht="23.25" customHeight="1" thickBot="1">
      <c r="W98" s="829"/>
      <c r="X98" s="829"/>
      <c r="Y98" s="829"/>
      <c r="Z98" s="829"/>
    </row>
    <row r="99" spans="21:26" ht="23.25" customHeight="1">
      <c r="U99" s="837" t="s">
        <v>482</v>
      </c>
      <c r="V99" s="838"/>
      <c r="W99" s="829"/>
      <c r="X99" s="829"/>
      <c r="Y99" s="829"/>
      <c r="Z99" s="829"/>
    </row>
    <row r="100" spans="21:26" ht="23.25" customHeight="1">
      <c r="U100" s="727" t="s">
        <v>483</v>
      </c>
      <c r="V100" s="945">
        <v>27640</v>
      </c>
      <c r="W100" s="829"/>
      <c r="X100" s="829"/>
      <c r="Y100" s="829"/>
      <c r="Z100" s="829"/>
    </row>
    <row r="101" spans="21:26" ht="23.25" customHeight="1" thickBot="1">
      <c r="U101" s="727" t="s">
        <v>433</v>
      </c>
      <c r="V101" s="946">
        <v>468</v>
      </c>
      <c r="W101" s="829"/>
      <c r="X101" s="829"/>
      <c r="Y101" s="829"/>
      <c r="Z101" s="829"/>
    </row>
    <row r="102" spans="21:26" ht="23.25" customHeight="1">
      <c r="U102" s="727" t="s">
        <v>484</v>
      </c>
      <c r="V102" s="947">
        <f>V100*V101</f>
        <v>12935520</v>
      </c>
      <c r="W102" s="829"/>
      <c r="X102" s="829"/>
      <c r="Y102" s="837" t="s">
        <v>440</v>
      </c>
      <c r="Z102" s="838"/>
    </row>
    <row r="103" spans="21:26" ht="23.25" customHeight="1">
      <c r="U103" s="727" t="s">
        <v>490</v>
      </c>
      <c r="V103" s="948">
        <v>3245743</v>
      </c>
      <c r="W103" s="829"/>
      <c r="X103" s="829"/>
      <c r="Y103" s="845" t="s">
        <v>464</v>
      </c>
      <c r="Z103" s="892">
        <v>1</v>
      </c>
    </row>
    <row r="104" spans="21:26" ht="23.25" customHeight="1">
      <c r="U104" s="727" t="s">
        <v>485</v>
      </c>
      <c r="V104" s="949">
        <f>V103*10</f>
        <v>32457430</v>
      </c>
      <c r="W104" s="829"/>
      <c r="X104" s="829"/>
      <c r="Y104" s="899" t="s">
        <v>461</v>
      </c>
      <c r="Z104" s="900">
        <f>Assumptions!$B$153</f>
        <v>0</v>
      </c>
    </row>
    <row r="105" spans="21:26" ht="23.25" customHeight="1">
      <c r="U105" s="727" t="s">
        <v>439</v>
      </c>
      <c r="V105" s="740">
        <v>0.89</v>
      </c>
      <c r="W105" s="829"/>
      <c r="X105" s="829"/>
      <c r="Y105" s="905" t="s">
        <v>463</v>
      </c>
      <c r="Z105" s="906">
        <v>1</v>
      </c>
    </row>
    <row r="106" spans="21:26" ht="23.25" customHeight="1" thickBot="1">
      <c r="U106" s="745" t="s">
        <v>484</v>
      </c>
      <c r="V106" s="950">
        <f>V104*V105</f>
        <v>28887112.699999999</v>
      </c>
      <c r="W106" s="829"/>
      <c r="X106" s="829"/>
      <c r="Y106" s="899" t="s">
        <v>461</v>
      </c>
      <c r="Z106" s="900">
        <f>Assumptions!B154</f>
        <v>0</v>
      </c>
    </row>
    <row r="107" spans="21:26" ht="23.25" customHeight="1">
      <c r="W107" s="829"/>
      <c r="X107" s="829"/>
      <c r="Y107" s="905" t="s">
        <v>462</v>
      </c>
      <c r="Z107" s="906"/>
    </row>
    <row r="108" spans="21:26" ht="23.25" customHeight="1" thickBot="1">
      <c r="W108" s="829"/>
      <c r="X108" s="829"/>
      <c r="Y108" s="899" t="s">
        <v>461</v>
      </c>
      <c r="Z108" s="900">
        <f>Assumptions!B155</f>
        <v>0</v>
      </c>
    </row>
    <row r="109" spans="21:26" ht="23.25" customHeight="1">
      <c r="U109" s="722"/>
      <c r="V109" s="723"/>
      <c r="W109" s="829"/>
      <c r="X109" s="909"/>
      <c r="Y109" s="905" t="s">
        <v>465</v>
      </c>
      <c r="Z109" s="908"/>
    </row>
    <row r="110" spans="21:26" ht="23.25" customHeight="1">
      <c r="U110" s="806"/>
      <c r="V110" s="808"/>
      <c r="W110" s="829"/>
      <c r="X110" s="829"/>
      <c r="Y110" s="899" t="s">
        <v>461</v>
      </c>
      <c r="Z110" s="900">
        <f>Assumptions!B156</f>
        <v>0</v>
      </c>
    </row>
    <row r="111" spans="21:26" ht="23.25" customHeight="1" thickBot="1">
      <c r="U111" s="807"/>
      <c r="V111" s="809"/>
      <c r="W111" s="829"/>
      <c r="X111" s="829"/>
      <c r="Y111" s="911" t="s">
        <v>420</v>
      </c>
      <c r="Z111" s="912">
        <f>(Z103*Z104)+(Z105*Z106)+(Z107*Z108)+(Z109*Z110)</f>
        <v>0</v>
      </c>
    </row>
    <row r="112" spans="21:26" ht="23.25" customHeight="1">
      <c r="U112" s="829"/>
      <c r="V112" s="940"/>
    </row>
    <row r="113" spans="21:25" ht="23.25" customHeight="1">
      <c r="U113" s="829"/>
      <c r="V113" s="940"/>
    </row>
    <row r="114" spans="21:25" ht="23.25" customHeight="1">
      <c r="U114" s="829"/>
      <c r="V114" s="940"/>
    </row>
    <row r="115" spans="21:25" ht="23.25" customHeight="1">
      <c r="U115" s="829"/>
      <c r="V115" s="940"/>
    </row>
    <row r="116" spans="21:25" ht="23.25" customHeight="1">
      <c r="U116" s="829"/>
      <c r="V116" s="939"/>
    </row>
    <row r="117" spans="21:25" ht="23.25" customHeight="1">
      <c r="U117" s="829"/>
      <c r="V117" s="941"/>
    </row>
    <row r="118" spans="21:25" ht="23.25" customHeight="1">
      <c r="U118" s="829"/>
      <c r="V118" s="939"/>
    </row>
    <row r="119" spans="21:25" ht="23.25" customHeight="1">
      <c r="Y119" s="636" t="s">
        <v>441</v>
      </c>
    </row>
    <row r="120" spans="21:25" ht="23.25" customHeight="1">
      <c r="U120" s="829"/>
      <c r="V120" s="939"/>
      <c r="Y120" s="636" t="s">
        <v>442</v>
      </c>
    </row>
    <row r="121" spans="21:25" ht="23.25" customHeight="1">
      <c r="U121" s="829"/>
      <c r="V121" s="942"/>
    </row>
    <row r="122" spans="21:25" ht="23.25" customHeight="1">
      <c r="U122" s="943"/>
      <c r="V122" s="944"/>
    </row>
  </sheetData>
  <mergeCells count="45">
    <mergeCell ref="A81:C81"/>
    <mergeCell ref="A60:C60"/>
    <mergeCell ref="I43:I50"/>
    <mergeCell ref="E60:E66"/>
    <mergeCell ref="E68:E71"/>
    <mergeCell ref="E73:E81"/>
    <mergeCell ref="V36:W36"/>
    <mergeCell ref="A70:C70"/>
    <mergeCell ref="A75:C75"/>
    <mergeCell ref="X24:Y25"/>
    <mergeCell ref="A65:C65"/>
    <mergeCell ref="AA5:AB5"/>
    <mergeCell ref="U3:AB4"/>
    <mergeCell ref="X16:Y16"/>
    <mergeCell ref="U17:V17"/>
    <mergeCell ref="AA31:AB31"/>
    <mergeCell ref="X7:Y7"/>
    <mergeCell ref="U22:V22"/>
    <mergeCell ref="AA26:AB26"/>
    <mergeCell ref="AA21:AB21"/>
    <mergeCell ref="X21:Y21"/>
    <mergeCell ref="AA7:AB7"/>
    <mergeCell ref="U7:V7"/>
    <mergeCell ref="AA40:AB40"/>
    <mergeCell ref="A47:E47"/>
    <mergeCell ref="A14:A20"/>
    <mergeCell ref="F14:F20"/>
    <mergeCell ref="A33:G33"/>
    <mergeCell ref="C14:C20"/>
    <mergeCell ref="A21:A30"/>
    <mergeCell ref="B21:B30"/>
    <mergeCell ref="C21:C30"/>
    <mergeCell ref="D21:D30"/>
    <mergeCell ref="E21:E30"/>
    <mergeCell ref="F21:F30"/>
    <mergeCell ref="D15:D20"/>
    <mergeCell ref="E14:E20"/>
    <mergeCell ref="A3:S4"/>
    <mergeCell ref="U5:V5"/>
    <mergeCell ref="X5:Y5"/>
    <mergeCell ref="C7:C9"/>
    <mergeCell ref="C12:C13"/>
    <mergeCell ref="F6:F13"/>
    <mergeCell ref="A6:A13"/>
    <mergeCell ref="E6:E10"/>
  </mergeCells>
  <phoneticPr fontId="168" type="noConversion"/>
  <printOptions horizontalCentered="1" verticalCentered="1"/>
  <pageMargins left="0.7" right="0.7" top="0.75" bottom="0.75" header="0.3" footer="0.3"/>
  <pageSetup scale="12"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ignoredErrors>
    <ignoredError sqref="B11:B13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47EA8-8AB1-48C9-A292-F6E053ABBA9C}">
  <sheetPr>
    <tabColor rgb="FF00B0F0"/>
  </sheetPr>
  <dimension ref="A1:AQ202"/>
  <sheetViews>
    <sheetView zoomScale="93" zoomScaleNormal="93" workbookViewId="0">
      <selection activeCell="A6" sqref="A6"/>
    </sheetView>
  </sheetViews>
  <sheetFormatPr defaultColWidth="12.19921875" defaultRowHeight="15.75"/>
  <cols>
    <col min="1" max="7" width="12.19921875" style="4"/>
    <col min="8" max="8" width="18.19921875" style="4" bestFit="1" customWidth="1"/>
    <col min="9" max="11" width="12.19921875" style="4"/>
    <col min="12" max="12" width="38.796875" style="4" bestFit="1" customWidth="1"/>
    <col min="13" max="13" width="8.19921875" style="4" bestFit="1" customWidth="1"/>
    <col min="14" max="14" width="6.46484375" style="4" bestFit="1" customWidth="1"/>
    <col min="15" max="15" width="7.46484375" style="4" bestFit="1" customWidth="1"/>
    <col min="16" max="16" width="6.19921875" style="4" bestFit="1" customWidth="1"/>
    <col min="17" max="17" width="7.46484375" style="4" bestFit="1" customWidth="1"/>
    <col min="18" max="18" width="6.19921875" style="4" bestFit="1" customWidth="1"/>
    <col min="19" max="19" width="8.19921875" style="4" customWidth="1"/>
    <col min="20" max="20" width="8.796875" style="4" customWidth="1"/>
    <col min="21" max="21" width="36.46484375" style="4" bestFit="1" customWidth="1"/>
    <col min="22" max="22" width="65.1328125" style="4" bestFit="1" customWidth="1"/>
    <col min="23" max="23" width="12.19921875" style="4"/>
    <col min="24" max="24" width="36.46484375" style="4" bestFit="1" customWidth="1"/>
    <col min="25" max="26" width="12.19921875" style="4"/>
    <col min="27" max="27" width="36.46484375" style="4" bestFit="1" customWidth="1"/>
    <col min="28" max="36" width="12.19921875" style="4"/>
    <col min="37" max="37" width="33.46484375" style="4" bestFit="1" customWidth="1"/>
    <col min="38" max="16384" width="12.19921875" style="4"/>
  </cols>
  <sheetData>
    <row r="1" spans="1:28">
      <c r="A1" s="636" t="s">
        <v>582</v>
      </c>
    </row>
    <row r="2" spans="1:28">
      <c r="A2" s="234"/>
    </row>
    <row r="3" spans="1:28">
      <c r="A3" s="234"/>
    </row>
    <row r="5" spans="1:28">
      <c r="D5" s="2" t="s">
        <v>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U5" s="2" t="s">
        <v>1</v>
      </c>
      <c r="V5" s="3"/>
      <c r="W5" s="3"/>
      <c r="X5" s="3"/>
      <c r="Y5" s="3"/>
      <c r="Z5" s="3"/>
      <c r="AA5" s="3"/>
      <c r="AB5" s="3"/>
    </row>
    <row r="6" spans="1:28">
      <c r="D6" s="2" t="s">
        <v>349</v>
      </c>
      <c r="E6" s="3"/>
      <c r="F6" s="3"/>
      <c r="G6" s="3"/>
      <c r="H6" s="3"/>
      <c r="I6" s="3"/>
      <c r="J6" s="3"/>
      <c r="K6" s="3"/>
      <c r="L6" s="5" t="s">
        <v>2</v>
      </c>
      <c r="M6" s="3"/>
      <c r="N6" s="3"/>
      <c r="O6" s="3"/>
      <c r="P6" s="3"/>
      <c r="Q6" s="3"/>
      <c r="R6" s="3"/>
      <c r="S6" s="3"/>
      <c r="U6" s="1399" t="s">
        <v>3</v>
      </c>
      <c r="V6" s="1399"/>
      <c r="W6" s="3"/>
      <c r="X6" s="1399" t="s">
        <v>4</v>
      </c>
      <c r="Y6" s="1399"/>
      <c r="Z6" s="3"/>
      <c r="AA6" s="1399" t="s">
        <v>5</v>
      </c>
      <c r="AB6" s="1399"/>
    </row>
    <row r="7" spans="1:28">
      <c r="U7" s="4" t="s">
        <v>344</v>
      </c>
      <c r="V7" s="751">
        <v>2730</v>
      </c>
      <c r="AB7" s="1"/>
    </row>
    <row r="8" spans="1:28">
      <c r="H8" s="6"/>
      <c r="M8" s="1400" t="s">
        <v>350</v>
      </c>
      <c r="N8" s="1400"/>
      <c r="O8" s="1400"/>
      <c r="P8" s="1400"/>
      <c r="Q8" s="1400"/>
      <c r="R8" s="1400"/>
      <c r="U8" s="4" t="s">
        <v>9</v>
      </c>
      <c r="V8" s="752">
        <v>3.35</v>
      </c>
      <c r="X8" s="4" t="s">
        <v>345</v>
      </c>
      <c r="Y8" s="749">
        <v>39.21</v>
      </c>
      <c r="AA8" s="4" t="s">
        <v>346</v>
      </c>
      <c r="AB8" s="749">
        <v>54</v>
      </c>
    </row>
    <row r="9" spans="1:28">
      <c r="H9" s="8"/>
      <c r="L9" s="4" t="s">
        <v>10</v>
      </c>
      <c r="M9" s="6" t="s">
        <v>11</v>
      </c>
      <c r="N9" s="6" t="s">
        <v>12</v>
      </c>
      <c r="O9" s="6"/>
      <c r="P9" s="6"/>
      <c r="Q9" s="6"/>
      <c r="R9" s="6"/>
      <c r="U9" s="4" t="s">
        <v>13</v>
      </c>
      <c r="V9" s="751">
        <v>1600</v>
      </c>
      <c r="X9" s="4" t="s">
        <v>14</v>
      </c>
      <c r="Y9" s="755">
        <v>-1.2E-2</v>
      </c>
      <c r="AA9" s="4" t="s">
        <v>14</v>
      </c>
      <c r="AB9" s="755">
        <v>1.7999999999999999E-2</v>
      </c>
    </row>
    <row r="10" spans="1:28">
      <c r="D10" s="4" t="s">
        <v>15</v>
      </c>
      <c r="H10" s="6">
        <v>450</v>
      </c>
      <c r="I10" s="6"/>
      <c r="L10" s="10" t="s">
        <v>16</v>
      </c>
      <c r="M10" s="11"/>
      <c r="N10" s="11"/>
      <c r="O10" s="12"/>
      <c r="P10" s="12"/>
      <c r="Q10" s="12"/>
      <c r="R10" s="12"/>
      <c r="S10" s="13"/>
      <c r="U10" s="4" t="s">
        <v>17</v>
      </c>
      <c r="V10" s="751">
        <v>2200</v>
      </c>
      <c r="X10" s="4" t="s">
        <v>347</v>
      </c>
      <c r="Y10" s="750">
        <v>0.247</v>
      </c>
      <c r="AA10" s="4" t="s">
        <v>347</v>
      </c>
      <c r="AB10" s="755">
        <v>5.1999999999999998E-2</v>
      </c>
    </row>
    <row r="11" spans="1:28" ht="16.5">
      <c r="D11" s="4" t="s">
        <v>581</v>
      </c>
      <c r="G11" s="14"/>
      <c r="H11" s="15">
        <v>45000</v>
      </c>
      <c r="I11" s="16"/>
      <c r="L11" s="17" t="s">
        <v>18</v>
      </c>
      <c r="M11" s="18">
        <v>300</v>
      </c>
      <c r="N11" s="18">
        <v>250</v>
      </c>
      <c r="O11" s="19"/>
      <c r="P11" s="19"/>
      <c r="Q11" s="19"/>
      <c r="R11" s="19"/>
      <c r="S11" s="18"/>
      <c r="U11" s="4" t="s">
        <v>19</v>
      </c>
      <c r="V11" s="751">
        <v>3500</v>
      </c>
      <c r="X11" s="4" t="s">
        <v>348</v>
      </c>
      <c r="Y11" s="756">
        <v>-2000000</v>
      </c>
      <c r="AA11" s="4" t="s">
        <v>348</v>
      </c>
      <c r="AB11" s="756">
        <v>-27000</v>
      </c>
    </row>
    <row r="12" spans="1:28" ht="47.25">
      <c r="D12" s="4" t="s">
        <v>20</v>
      </c>
      <c r="G12" s="20"/>
      <c r="H12" s="1051" t="s">
        <v>521</v>
      </c>
      <c r="I12" s="1051" t="s">
        <v>522</v>
      </c>
      <c r="J12" s="1051" t="s">
        <v>523</v>
      </c>
      <c r="L12" s="10" t="s">
        <v>21</v>
      </c>
      <c r="M12" s="13"/>
      <c r="N12" s="13"/>
      <c r="O12" s="21"/>
      <c r="P12" s="21"/>
      <c r="Q12" s="21"/>
      <c r="R12" s="21"/>
      <c r="S12" s="13"/>
      <c r="U12" s="4" t="s">
        <v>22</v>
      </c>
      <c r="V12" s="751">
        <v>6200</v>
      </c>
      <c r="X12" s="4" t="s">
        <v>23</v>
      </c>
      <c r="Y12" s="750">
        <v>6.2E-2</v>
      </c>
      <c r="AA12" s="4" t="s">
        <v>23</v>
      </c>
      <c r="AB12" s="750">
        <v>5.5E-2</v>
      </c>
    </row>
    <row r="13" spans="1:28" ht="16.5">
      <c r="D13" s="4" t="s">
        <v>24</v>
      </c>
      <c r="G13" s="14"/>
      <c r="H13" s="15">
        <v>20</v>
      </c>
      <c r="I13" s="16"/>
      <c r="L13" s="17" t="s">
        <v>25</v>
      </c>
      <c r="M13" s="18">
        <v>400</v>
      </c>
      <c r="N13" s="18">
        <v>380</v>
      </c>
      <c r="O13" s="19"/>
      <c r="P13" s="19"/>
      <c r="Q13" s="19"/>
      <c r="R13" s="19"/>
      <c r="S13" s="18"/>
      <c r="U13" s="4" t="s">
        <v>347</v>
      </c>
      <c r="V13" s="754">
        <v>9.2999999999999999E-2</v>
      </c>
      <c r="Y13" s="1"/>
      <c r="AB13" s="1"/>
    </row>
    <row r="14" spans="1:28" ht="16.5">
      <c r="D14" s="4" t="s">
        <v>26</v>
      </c>
      <c r="F14" s="4" t="s">
        <v>27</v>
      </c>
      <c r="G14" s="14"/>
      <c r="H14" s="15">
        <v>450</v>
      </c>
      <c r="I14" s="16"/>
      <c r="L14" s="17" t="s">
        <v>28</v>
      </c>
      <c r="M14" s="18">
        <v>450</v>
      </c>
      <c r="N14" s="18">
        <v>400</v>
      </c>
      <c r="O14" s="19"/>
      <c r="P14" s="19"/>
      <c r="Q14" s="19"/>
      <c r="R14" s="19"/>
      <c r="S14" s="18"/>
      <c r="U14" s="4" t="s">
        <v>23</v>
      </c>
      <c r="V14" s="753">
        <v>4.7E-2</v>
      </c>
    </row>
    <row r="15" spans="1:28" ht="16.5">
      <c r="B15"/>
      <c r="D15" s="4" t="s">
        <v>29</v>
      </c>
      <c r="F15" s="4" t="s">
        <v>30</v>
      </c>
      <c r="G15" s="14"/>
      <c r="H15" s="15">
        <v>200</v>
      </c>
      <c r="I15" s="16"/>
      <c r="L15" s="1289"/>
      <c r="O15" s="1290"/>
      <c r="P15" s="1290"/>
      <c r="Q15" s="1290"/>
      <c r="R15" s="1290"/>
      <c r="S15" s="18"/>
    </row>
    <row r="16" spans="1:28" ht="16.5">
      <c r="D16" s="4" t="s">
        <v>32</v>
      </c>
      <c r="F16" s="4" t="s">
        <v>30</v>
      </c>
      <c r="G16" s="14"/>
      <c r="H16" s="15">
        <v>300</v>
      </c>
      <c r="I16" s="16"/>
      <c r="L16" s="1291"/>
      <c r="M16" s="1292"/>
      <c r="N16" s="1292"/>
      <c r="O16" s="1293"/>
      <c r="P16" s="1293"/>
      <c r="Q16" s="1293"/>
      <c r="R16" s="1293"/>
      <c r="S16" s="1292"/>
    </row>
    <row r="17" spans="2:43" ht="16.5">
      <c r="B17"/>
      <c r="D17" s="4" t="s">
        <v>4</v>
      </c>
      <c r="F17" s="4" t="s">
        <v>34</v>
      </c>
      <c r="G17" s="14"/>
      <c r="H17" s="15">
        <v>300</v>
      </c>
      <c r="I17" s="16"/>
      <c r="L17" s="1294"/>
      <c r="M17" s="1"/>
      <c r="N17" s="1"/>
      <c r="O17" s="1295"/>
      <c r="P17" s="1295"/>
      <c r="Q17" s="1295"/>
      <c r="R17" s="1295"/>
      <c r="S17" s="1292"/>
    </row>
    <row r="18" spans="2:43" ht="16.5">
      <c r="D18" s="4" t="s">
        <v>36</v>
      </c>
      <c r="G18" s="14"/>
      <c r="H18" s="15">
        <v>200</v>
      </c>
      <c r="I18" s="16"/>
      <c r="L18" s="1291"/>
      <c r="M18" s="1292"/>
      <c r="N18" s="1292"/>
      <c r="O18" s="1293"/>
      <c r="P18" s="1293"/>
      <c r="Q18" s="1293"/>
      <c r="R18" s="1293"/>
      <c r="S18" s="1292"/>
    </row>
    <row r="19" spans="2:43" ht="16.5">
      <c r="D19" s="4" t="s">
        <v>38</v>
      </c>
      <c r="G19" s="14"/>
      <c r="H19" s="15">
        <v>100</v>
      </c>
      <c r="I19" s="16"/>
      <c r="L19" s="1291"/>
      <c r="M19" s="1292"/>
      <c r="N19" s="1292"/>
      <c r="O19" s="1293"/>
      <c r="P19" s="1293"/>
      <c r="Q19" s="1293"/>
      <c r="R19" s="1293"/>
      <c r="S19" s="1292"/>
    </row>
    <row r="20" spans="2:43" ht="16.5">
      <c r="G20" s="14"/>
      <c r="H20" s="15"/>
      <c r="I20" s="16"/>
      <c r="L20" s="1294"/>
      <c r="M20" s="1"/>
      <c r="N20" s="1"/>
      <c r="O20" s="1295"/>
      <c r="P20" s="1295"/>
      <c r="Q20" s="1295"/>
      <c r="R20" s="1295"/>
      <c r="S20" s="1292"/>
    </row>
    <row r="21" spans="2:43" ht="16.5">
      <c r="G21" s="14"/>
      <c r="H21" s="15"/>
      <c r="I21" s="16"/>
      <c r="L21" s="1291"/>
      <c r="M21" s="1292"/>
      <c r="N21" s="1292"/>
      <c r="O21" s="1293"/>
      <c r="P21" s="1293"/>
      <c r="Q21" s="1293"/>
      <c r="R21" s="1293"/>
      <c r="S21" s="1292"/>
    </row>
    <row r="22" spans="2:43" ht="16.5">
      <c r="G22" s="14"/>
      <c r="H22" s="15"/>
      <c r="I22" s="16"/>
      <c r="L22" s="17"/>
      <c r="M22" s="18"/>
      <c r="N22" s="18"/>
      <c r="O22" s="19"/>
      <c r="P22" s="19"/>
      <c r="Q22" s="19"/>
      <c r="R22" s="19"/>
      <c r="S22" s="18"/>
    </row>
    <row r="23" spans="2:43">
      <c r="G23" s="14"/>
      <c r="H23" s="14"/>
      <c r="I23" s="22"/>
    </row>
    <row r="24" spans="2:43">
      <c r="D24" s="2" t="s">
        <v>43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2"/>
      <c r="T24" s="3"/>
      <c r="U24" s="3"/>
      <c r="V24" s="3"/>
      <c r="W24" s="3"/>
      <c r="X24" s="3"/>
      <c r="Y24" s="3"/>
      <c r="Z24" s="3"/>
      <c r="AA24" s="3"/>
      <c r="AB24" s="3"/>
    </row>
    <row r="25" spans="2:43">
      <c r="D25" s="2" t="s">
        <v>351</v>
      </c>
      <c r="E25" s="3"/>
      <c r="F25" s="3"/>
      <c r="G25" s="3"/>
      <c r="H25" s="3"/>
      <c r="I25" s="3"/>
      <c r="J25" s="3"/>
      <c r="K25" s="3"/>
      <c r="L25" s="23" t="s">
        <v>351</v>
      </c>
      <c r="M25" s="3"/>
      <c r="N25" s="3"/>
      <c r="O25" s="3"/>
      <c r="P25" s="3"/>
      <c r="Q25" s="3"/>
      <c r="R25" s="3"/>
      <c r="S25" s="5"/>
      <c r="T25" s="3"/>
      <c r="U25" s="3"/>
      <c r="V25" s="5" t="s">
        <v>45</v>
      </c>
      <c r="W25" s="3"/>
      <c r="X25" s="3"/>
      <c r="Y25" s="3"/>
      <c r="Z25" s="3"/>
      <c r="AA25" s="3"/>
      <c r="AB25" s="3"/>
    </row>
    <row r="26" spans="2:43">
      <c r="F26" s="6"/>
    </row>
    <row r="27" spans="2:43">
      <c r="F27" s="7"/>
    </row>
    <row r="29" spans="2:43">
      <c r="T29" s="6" t="s">
        <v>46</v>
      </c>
      <c r="V29" s="6"/>
      <c r="W29" s="4" t="s">
        <v>47</v>
      </c>
      <c r="X29" s="6" t="s">
        <v>48</v>
      </c>
      <c r="Y29" s="6" t="s">
        <v>49</v>
      </c>
      <c r="Z29" s="6" t="s">
        <v>50</v>
      </c>
      <c r="AA29" s="6" t="s">
        <v>51</v>
      </c>
      <c r="AB29" s="6"/>
    </row>
    <row r="30" spans="2:43" ht="16.05" customHeight="1">
      <c r="S30" s="24" t="s">
        <v>52</v>
      </c>
      <c r="T30" s="25">
        <v>0.15</v>
      </c>
      <c r="V30" s="25"/>
      <c r="W30" s="298">
        <v>359</v>
      </c>
      <c r="X30" s="298">
        <v>359</v>
      </c>
      <c r="Y30" s="298">
        <v>385</v>
      </c>
      <c r="Z30" s="298">
        <v>462</v>
      </c>
      <c r="AA30" s="299">
        <v>534</v>
      </c>
      <c r="AB30" s="26"/>
      <c r="AK30" s="27"/>
      <c r="AL30" s="27"/>
      <c r="AM30" s="1"/>
      <c r="AN30" s="1"/>
      <c r="AO30" s="1"/>
      <c r="AP30" s="1"/>
      <c r="AQ30" s="1"/>
    </row>
    <row r="31" spans="2:43" ht="16.5">
      <c r="S31" s="24"/>
      <c r="T31" s="25">
        <v>0.2</v>
      </c>
      <c r="V31" s="25"/>
      <c r="W31" s="298">
        <v>359</v>
      </c>
      <c r="X31" s="298">
        <v>479</v>
      </c>
      <c r="Y31" s="298">
        <v>513</v>
      </c>
      <c r="Z31" s="298">
        <v>616</v>
      </c>
      <c r="AA31" s="299">
        <v>712</v>
      </c>
      <c r="AB31" s="26"/>
      <c r="AK31" s="27"/>
      <c r="AL31" s="27"/>
      <c r="AM31" s="1"/>
      <c r="AN31" s="1"/>
      <c r="AO31" s="1"/>
      <c r="AP31" s="1"/>
      <c r="AQ31" s="1"/>
    </row>
    <row r="32" spans="2:43" ht="16.5">
      <c r="S32" s="24"/>
      <c r="T32" s="25">
        <v>0.25</v>
      </c>
      <c r="V32" s="25" t="s">
        <v>53</v>
      </c>
      <c r="W32" s="298">
        <v>359</v>
      </c>
      <c r="X32" s="298">
        <v>599</v>
      </c>
      <c r="Y32" s="298">
        <v>642</v>
      </c>
      <c r="Z32" s="298">
        <v>770</v>
      </c>
      <c r="AA32" s="299">
        <v>890</v>
      </c>
      <c r="AB32" s="26"/>
      <c r="AK32" s="27"/>
      <c r="AL32" s="28" t="s">
        <v>6</v>
      </c>
      <c r="AN32" s="28" t="s">
        <v>7</v>
      </c>
      <c r="AP32" s="28" t="s">
        <v>8</v>
      </c>
    </row>
    <row r="33" spans="19:43" ht="16.05" customHeight="1">
      <c r="S33" s="29" t="s">
        <v>54</v>
      </c>
      <c r="T33" s="9">
        <v>0.3</v>
      </c>
      <c r="V33" s="9"/>
      <c r="W33" s="300">
        <v>719</v>
      </c>
      <c r="X33" s="300">
        <v>719</v>
      </c>
      <c r="Y33" s="300">
        <v>770</v>
      </c>
      <c r="Z33" s="300">
        <v>924</v>
      </c>
      <c r="AA33" s="301">
        <v>1068</v>
      </c>
      <c r="AB33" s="26"/>
      <c r="AK33" s="27"/>
      <c r="AL33" s="1"/>
      <c r="AM33" s="1"/>
      <c r="AN33" s="1"/>
      <c r="AO33" s="1"/>
      <c r="AP33" s="1"/>
      <c r="AQ33" s="1"/>
    </row>
    <row r="34" spans="19:43" ht="16.5">
      <c r="S34" s="29"/>
      <c r="T34" s="9">
        <v>0.35</v>
      </c>
      <c r="V34" s="9"/>
      <c r="W34" s="300">
        <v>719</v>
      </c>
      <c r="X34" s="300">
        <v>839</v>
      </c>
      <c r="Y34" s="300">
        <v>899</v>
      </c>
      <c r="Z34" s="300">
        <v>1078</v>
      </c>
      <c r="AA34" s="301">
        <v>1246</v>
      </c>
      <c r="AB34" s="26"/>
      <c r="AK34" s="30" t="s">
        <v>16</v>
      </c>
      <c r="AL34" s="27"/>
      <c r="AM34" s="27"/>
      <c r="AN34" s="27"/>
      <c r="AO34" s="27"/>
      <c r="AP34" s="27"/>
      <c r="AQ34" s="27"/>
    </row>
    <row r="35" spans="19:43" ht="16.5">
      <c r="S35" s="29"/>
      <c r="T35" s="9">
        <v>0.4</v>
      </c>
      <c r="V35" s="9"/>
      <c r="W35" s="300">
        <v>719</v>
      </c>
      <c r="X35" s="300">
        <v>959</v>
      </c>
      <c r="Y35" s="300">
        <v>1027</v>
      </c>
      <c r="Z35" s="300">
        <v>1233</v>
      </c>
      <c r="AA35" s="301">
        <v>1425</v>
      </c>
      <c r="AB35" s="26"/>
      <c r="AK35" s="27" t="s">
        <v>18</v>
      </c>
      <c r="AL35" s="31">
        <v>584</v>
      </c>
      <c r="AM35" s="31">
        <v>449</v>
      </c>
      <c r="AN35" s="31">
        <v>529</v>
      </c>
      <c r="AO35" s="31">
        <v>294</v>
      </c>
      <c r="AP35" s="31">
        <v>463</v>
      </c>
      <c r="AQ35" s="31">
        <v>251</v>
      </c>
    </row>
    <row r="36" spans="19:43" ht="16.5">
      <c r="S36" s="29"/>
      <c r="T36" s="9">
        <v>0.45</v>
      </c>
      <c r="V36" s="9"/>
      <c r="W36" s="300">
        <v>719</v>
      </c>
      <c r="X36" s="300">
        <v>1078</v>
      </c>
      <c r="Y36" s="300">
        <v>1155</v>
      </c>
      <c r="Z36" s="300">
        <v>1387</v>
      </c>
      <c r="AA36" s="301">
        <v>1603</v>
      </c>
      <c r="AB36" s="26"/>
      <c r="AK36" s="30" t="s">
        <v>21</v>
      </c>
      <c r="AL36" s="27"/>
      <c r="AM36" s="27"/>
      <c r="AN36" s="27"/>
      <c r="AO36" s="27"/>
      <c r="AP36" s="27"/>
      <c r="AQ36" s="27"/>
    </row>
    <row r="37" spans="19:43" ht="16.5">
      <c r="S37" s="29"/>
      <c r="T37" s="9">
        <v>0.5</v>
      </c>
      <c r="V37" s="9" t="s">
        <v>55</v>
      </c>
      <c r="W37" s="300">
        <v>719</v>
      </c>
      <c r="X37" s="300">
        <v>1198</v>
      </c>
      <c r="Y37" s="300">
        <v>1284</v>
      </c>
      <c r="Z37" s="300">
        <v>1541</v>
      </c>
      <c r="AA37" s="301">
        <v>1781</v>
      </c>
      <c r="AB37" s="26"/>
      <c r="AK37" s="27" t="s">
        <v>25</v>
      </c>
      <c r="AL37" s="31">
        <v>870</v>
      </c>
      <c r="AM37" s="31">
        <v>726</v>
      </c>
      <c r="AN37" s="31">
        <v>567</v>
      </c>
      <c r="AO37" s="31">
        <v>371</v>
      </c>
      <c r="AP37" s="31">
        <v>429</v>
      </c>
      <c r="AQ37" s="31">
        <v>330</v>
      </c>
    </row>
    <row r="38" spans="19:43" ht="16.05" customHeight="1">
      <c r="S38" s="24" t="s">
        <v>56</v>
      </c>
      <c r="T38" s="25">
        <v>0.55000000000000004</v>
      </c>
      <c r="V38" s="25"/>
      <c r="W38" s="298">
        <v>1318</v>
      </c>
      <c r="X38" s="298">
        <v>1318</v>
      </c>
      <c r="Y38" s="298">
        <v>1412</v>
      </c>
      <c r="Z38" s="298">
        <v>1695</v>
      </c>
      <c r="AA38" s="299">
        <v>1959</v>
      </c>
      <c r="AB38" s="26"/>
      <c r="AK38" s="27" t="s">
        <v>28</v>
      </c>
      <c r="AL38" s="31">
        <v>1001</v>
      </c>
      <c r="AM38" s="31">
        <v>833</v>
      </c>
      <c r="AN38" s="31">
        <v>688</v>
      </c>
      <c r="AO38" s="31">
        <v>458</v>
      </c>
      <c r="AP38" s="31">
        <v>624</v>
      </c>
      <c r="AQ38" s="31">
        <v>396</v>
      </c>
    </row>
    <row r="39" spans="19:43" ht="16.5">
      <c r="S39" s="24"/>
      <c r="T39" s="25">
        <v>0.6</v>
      </c>
      <c r="V39" s="25"/>
      <c r="W39" s="298">
        <v>1318</v>
      </c>
      <c r="X39" s="298">
        <v>1438</v>
      </c>
      <c r="Y39" s="298">
        <v>1541</v>
      </c>
      <c r="Z39" s="298">
        <v>1849</v>
      </c>
      <c r="AA39" s="299">
        <v>2137</v>
      </c>
      <c r="AB39" s="26"/>
      <c r="AK39" s="30" t="s">
        <v>31</v>
      </c>
      <c r="AL39" s="27"/>
      <c r="AM39" s="27"/>
      <c r="AN39" s="27"/>
      <c r="AO39" s="27"/>
      <c r="AP39" s="27"/>
      <c r="AQ39" s="27"/>
    </row>
    <row r="40" spans="19:43" ht="16.5">
      <c r="S40" s="24"/>
      <c r="T40" s="25">
        <v>0.65</v>
      </c>
      <c r="V40" s="25"/>
      <c r="W40" s="298">
        <v>1318</v>
      </c>
      <c r="X40" s="298">
        <v>1558</v>
      </c>
      <c r="Y40" s="298">
        <v>1669</v>
      </c>
      <c r="Z40" s="298">
        <v>2003</v>
      </c>
      <c r="AA40" s="299">
        <v>2315</v>
      </c>
      <c r="AB40" s="26"/>
      <c r="AK40" s="27" t="s">
        <v>33</v>
      </c>
      <c r="AL40" s="31">
        <v>449</v>
      </c>
      <c r="AM40" s="31">
        <v>375</v>
      </c>
      <c r="AN40" s="31">
        <v>298</v>
      </c>
      <c r="AO40" s="31">
        <v>165</v>
      </c>
      <c r="AP40" s="31">
        <v>270</v>
      </c>
      <c r="AQ40" s="31">
        <v>150</v>
      </c>
    </row>
    <row r="41" spans="19:43" ht="16.5">
      <c r="S41" s="24"/>
      <c r="T41" s="25">
        <v>0.7</v>
      </c>
      <c r="V41" s="25"/>
      <c r="W41" s="298">
        <v>1318</v>
      </c>
      <c r="X41" s="298">
        <v>1678</v>
      </c>
      <c r="Y41" s="298">
        <v>1798</v>
      </c>
      <c r="Z41" s="298">
        <v>2157</v>
      </c>
      <c r="AA41" s="299">
        <v>2493</v>
      </c>
      <c r="AB41" s="26"/>
      <c r="AK41" s="30" t="s">
        <v>35</v>
      </c>
      <c r="AL41" s="27"/>
      <c r="AM41" s="27"/>
      <c r="AN41" s="27"/>
      <c r="AO41" s="27"/>
      <c r="AP41" s="27"/>
      <c r="AQ41" s="27"/>
    </row>
    <row r="42" spans="19:43" ht="16.5">
      <c r="S42" s="24"/>
      <c r="T42" s="25">
        <v>0.75</v>
      </c>
      <c r="V42" s="25"/>
      <c r="W42" s="298">
        <v>1318</v>
      </c>
      <c r="X42" s="298">
        <v>1798</v>
      </c>
      <c r="Y42" s="298">
        <v>1926</v>
      </c>
      <c r="Z42" s="298">
        <v>2311</v>
      </c>
      <c r="AA42" s="299">
        <v>2671</v>
      </c>
      <c r="AB42" s="26"/>
      <c r="AK42" s="27" t="s">
        <v>37</v>
      </c>
      <c r="AL42" s="31">
        <v>844</v>
      </c>
      <c r="AM42" s="31">
        <v>521</v>
      </c>
      <c r="AN42" s="31">
        <v>759</v>
      </c>
      <c r="AO42" s="31">
        <v>627</v>
      </c>
      <c r="AP42" s="31">
        <v>551</v>
      </c>
      <c r="AQ42" s="31">
        <v>426</v>
      </c>
    </row>
    <row r="43" spans="19:43" ht="16.5">
      <c r="S43" s="24"/>
      <c r="T43" s="25">
        <v>0.8</v>
      </c>
      <c r="V43" s="25" t="s">
        <v>12</v>
      </c>
      <c r="W43" s="298">
        <v>1318</v>
      </c>
      <c r="X43" s="298">
        <v>1918</v>
      </c>
      <c r="Y43" s="298">
        <v>2055</v>
      </c>
      <c r="Z43" s="298">
        <v>2466</v>
      </c>
      <c r="AA43" s="299">
        <v>2850</v>
      </c>
      <c r="AB43" s="26"/>
      <c r="AK43" s="27" t="s">
        <v>39</v>
      </c>
      <c r="AL43" s="31">
        <v>1272</v>
      </c>
      <c r="AM43" s="31">
        <v>727</v>
      </c>
      <c r="AN43" s="31">
        <v>1151</v>
      </c>
      <c r="AO43" s="31">
        <v>921</v>
      </c>
      <c r="AP43" s="31">
        <v>1011</v>
      </c>
      <c r="AQ43" s="31">
        <v>650</v>
      </c>
    </row>
    <row r="44" spans="19:43" ht="16.5">
      <c r="AK44" s="30" t="s">
        <v>40</v>
      </c>
      <c r="AL44" s="27"/>
      <c r="AM44" s="27"/>
      <c r="AN44" s="27"/>
      <c r="AO44" s="27"/>
      <c r="AP44" s="27"/>
      <c r="AQ44" s="27"/>
    </row>
    <row r="45" spans="19:43" ht="16.5">
      <c r="AK45" s="27" t="s">
        <v>41</v>
      </c>
      <c r="AL45" s="31">
        <v>168</v>
      </c>
      <c r="AM45" s="31">
        <v>112</v>
      </c>
      <c r="AN45" s="31">
        <v>186</v>
      </c>
      <c r="AO45" s="31">
        <v>120</v>
      </c>
      <c r="AP45" s="31">
        <v>125</v>
      </c>
      <c r="AQ45" s="31">
        <v>86</v>
      </c>
    </row>
    <row r="46" spans="19:43" ht="16.5">
      <c r="AK46" s="27" t="s">
        <v>42</v>
      </c>
      <c r="AL46" s="31">
        <v>119</v>
      </c>
      <c r="AM46" s="31">
        <v>79</v>
      </c>
      <c r="AN46" s="31">
        <v>98</v>
      </c>
      <c r="AO46" s="31">
        <v>49</v>
      </c>
      <c r="AP46" s="31">
        <v>90</v>
      </c>
      <c r="AQ46" s="31">
        <v>61</v>
      </c>
    </row>
    <row r="71" spans="4:31">
      <c r="D71" s="2" t="s">
        <v>57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4:31">
      <c r="D72" s="2" t="s">
        <v>351</v>
      </c>
      <c r="E72" s="3"/>
      <c r="F72" s="3"/>
      <c r="G72" s="3"/>
      <c r="H72" s="3"/>
      <c r="I72" s="3"/>
      <c r="J72" s="3"/>
      <c r="K72" s="3"/>
      <c r="L72" s="23"/>
      <c r="M72" s="2"/>
      <c r="N72" s="3"/>
      <c r="O72" s="3"/>
      <c r="P72" s="3"/>
      <c r="Q72" s="3"/>
      <c r="R72" s="3"/>
      <c r="S72" s="32"/>
      <c r="T72" s="32"/>
      <c r="U72" s="2"/>
      <c r="V72" s="2" t="s">
        <v>44</v>
      </c>
      <c r="W72" s="32"/>
      <c r="X72" s="3"/>
      <c r="Y72" s="3"/>
      <c r="Z72" s="3"/>
      <c r="AA72" s="3"/>
      <c r="AB72" s="3"/>
      <c r="AC72" s="3"/>
      <c r="AD72" s="3"/>
      <c r="AE72" s="3"/>
    </row>
    <row r="118" spans="4:31">
      <c r="D118" s="2" t="s">
        <v>58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4:31">
      <c r="D119" s="2" t="s">
        <v>351</v>
      </c>
      <c r="E119" s="3"/>
      <c r="F119" s="3"/>
      <c r="G119" s="3"/>
      <c r="H119" s="3"/>
      <c r="I119" s="3"/>
      <c r="J119" s="3"/>
      <c r="K119" s="3"/>
      <c r="L119" s="2" t="s">
        <v>351</v>
      </c>
      <c r="M119" s="2"/>
      <c r="N119" s="3"/>
      <c r="O119" s="3"/>
      <c r="P119" s="3"/>
      <c r="Q119" s="3"/>
      <c r="R119" s="3"/>
      <c r="S119" s="32"/>
      <c r="T119" s="32"/>
      <c r="U119" s="2"/>
      <c r="V119" s="2" t="s">
        <v>351</v>
      </c>
      <c r="W119" s="3"/>
      <c r="X119" s="3"/>
      <c r="Y119" s="3"/>
      <c r="Z119" s="3"/>
      <c r="AA119" s="3"/>
      <c r="AB119" s="3"/>
      <c r="AC119" s="3"/>
      <c r="AD119" s="3"/>
      <c r="AE119" s="3"/>
    </row>
    <row r="170" spans="4:19">
      <c r="D170" s="2" t="s">
        <v>355</v>
      </c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4:19">
      <c r="D171" s="2" t="s">
        <v>351</v>
      </c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202" spans="10:10">
      <c r="J202"/>
    </row>
  </sheetData>
  <mergeCells count="6">
    <mergeCell ref="U6:V6"/>
    <mergeCell ref="X6:Y6"/>
    <mergeCell ref="AA6:AB6"/>
    <mergeCell ref="M8:N8"/>
    <mergeCell ref="O8:P8"/>
    <mergeCell ref="Q8:R8"/>
  </mergeCells>
  <hyperlinks>
    <hyperlink ref="L6" r:id="rId1" xr:uid="{9AED4374-0FBD-4A2F-A555-4FD4223589FF}"/>
    <hyperlink ref="V25" r:id="rId2" xr:uid="{1888474A-C0F3-43F9-8D11-20A3B7451596}"/>
  </hyperlinks>
  <pageMargins left="0.7" right="0.7" top="0.75" bottom="0.75" header="0.3" footer="0.3"/>
  <pageSetup paperSize="3" orientation="landscape" r:id="rId3"/>
  <drawing r:id="rId4"/>
  <legacy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02287-3E5C-4F33-AA71-912F767EADC7}">
  <sheetPr>
    <tabColor theme="6" tint="-0.249977111117893"/>
    <pageSetUpPr fitToPage="1"/>
  </sheetPr>
  <dimension ref="A1:M192"/>
  <sheetViews>
    <sheetView showGridLines="0" zoomScale="118" zoomScaleNormal="118" zoomScaleSheetLayoutView="90" workbookViewId="0"/>
  </sheetViews>
  <sheetFormatPr defaultColWidth="8.796875" defaultRowHeight="23.25" customHeight="1"/>
  <cols>
    <col min="1" max="1" width="46" style="37" bestFit="1" customWidth="1"/>
    <col min="2" max="2" width="62.19921875" style="37" bestFit="1" customWidth="1"/>
    <col min="3" max="3" width="22.46484375" style="37" bestFit="1" customWidth="1"/>
    <col min="4" max="4" width="33.53125" style="37" bestFit="1" customWidth="1"/>
    <col min="5" max="5" width="41.265625" style="37" bestFit="1" customWidth="1"/>
    <col min="6" max="6" width="13.19921875" style="37" bestFit="1" customWidth="1"/>
    <col min="7" max="7" width="24.53125" style="37" hidden="1" customWidth="1"/>
    <col min="8" max="8" width="32.46484375" style="37" hidden="1" customWidth="1"/>
    <col min="9" max="9" width="20.19921875" style="37" customWidth="1"/>
    <col min="10" max="10" width="8.796875" style="37"/>
    <col min="11" max="11" width="13.9296875" style="37" bestFit="1" customWidth="1"/>
    <col min="12" max="16384" width="8.796875" style="37"/>
  </cols>
  <sheetData>
    <row r="1" spans="1:13" ht="23.25" customHeight="1" thickBot="1">
      <c r="A1" s="636" t="s">
        <v>582</v>
      </c>
      <c r="B1" s="34"/>
      <c r="C1" s="35"/>
      <c r="D1" s="36"/>
    </row>
    <row r="2" spans="1:13" ht="23.25" customHeight="1" thickBot="1">
      <c r="A2" s="1402" t="s">
        <v>200</v>
      </c>
      <c r="B2" s="1403"/>
      <c r="C2" s="1403"/>
      <c r="D2" s="1401">
        <f>'Development Program'!A11</f>
        <v>0</v>
      </c>
      <c r="E2" s="1401"/>
    </row>
    <row r="3" spans="1:13" ht="23.25" customHeight="1">
      <c r="A3" s="38"/>
      <c r="B3" s="39"/>
      <c r="C3" s="39"/>
      <c r="D3" s="346">
        <v>0</v>
      </c>
      <c r="E3" s="347" t="s">
        <v>201</v>
      </c>
    </row>
    <row r="4" spans="1:13" ht="26.25">
      <c r="A4" s="40"/>
      <c r="B4" s="41" t="s">
        <v>203</v>
      </c>
      <c r="C4" s="78" t="s">
        <v>204</v>
      </c>
      <c r="D4" s="41" t="s">
        <v>205</v>
      </c>
      <c r="E4" s="42" t="s">
        <v>206</v>
      </c>
      <c r="G4" s="37" t="s">
        <v>356</v>
      </c>
      <c r="H4" s="37" t="s">
        <v>389</v>
      </c>
    </row>
    <row r="5" spans="1:13" ht="13.15">
      <c r="A5" s="714" t="s">
        <v>414</v>
      </c>
      <c r="B5" s="715"/>
      <c r="C5" s="716"/>
      <c r="D5" s="715"/>
      <c r="E5" s="715"/>
    </row>
    <row r="6" spans="1:13" ht="13.15">
      <c r="A6" s="691" t="s">
        <v>387</v>
      </c>
      <c r="B6" s="692"/>
      <c r="C6" s="693"/>
      <c r="D6" s="692"/>
      <c r="E6" s="692"/>
      <c r="G6" s="37">
        <v>1</v>
      </c>
      <c r="H6" s="700">
        <f>SUM(B20)</f>
        <v>106</v>
      </c>
    </row>
    <row r="7" spans="1:13" ht="13.15">
      <c r="A7" s="353">
        <v>0.3</v>
      </c>
      <c r="B7" s="349">
        <f>A7*$B$11</f>
        <v>96</v>
      </c>
      <c r="C7" s="350">
        <v>500</v>
      </c>
      <c r="D7" s="351">
        <v>3.2</v>
      </c>
      <c r="E7" s="352">
        <f t="shared" ref="E7:E10" si="0">12*B7*C7*D7</f>
        <v>1843200</v>
      </c>
      <c r="F7" s="1094"/>
    </row>
    <row r="8" spans="1:13" ht="13.15">
      <c r="A8" s="759">
        <v>0.4</v>
      </c>
      <c r="B8" s="349">
        <f t="shared" ref="B8:B10" si="1">A8*$B$11</f>
        <v>128</v>
      </c>
      <c r="C8" s="354">
        <v>700</v>
      </c>
      <c r="D8" s="351">
        <v>3.1428571428571428</v>
      </c>
      <c r="E8" s="352">
        <f t="shared" si="0"/>
        <v>3379200</v>
      </c>
      <c r="F8" s="1094"/>
    </row>
    <row r="9" spans="1:13" ht="13.15">
      <c r="A9" s="760">
        <v>0.24</v>
      </c>
      <c r="B9" s="349">
        <f t="shared" si="1"/>
        <v>76.8</v>
      </c>
      <c r="C9" s="764">
        <v>1000</v>
      </c>
      <c r="D9" s="351">
        <v>3.5</v>
      </c>
      <c r="E9" s="352">
        <f t="shared" si="0"/>
        <v>3225599.9999999995</v>
      </c>
      <c r="F9" s="1094"/>
      <c r="H9" s="246"/>
      <c r="I9" s="246"/>
      <c r="J9" s="246"/>
      <c r="K9" s="246"/>
    </row>
    <row r="10" spans="1:13" ht="13.15">
      <c r="A10" s="761">
        <v>0.06</v>
      </c>
      <c r="B10" s="349">
        <f t="shared" si="1"/>
        <v>19.2</v>
      </c>
      <c r="C10" s="350">
        <v>1600</v>
      </c>
      <c r="D10" s="351">
        <v>3.4444444444444446</v>
      </c>
      <c r="E10" s="352">
        <f t="shared" si="0"/>
        <v>1269759.9999999998</v>
      </c>
      <c r="F10" s="1094"/>
      <c r="H10" s="246"/>
      <c r="I10" s="1093"/>
      <c r="J10" s="246"/>
      <c r="K10" s="246"/>
    </row>
    <row r="11" spans="1:13" ht="13.15">
      <c r="A11" s="694" t="s">
        <v>386</v>
      </c>
      <c r="B11" s="697">
        <v>320</v>
      </c>
      <c r="C11" s="699">
        <f>SUMPRODUCT(B7:B10,C7:C10)</f>
        <v>245120</v>
      </c>
      <c r="D11" s="695"/>
      <c r="E11" s="696">
        <f>SUM(E7:E10)</f>
        <v>9717760</v>
      </c>
      <c r="F11" s="632"/>
      <c r="G11" s="913"/>
      <c r="H11" s="246"/>
      <c r="K11" s="633"/>
    </row>
    <row r="12" spans="1:13" ht="13.15">
      <c r="A12" s="691" t="s">
        <v>391</v>
      </c>
      <c r="B12" s="692"/>
      <c r="C12" s="693"/>
      <c r="D12" s="692"/>
      <c r="E12" s="692"/>
      <c r="H12" s="246"/>
      <c r="K12" s="632"/>
    </row>
    <row r="13" spans="1:13" ht="23.25" customHeight="1">
      <c r="A13" s="353">
        <v>0.36</v>
      </c>
      <c r="B13" s="349">
        <f>A13*$B$17</f>
        <v>68.399999999999991</v>
      </c>
      <c r="C13" s="350">
        <v>450</v>
      </c>
      <c r="D13" s="351">
        <v>2.873925925925926</v>
      </c>
      <c r="E13" s="352">
        <f>12*B13*C13*D13</f>
        <v>1061513.28</v>
      </c>
      <c r="H13" s="246"/>
      <c r="K13" s="632"/>
    </row>
    <row r="14" spans="1:13" ht="23.25" customHeight="1">
      <c r="A14" s="759">
        <v>0.4</v>
      </c>
      <c r="B14" s="349">
        <f t="shared" ref="B14:B16" si="2">A14*$B$17</f>
        <v>76</v>
      </c>
      <c r="C14" s="350">
        <v>600</v>
      </c>
      <c r="D14" s="351">
        <v>2.4714444444444443</v>
      </c>
      <c r="E14" s="352">
        <f>12*B14*C14*D14</f>
        <v>1352374.4</v>
      </c>
      <c r="H14" s="246"/>
      <c r="I14" s="972"/>
    </row>
    <row r="15" spans="1:13" ht="13.15">
      <c r="A15" s="760">
        <v>0.2</v>
      </c>
      <c r="B15" s="349">
        <f t="shared" si="2"/>
        <v>38</v>
      </c>
      <c r="C15" s="350">
        <v>900</v>
      </c>
      <c r="D15" s="351">
        <v>1.8582962962962961</v>
      </c>
      <c r="E15" s="352">
        <f>12*B15*C15*D15</f>
        <v>762644.79999999993</v>
      </c>
      <c r="G15" s="619"/>
      <c r="H15" s="246"/>
      <c r="K15" s="633"/>
      <c r="M15" s="965"/>
    </row>
    <row r="16" spans="1:13" ht="13.5" thickBot="1">
      <c r="A16" s="761">
        <v>0.04</v>
      </c>
      <c r="B16" s="349">
        <f t="shared" si="2"/>
        <v>7.6000000000000005</v>
      </c>
      <c r="C16" s="350">
        <v>1500</v>
      </c>
      <c r="D16" s="351">
        <v>1.1636041666666666</v>
      </c>
      <c r="E16" s="352">
        <f>12*B16*C16*D16</f>
        <v>159181.04999999999</v>
      </c>
      <c r="G16" s="619"/>
      <c r="H16" s="246"/>
    </row>
    <row r="17" spans="1:10" ht="13.15">
      <c r="A17" s="694" t="s">
        <v>388</v>
      </c>
      <c r="B17" s="697">
        <v>190</v>
      </c>
      <c r="C17" s="698">
        <f>SUMPRODUCT(B13:B16,C13:C16)</f>
        <v>121980</v>
      </c>
      <c r="D17" s="695"/>
      <c r="E17" s="696">
        <f>SUM(E13:E16)</f>
        <v>3335713.5299999993</v>
      </c>
      <c r="G17" s="938"/>
      <c r="H17" s="957"/>
    </row>
    <row r="18" spans="1:10" ht="13.15">
      <c r="A18" s="717" t="s">
        <v>415</v>
      </c>
      <c r="B18" s="718"/>
      <c r="C18" s="719"/>
      <c r="D18" s="720"/>
      <c r="E18" s="721"/>
      <c r="H18" s="958"/>
      <c r="I18" s="632"/>
    </row>
    <row r="19" spans="1:10" ht="13.15">
      <c r="A19" s="691" t="s">
        <v>387</v>
      </c>
      <c r="B19" s="692"/>
      <c r="C19" s="693"/>
      <c r="D19" s="692"/>
      <c r="E19" s="692"/>
      <c r="H19" s="958"/>
    </row>
    <row r="20" spans="1:10" ht="13.15">
      <c r="A20" s="353">
        <v>0.4</v>
      </c>
      <c r="B20" s="349">
        <f>A20*$B$23</f>
        <v>106</v>
      </c>
      <c r="C20" s="350">
        <v>500</v>
      </c>
      <c r="D20" s="351">
        <v>3.2</v>
      </c>
      <c r="E20" s="352">
        <f t="shared" ref="E20:E22" si="3">12*B20*C20*D20</f>
        <v>2035200</v>
      </c>
      <c r="H20" s="958"/>
    </row>
    <row r="21" spans="1:10" ht="13.15">
      <c r="A21" s="759">
        <v>0.2</v>
      </c>
      <c r="B21" s="349">
        <f t="shared" ref="B21:B22" si="4">A21*$B$23</f>
        <v>53</v>
      </c>
      <c r="C21" s="350">
        <v>700</v>
      </c>
      <c r="D21" s="351">
        <v>3.14</v>
      </c>
      <c r="E21" s="352">
        <f t="shared" si="3"/>
        <v>1397928</v>
      </c>
      <c r="H21" s="958"/>
    </row>
    <row r="22" spans="1:10" ht="13.5" thickBot="1">
      <c r="A22" s="760">
        <v>0.2</v>
      </c>
      <c r="B22" s="349">
        <f t="shared" si="4"/>
        <v>53</v>
      </c>
      <c r="C22" s="350">
        <v>1000</v>
      </c>
      <c r="D22" s="351">
        <v>3.45</v>
      </c>
      <c r="E22" s="352">
        <f t="shared" si="3"/>
        <v>2194200</v>
      </c>
      <c r="H22" s="959"/>
    </row>
    <row r="23" spans="1:10" ht="13.15">
      <c r="A23" s="694" t="s">
        <v>386</v>
      </c>
      <c r="B23" s="697">
        <v>265</v>
      </c>
      <c r="C23" s="699">
        <f>SUMPRODUCT(B20:B22,C20:C22)</f>
        <v>143100</v>
      </c>
      <c r="D23" s="695"/>
      <c r="E23" s="696">
        <f>SUM(E20:E22)</f>
        <v>5627328</v>
      </c>
      <c r="F23" s="632"/>
      <c r="H23" s="958"/>
    </row>
    <row r="24" spans="1:10" ht="13.15">
      <c r="A24" s="691" t="s">
        <v>391</v>
      </c>
      <c r="B24" s="692"/>
      <c r="C24" s="693"/>
      <c r="D24" s="692"/>
      <c r="E24" s="692"/>
      <c r="H24" s="958"/>
    </row>
    <row r="25" spans="1:10" ht="13.15">
      <c r="A25" s="353">
        <v>0.4</v>
      </c>
      <c r="B25" s="349">
        <f>A25*$B$28</f>
        <v>88</v>
      </c>
      <c r="C25" s="350">
        <v>450</v>
      </c>
      <c r="D25" s="351">
        <v>2.87</v>
      </c>
      <c r="E25" s="352">
        <f>12*B25*C25*D25</f>
        <v>1363824</v>
      </c>
      <c r="H25" s="958"/>
    </row>
    <row r="26" spans="1:10" ht="13.15">
      <c r="A26" s="759">
        <v>0.4</v>
      </c>
      <c r="B26" s="349">
        <f t="shared" ref="B26:B27" si="5">A26*$B$28</f>
        <v>88</v>
      </c>
      <c r="C26" s="350">
        <v>600</v>
      </c>
      <c r="D26" s="351">
        <v>2.4700000000000002</v>
      </c>
      <c r="E26" s="352">
        <f t="shared" ref="E26:E27" si="6">12*B26*C26*D26</f>
        <v>1564992.0000000002</v>
      </c>
      <c r="H26" s="958"/>
    </row>
    <row r="27" spans="1:10" ht="13.15">
      <c r="A27" s="760">
        <v>0.2</v>
      </c>
      <c r="B27" s="349">
        <f t="shared" si="5"/>
        <v>44</v>
      </c>
      <c r="C27" s="350">
        <v>900</v>
      </c>
      <c r="D27" s="351">
        <v>1.86</v>
      </c>
      <c r="E27" s="352">
        <f t="shared" si="6"/>
        <v>883872</v>
      </c>
      <c r="H27" s="958"/>
    </row>
    <row r="28" spans="1:10" ht="13.15">
      <c r="A28" s="694" t="s">
        <v>388</v>
      </c>
      <c r="B28" s="697">
        <v>220</v>
      </c>
      <c r="C28" s="698">
        <f>SUMPRODUCT(B25:B27,C25:C27)</f>
        <v>132000</v>
      </c>
      <c r="D28" s="695"/>
      <c r="E28" s="696">
        <f>SUM(E25:E27)</f>
        <v>3812688</v>
      </c>
      <c r="H28" s="958"/>
    </row>
    <row r="29" spans="1:10" ht="13.9">
      <c r="A29" s="691" t="s">
        <v>406</v>
      </c>
      <c r="B29" s="692"/>
      <c r="C29" s="693" t="s">
        <v>337</v>
      </c>
      <c r="D29" s="266">
        <v>0.79</v>
      </c>
      <c r="E29" s="692"/>
      <c r="H29" s="958"/>
      <c r="I29" s="773"/>
      <c r="J29" s="773"/>
    </row>
    <row r="30" spans="1:10" ht="13.9">
      <c r="A30" s="612">
        <v>300</v>
      </c>
      <c r="B30" s="349">
        <v>150</v>
      </c>
      <c r="C30" s="350">
        <v>220</v>
      </c>
      <c r="D30" s="613">
        <f>30*(B30*C30)*$D$29*(1+$D$3)</f>
        <v>782100</v>
      </c>
      <c r="E30" s="352">
        <f>12*D30</f>
        <v>9385200</v>
      </c>
      <c r="H30" s="163"/>
      <c r="I30" s="769"/>
      <c r="J30" s="770"/>
    </row>
    <row r="31" spans="1:10" ht="13.9">
      <c r="A31" s="614">
        <v>350</v>
      </c>
      <c r="B31" s="349">
        <v>150</v>
      </c>
      <c r="C31" s="350">
        <v>250</v>
      </c>
      <c r="D31" s="613">
        <f>30*(B31*C31)*$D$29*(1+$D$3)</f>
        <v>888750</v>
      </c>
      <c r="E31" s="352">
        <f>12*D31</f>
        <v>10665000</v>
      </c>
      <c r="H31" s="163"/>
      <c r="I31" s="769"/>
      <c r="J31" s="770"/>
    </row>
    <row r="32" spans="1:10" ht="13.9">
      <c r="A32" s="615">
        <v>400</v>
      </c>
      <c r="B32" s="349">
        <v>90</v>
      </c>
      <c r="C32" s="350">
        <v>300</v>
      </c>
      <c r="D32" s="613">
        <f>30*(B32*C32)*$D$29*(1+$D$3)</f>
        <v>639900</v>
      </c>
      <c r="E32" s="352">
        <f>12*D32</f>
        <v>7678800</v>
      </c>
      <c r="H32" s="163"/>
      <c r="I32" s="769"/>
      <c r="J32" s="770"/>
    </row>
    <row r="33" spans="1:10" ht="14.25" thickBot="1">
      <c r="A33" s="694" t="s">
        <v>405</v>
      </c>
      <c r="B33" s="697">
        <f>SUM(B30:B32)</f>
        <v>390</v>
      </c>
      <c r="C33" s="698">
        <f>(300*B30)+(350*B31)+(400*B32)</f>
        <v>133500</v>
      </c>
      <c r="D33" s="704"/>
      <c r="E33" s="696">
        <f>SUM(E30:E32)</f>
        <v>27729000</v>
      </c>
      <c r="H33" s="163"/>
      <c r="I33" s="769"/>
      <c r="J33" s="770"/>
    </row>
    <row r="34" spans="1:10" ht="14.65" thickTop="1" thickBot="1">
      <c r="A34" s="43" t="s">
        <v>207</v>
      </c>
      <c r="B34" s="44">
        <f>SUM(B11,B17,B23,B33,B28)</f>
        <v>1385</v>
      </c>
      <c r="C34" s="45">
        <f>SUM(C17,C23,C33,C11,C28)</f>
        <v>775700</v>
      </c>
      <c r="D34" s="46"/>
      <c r="E34" s="355">
        <f>SUM(E11,E17,E33,E23,E28)</f>
        <v>50222489.530000001</v>
      </c>
      <c r="H34" s="163"/>
      <c r="I34" s="769"/>
      <c r="J34" s="770"/>
    </row>
    <row r="35" spans="1:10" ht="14.65" thickTop="1" thickBot="1">
      <c r="A35" s="47" t="s">
        <v>208</v>
      </c>
      <c r="B35" s="48"/>
      <c r="C35" s="49">
        <f>C34/B34</f>
        <v>560.07220216606493</v>
      </c>
      <c r="D35" s="50">
        <f>(E34/12)/C34</f>
        <v>5.3953944319109626</v>
      </c>
      <c r="E35" s="51"/>
      <c r="H35" s="163"/>
      <c r="I35" s="769"/>
      <c r="J35" s="770"/>
    </row>
    <row r="36" spans="1:10" ht="14.25" thickBot="1">
      <c r="A36" s="1016"/>
      <c r="B36" s="1017"/>
      <c r="C36" s="1018"/>
      <c r="D36" s="1019"/>
      <c r="H36" s="161"/>
      <c r="I36" s="769"/>
      <c r="J36" s="770"/>
    </row>
    <row r="37" spans="1:10" ht="13.15">
      <c r="A37" s="360" t="s">
        <v>209</v>
      </c>
      <c r="B37" s="988" t="s">
        <v>210</v>
      </c>
      <c r="C37" s="988" t="s">
        <v>211</v>
      </c>
      <c r="D37" s="989" t="s">
        <v>206</v>
      </c>
      <c r="E37" s="998"/>
    </row>
    <row r="38" spans="1:10" ht="13.15">
      <c r="A38" s="714" t="s">
        <v>414</v>
      </c>
      <c r="B38" s="715"/>
      <c r="C38" s="716"/>
      <c r="D38" s="1020"/>
      <c r="E38" s="1012"/>
    </row>
    <row r="39" spans="1:10" ht="13.15">
      <c r="A39" s="691" t="s">
        <v>4</v>
      </c>
      <c r="B39" s="692"/>
      <c r="C39" s="693"/>
      <c r="D39" s="974"/>
      <c r="E39" s="823"/>
    </row>
    <row r="40" spans="1:10" ht="13.15">
      <c r="A40" s="621" t="s">
        <v>506</v>
      </c>
      <c r="B40" s="622">
        <v>80000</v>
      </c>
      <c r="C40" s="623">
        <f>Assumptions!F8</f>
        <v>20</v>
      </c>
      <c r="D40" s="990">
        <f>B40*C40</f>
        <v>1600000</v>
      </c>
      <c r="E40" s="1013"/>
    </row>
    <row r="41" spans="1:10" ht="13.15">
      <c r="A41" s="621" t="s">
        <v>494</v>
      </c>
      <c r="B41" s="622">
        <v>22600</v>
      </c>
      <c r="C41" s="623">
        <v>46</v>
      </c>
      <c r="D41" s="990">
        <f>B41*C41</f>
        <v>1039600</v>
      </c>
      <c r="E41" s="1013"/>
    </row>
    <row r="42" spans="1:10" ht="13.15">
      <c r="A42" s="621" t="s">
        <v>495</v>
      </c>
      <c r="B42" s="622">
        <v>25000</v>
      </c>
      <c r="C42" s="623">
        <v>46</v>
      </c>
      <c r="D42" s="990">
        <f>B42*C42</f>
        <v>1150000</v>
      </c>
      <c r="E42" s="1013"/>
    </row>
    <row r="43" spans="1:10" ht="13.15">
      <c r="A43" s="621" t="s">
        <v>493</v>
      </c>
      <c r="B43" s="622">
        <v>60000</v>
      </c>
      <c r="C43" s="623">
        <v>46</v>
      </c>
      <c r="D43" s="990">
        <f>B43*C43</f>
        <v>2760000</v>
      </c>
      <c r="E43" s="1014"/>
    </row>
    <row r="44" spans="1:10" ht="13.15">
      <c r="A44" s="979" t="s">
        <v>404</v>
      </c>
      <c r="B44" s="703">
        <f>SUM(B40:B43)</f>
        <v>187600</v>
      </c>
      <c r="C44" s="699"/>
      <c r="D44" s="991">
        <f>SUM(D40:D43)</f>
        <v>6549600</v>
      </c>
      <c r="E44" s="999"/>
    </row>
    <row r="45" spans="1:10" ht="13.15">
      <c r="A45" s="691" t="s">
        <v>5</v>
      </c>
      <c r="B45" s="692"/>
      <c r="C45" s="693"/>
      <c r="D45" s="974"/>
      <c r="E45" s="823"/>
    </row>
    <row r="46" spans="1:10" ht="13.15">
      <c r="A46" s="356" t="s">
        <v>507</v>
      </c>
      <c r="B46" s="357">
        <v>40000</v>
      </c>
      <c r="C46" s="358">
        <v>30</v>
      </c>
      <c r="D46" s="990">
        <f>B46*C46</f>
        <v>1200000</v>
      </c>
      <c r="E46" s="999"/>
    </row>
    <row r="47" spans="1:10" ht="13.15">
      <c r="A47" s="621" t="s">
        <v>508</v>
      </c>
      <c r="B47" s="622">
        <v>40000</v>
      </c>
      <c r="C47" s="623">
        <v>30</v>
      </c>
      <c r="D47" s="990">
        <f>B47*C47</f>
        <v>1200000</v>
      </c>
      <c r="E47" s="999"/>
    </row>
    <row r="48" spans="1:10" ht="13.15">
      <c r="A48" s="621" t="s">
        <v>503</v>
      </c>
      <c r="B48" s="622">
        <v>46960</v>
      </c>
      <c r="C48" s="623">
        <v>46</v>
      </c>
      <c r="D48" s="990">
        <f>B48*C48</f>
        <v>2160160</v>
      </c>
      <c r="E48" s="1014"/>
    </row>
    <row r="49" spans="1:10" ht="13.15">
      <c r="A49" s="979" t="s">
        <v>396</v>
      </c>
      <c r="B49" s="703">
        <f>SUM(B46:B48)</f>
        <v>126960</v>
      </c>
      <c r="C49" s="699"/>
      <c r="D49" s="991">
        <f>SUM(D46:D48)</f>
        <v>4560160</v>
      </c>
      <c r="E49" s="999"/>
    </row>
    <row r="50" spans="1:10" ht="13.15">
      <c r="A50" s="1021" t="s">
        <v>415</v>
      </c>
      <c r="B50" s="718"/>
      <c r="C50" s="719"/>
      <c r="D50" s="1022"/>
      <c r="E50" s="999"/>
    </row>
    <row r="51" spans="1:10" ht="13.15">
      <c r="A51" s="691" t="s">
        <v>4</v>
      </c>
      <c r="B51" s="692"/>
      <c r="C51" s="693"/>
      <c r="D51" s="974"/>
      <c r="E51" s="823"/>
    </row>
    <row r="52" spans="1:10" ht="13.15">
      <c r="A52" s="621" t="s">
        <v>509</v>
      </c>
      <c r="B52" s="622">
        <v>68965.71428571429</v>
      </c>
      <c r="C52" s="623">
        <v>46</v>
      </c>
      <c r="D52" s="990">
        <f>B52*C52</f>
        <v>3172422.8571428573</v>
      </c>
      <c r="E52" s="1015"/>
    </row>
    <row r="53" spans="1:10" ht="13.15">
      <c r="A53" s="621" t="s">
        <v>510</v>
      </c>
      <c r="B53" s="622">
        <v>7000</v>
      </c>
      <c r="C53" s="623">
        <v>46</v>
      </c>
      <c r="D53" s="990">
        <f t="shared" ref="D53:D54" si="7">B53*C53</f>
        <v>322000</v>
      </c>
      <c r="E53" s="1015"/>
    </row>
    <row r="54" spans="1:10" ht="13.15">
      <c r="A54" s="621" t="s">
        <v>496</v>
      </c>
      <c r="B54" s="357">
        <v>60028</v>
      </c>
      <c r="C54" s="623">
        <v>39</v>
      </c>
      <c r="D54" s="990">
        <f t="shared" si="7"/>
        <v>2341092</v>
      </c>
      <c r="E54" s="1013"/>
    </row>
    <row r="55" spans="1:10" ht="13.9">
      <c r="A55" s="621" t="s">
        <v>498</v>
      </c>
      <c r="B55" s="622">
        <f>20009*0.8</f>
        <v>16007.2</v>
      </c>
      <c r="C55" s="623">
        <v>39</v>
      </c>
      <c r="D55" s="990">
        <f>B55*C55</f>
        <v>624280.80000000005</v>
      </c>
      <c r="E55" s="1013"/>
      <c r="H55" s="771"/>
      <c r="I55" s="769"/>
      <c r="J55" s="770"/>
    </row>
    <row r="56" spans="1:10" ht="13.15">
      <c r="A56" s="621" t="s">
        <v>497</v>
      </c>
      <c r="B56" s="622">
        <f>20009*0.2</f>
        <v>4001.8</v>
      </c>
      <c r="C56" s="623">
        <v>20</v>
      </c>
      <c r="D56" s="990">
        <f>B56*C56</f>
        <v>80036</v>
      </c>
      <c r="E56" s="1013"/>
    </row>
    <row r="57" spans="1:10" ht="13.15">
      <c r="A57" s="979" t="s">
        <v>404</v>
      </c>
      <c r="B57" s="703">
        <f>SUM(B52:B56)</f>
        <v>156002.71428571429</v>
      </c>
      <c r="C57" s="699"/>
      <c r="D57" s="991">
        <f>SUM(D52:D56)</f>
        <v>6539831.6571428571</v>
      </c>
      <c r="E57" s="999"/>
    </row>
    <row r="58" spans="1:10" ht="13.15">
      <c r="A58" s="691" t="s">
        <v>5</v>
      </c>
      <c r="B58" s="692"/>
      <c r="C58" s="693"/>
      <c r="D58" s="974"/>
      <c r="E58" s="823"/>
    </row>
    <row r="59" spans="1:10" ht="13.15">
      <c r="A59" s="621" t="s">
        <v>503</v>
      </c>
      <c r="B59" s="357">
        <v>10005</v>
      </c>
      <c r="C59" s="623">
        <f>Assumptions!F11</f>
        <v>46</v>
      </c>
      <c r="D59" s="990">
        <f>B59*C59</f>
        <v>460230</v>
      </c>
      <c r="E59" s="1014"/>
    </row>
    <row r="60" spans="1:10" ht="13.15">
      <c r="A60" s="979" t="s">
        <v>396</v>
      </c>
      <c r="B60" s="703">
        <f>SUM(B59)</f>
        <v>10005</v>
      </c>
      <c r="C60" s="699"/>
      <c r="D60" s="991">
        <f>SUM(D59)</f>
        <v>460230</v>
      </c>
      <c r="E60" s="999"/>
    </row>
    <row r="61" spans="1:10" ht="13.5" thickBot="1">
      <c r="A61" s="60" t="s">
        <v>212</v>
      </c>
      <c r="B61" s="1023">
        <f>SUM(B44,B49,B57,B60)</f>
        <v>480567.71428571432</v>
      </c>
      <c r="C61" s="996">
        <f>IF(B61=0,0,D61/B61)</f>
        <v>37.684224551081542</v>
      </c>
      <c r="D61" s="997">
        <f>SUM(D44,D49,D57,D60)</f>
        <v>18109821.657142855</v>
      </c>
      <c r="E61" s="59"/>
    </row>
    <row r="62" spans="1:10" ht="13.15">
      <c r="A62" s="40" t="s">
        <v>213</v>
      </c>
      <c r="B62" s="987">
        <f>D2</f>
        <v>0</v>
      </c>
    </row>
    <row r="63" spans="1:10" ht="13.15">
      <c r="A63" s="313" t="s">
        <v>214</v>
      </c>
      <c r="B63" s="362">
        <v>0</v>
      </c>
      <c r="C63" s="1024">
        <v>25</v>
      </c>
      <c r="D63" s="59" t="s">
        <v>511</v>
      </c>
    </row>
    <row r="64" spans="1:10" ht="13.5" thickBot="1">
      <c r="A64" s="326" t="s">
        <v>215</v>
      </c>
      <c r="B64" s="362">
        <v>0</v>
      </c>
      <c r="C64" s="58"/>
      <c r="D64" s="246"/>
      <c r="E64" s="246"/>
    </row>
    <row r="65" spans="1:5" ht="13.9" thickTop="1" thickBot="1">
      <c r="A65" s="60" t="s">
        <v>216</v>
      </c>
      <c r="B65" s="61">
        <f>SUM(B63:B64)</f>
        <v>0</v>
      </c>
      <c r="C65" s="58"/>
      <c r="D65" s="246"/>
      <c r="E65" s="246"/>
    </row>
    <row r="66" spans="1:5" ht="13.15">
      <c r="A66" s="363" t="s">
        <v>217</v>
      </c>
      <c r="B66" s="364">
        <f>D2</f>
        <v>0</v>
      </c>
      <c r="C66" s="62"/>
      <c r="E66" s="246"/>
    </row>
    <row r="67" spans="1:5" ht="13.15">
      <c r="A67" s="365" t="s">
        <v>218</v>
      </c>
      <c r="B67" s="366">
        <f>SUM('Development Program'!D6:D13)</f>
        <v>132366</v>
      </c>
      <c r="C67" s="63"/>
      <c r="D67" s="64"/>
      <c r="E67" s="62"/>
    </row>
    <row r="68" spans="1:5" ht="13.15">
      <c r="A68" s="365" t="s">
        <v>219</v>
      </c>
      <c r="B68" s="366">
        <f>C34+B61</f>
        <v>1256267.7142857143</v>
      </c>
      <c r="C68" s="63"/>
      <c r="D68" s="64"/>
      <c r="E68" s="62"/>
    </row>
    <row r="69" spans="1:5" ht="13.15">
      <c r="A69" s="367">
        <v>350</v>
      </c>
      <c r="B69" s="366">
        <f>B65*A69</f>
        <v>0</v>
      </c>
      <c r="C69" s="63"/>
      <c r="D69" s="64"/>
      <c r="E69" s="62"/>
    </row>
    <row r="70" spans="1:5" ht="13.15">
      <c r="A70" s="368">
        <v>0.2</v>
      </c>
      <c r="B70" s="366">
        <f>(1+A70)*(B68+B69)</f>
        <v>1507521.2571428572</v>
      </c>
      <c r="C70" s="63"/>
      <c r="D70" s="64"/>
      <c r="E70" s="62"/>
    </row>
    <row r="71" spans="1:5" ht="13.5" thickBot="1">
      <c r="A71" s="369">
        <v>30</v>
      </c>
      <c r="B71" s="370">
        <f>B70/A71</f>
        <v>50250.708571428571</v>
      </c>
      <c r="C71" s="63"/>
      <c r="D71" s="64"/>
      <c r="E71" s="62"/>
    </row>
    <row r="72" spans="1:5" ht="15" customHeight="1" thickBot="1">
      <c r="A72" s="1421" t="s">
        <v>220</v>
      </c>
      <c r="B72" s="1422"/>
      <c r="C72" s="371">
        <f>D2</f>
        <v>0</v>
      </c>
      <c r="D72" s="372"/>
      <c r="E72" s="62"/>
    </row>
    <row r="73" spans="1:5" ht="13.5" thickBot="1">
      <c r="A73" s="373" t="s">
        <v>221</v>
      </c>
      <c r="B73" s="374" t="s">
        <v>222</v>
      </c>
      <c r="C73" s="374" t="s">
        <v>223</v>
      </c>
      <c r="D73" s="375" t="s">
        <v>224</v>
      </c>
      <c r="E73" s="62"/>
    </row>
    <row r="74" spans="1:5" ht="12.75">
      <c r="A74" s="376" t="s">
        <v>338</v>
      </c>
      <c r="B74" s="377"/>
      <c r="C74" s="378"/>
      <c r="D74" s="65">
        <f>E33</f>
        <v>27729000</v>
      </c>
      <c r="E74" s="62"/>
    </row>
    <row r="75" spans="1:5" ht="12.75">
      <c r="A75" s="616"/>
      <c r="B75" s="377"/>
      <c r="C75" s="378"/>
      <c r="D75" s="65"/>
      <c r="E75" s="62"/>
    </row>
    <row r="76" spans="1:5" ht="12.75">
      <c r="A76" s="376" t="s">
        <v>225</v>
      </c>
      <c r="B76" s="377">
        <f>D76/B34</f>
        <v>16240.786664259929</v>
      </c>
      <c r="C76" s="378">
        <f>D76/C34</f>
        <v>28.997666017790383</v>
      </c>
      <c r="D76" s="65">
        <f>E34-E33</f>
        <v>22493489.530000001</v>
      </c>
      <c r="E76" s="62"/>
    </row>
    <row r="77" spans="1:5" ht="12.75">
      <c r="A77" s="707">
        <f>B61</f>
        <v>480567.71428571432</v>
      </c>
      <c r="B77" s="1419" t="s">
        <v>226</v>
      </c>
      <c r="C77" s="1420"/>
      <c r="D77" s="66">
        <f>D61</f>
        <v>18109821.657142855</v>
      </c>
      <c r="E77" s="62"/>
    </row>
    <row r="78" spans="1:5" ht="13.15">
      <c r="A78" s="380"/>
      <c r="B78" s="1412" t="s">
        <v>227</v>
      </c>
      <c r="C78" s="1412"/>
      <c r="D78" s="381">
        <f>SUM(D76:D77)</f>
        <v>40603311.187142856</v>
      </c>
      <c r="E78" s="62"/>
    </row>
    <row r="79" spans="1:5" ht="13.15">
      <c r="A79" s="382" t="s">
        <v>228</v>
      </c>
      <c r="B79" s="1025" t="s">
        <v>229</v>
      </c>
      <c r="C79" s="1025" t="s">
        <v>230</v>
      </c>
      <c r="D79" s="381"/>
      <c r="E79" s="62"/>
    </row>
    <row r="80" spans="1:5" ht="12.75">
      <c r="A80" s="380" t="s">
        <v>407</v>
      </c>
      <c r="B80" s="1026">
        <v>50</v>
      </c>
      <c r="C80" s="1027">
        <v>0.6</v>
      </c>
      <c r="D80" s="383"/>
      <c r="E80" s="62"/>
    </row>
    <row r="81" spans="1:5" ht="12.75">
      <c r="A81" s="380" t="s">
        <v>231</v>
      </c>
      <c r="B81" s="404">
        <v>250</v>
      </c>
      <c r="C81" s="1028">
        <f>D81/C34</f>
        <v>9.6686863478148768E-2</v>
      </c>
      <c r="D81" s="383">
        <f>C63*B81*12</f>
        <v>75000</v>
      </c>
      <c r="E81" s="62"/>
    </row>
    <row r="82" spans="1:5" ht="12.75">
      <c r="A82" s="380" t="s">
        <v>232</v>
      </c>
      <c r="B82" s="404">
        <f>D82/B34</f>
        <v>2052.1529119855595</v>
      </c>
      <c r="C82" s="1028">
        <f>D82/C34</f>
        <v>3.6640863518112674</v>
      </c>
      <c r="D82" s="383">
        <f>Assumptions!F15*D78</f>
        <v>2842231.7831000001</v>
      </c>
      <c r="E82" s="62"/>
    </row>
    <row r="83" spans="1:5" ht="13.5" thickBot="1">
      <c r="A83" s="67" t="s">
        <v>233</v>
      </c>
      <c r="B83" s="1413"/>
      <c r="C83" s="1414"/>
      <c r="D83" s="68">
        <f>SUM(D81:D82)</f>
        <v>2917231.7831000001</v>
      </c>
      <c r="E83" s="62"/>
    </row>
    <row r="84" spans="1:5" ht="13.9" thickTop="1" thickBot="1">
      <c r="A84" s="240">
        <v>7.0000000000000007E-2</v>
      </c>
      <c r="B84" s="1415"/>
      <c r="C84" s="1416"/>
      <c r="D84" s="70">
        <f>-A84*D78</f>
        <v>-2842231.7831000001</v>
      </c>
      <c r="E84" s="62"/>
    </row>
    <row r="85" spans="1:5" ht="13.9" thickTop="1" thickBot="1">
      <c r="A85" s="385" t="s">
        <v>234</v>
      </c>
      <c r="B85" s="71">
        <f>D85/B34</f>
        <v>29370.621795771014</v>
      </c>
      <c r="C85" s="386">
        <f>D85/C34</f>
        <v>52.440777603639106</v>
      </c>
      <c r="D85" s="72">
        <f>D78+D83+D84</f>
        <v>40678311.187142856</v>
      </c>
      <c r="E85" s="62"/>
    </row>
    <row r="86" spans="1:5" ht="13.15">
      <c r="A86" s="40" t="s">
        <v>235</v>
      </c>
      <c r="B86" s="41" t="s">
        <v>222</v>
      </c>
      <c r="C86" s="41" t="s">
        <v>236</v>
      </c>
      <c r="D86" s="73" t="s">
        <v>224</v>
      </c>
      <c r="E86" s="62"/>
    </row>
    <row r="87" spans="1:5" ht="13.5" thickBot="1">
      <c r="A87" s="74" t="s">
        <v>237</v>
      </c>
      <c r="B87" s="75">
        <f>D87/B34</f>
        <v>-8794.9410513666826</v>
      </c>
      <c r="C87" s="75">
        <f>D87/C34</f>
        <v>-15.703227222048287</v>
      </c>
      <c r="D87" s="75">
        <f>-0.3*D78</f>
        <v>-12180993.356142856</v>
      </c>
      <c r="E87" s="62"/>
    </row>
    <row r="88" spans="1:5" ht="13.5" thickBot="1">
      <c r="A88" s="387" t="s">
        <v>238</v>
      </c>
      <c r="B88" s="388">
        <f>D88/B34</f>
        <v>20409.615762454872</v>
      </c>
      <c r="C88" s="389"/>
      <c r="D88" s="388">
        <f>(D85+D87)-230000</f>
        <v>28267317.831</v>
      </c>
      <c r="E88" s="62"/>
    </row>
    <row r="89" spans="1:5" ht="13.5" thickBot="1">
      <c r="A89" s="390" t="s">
        <v>239</v>
      </c>
      <c r="B89" s="76" t="s">
        <v>240</v>
      </c>
      <c r="C89" s="77">
        <v>0.05</v>
      </c>
      <c r="D89" s="391">
        <f>(D88/C89)</f>
        <v>565346356.62</v>
      </c>
      <c r="E89" s="62"/>
    </row>
    <row r="90" spans="1:5" ht="13.5" thickBot="1">
      <c r="A90" s="1423" t="s">
        <v>241</v>
      </c>
      <c r="B90" s="1424"/>
      <c r="C90" s="1404">
        <f>D2</f>
        <v>0</v>
      </c>
      <c r="D90" s="1405"/>
    </row>
    <row r="91" spans="1:5" ht="13.5" thickBot="1">
      <c r="A91" s="363"/>
      <c r="B91" s="78" t="s">
        <v>242</v>
      </c>
      <c r="C91" s="78" t="s">
        <v>243</v>
      </c>
      <c r="D91" s="78" t="s">
        <v>222</v>
      </c>
    </row>
    <row r="92" spans="1:5" ht="12.75">
      <c r="A92" s="267" t="s">
        <v>244</v>
      </c>
      <c r="B92" s="392" t="s">
        <v>555</v>
      </c>
      <c r="C92" s="393">
        <f>(450*(SUM(C11,C17,B44,B49)))+(300*SUM(C23,C33,C28,B52:B54))</f>
        <v>470125114.28571427</v>
      </c>
      <c r="D92" s="383">
        <f>C92/(B11+B17)</f>
        <v>921813.94957983191</v>
      </c>
      <c r="E92" s="1223"/>
    </row>
    <row r="93" spans="1:5" ht="12.75">
      <c r="A93" s="79" t="s">
        <v>245</v>
      </c>
      <c r="B93" s="394">
        <f>Assumptions!C26</f>
        <v>45000</v>
      </c>
      <c r="C93" s="80">
        <f>B65*B93</f>
        <v>0</v>
      </c>
      <c r="D93" s="383">
        <f>C93/$B$34</f>
        <v>0</v>
      </c>
    </row>
    <row r="94" spans="1:5" ht="13.15">
      <c r="A94" s="79" t="s">
        <v>101</v>
      </c>
      <c r="B94" s="395">
        <v>0.05</v>
      </c>
      <c r="C94" s="80">
        <f>B94*(C92)</f>
        <v>23506255.714285716</v>
      </c>
      <c r="D94" s="404">
        <f>C94/$B$34</f>
        <v>16972.02578648788</v>
      </c>
    </row>
    <row r="95" spans="1:5" ht="13.15">
      <c r="A95" s="79" t="s">
        <v>20</v>
      </c>
      <c r="B95" s="395" t="s">
        <v>110</v>
      </c>
      <c r="C95" s="397">
        <f>(3*Assumptions!F42)+(1*Assumptions!F43)+(1*Assumptions!F44)</f>
        <v>2250000</v>
      </c>
      <c r="D95" s="383">
        <f>C95/$B$34</f>
        <v>1624.5487364620938</v>
      </c>
    </row>
    <row r="96" spans="1:5" ht="13.15">
      <c r="A96" s="79" t="s">
        <v>246</v>
      </c>
      <c r="B96" s="396" t="s">
        <v>247</v>
      </c>
      <c r="C96" s="397">
        <f>SUM('Development Program'!E11:E13)</f>
        <v>17000000</v>
      </c>
      <c r="D96" s="383">
        <f>C96/$B$34</f>
        <v>12274.368231046932</v>
      </c>
    </row>
    <row r="97" spans="1:11" ht="13.15">
      <c r="A97" s="79" t="s">
        <v>103</v>
      </c>
      <c r="B97" s="398">
        <v>1400</v>
      </c>
      <c r="C97" s="80">
        <f>B34*B97</f>
        <v>1939000</v>
      </c>
      <c r="D97" s="399">
        <f>C97/B34</f>
        <v>1400</v>
      </c>
    </row>
    <row r="98" spans="1:11" ht="13.5">
      <c r="A98" s="79" t="s">
        <v>248</v>
      </c>
      <c r="B98" s="400" t="s">
        <v>249</v>
      </c>
      <c r="C98" s="80">
        <f>'Development Program'!D45</f>
        <v>4952298.333333333</v>
      </c>
      <c r="D98" s="383">
        <f>C98/$B$34</f>
        <v>3575.6666666666665</v>
      </c>
      <c r="F98" s="741"/>
      <c r="G98" s="33"/>
      <c r="H98" s="769"/>
      <c r="I98" s="770"/>
    </row>
    <row r="99" spans="1:11" ht="13.9">
      <c r="A99" s="313" t="s">
        <v>109</v>
      </c>
      <c r="B99" s="401" t="s">
        <v>110</v>
      </c>
      <c r="C99" s="402">
        <v>400000</v>
      </c>
      <c r="D99" s="383">
        <f t="shared" ref="D99:D100" si="8">C99/$B$34</f>
        <v>288.80866425992781</v>
      </c>
      <c r="F99" s="742"/>
      <c r="G99" s="33"/>
      <c r="H99" s="769"/>
      <c r="I99" s="770"/>
    </row>
    <row r="100" spans="1:11" ht="13.9">
      <c r="A100" s="313" t="s">
        <v>111</v>
      </c>
      <c r="B100" s="401" t="s">
        <v>110</v>
      </c>
      <c r="C100" s="402">
        <f>0.05%*(C96+C97)</f>
        <v>9469.5</v>
      </c>
      <c r="D100" s="383">
        <f t="shared" si="8"/>
        <v>6.8371841155234661</v>
      </c>
      <c r="E100" s="81"/>
      <c r="F100" s="742"/>
      <c r="G100" s="33"/>
      <c r="H100" s="769"/>
      <c r="I100" s="770"/>
    </row>
    <row r="101" spans="1:11" ht="13.9">
      <c r="A101" s="313" t="s">
        <v>113</v>
      </c>
      <c r="B101" s="403">
        <v>0.04</v>
      </c>
      <c r="C101" s="404">
        <f>B101*(C92+C94)</f>
        <v>19745254.800000001</v>
      </c>
      <c r="D101" s="383">
        <f>C101/$B$34</f>
        <v>14256.501660649819</v>
      </c>
      <c r="F101" s="743"/>
      <c r="G101" s="33"/>
      <c r="H101" s="772"/>
      <c r="I101" s="770"/>
      <c r="J101" s="87"/>
    </row>
    <row r="102" spans="1:11" ht="13.9">
      <c r="A102" s="313" t="s">
        <v>115</v>
      </c>
      <c r="B102" s="405">
        <v>0.03</v>
      </c>
      <c r="C102" s="406">
        <f>B102*SUM(C92:C101)</f>
        <v>16197821.778999999</v>
      </c>
      <c r="D102" s="383">
        <f>C102/$B$34</f>
        <v>11695.178179783394</v>
      </c>
      <c r="F102" s="744"/>
    </row>
    <row r="103" spans="1:11" ht="13.15">
      <c r="A103" s="313" t="s">
        <v>117</v>
      </c>
      <c r="B103" s="403">
        <v>0.02</v>
      </c>
      <c r="C103" s="404">
        <f>B103*(C92+C94)</f>
        <v>9872627.4000000004</v>
      </c>
      <c r="D103" s="383">
        <f>C103/$B$34</f>
        <v>7128.2508303249097</v>
      </c>
    </row>
    <row r="104" spans="1:11" ht="13.15">
      <c r="A104" s="313" t="s">
        <v>250</v>
      </c>
      <c r="B104" s="407" t="s">
        <v>110</v>
      </c>
      <c r="C104" s="402">
        <v>0</v>
      </c>
      <c r="D104" s="383">
        <f>C104/$B$34</f>
        <v>0</v>
      </c>
    </row>
    <row r="105" spans="1:11" ht="13.15">
      <c r="A105" s="313" t="s">
        <v>120</v>
      </c>
      <c r="B105" s="408">
        <v>5000</v>
      </c>
      <c r="C105" s="404">
        <f>B105*B34</f>
        <v>6925000</v>
      </c>
      <c r="D105" s="383">
        <f t="shared" ref="D105:D112" si="9">C105/$B$34</f>
        <v>5000</v>
      </c>
    </row>
    <row r="106" spans="1:11" ht="13.15">
      <c r="A106" s="313" t="s">
        <v>121</v>
      </c>
      <c r="B106" s="401" t="s">
        <v>110</v>
      </c>
      <c r="C106" s="402">
        <v>500000</v>
      </c>
      <c r="D106" s="383">
        <f t="shared" si="9"/>
        <v>361.01083032490976</v>
      </c>
    </row>
    <row r="107" spans="1:11" ht="13.9">
      <c r="A107" s="313" t="s">
        <v>122</v>
      </c>
      <c r="B107" s="409">
        <v>6</v>
      </c>
      <c r="C107" s="404">
        <f>-B107*(D87/12)</f>
        <v>6090496.6780714281</v>
      </c>
      <c r="D107" s="383">
        <f t="shared" si="9"/>
        <v>4397.4705256833413</v>
      </c>
      <c r="G107" s="773"/>
      <c r="H107" s="773"/>
      <c r="I107" s="33"/>
      <c r="K107" s="732"/>
    </row>
    <row r="108" spans="1:11" ht="13.9">
      <c r="A108" s="313" t="s">
        <v>251</v>
      </c>
      <c r="B108" s="235">
        <v>40</v>
      </c>
      <c r="C108" s="404">
        <f>B61*B108</f>
        <v>19222708.571428575</v>
      </c>
      <c r="D108" s="383">
        <f t="shared" si="9"/>
        <v>13879.211964930379</v>
      </c>
      <c r="G108" s="33"/>
      <c r="H108" s="810"/>
      <c r="I108" s="33"/>
      <c r="K108" s="101"/>
    </row>
    <row r="109" spans="1:11" ht="13.9">
      <c r="A109" s="313" t="s">
        <v>252</v>
      </c>
      <c r="B109" s="410">
        <v>0.06</v>
      </c>
      <c r="C109" s="406">
        <f>B109*D61*5</f>
        <v>5432946.497142856</v>
      </c>
      <c r="D109" s="383">
        <f t="shared" si="9"/>
        <v>3922.7050520887046</v>
      </c>
      <c r="G109" s="33"/>
      <c r="H109" s="811"/>
      <c r="I109" s="33"/>
      <c r="K109" s="733"/>
    </row>
    <row r="110" spans="1:11" ht="25.9">
      <c r="A110" s="313" t="s">
        <v>125</v>
      </c>
      <c r="B110" s="411">
        <v>1.4999999999999999E-2</v>
      </c>
      <c r="C110" s="406">
        <v>5464520.9420307856</v>
      </c>
      <c r="D110" s="383">
        <f t="shared" si="9"/>
        <v>3945.5024852207839</v>
      </c>
      <c r="E110" s="747" t="s">
        <v>253</v>
      </c>
      <c r="F110" s="1050">
        <f>B110*B123</f>
        <v>5743211.5100743556</v>
      </c>
      <c r="H110" s="811"/>
      <c r="I110" s="33"/>
      <c r="K110" s="734"/>
    </row>
    <row r="111" spans="1:11" ht="13.05" customHeight="1">
      <c r="A111" s="412" t="s">
        <v>126</v>
      </c>
      <c r="B111" s="413">
        <v>7.0000000000000007E-2</v>
      </c>
      <c r="C111" s="406">
        <v>25501097.729476999</v>
      </c>
      <c r="D111" s="383">
        <f t="shared" si="9"/>
        <v>18412.344931030326</v>
      </c>
      <c r="E111" s="747" t="s">
        <v>253</v>
      </c>
      <c r="F111" s="1050">
        <f>B111*B123</f>
        <v>26801653.713680331</v>
      </c>
      <c r="G111" s="33"/>
      <c r="H111" s="811"/>
      <c r="I111" s="33"/>
    </row>
    <row r="112" spans="1:11" ht="14.25" thickBot="1">
      <c r="A112" s="326" t="s">
        <v>254</v>
      </c>
      <c r="B112" s="414" t="s">
        <v>110</v>
      </c>
      <c r="C112" s="415">
        <v>3000000</v>
      </c>
      <c r="D112" s="416">
        <f t="shared" si="9"/>
        <v>2166.0649819494583</v>
      </c>
      <c r="G112" s="33"/>
      <c r="H112" s="812"/>
      <c r="I112" s="33"/>
      <c r="K112" s="734"/>
    </row>
    <row r="113" spans="1:11" ht="14.65" thickTop="1" thickBot="1">
      <c r="A113" s="417" t="s">
        <v>255</v>
      </c>
      <c r="B113" s="418"/>
      <c r="C113" s="85">
        <f>SUM(C92:C112)</f>
        <v>638134612.23048401</v>
      </c>
      <c r="D113" s="85">
        <f>ROUND(C113/$B$34,-3)</f>
        <v>461000</v>
      </c>
      <c r="G113" s="33"/>
      <c r="H113" s="811"/>
      <c r="I113" s="33"/>
      <c r="K113" s="733"/>
    </row>
    <row r="114" spans="1:11" ht="13.9">
      <c r="A114" s="419" t="s">
        <v>256</v>
      </c>
      <c r="B114" s="420">
        <v>5.6000000000000001E-2</v>
      </c>
      <c r="G114" s="33"/>
      <c r="H114" s="813"/>
      <c r="I114" s="33"/>
      <c r="K114" s="734"/>
    </row>
    <row r="115" spans="1:11" ht="13.9">
      <c r="A115" s="421" t="s">
        <v>257</v>
      </c>
      <c r="B115" s="422">
        <f>(D89/C113)-1</f>
        <v>-0.11406410844267767</v>
      </c>
      <c r="C115" s="86"/>
      <c r="D115" s="87"/>
      <c r="G115" s="33"/>
      <c r="H115" s="811"/>
      <c r="I115" s="33"/>
    </row>
    <row r="116" spans="1:11" ht="13.5" thickBot="1">
      <c r="A116" s="423">
        <v>0.2</v>
      </c>
      <c r="B116" s="424">
        <f>(D89/(1+A116))</f>
        <v>471121963.85000002</v>
      </c>
      <c r="K116" s="734"/>
    </row>
    <row r="117" spans="1:11" ht="14.25" thickBot="1">
      <c r="A117" s="425">
        <v>0.3</v>
      </c>
      <c r="B117" s="424">
        <f>ROUND((D89/(1+A117))-C113,-3)</f>
        <v>-203253000</v>
      </c>
      <c r="C117" s="88" t="s">
        <v>258</v>
      </c>
      <c r="G117" s="773"/>
      <c r="H117" s="773"/>
    </row>
    <row r="118" spans="1:11" ht="14.25" thickBot="1">
      <c r="A118" s="89"/>
      <c r="B118" s="90"/>
      <c r="G118" s="33"/>
      <c r="H118" s="810"/>
    </row>
    <row r="119" spans="1:11" ht="15" customHeight="1" thickBot="1">
      <c r="A119" s="1417" t="s">
        <v>259</v>
      </c>
      <c r="B119" s="1418"/>
      <c r="C119" s="426">
        <f>D2</f>
        <v>0</v>
      </c>
      <c r="G119" s="33"/>
      <c r="H119" s="811"/>
    </row>
    <row r="120" spans="1:11" ht="14.25" thickBot="1">
      <c r="A120" s="427"/>
      <c r="B120" s="428" t="s">
        <v>260</v>
      </c>
      <c r="C120" s="429" t="s">
        <v>222</v>
      </c>
      <c r="G120" s="33"/>
      <c r="H120" s="811"/>
    </row>
    <row r="121" spans="1:11" ht="13.9">
      <c r="A121" s="91" t="s">
        <v>261</v>
      </c>
      <c r="B121" s="274">
        <f>IF(B117&lt;0,B117,0)</f>
        <v>-203253000</v>
      </c>
      <c r="C121" s="430">
        <f>B121/B34</f>
        <v>-146753.06859205777</v>
      </c>
      <c r="E121" s="87"/>
      <c r="G121" s="33"/>
      <c r="H121" s="814"/>
    </row>
    <row r="122" spans="1:11" ht="13.15">
      <c r="A122" s="93" t="s">
        <v>262</v>
      </c>
      <c r="B122" s="274">
        <f>C113+B121</f>
        <v>434881612.23048401</v>
      </c>
      <c r="C122" s="430">
        <f>B122/B34</f>
        <v>313993.94384872494</v>
      </c>
      <c r="H122" s="233"/>
    </row>
    <row r="123" spans="1:11" ht="13.9">
      <c r="A123" s="431">
        <v>0.6</v>
      </c>
      <c r="B123" s="275">
        <f>A123*C$113</f>
        <v>382880767.33829039</v>
      </c>
      <c r="C123" s="276">
        <f>B123/B34</f>
        <v>276448.2074644696</v>
      </c>
      <c r="G123" s="33"/>
      <c r="H123" s="233"/>
    </row>
    <row r="124" spans="1:11" ht="13.9">
      <c r="A124" s="1255" t="s">
        <v>423</v>
      </c>
      <c r="B124" s="937">
        <f>B160</f>
        <v>5689586.0022693248</v>
      </c>
      <c r="C124" s="276">
        <f>B124/SUM(B17,B28)</f>
        <v>13877.039029925183</v>
      </c>
      <c r="G124" s="33"/>
      <c r="H124" s="233"/>
    </row>
    <row r="125" spans="1:11" ht="13.9">
      <c r="A125" s="1256" t="s">
        <v>579</v>
      </c>
      <c r="B125" s="275">
        <f>B165</f>
        <v>3350000</v>
      </c>
      <c r="C125" s="276">
        <v>50000</v>
      </c>
      <c r="G125" s="33"/>
      <c r="H125" s="233"/>
    </row>
    <row r="126" spans="1:11" ht="13.9">
      <c r="A126" s="1256" t="s">
        <v>577</v>
      </c>
      <c r="B126" s="275">
        <f>B169</f>
        <v>500000</v>
      </c>
      <c r="C126" s="276">
        <v>0</v>
      </c>
      <c r="G126" s="33"/>
      <c r="H126" s="233"/>
    </row>
    <row r="127" spans="1:11" ht="13.9" thickBot="1">
      <c r="A127" s="432">
        <f>B127/B128</f>
        <v>0.38505082498357923</v>
      </c>
      <c r="B127" s="275">
        <f>(C$113)-SUM(B123:B126)</f>
        <v>245714258.88992429</v>
      </c>
      <c r="C127" s="433">
        <f>B127/B34</f>
        <v>177411.01724904281</v>
      </c>
      <c r="D127" s="87"/>
      <c r="G127" s="33"/>
      <c r="H127" s="812"/>
    </row>
    <row r="128" spans="1:11" ht="14.25" thickTop="1">
      <c r="A128" s="146" t="s">
        <v>263</v>
      </c>
      <c r="B128" s="434">
        <f>SUM(B123:B127)</f>
        <v>638134612.23048401</v>
      </c>
      <c r="C128" s="277">
        <f>ROUND((C127+C123),-3)</f>
        <v>454000</v>
      </c>
      <c r="G128" s="33"/>
      <c r="H128" s="811"/>
    </row>
    <row r="129" spans="1:8" ht="14.25" thickBot="1">
      <c r="A129" s="435"/>
      <c r="B129" s="252"/>
      <c r="C129" s="436"/>
      <c r="G129" s="33"/>
      <c r="H129" s="815"/>
    </row>
    <row r="130" spans="1:8" ht="15" customHeight="1" thickBot="1">
      <c r="A130" s="1417" t="s">
        <v>264</v>
      </c>
      <c r="B130" s="1418"/>
      <c r="C130" s="426">
        <f>D2</f>
        <v>0</v>
      </c>
      <c r="G130" s="33"/>
      <c r="H130" s="811"/>
    </row>
    <row r="131" spans="1:8" ht="14.25" thickBot="1">
      <c r="A131" s="97"/>
      <c r="B131" s="437" t="s">
        <v>265</v>
      </c>
      <c r="C131" s="437"/>
      <c r="G131" s="33"/>
      <c r="H131" s="811"/>
    </row>
    <row r="132" spans="1:8" ht="13.5">
      <c r="A132" s="438" t="s">
        <v>266</v>
      </c>
      <c r="B132" s="439">
        <f>D89</f>
        <v>565346356.62</v>
      </c>
      <c r="C132" s="440"/>
      <c r="G132" s="33"/>
      <c r="H132" s="813"/>
    </row>
    <row r="133" spans="1:8" ht="14.25" thickBot="1">
      <c r="A133" s="441">
        <v>0.02</v>
      </c>
      <c r="B133" s="442">
        <f>-A133*B132</f>
        <v>-11306927.1324</v>
      </c>
      <c r="C133" s="443"/>
      <c r="G133" s="636"/>
      <c r="H133" s="816"/>
    </row>
    <row r="134" spans="1:8" ht="13.5" thickTop="1" thickBot="1">
      <c r="A134" s="444" t="s">
        <v>267</v>
      </c>
      <c r="B134" s="278">
        <f>B132+B133</f>
        <v>554039429.48759997</v>
      </c>
      <c r="C134" s="98"/>
    </row>
    <row r="135" spans="1:8" ht="12.75">
      <c r="A135" s="438" t="s">
        <v>268</v>
      </c>
      <c r="B135" s="439">
        <f>-B123</f>
        <v>-382880767.33829039</v>
      </c>
      <c r="C135" s="440"/>
    </row>
    <row r="136" spans="1:8" ht="13.15" thickBot="1">
      <c r="A136" s="445" t="s">
        <v>269</v>
      </c>
      <c r="B136" s="446">
        <f>-B127</f>
        <v>-245714258.88992429</v>
      </c>
      <c r="C136" s="443"/>
    </row>
    <row r="137" spans="1:8" ht="13.9" thickTop="1" thickBot="1">
      <c r="A137" s="161" t="s">
        <v>270</v>
      </c>
      <c r="B137" s="279">
        <f>ROUND(B134+B135+B136,-2)</f>
        <v>-74555600</v>
      </c>
      <c r="C137" s="100"/>
      <c r="D137" s="101"/>
    </row>
    <row r="138" spans="1:8" ht="13.5" thickBot="1">
      <c r="A138" s="1406" t="s">
        <v>271</v>
      </c>
      <c r="B138" s="1407"/>
      <c r="C138" s="1408"/>
    </row>
    <row r="139" spans="1:8" ht="13.9">
      <c r="A139" s="447" t="s">
        <v>272</v>
      </c>
      <c r="B139" s="448">
        <f>ROUND((B132)/B$34,-2)</f>
        <v>408200</v>
      </c>
      <c r="C139" s="448"/>
      <c r="G139" s="722" t="s">
        <v>424</v>
      </c>
      <c r="H139" s="723"/>
    </row>
    <row r="140" spans="1:8" ht="13.15" thickBot="1">
      <c r="A140" s="449" t="s">
        <v>273</v>
      </c>
      <c r="B140" s="450">
        <f>ROUND((B134)/B$34,-2)</f>
        <v>400000</v>
      </c>
      <c r="C140" s="450"/>
      <c r="G140" s="724" t="s">
        <v>427</v>
      </c>
      <c r="H140" s="725"/>
    </row>
    <row r="141" spans="1:8" ht="13.9">
      <c r="A141" s="1409" t="s">
        <v>274</v>
      </c>
      <c r="B141" s="1410"/>
      <c r="C141" s="1411"/>
      <c r="G141" s="724" t="s">
        <v>426</v>
      </c>
      <c r="H141" s="726">
        <v>25000</v>
      </c>
    </row>
    <row r="142" spans="1:8" ht="14.25" thickBot="1">
      <c r="A142" s="435"/>
      <c r="B142" s="102"/>
      <c r="C142" s="102"/>
      <c r="G142" s="727" t="s">
        <v>425</v>
      </c>
      <c r="H142" s="726">
        <v>50000</v>
      </c>
    </row>
    <row r="143" spans="1:8" ht="14.25" thickBot="1">
      <c r="A143" s="103"/>
      <c r="B143" s="437" t="s">
        <v>265</v>
      </c>
      <c r="C143" s="437"/>
      <c r="G143" s="730" t="s">
        <v>420</v>
      </c>
      <c r="H143" s="731">
        <f>SUM(H141:H142)</f>
        <v>75000</v>
      </c>
    </row>
    <row r="144" spans="1:8" ht="12.75">
      <c r="A144" s="451" t="s">
        <v>275</v>
      </c>
      <c r="B144" s="452">
        <f>(B137+B127)/B127</f>
        <v>0.69657601338716113</v>
      </c>
      <c r="C144" s="452"/>
    </row>
    <row r="145" spans="1:4" ht="13.15">
      <c r="A145" s="453" t="s">
        <v>276</v>
      </c>
      <c r="B145" s="196">
        <f>'Phase 1a Financial DRAW'!B38</f>
        <v>0.14486439067688939</v>
      </c>
      <c r="C145" s="196"/>
      <c r="D145" s="104"/>
    </row>
    <row r="146" spans="1:4" ht="13.15">
      <c r="A146" s="453" t="s">
        <v>277</v>
      </c>
      <c r="B146" s="196">
        <f>'Phase 1a Financial DRAW'!B43</f>
        <v>0</v>
      </c>
      <c r="C146" s="196"/>
      <c r="D146" s="104"/>
    </row>
    <row r="147" spans="1:4" ht="12.75">
      <c r="A147" s="451" t="s">
        <v>278</v>
      </c>
      <c r="B147" s="454">
        <f>D88/B123</f>
        <v>7.3827990963110199E-2</v>
      </c>
      <c r="C147" s="454"/>
    </row>
    <row r="148" spans="1:4" ht="12.75">
      <c r="A148" s="451" t="s">
        <v>279</v>
      </c>
      <c r="B148" s="455">
        <f>C89</f>
        <v>0.05</v>
      </c>
      <c r="C148" s="455"/>
    </row>
    <row r="151" spans="1:4" ht="23.25" customHeight="1" thickBot="1"/>
    <row r="152" spans="1:4" ht="23.25" customHeight="1">
      <c r="A152" s="1356" t="s">
        <v>423</v>
      </c>
      <c r="B152" s="1357"/>
    </row>
    <row r="153" spans="1:4" ht="23.25" customHeight="1">
      <c r="A153" s="842" t="s">
        <v>428</v>
      </c>
      <c r="B153" s="843">
        <v>654740686.82345891</v>
      </c>
    </row>
    <row r="154" spans="1:4" ht="23.25" customHeight="1">
      <c r="A154" s="842" t="s">
        <v>416</v>
      </c>
      <c r="B154" s="843">
        <v>-86849721.611125648</v>
      </c>
    </row>
    <row r="155" spans="1:4" ht="23.25" customHeight="1">
      <c r="A155" s="845" t="s">
        <v>437</v>
      </c>
      <c r="B155" s="1038">
        <v>5.0599999999999999E-2</v>
      </c>
    </row>
    <row r="156" spans="1:4" ht="23.25" customHeight="1">
      <c r="A156" s="847" t="s">
        <v>361</v>
      </c>
      <c r="B156" s="848">
        <v>28735282.839744061</v>
      </c>
    </row>
    <row r="157" spans="1:4" ht="23.25" customHeight="1">
      <c r="A157" s="842" t="s">
        <v>430</v>
      </c>
      <c r="B157" s="1056">
        <v>0.2</v>
      </c>
    </row>
    <row r="158" spans="1:4" ht="23.25" customHeight="1">
      <c r="A158" s="847" t="s">
        <v>429</v>
      </c>
      <c r="B158" s="848">
        <v>5747056.5679488126</v>
      </c>
    </row>
    <row r="159" spans="1:4" ht="23.25" customHeight="1" thickBot="1">
      <c r="A159" s="850" t="s">
        <v>439</v>
      </c>
      <c r="B159" s="1057">
        <v>0.99</v>
      </c>
    </row>
    <row r="160" spans="1:4" ht="23.25" customHeight="1" thickBot="1">
      <c r="A160" s="1080" t="s">
        <v>420</v>
      </c>
      <c r="B160" s="851">
        <v>5689586.0022693248</v>
      </c>
    </row>
    <row r="161" spans="1:2" ht="23.25" customHeight="1" thickBot="1">
      <c r="A161" s="33"/>
      <c r="B161" s="33"/>
    </row>
    <row r="162" spans="1:2" ht="23.25" customHeight="1">
      <c r="A162" s="1354" t="s">
        <v>534</v>
      </c>
      <c r="B162" s="1355"/>
    </row>
    <row r="163" spans="1:2" ht="23.25" customHeight="1">
      <c r="A163" s="1098" t="s">
        <v>535</v>
      </c>
      <c r="B163" s="949">
        <v>50000</v>
      </c>
    </row>
    <row r="164" spans="1:2" ht="23.25" customHeight="1">
      <c r="A164" s="1098" t="s">
        <v>536</v>
      </c>
      <c r="B164" s="1099">
        <v>67</v>
      </c>
    </row>
    <row r="165" spans="1:2" ht="23.25" customHeight="1" thickBot="1">
      <c r="A165" s="1117" t="s">
        <v>420</v>
      </c>
      <c r="B165" s="1118">
        <f>B163*B164</f>
        <v>3350000</v>
      </c>
    </row>
    <row r="166" spans="1:2" ht="23.25" customHeight="1" thickBot="1">
      <c r="A166" s="33"/>
      <c r="B166" s="33"/>
    </row>
    <row r="167" spans="1:2" ht="23.25" customHeight="1">
      <c r="A167" s="1354" t="s">
        <v>577</v>
      </c>
      <c r="B167" s="1355"/>
    </row>
    <row r="168" spans="1:2" ht="23.25" customHeight="1">
      <c r="A168" s="1098" t="s">
        <v>543</v>
      </c>
      <c r="B168" s="949">
        <v>500000</v>
      </c>
    </row>
    <row r="169" spans="1:2" ht="23.25" customHeight="1" thickBot="1">
      <c r="A169" s="1117" t="s">
        <v>420</v>
      </c>
      <c r="B169" s="1118">
        <v>500000</v>
      </c>
    </row>
    <row r="170" spans="1:2" ht="23.25" customHeight="1">
      <c r="A170" s="33"/>
      <c r="B170" s="811"/>
    </row>
    <row r="171" spans="1:2" ht="23.25" customHeight="1">
      <c r="A171" s="33"/>
      <c r="B171" s="815"/>
    </row>
    <row r="172" spans="1:2" ht="23.25" customHeight="1">
      <c r="A172" s="33"/>
      <c r="B172" s="811"/>
    </row>
    <row r="173" spans="1:2" ht="23.25" customHeight="1">
      <c r="A173" s="33"/>
      <c r="B173" s="811"/>
    </row>
    <row r="174" spans="1:2" ht="23.25" customHeight="1">
      <c r="A174" s="33"/>
      <c r="B174" s="811"/>
    </row>
    <row r="175" spans="1:2" ht="23.25" customHeight="1">
      <c r="A175" s="33"/>
      <c r="B175" s="813"/>
    </row>
    <row r="176" spans="1:2" ht="23.25" customHeight="1">
      <c r="A176" s="636"/>
      <c r="B176" s="816"/>
    </row>
    <row r="178" spans="1:5" ht="23.25" customHeight="1">
      <c r="A178" s="773"/>
      <c r="B178" s="773"/>
    </row>
    <row r="179" spans="1:5" ht="23.25" customHeight="1">
      <c r="A179" s="33"/>
      <c r="B179" s="810"/>
    </row>
    <row r="180" spans="1:5" ht="23.25" customHeight="1">
      <c r="A180" s="33"/>
      <c r="B180" s="811"/>
    </row>
    <row r="181" spans="1:5" ht="23.25" customHeight="1">
      <c r="B181" s="1060"/>
    </row>
    <row r="182" spans="1:5" ht="23.25" customHeight="1">
      <c r="A182" s="33"/>
      <c r="B182" s="811"/>
      <c r="D182" s="37" t="s">
        <v>479</v>
      </c>
    </row>
    <row r="183" spans="1:5" ht="23.25" customHeight="1">
      <c r="B183" s="233"/>
      <c r="D183" s="37" t="s">
        <v>480</v>
      </c>
      <c r="E183" s="37">
        <f>6000000*3</f>
        <v>18000000</v>
      </c>
    </row>
    <row r="184" spans="1:5" ht="23.25" customHeight="1">
      <c r="A184" s="33"/>
      <c r="B184" s="233"/>
    </row>
    <row r="185" spans="1:5" ht="23.25" customHeight="1">
      <c r="A185" s="33"/>
      <c r="B185" s="812"/>
    </row>
    <row r="186" spans="1:5" ht="23.25" customHeight="1">
      <c r="A186" s="33"/>
      <c r="B186" s="811"/>
    </row>
    <row r="187" spans="1:5" ht="23.25" customHeight="1">
      <c r="A187" s="33"/>
      <c r="B187" s="815"/>
    </row>
    <row r="188" spans="1:5" ht="23.25" customHeight="1">
      <c r="A188" s="33"/>
      <c r="B188" s="811"/>
    </row>
    <row r="189" spans="1:5" ht="23.25" customHeight="1">
      <c r="A189" s="33"/>
      <c r="B189" s="811"/>
    </row>
    <row r="190" spans="1:5" ht="23.25" customHeight="1">
      <c r="A190" s="33"/>
      <c r="B190" s="811"/>
    </row>
    <row r="191" spans="1:5" ht="23.25" customHeight="1">
      <c r="A191" s="33"/>
      <c r="B191" s="813"/>
    </row>
    <row r="192" spans="1:5" ht="23.25" customHeight="1">
      <c r="A192" s="636"/>
      <c r="B192" s="816"/>
    </row>
  </sheetData>
  <mergeCells count="16">
    <mergeCell ref="A152:B152"/>
    <mergeCell ref="A162:B162"/>
    <mergeCell ref="A167:B167"/>
    <mergeCell ref="D2:E2"/>
    <mergeCell ref="A2:C2"/>
    <mergeCell ref="C90:D90"/>
    <mergeCell ref="A138:C138"/>
    <mergeCell ref="A141:C141"/>
    <mergeCell ref="B78:C78"/>
    <mergeCell ref="B83:C83"/>
    <mergeCell ref="B84:C84"/>
    <mergeCell ref="A119:B119"/>
    <mergeCell ref="A130:B130"/>
    <mergeCell ref="B77:C77"/>
    <mergeCell ref="A72:B72"/>
    <mergeCell ref="A90:B90"/>
  </mergeCells>
  <printOptions horizontalCentered="1" verticalCentered="1"/>
  <pageMargins left="0.7" right="0.7" top="0.75" bottom="0.75" header="0.3" footer="0.3"/>
  <pageSetup scale="59"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rowBreaks count="2" manualBreakCount="2">
    <brk id="71" max="4" man="1"/>
    <brk id="113" max="4" man="1"/>
  </rowBreaks>
  <ignoredErrors>
    <ignoredError sqref="D97" 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CE2B2-F63D-4E20-9F69-425BD4EB3890}">
  <sheetPr>
    <tabColor theme="6" tint="-0.249977111117893"/>
    <pageSetUpPr fitToPage="1"/>
  </sheetPr>
  <dimension ref="A1:I99"/>
  <sheetViews>
    <sheetView showGridLines="0" zoomScale="124" zoomScaleNormal="124" zoomScaleSheetLayoutView="90" workbookViewId="0">
      <selection activeCell="H7" sqref="H7"/>
    </sheetView>
  </sheetViews>
  <sheetFormatPr defaultColWidth="8.796875" defaultRowHeight="23.25" customHeight="1"/>
  <cols>
    <col min="1" max="1" width="33.796875" style="37" bestFit="1" customWidth="1"/>
    <col min="2" max="2" width="21.53125" style="37" bestFit="1" customWidth="1"/>
    <col min="3" max="3" width="22.46484375" style="37" bestFit="1" customWidth="1"/>
    <col min="4" max="4" width="12.3984375" style="37" bestFit="1" customWidth="1"/>
    <col min="5" max="5" width="18.86328125" style="37" bestFit="1" customWidth="1"/>
    <col min="6" max="6" width="6.796875" style="37" bestFit="1" customWidth="1"/>
    <col min="7" max="7" width="25.33203125" style="37" customWidth="1"/>
    <col min="8" max="8" width="24.53125" style="37" customWidth="1"/>
    <col min="9" max="9" width="32.46484375" style="37" customWidth="1"/>
    <col min="10" max="10" width="20.19921875" style="37" customWidth="1"/>
    <col min="11" max="16384" width="8.796875" style="37"/>
  </cols>
  <sheetData>
    <row r="1" spans="1:9" ht="15.4" thickBot="1">
      <c r="A1" s="1402" t="s">
        <v>200</v>
      </c>
      <c r="B1" s="1403"/>
      <c r="C1" s="1403"/>
      <c r="D1" s="1401">
        <f>'Development Program'!A20</f>
        <v>0</v>
      </c>
      <c r="E1" s="1401"/>
      <c r="G1" s="636" t="s">
        <v>582</v>
      </c>
    </row>
    <row r="2" spans="1:9" ht="13.15">
      <c r="A2" s="38"/>
      <c r="B2" s="39"/>
      <c r="C2" s="39"/>
      <c r="D2" s="346">
        <v>0</v>
      </c>
      <c r="E2" s="347" t="s">
        <v>435</v>
      </c>
    </row>
    <row r="3" spans="1:9" ht="13.15">
      <c r="A3" s="40" t="s">
        <v>402</v>
      </c>
      <c r="B3" s="41" t="s">
        <v>203</v>
      </c>
      <c r="C3" s="41" t="s">
        <v>317</v>
      </c>
      <c r="D3" s="41" t="s">
        <v>318</v>
      </c>
      <c r="E3" s="42" t="s">
        <v>319</v>
      </c>
    </row>
    <row r="4" spans="1:9" ht="13.15">
      <c r="A4" s="691" t="s">
        <v>387</v>
      </c>
      <c r="B4" s="692"/>
      <c r="C4" s="693"/>
      <c r="D4" s="692"/>
      <c r="E4" s="692"/>
    </row>
    <row r="5" spans="1:9" ht="13.15">
      <c r="A5" s="763" t="s">
        <v>363</v>
      </c>
      <c r="B5" s="349">
        <v>10</v>
      </c>
      <c r="C5" s="349">
        <v>2000</v>
      </c>
      <c r="D5" s="765">
        <v>1200</v>
      </c>
      <c r="E5" s="352">
        <f>B5*C5*D5</f>
        <v>24000000</v>
      </c>
    </row>
    <row r="6" spans="1:9" ht="13.15">
      <c r="A6" s="762" t="s">
        <v>359</v>
      </c>
      <c r="B6" s="349">
        <v>106</v>
      </c>
      <c r="C6" s="349">
        <v>1700</v>
      </c>
      <c r="D6" s="765">
        <v>750</v>
      </c>
      <c r="E6" s="352">
        <f>B6*C6*D6</f>
        <v>135150000</v>
      </c>
    </row>
    <row r="7" spans="1:9" ht="13.15">
      <c r="A7" s="353">
        <v>0.3</v>
      </c>
      <c r="B7" s="349">
        <f>ROUND((($B$10-$B$5-$B$6)*A7),1)</f>
        <v>75</v>
      </c>
      <c r="C7" s="349">
        <v>500</v>
      </c>
      <c r="D7" s="765">
        <v>700</v>
      </c>
      <c r="E7" s="352">
        <f t="shared" ref="E7" si="0">B7*C7*D7</f>
        <v>26250000</v>
      </c>
      <c r="I7" s="960"/>
    </row>
    <row r="8" spans="1:9" ht="14.25">
      <c r="A8" s="759">
        <v>0.3</v>
      </c>
      <c r="B8" s="349">
        <f t="shared" ref="B8" si="1">ROUND((($B$10-$B$5-$B$6)*A8),1)</f>
        <v>75</v>
      </c>
      <c r="C8" s="349">
        <v>680</v>
      </c>
      <c r="D8" s="765">
        <v>700</v>
      </c>
      <c r="E8" s="352">
        <f>B8*C8*D8</f>
        <v>35700000</v>
      </c>
      <c r="I8" s="963"/>
    </row>
    <row r="9" spans="1:9" ht="13.15">
      <c r="A9" s="760">
        <v>0.4</v>
      </c>
      <c r="B9" s="349">
        <v>130</v>
      </c>
      <c r="C9" s="349">
        <v>1100</v>
      </c>
      <c r="D9" s="765">
        <v>700</v>
      </c>
      <c r="E9" s="352">
        <f>B9*C9*D9</f>
        <v>100100000</v>
      </c>
    </row>
    <row r="10" spans="1:9" ht="13.15">
      <c r="A10" s="694" t="s">
        <v>386</v>
      </c>
      <c r="B10" s="697">
        <v>366</v>
      </c>
      <c r="C10" s="699">
        <f>SUMPRODUCT(B5:B9,C5:C9)</f>
        <v>431700</v>
      </c>
      <c r="D10" s="695"/>
      <c r="E10" s="696">
        <f>SUM(E5:E9)</f>
        <v>321200000</v>
      </c>
    </row>
    <row r="11" spans="1:9" ht="13.15">
      <c r="A11" s="691" t="s">
        <v>486</v>
      </c>
      <c r="B11" s="692"/>
      <c r="C11" s="693"/>
      <c r="D11" s="692"/>
      <c r="E11" s="692"/>
    </row>
    <row r="12" spans="1:9" ht="13.15">
      <c r="A12" s="353" t="s">
        <v>394</v>
      </c>
      <c r="B12" s="349">
        <v>27</v>
      </c>
      <c r="C12" s="513">
        <v>1000</v>
      </c>
      <c r="D12" s="512">
        <v>474.47913229947017</v>
      </c>
      <c r="E12" s="352">
        <f>B12*C12*D12</f>
        <v>12810936.572085695</v>
      </c>
    </row>
    <row r="13" spans="1:9" ht="13.15">
      <c r="A13" s="353" t="s">
        <v>487</v>
      </c>
      <c r="B13" s="349">
        <v>40</v>
      </c>
      <c r="C13" s="513">
        <v>1000</v>
      </c>
      <c r="D13" s="512">
        <v>681.8395185367084</v>
      </c>
      <c r="E13" s="352">
        <f>B13*C13*D13</f>
        <v>27273580.741468336</v>
      </c>
    </row>
    <row r="14" spans="1:9" ht="13.5" thickBot="1">
      <c r="A14" s="694" t="s">
        <v>403</v>
      </c>
      <c r="B14" s="697">
        <f>SUM(B12:B13)</f>
        <v>67</v>
      </c>
      <c r="C14" s="699">
        <f>SUMPRODUCT(B12:B13,C12:C13)</f>
        <v>67000</v>
      </c>
      <c r="D14" s="695"/>
      <c r="E14" s="696">
        <f>SUM(E12:E13)</f>
        <v>40084517.313554034</v>
      </c>
      <c r="G14" s="632"/>
    </row>
    <row r="15" spans="1:9" ht="13.9" thickTop="1" thickBot="1">
      <c r="A15" s="43" t="s">
        <v>207</v>
      </c>
      <c r="B15" s="44">
        <f>SUM(B10,B14)</f>
        <v>433</v>
      </c>
      <c r="C15" s="45">
        <f>SUM(C10,C14)</f>
        <v>498700</v>
      </c>
      <c r="D15" s="46"/>
      <c r="E15" s="355">
        <f>SUM(E5:E13)</f>
        <v>682484517.31355405</v>
      </c>
    </row>
    <row r="16" spans="1:9" ht="13.9" thickTop="1" thickBot="1">
      <c r="A16" s="47" t="s">
        <v>208</v>
      </c>
      <c r="B16" s="48"/>
      <c r="C16" s="49">
        <f>C15/B15</f>
        <v>1151.7321016166281</v>
      </c>
      <c r="D16" s="50">
        <f>(E15/12)/C15</f>
        <v>114.04393378008724</v>
      </c>
      <c r="E16" s="51"/>
    </row>
    <row r="17" spans="1:5" ht="13.5" thickBot="1">
      <c r="A17" s="52"/>
      <c r="B17" s="53"/>
      <c r="C17" s="54"/>
      <c r="D17" s="55"/>
    </row>
    <row r="18" spans="1:5" ht="13.15">
      <c r="A18" s="363" t="s">
        <v>213</v>
      </c>
      <c r="B18" s="361"/>
    </row>
    <row r="19" spans="1:5" ht="13.5" thickBot="1">
      <c r="A19" s="326" t="s">
        <v>364</v>
      </c>
      <c r="B19" s="362">
        <v>0</v>
      </c>
      <c r="C19" s="58"/>
      <c r="D19" s="59"/>
    </row>
    <row r="20" spans="1:5" ht="13.5" thickTop="1" thickBot="1">
      <c r="A20" s="60" t="s">
        <v>216</v>
      </c>
      <c r="B20" s="61">
        <f>SUM(B19:B19)</f>
        <v>0</v>
      </c>
      <c r="C20" s="58"/>
      <c r="D20" s="59"/>
    </row>
    <row r="21" spans="1:5" ht="13.15">
      <c r="A21" s="363" t="s">
        <v>217</v>
      </c>
      <c r="B21" s="563" t="str">
        <f>'Development Program'!A51</f>
        <v>Phase 3</v>
      </c>
      <c r="C21" s="62"/>
      <c r="D21" s="62"/>
      <c r="E21" s="62"/>
    </row>
    <row r="22" spans="1:5" ht="13.15">
      <c r="A22" s="365" t="s">
        <v>218</v>
      </c>
      <c r="B22" s="366">
        <f>'Development Program'!D15</f>
        <v>54954.666666666664</v>
      </c>
      <c r="C22" s="63"/>
      <c r="D22" s="64"/>
      <c r="E22" s="62"/>
    </row>
    <row r="23" spans="1:5" ht="13.15">
      <c r="A23" s="365" t="s">
        <v>321</v>
      </c>
      <c r="B23" s="366">
        <f>C15</f>
        <v>498700</v>
      </c>
      <c r="C23" s="63"/>
      <c r="D23" s="64"/>
      <c r="E23" s="62"/>
    </row>
    <row r="24" spans="1:5" ht="13.15">
      <c r="A24" s="1044">
        <v>350</v>
      </c>
      <c r="B24" s="366">
        <f>B19*A24</f>
        <v>0</v>
      </c>
      <c r="C24" s="63"/>
      <c r="D24" s="64"/>
      <c r="E24" s="62"/>
    </row>
    <row r="25" spans="1:5" ht="13.15">
      <c r="A25" s="515">
        <v>0.05</v>
      </c>
      <c r="B25" s="366">
        <f>(1+A25)*(B23+B24)</f>
        <v>523635</v>
      </c>
      <c r="C25" s="63"/>
      <c r="D25" s="64"/>
      <c r="E25" s="62"/>
    </row>
    <row r="26" spans="1:5" ht="13.5" thickBot="1">
      <c r="A26" s="516">
        <v>40</v>
      </c>
      <c r="B26" s="370">
        <f>B25/A26</f>
        <v>13090.875</v>
      </c>
      <c r="C26" s="63"/>
      <c r="D26" s="64"/>
      <c r="E26" s="62"/>
    </row>
    <row r="27" spans="1:5" ht="13.5" thickBot="1">
      <c r="A27" s="1436" t="s">
        <v>322</v>
      </c>
      <c r="B27" s="1437"/>
      <c r="C27" s="1437"/>
      <c r="D27" s="1438"/>
      <c r="E27" s="62"/>
    </row>
    <row r="28" spans="1:5" ht="30.7" customHeight="1" thickBot="1">
      <c r="A28" s="373" t="s">
        <v>221</v>
      </c>
      <c r="B28" s="374" t="s">
        <v>222</v>
      </c>
      <c r="C28" s="374" t="s">
        <v>223</v>
      </c>
      <c r="D28" s="375" t="s">
        <v>323</v>
      </c>
      <c r="E28" s="62"/>
    </row>
    <row r="29" spans="1:5" ht="31.45" customHeight="1">
      <c r="A29" s="438" t="s">
        <v>266</v>
      </c>
      <c r="B29" s="377">
        <f>D29/B15</f>
        <v>1576176.7143500093</v>
      </c>
      <c r="C29" s="564">
        <f>D29/C15</f>
        <v>1368.5272053610468</v>
      </c>
      <c r="D29" s="65">
        <f>E15</f>
        <v>682484517.31355405</v>
      </c>
      <c r="E29" s="62"/>
    </row>
    <row r="30" spans="1:5" ht="13.15" thickBot="1">
      <c r="A30" s="565">
        <v>0.04</v>
      </c>
      <c r="B30" s="1419"/>
      <c r="C30" s="1420"/>
      <c r="D30" s="66">
        <f>-0.04*D29</f>
        <v>-27299380.692542162</v>
      </c>
      <c r="E30" s="62"/>
    </row>
    <row r="31" spans="1:5" ht="13.9" thickTop="1" thickBot="1">
      <c r="A31" s="1439" t="s">
        <v>267</v>
      </c>
      <c r="B31" s="1440"/>
      <c r="C31" s="1441"/>
      <c r="D31" s="391">
        <f>D29+D30</f>
        <v>655185136.62101185</v>
      </c>
      <c r="E31" s="62"/>
    </row>
    <row r="32" spans="1:5" ht="13.5" thickBot="1">
      <c r="A32" s="1423" t="s">
        <v>241</v>
      </c>
      <c r="B32" s="1424"/>
      <c r="C32" s="1404">
        <f>D1</f>
        <v>0</v>
      </c>
      <c r="D32" s="1435"/>
    </row>
    <row r="33" spans="1:5" ht="13.5" thickBot="1">
      <c r="A33" s="363"/>
      <c r="B33" s="78" t="s">
        <v>242</v>
      </c>
      <c r="C33" s="78" t="s">
        <v>243</v>
      </c>
      <c r="D33" s="78" t="s">
        <v>222</v>
      </c>
    </row>
    <row r="34" spans="1:5" ht="13.15">
      <c r="A34" s="267" t="s">
        <v>244</v>
      </c>
      <c r="B34" s="566">
        <f>Assumptions!F23</f>
        <v>450</v>
      </c>
      <c r="C34" s="393">
        <f>B34*(C15)</f>
        <v>224415000</v>
      </c>
      <c r="D34" s="383">
        <f>C34/B$15</f>
        <v>518279.44572748267</v>
      </c>
    </row>
    <row r="35" spans="1:5" ht="13.15">
      <c r="A35" s="79" t="s">
        <v>320</v>
      </c>
      <c r="B35" s="518">
        <f>Assumptions!C26</f>
        <v>45000</v>
      </c>
      <c r="C35" s="80">
        <f>B19*B35</f>
        <v>0</v>
      </c>
      <c r="D35" s="383">
        <f t="shared" ref="D35:D54" si="2">C35/B$15</f>
        <v>0</v>
      </c>
    </row>
    <row r="36" spans="1:5" ht="13.15">
      <c r="A36" s="79" t="s">
        <v>101</v>
      </c>
      <c r="B36" s="519">
        <v>0.05</v>
      </c>
      <c r="C36" s="80">
        <f>B36*C34</f>
        <v>11220750</v>
      </c>
      <c r="D36" s="383">
        <f t="shared" si="2"/>
        <v>25913.972286374134</v>
      </c>
    </row>
    <row r="37" spans="1:5" ht="13.15">
      <c r="A37" s="79" t="s">
        <v>20</v>
      </c>
      <c r="B37" s="395" t="s">
        <v>110</v>
      </c>
      <c r="C37" s="80">
        <v>0</v>
      </c>
      <c r="D37" s="383"/>
    </row>
    <row r="38" spans="1:5" ht="25.9">
      <c r="A38" s="79" t="s">
        <v>246</v>
      </c>
      <c r="B38" s="396" t="s">
        <v>310</v>
      </c>
      <c r="C38" s="520">
        <v>0</v>
      </c>
      <c r="D38" s="383">
        <f t="shared" si="2"/>
        <v>0</v>
      </c>
    </row>
    <row r="39" spans="1:5" ht="13.15">
      <c r="A39" s="79" t="s">
        <v>103</v>
      </c>
      <c r="B39" s="521">
        <v>1400</v>
      </c>
      <c r="C39" s="80">
        <f>B15*B39</f>
        <v>606200</v>
      </c>
      <c r="D39" s="383">
        <f t="shared" si="2"/>
        <v>1400</v>
      </c>
    </row>
    <row r="40" spans="1:5" ht="23.25" customHeight="1">
      <c r="A40" s="79" t="s">
        <v>248</v>
      </c>
      <c r="B40" s="522" t="s">
        <v>249</v>
      </c>
      <c r="C40" s="80">
        <v>0</v>
      </c>
      <c r="D40" s="383">
        <f t="shared" si="2"/>
        <v>0</v>
      </c>
    </row>
    <row r="41" spans="1:5" ht="13.15">
      <c r="A41" s="313" t="s">
        <v>109</v>
      </c>
      <c r="B41" s="401" t="s">
        <v>110</v>
      </c>
      <c r="C41" s="523">
        <v>400000</v>
      </c>
      <c r="D41" s="383">
        <f t="shared" si="2"/>
        <v>923.78752886836025</v>
      </c>
    </row>
    <row r="42" spans="1:5" ht="13.15">
      <c r="A42" s="313" t="s">
        <v>111</v>
      </c>
      <c r="B42" s="401" t="s">
        <v>110</v>
      </c>
      <c r="C42" s="523">
        <f>0.05%*(C38+C39)</f>
        <v>303.10000000000002</v>
      </c>
      <c r="D42" s="383">
        <f t="shared" si="2"/>
        <v>0.70000000000000007</v>
      </c>
      <c r="E42" s="81"/>
    </row>
    <row r="43" spans="1:5" ht="49.5" customHeight="1">
      <c r="A43" s="313" t="s">
        <v>113</v>
      </c>
      <c r="B43" s="524">
        <v>0.04</v>
      </c>
      <c r="C43" s="404">
        <f>B43*(C34+C36)</f>
        <v>9425430</v>
      </c>
      <c r="D43" s="383">
        <f t="shared" si="2"/>
        <v>21767.736720554272</v>
      </c>
    </row>
    <row r="44" spans="1:5" ht="22.5" customHeight="1">
      <c r="A44" s="313" t="s">
        <v>115</v>
      </c>
      <c r="B44" s="525">
        <v>0.03</v>
      </c>
      <c r="C44" s="406">
        <f>B44*SUM(C34:C43)</f>
        <v>7382030.4929999998</v>
      </c>
      <c r="D44" s="383">
        <f t="shared" si="2"/>
        <v>17048.569267898383</v>
      </c>
    </row>
    <row r="45" spans="1:5" ht="13.15">
      <c r="A45" s="313" t="s">
        <v>117</v>
      </c>
      <c r="B45" s="524">
        <v>0.02</v>
      </c>
      <c r="C45" s="404">
        <f>B45*(C34+C36)</f>
        <v>4712715</v>
      </c>
      <c r="D45" s="383">
        <f t="shared" si="2"/>
        <v>10883.868360277136</v>
      </c>
    </row>
    <row r="46" spans="1:5" ht="26.25" customHeight="1">
      <c r="A46" s="313" t="s">
        <v>250</v>
      </c>
      <c r="B46" s="407" t="s">
        <v>110</v>
      </c>
      <c r="C46" s="523">
        <v>0</v>
      </c>
      <c r="D46" s="383">
        <f t="shared" si="2"/>
        <v>0</v>
      </c>
    </row>
    <row r="47" spans="1:5" ht="13.15">
      <c r="A47" s="313" t="s">
        <v>120</v>
      </c>
      <c r="B47" s="522">
        <v>6000</v>
      </c>
      <c r="C47" s="404">
        <f>B47*B15</f>
        <v>2598000</v>
      </c>
      <c r="D47" s="383">
        <f t="shared" si="2"/>
        <v>6000</v>
      </c>
    </row>
    <row r="48" spans="1:5" ht="13.15">
      <c r="A48" s="313" t="s">
        <v>121</v>
      </c>
      <c r="B48" s="401" t="s">
        <v>110</v>
      </c>
      <c r="C48" s="523">
        <v>400000</v>
      </c>
      <c r="D48" s="383">
        <f t="shared" si="2"/>
        <v>923.78752886836025</v>
      </c>
    </row>
    <row r="49" spans="1:7" ht="13.15">
      <c r="A49" s="313" t="s">
        <v>324</v>
      </c>
      <c r="B49" s="526" t="s">
        <v>110</v>
      </c>
      <c r="C49" s="523">
        <v>0</v>
      </c>
      <c r="D49" s="383">
        <f t="shared" si="2"/>
        <v>0</v>
      </c>
    </row>
    <row r="50" spans="1:7" ht="13.15">
      <c r="A50" s="313" t="s">
        <v>251</v>
      </c>
      <c r="B50" s="82">
        <v>40</v>
      </c>
      <c r="C50" s="404">
        <v>0</v>
      </c>
      <c r="D50" s="383">
        <f t="shared" si="2"/>
        <v>0</v>
      </c>
    </row>
    <row r="51" spans="1:7" ht="27" customHeight="1">
      <c r="A51" s="313" t="s">
        <v>252</v>
      </c>
      <c r="B51" s="527">
        <v>0.06</v>
      </c>
      <c r="C51" s="406">
        <v>0</v>
      </c>
      <c r="D51" s="383">
        <f t="shared" si="2"/>
        <v>0</v>
      </c>
    </row>
    <row r="52" spans="1:7" ht="27" customHeight="1">
      <c r="A52" s="313" t="s">
        <v>125</v>
      </c>
      <c r="B52" s="528">
        <v>1.4999999999999999E-2</v>
      </c>
      <c r="C52" s="406">
        <v>2359440</v>
      </c>
      <c r="D52" s="383">
        <f t="shared" si="2"/>
        <v>5449.0531177829098</v>
      </c>
      <c r="E52" s="1433" t="s">
        <v>311</v>
      </c>
      <c r="F52" s="1434"/>
      <c r="G52" s="83">
        <f>B52*B65</f>
        <v>2479770</v>
      </c>
    </row>
    <row r="53" spans="1:7" ht="13.15">
      <c r="A53" s="412" t="s">
        <v>126</v>
      </c>
      <c r="B53" s="529">
        <v>7.0000000000000007E-2</v>
      </c>
      <c r="C53" s="406">
        <v>11010720.000000002</v>
      </c>
      <c r="D53" s="383">
        <f t="shared" si="2"/>
        <v>25428.914549653586</v>
      </c>
      <c r="E53" s="1433" t="s">
        <v>311</v>
      </c>
      <c r="F53" s="1434"/>
      <c r="G53" s="84">
        <f>B53*B65</f>
        <v>11572260.000000002</v>
      </c>
    </row>
    <row r="54" spans="1:7" ht="13.5" thickBot="1">
      <c r="A54" s="326" t="s">
        <v>254</v>
      </c>
      <c r="B54" s="414" t="s">
        <v>110</v>
      </c>
      <c r="C54" s="530">
        <v>1000000</v>
      </c>
      <c r="D54" s="383">
        <f t="shared" si="2"/>
        <v>2309.4688221709007</v>
      </c>
    </row>
    <row r="55" spans="1:7" ht="13.9" thickTop="1" thickBot="1">
      <c r="A55" s="417" t="s">
        <v>255</v>
      </c>
      <c r="B55" s="418"/>
      <c r="C55" s="85">
        <f>SUM(C34:C54)</f>
        <v>275530588.59299999</v>
      </c>
      <c r="D55" s="85">
        <f>ROUND(C55/B15,-3)</f>
        <v>636000</v>
      </c>
    </row>
    <row r="56" spans="1:7" ht="13.15">
      <c r="A56" s="419"/>
      <c r="B56" s="420"/>
    </row>
    <row r="57" spans="1:7" ht="13.15">
      <c r="A57" s="421" t="s">
        <v>257</v>
      </c>
      <c r="B57" s="422">
        <f>(D31/C55)-1</f>
        <v>1.3779034479137944</v>
      </c>
      <c r="C57" s="86"/>
      <c r="D57" s="87"/>
    </row>
    <row r="58" spans="1:7" ht="13.5" thickBot="1">
      <c r="A58" s="423">
        <v>0.3</v>
      </c>
      <c r="B58" s="424">
        <f>(D31/(1+A58))</f>
        <v>503988566.63154757</v>
      </c>
    </row>
    <row r="59" spans="1:7" ht="13.5" thickBot="1">
      <c r="A59" s="531">
        <v>0.3</v>
      </c>
      <c r="B59" s="424">
        <f>ROUND((D31/(1+A59))-C55,-3)</f>
        <v>228458000</v>
      </c>
      <c r="C59" s="88" t="s">
        <v>258</v>
      </c>
    </row>
    <row r="60" spans="1:7" ht="13.15">
      <c r="A60" s="89"/>
      <c r="B60" s="90"/>
    </row>
    <row r="61" spans="1:7" ht="13.15">
      <c r="A61" s="1442" t="s">
        <v>259</v>
      </c>
      <c r="B61" s="1443"/>
      <c r="C61" s="567">
        <f>D1</f>
        <v>0</v>
      </c>
      <c r="E61" s="1045"/>
    </row>
    <row r="62" spans="1:7" ht="13.15">
      <c r="A62" s="568"/>
      <c r="B62" s="316" t="s">
        <v>260</v>
      </c>
      <c r="C62" s="316" t="s">
        <v>222</v>
      </c>
    </row>
    <row r="63" spans="1:7" ht="13.15">
      <c r="A63" s="569" t="s">
        <v>261</v>
      </c>
      <c r="B63" s="355">
        <f>IF(B59&lt;0,B59,0)</f>
        <v>0</v>
      </c>
      <c r="C63" s="355">
        <f>B63/B15</f>
        <v>0</v>
      </c>
    </row>
    <row r="64" spans="1:7" ht="13.15">
      <c r="A64" s="569" t="s">
        <v>262</v>
      </c>
      <c r="B64" s="355">
        <f>C55+B63</f>
        <v>275530588.59299999</v>
      </c>
      <c r="C64" s="355">
        <f>B64/B15</f>
        <v>636329.30390993075</v>
      </c>
    </row>
    <row r="65" spans="1:5" ht="13.15">
      <c r="A65" s="570">
        <f>Assumptions!H16</f>
        <v>0.6</v>
      </c>
      <c r="B65" s="571">
        <f>ROUND(A65*C55,-3)</f>
        <v>165318000</v>
      </c>
      <c r="C65" s="571">
        <f>B65/B15</f>
        <v>381796.76674364897</v>
      </c>
    </row>
    <row r="66" spans="1:5" ht="12.75">
      <c r="A66" s="572">
        <f>1-A65</f>
        <v>0.4</v>
      </c>
      <c r="B66" s="571">
        <f>ROUND(A66*C55,-3)</f>
        <v>110212000</v>
      </c>
      <c r="C66" s="571">
        <f>B66/B15</f>
        <v>254531.1778290993</v>
      </c>
      <c r="D66" s="87"/>
    </row>
    <row r="67" spans="1:5" ht="13.15">
      <c r="A67" s="573" t="s">
        <v>263</v>
      </c>
      <c r="B67" s="574">
        <f>B65+B66</f>
        <v>275530000</v>
      </c>
      <c r="C67" s="574">
        <f>ROUND((C66+C65),-3)</f>
        <v>636000</v>
      </c>
      <c r="E67" s="477"/>
    </row>
    <row r="68" spans="1:5" ht="13.5" thickBot="1">
      <c r="A68" s="435"/>
      <c r="B68" s="252"/>
      <c r="C68" s="252"/>
    </row>
    <row r="69" spans="1:5" ht="15" customHeight="1" thickBot="1">
      <c r="A69" s="1417" t="s">
        <v>264</v>
      </c>
      <c r="B69" s="1418"/>
      <c r="C69" s="426">
        <f>D1</f>
        <v>0</v>
      </c>
    </row>
    <row r="70" spans="1:5" ht="13.5" thickBot="1">
      <c r="A70" s="97"/>
      <c r="B70" s="437" t="s">
        <v>265</v>
      </c>
      <c r="C70" s="437"/>
    </row>
    <row r="71" spans="1:5" ht="12.75">
      <c r="A71" s="438" t="s">
        <v>266</v>
      </c>
      <c r="B71" s="440">
        <f>ROUND(D31,-2)</f>
        <v>655185100</v>
      </c>
      <c r="C71" s="440"/>
    </row>
    <row r="72" spans="1:5" ht="13.5" thickBot="1">
      <c r="A72" s="537">
        <v>0.02</v>
      </c>
      <c r="B72" s="538">
        <f>(-ROUND(A72*B71,-2))</f>
        <v>-13103700</v>
      </c>
      <c r="C72" s="443"/>
    </row>
    <row r="73" spans="1:5" ht="13.5" thickTop="1" thickBot="1">
      <c r="A73" s="444" t="s">
        <v>267</v>
      </c>
      <c r="B73" s="98">
        <f>B71+B72</f>
        <v>642081400</v>
      </c>
      <c r="C73" s="98"/>
      <c r="E73" s="99"/>
    </row>
    <row r="74" spans="1:5" ht="12.75">
      <c r="A74" s="438" t="s">
        <v>268</v>
      </c>
      <c r="B74" s="440">
        <f>-B65</f>
        <v>-165318000</v>
      </c>
      <c r="C74" s="440"/>
    </row>
    <row r="75" spans="1:5" ht="13.15" thickBot="1">
      <c r="A75" s="445" t="s">
        <v>269</v>
      </c>
      <c r="B75" s="443">
        <f>-B66</f>
        <v>-110212000</v>
      </c>
      <c r="C75" s="443"/>
    </row>
    <row r="76" spans="1:5" ht="13.9" thickTop="1" thickBot="1">
      <c r="A76" s="161" t="s">
        <v>270</v>
      </c>
      <c r="B76" s="100">
        <f>ROUND(B73+B74+B75,-2)</f>
        <v>366551400</v>
      </c>
      <c r="C76" s="100"/>
      <c r="D76" s="101"/>
    </row>
    <row r="77" spans="1:5" ht="13.5" thickBot="1">
      <c r="A77" s="1406" t="s">
        <v>271</v>
      </c>
      <c r="B77" s="1407"/>
      <c r="C77" s="1408"/>
    </row>
    <row r="78" spans="1:5" ht="12.75">
      <c r="A78" s="447" t="s">
        <v>272</v>
      </c>
      <c r="B78" s="448">
        <f>B71/B15</f>
        <v>1513129.5612009238</v>
      </c>
      <c r="C78" s="448"/>
    </row>
    <row r="79" spans="1:5" ht="13.15" thickBot="1">
      <c r="A79" s="449" t="s">
        <v>273</v>
      </c>
      <c r="B79" s="450">
        <f>B73/B15</f>
        <v>1482866.9745958429</v>
      </c>
      <c r="C79" s="450"/>
    </row>
    <row r="80" spans="1:5" ht="13.15">
      <c r="A80" s="1409" t="s">
        <v>274</v>
      </c>
      <c r="B80" s="1410"/>
      <c r="C80" s="1411"/>
    </row>
    <row r="81" spans="1:4" ht="13.5" thickBot="1">
      <c r="A81" s="435"/>
      <c r="B81" s="102"/>
      <c r="C81" s="102"/>
    </row>
    <row r="82" spans="1:4" ht="13.15">
      <c r="A82" s="103"/>
      <c r="B82" s="437" t="s">
        <v>265</v>
      </c>
      <c r="C82" s="437"/>
    </row>
    <row r="83" spans="1:4" ht="12.75">
      <c r="A83" s="451" t="s">
        <v>275</v>
      </c>
      <c r="B83" s="452">
        <f>(B76+B66)/B66</f>
        <v>4.3258755852357273</v>
      </c>
      <c r="C83" s="452"/>
    </row>
    <row r="84" spans="1:4" ht="13.15">
      <c r="A84" s="453" t="s">
        <v>276</v>
      </c>
      <c r="B84" s="196">
        <f>'Phase 1b DRAW'!B38</f>
        <v>1.0331501147560282</v>
      </c>
      <c r="C84" s="196"/>
      <c r="D84" s="104"/>
    </row>
    <row r="85" spans="1:4" ht="12.75">
      <c r="A85" s="451" t="s">
        <v>278</v>
      </c>
      <c r="B85" s="454">
        <f>D31/B65</f>
        <v>3.9631808794021937</v>
      </c>
      <c r="C85" s="454"/>
    </row>
    <row r="86" spans="1:4" ht="12.75">
      <c r="A86" s="451" t="s">
        <v>279</v>
      </c>
      <c r="B86" s="455">
        <f>Assumptions!H8</f>
        <v>4.1000000000000002E-2</v>
      </c>
      <c r="C86" s="455"/>
    </row>
    <row r="87" spans="1:4" ht="12.75"/>
    <row r="88" spans="1:4" ht="12.75"/>
    <row r="93" spans="1:4" ht="23.25" hidden="1" customHeight="1" thickBot="1"/>
    <row r="99" spans="1:4" ht="23.25" customHeight="1">
      <c r="A99" s="197"/>
      <c r="B99" s="197"/>
      <c r="C99" s="197"/>
      <c r="D99" s="59"/>
    </row>
  </sheetData>
  <mergeCells count="13">
    <mergeCell ref="A69:B69"/>
    <mergeCell ref="A27:D27"/>
    <mergeCell ref="B30:C30"/>
    <mergeCell ref="A77:C77"/>
    <mergeCell ref="A80:C80"/>
    <mergeCell ref="A31:C31"/>
    <mergeCell ref="A61:B61"/>
    <mergeCell ref="E52:F52"/>
    <mergeCell ref="E53:F53"/>
    <mergeCell ref="A1:C1"/>
    <mergeCell ref="D1:E1"/>
    <mergeCell ref="A32:B32"/>
    <mergeCell ref="C32:D32"/>
  </mergeCells>
  <printOptions horizontalCentered="1" verticalCentered="1"/>
  <pageMargins left="0.7" right="0.7" top="0.75" bottom="0.75" header="0.3" footer="0.3"/>
  <pageSetup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rowBreaks count="2" manualBreakCount="2">
    <brk id="43" max="8" man="1"/>
    <brk id="73" max="8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:BX600"/>
  <sheetViews>
    <sheetView zoomScaleNormal="100" zoomScalePageLayoutView="12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37" sqref="B37"/>
    </sheetView>
  </sheetViews>
  <sheetFormatPr defaultColWidth="8.796875" defaultRowHeight="14.25"/>
  <cols>
    <col min="1" max="1" width="39.73046875" style="37" customWidth="1"/>
    <col min="2" max="2" width="18.19921875" style="37" customWidth="1"/>
    <col min="3" max="4" width="16.265625" style="37" customWidth="1"/>
    <col min="5" max="5" width="15.73046875" style="37" customWidth="1"/>
    <col min="6" max="6" width="15.265625" style="37" customWidth="1"/>
    <col min="7" max="7" width="18.19921875" style="167" bestFit="1" customWidth="1"/>
    <col min="8" max="8" width="18.6640625" style="37" customWidth="1"/>
    <col min="9" max="9" width="18.53125" style="37" customWidth="1"/>
    <col min="10" max="10" width="12" style="37" bestFit="1" customWidth="1"/>
    <col min="11" max="12" width="12.3984375" style="37" bestFit="1" customWidth="1"/>
    <col min="13" max="13" width="12.3984375" style="37" customWidth="1"/>
    <col min="14" max="15" width="12.3984375" style="37" bestFit="1" customWidth="1"/>
    <col min="16" max="16" width="12.3984375" style="37" customWidth="1"/>
    <col min="17" max="19" width="12.3984375" style="37" bestFit="1" customWidth="1"/>
    <col min="20" max="20" width="16" style="37" customWidth="1"/>
    <col min="21" max="22" width="14.46484375" style="37" customWidth="1"/>
    <col min="23" max="42" width="14.46484375" style="37" hidden="1" customWidth="1"/>
    <col min="43" max="43" width="12.53125" style="37" hidden="1" customWidth="1"/>
    <col min="44" max="44" width="17" style="37" hidden="1" customWidth="1"/>
    <col min="45" max="45" width="16.46484375" style="37" hidden="1" customWidth="1"/>
    <col min="46" max="46" width="13.46484375" style="37" hidden="1" customWidth="1"/>
    <col min="47" max="47" width="15" style="37" hidden="1" customWidth="1"/>
    <col min="48" max="48" width="20.46484375" style="37" customWidth="1"/>
    <col min="49" max="73" width="17" style="37" customWidth="1"/>
    <col min="74" max="74" width="16.53125" style="37" customWidth="1"/>
    <col min="75" max="75" width="15" customWidth="1"/>
    <col min="76" max="76" width="17.796875" bestFit="1" customWidth="1"/>
    <col min="77" max="77" width="9.53125" style="37" bestFit="1" customWidth="1"/>
    <col min="78" max="78" width="11.796875" style="37" bestFit="1" customWidth="1"/>
    <col min="79" max="80" width="9.53125" style="37" bestFit="1" customWidth="1"/>
    <col min="81" max="16384" width="8.796875" style="37"/>
  </cols>
  <sheetData>
    <row r="1" spans="1:74" ht="14.65" thickBot="1">
      <c r="A1" s="1425" t="s">
        <v>559</v>
      </c>
      <c r="B1" s="253" t="s">
        <v>280</v>
      </c>
      <c r="C1" s="242" t="str">
        <f>'Development Program'!B48</f>
        <v>Pre-Development</v>
      </c>
      <c r="D1" s="242" t="str">
        <f>'Development Program'!C48</f>
        <v>Demolition</v>
      </c>
      <c r="E1" s="242" t="str">
        <f>'Development Program'!D48</f>
        <v>Construction</v>
      </c>
      <c r="F1" s="242" t="str">
        <f>'Development Program'!E48</f>
        <v>Close-out</v>
      </c>
      <c r="G1" s="287" t="s">
        <v>282</v>
      </c>
      <c r="T1" s="288" t="s">
        <v>285</v>
      </c>
    </row>
    <row r="2" spans="1:74" ht="41.55" customHeight="1" thickBot="1">
      <c r="A2" s="1426"/>
      <c r="B2" s="456" t="s">
        <v>281</v>
      </c>
      <c r="C2" s="457" t="s">
        <v>343</v>
      </c>
      <c r="D2" s="458" t="s">
        <v>372</v>
      </c>
      <c r="E2" s="457" t="s">
        <v>373</v>
      </c>
      <c r="F2" s="459" t="s">
        <v>374</v>
      </c>
      <c r="G2" s="287" t="s">
        <v>518</v>
      </c>
      <c r="H2" s="287" t="s">
        <v>519</v>
      </c>
      <c r="I2" s="287" t="s">
        <v>283</v>
      </c>
      <c r="T2" s="287" t="s">
        <v>284</v>
      </c>
      <c r="V2" s="288" t="s">
        <v>286</v>
      </c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  <c r="AP2" s="284"/>
      <c r="AV2" s="1432" t="s">
        <v>287</v>
      </c>
      <c r="AW2" s="1432"/>
      <c r="AX2" s="1432"/>
    </row>
    <row r="3" spans="1:74" ht="64.05" customHeight="1" thickBot="1">
      <c r="A3" s="1427"/>
      <c r="B3" s="171" t="s">
        <v>155</v>
      </c>
      <c r="C3" s="244">
        <v>45658</v>
      </c>
      <c r="D3" s="245">
        <f>EOMONTH(C3,3)</f>
        <v>45777</v>
      </c>
      <c r="E3" s="245">
        <f t="shared" ref="E3:AK3" si="0">EOMONTH(D3,3)</f>
        <v>45869</v>
      </c>
      <c r="F3" s="285">
        <f t="shared" si="0"/>
        <v>45961</v>
      </c>
      <c r="G3" s="289">
        <f t="shared" si="0"/>
        <v>46053</v>
      </c>
      <c r="H3" s="289">
        <f t="shared" si="0"/>
        <v>46142</v>
      </c>
      <c r="I3" s="289">
        <f t="shared" si="0"/>
        <v>46234</v>
      </c>
      <c r="J3" s="289">
        <f t="shared" si="0"/>
        <v>46326</v>
      </c>
      <c r="K3" s="289">
        <f t="shared" si="0"/>
        <v>46418</v>
      </c>
      <c r="L3" s="289">
        <f t="shared" si="0"/>
        <v>46507</v>
      </c>
      <c r="M3" s="289">
        <f t="shared" si="0"/>
        <v>46599</v>
      </c>
      <c r="N3" s="289">
        <f t="shared" si="0"/>
        <v>46691</v>
      </c>
      <c r="O3" s="289">
        <f t="shared" si="0"/>
        <v>46783</v>
      </c>
      <c r="P3" s="289">
        <f t="shared" si="0"/>
        <v>46873</v>
      </c>
      <c r="Q3" s="289">
        <f t="shared" si="0"/>
        <v>46965</v>
      </c>
      <c r="R3" s="289">
        <f t="shared" si="0"/>
        <v>47057</v>
      </c>
      <c r="S3" s="289">
        <f t="shared" si="0"/>
        <v>47149</v>
      </c>
      <c r="T3" s="289">
        <f t="shared" si="0"/>
        <v>47238</v>
      </c>
      <c r="U3" s="289">
        <f t="shared" si="0"/>
        <v>47330</v>
      </c>
      <c r="V3" s="289">
        <f t="shared" si="0"/>
        <v>47422</v>
      </c>
      <c r="W3" s="286">
        <f t="shared" si="0"/>
        <v>47514</v>
      </c>
      <c r="X3" s="289">
        <f t="shared" si="0"/>
        <v>47603</v>
      </c>
      <c r="Y3" s="289">
        <f t="shared" si="0"/>
        <v>47695</v>
      </c>
      <c r="Z3" s="289">
        <f t="shared" si="0"/>
        <v>47787</v>
      </c>
      <c r="AA3" s="289">
        <f t="shared" si="0"/>
        <v>47879</v>
      </c>
      <c r="AB3" s="289">
        <f t="shared" si="0"/>
        <v>47968</v>
      </c>
      <c r="AC3" s="289">
        <f t="shared" si="0"/>
        <v>48060</v>
      </c>
      <c r="AD3" s="289">
        <f t="shared" si="0"/>
        <v>48152</v>
      </c>
      <c r="AE3" s="289">
        <f t="shared" si="0"/>
        <v>48244</v>
      </c>
      <c r="AF3" s="289">
        <f t="shared" si="0"/>
        <v>48334</v>
      </c>
      <c r="AG3" s="289">
        <f t="shared" si="0"/>
        <v>48426</v>
      </c>
      <c r="AH3" s="289">
        <f t="shared" si="0"/>
        <v>48518</v>
      </c>
      <c r="AI3" s="289">
        <f t="shared" si="0"/>
        <v>48610</v>
      </c>
      <c r="AJ3" s="289">
        <f t="shared" si="0"/>
        <v>48699</v>
      </c>
      <c r="AK3" s="289">
        <f t="shared" si="0"/>
        <v>48791</v>
      </c>
      <c r="AL3" s="289">
        <f>EOMONTH(AK3,3)</f>
        <v>48883</v>
      </c>
      <c r="AM3" s="289">
        <f t="shared" ref="AM3:AU3" si="1">EOMONTH(AL3,3)</f>
        <v>48975</v>
      </c>
      <c r="AN3" s="289">
        <f t="shared" si="1"/>
        <v>49064</v>
      </c>
      <c r="AO3" s="289">
        <f t="shared" si="1"/>
        <v>49156</v>
      </c>
      <c r="AP3" s="289">
        <f t="shared" si="1"/>
        <v>49248</v>
      </c>
      <c r="AQ3" s="289">
        <f t="shared" si="1"/>
        <v>49340</v>
      </c>
      <c r="AR3" s="289">
        <f t="shared" si="1"/>
        <v>49429</v>
      </c>
      <c r="AS3" s="289">
        <f>EOMONTH(AR3,3)</f>
        <v>49521</v>
      </c>
      <c r="AT3" s="289">
        <f t="shared" si="1"/>
        <v>49613</v>
      </c>
      <c r="AU3" s="289">
        <f t="shared" si="1"/>
        <v>49705</v>
      </c>
      <c r="AV3" s="460" t="s">
        <v>288</v>
      </c>
      <c r="AW3" s="461" t="s">
        <v>289</v>
      </c>
      <c r="AX3" s="460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</row>
    <row r="4" spans="1:74" ht="14.65" thickBot="1">
      <c r="A4" s="462" t="s">
        <v>290</v>
      </c>
      <c r="B4" s="463">
        <v>1</v>
      </c>
      <c r="C4" s="281">
        <v>0</v>
      </c>
      <c r="D4" s="281">
        <v>0</v>
      </c>
      <c r="E4" s="281">
        <v>0</v>
      </c>
      <c r="F4" s="281">
        <f t="shared" ref="F4:G4" si="2">E4</f>
        <v>0</v>
      </c>
      <c r="G4" s="280">
        <f t="shared" si="2"/>
        <v>0</v>
      </c>
      <c r="H4" s="280">
        <v>0</v>
      </c>
      <c r="I4" s="280">
        <v>0.05</v>
      </c>
      <c r="J4" s="280">
        <v>0.05</v>
      </c>
      <c r="K4" s="280">
        <v>0.05</v>
      </c>
      <c r="L4" s="280">
        <v>0.05</v>
      </c>
      <c r="M4" s="280">
        <v>0.12</v>
      </c>
      <c r="N4" s="280">
        <v>0.12</v>
      </c>
      <c r="O4" s="280">
        <v>0.12</v>
      </c>
      <c r="P4" s="280">
        <v>0.12</v>
      </c>
      <c r="Q4" s="280">
        <v>0.08</v>
      </c>
      <c r="R4" s="280">
        <v>0.08</v>
      </c>
      <c r="S4" s="280">
        <v>0.08</v>
      </c>
      <c r="T4" s="280">
        <v>0.08</v>
      </c>
      <c r="U4" s="280">
        <v>0</v>
      </c>
      <c r="V4" s="280">
        <v>0</v>
      </c>
      <c r="W4" s="281"/>
      <c r="X4" s="281"/>
      <c r="Y4" s="281"/>
      <c r="Z4" s="281"/>
      <c r="AA4" s="281"/>
      <c r="AB4" s="281"/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O4" s="281"/>
      <c r="AP4" s="281"/>
      <c r="AQ4" s="281"/>
      <c r="AR4" s="281"/>
      <c r="AS4" s="281"/>
      <c r="AT4" s="281"/>
      <c r="AU4" s="281"/>
      <c r="AV4" s="464">
        <f>SUM(C4:AU4)</f>
        <v>0.99999999999999989</v>
      </c>
      <c r="AW4" s="465"/>
      <c r="AX4" s="255" t="s">
        <v>291</v>
      </c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</row>
    <row r="5" spans="1:74">
      <c r="A5" s="466" t="str">
        <f>'Phase 1a Financial'!A92</f>
        <v>Hard Costs for Construction</v>
      </c>
      <c r="B5" s="467">
        <f>'Phase 1a Financial'!C92</f>
        <v>470125114.28571427</v>
      </c>
      <c r="C5" s="468">
        <f t="shared" ref="C5:U5" si="3">$B$5*C4</f>
        <v>0</v>
      </c>
      <c r="D5" s="468">
        <f t="shared" si="3"/>
        <v>0</v>
      </c>
      <c r="E5" s="468">
        <f t="shared" si="3"/>
        <v>0</v>
      </c>
      <c r="F5" s="468">
        <f t="shared" si="3"/>
        <v>0</v>
      </c>
      <c r="G5" s="468">
        <f t="shared" si="3"/>
        <v>0</v>
      </c>
      <c r="H5" s="468">
        <f t="shared" si="3"/>
        <v>0</v>
      </c>
      <c r="I5" s="468">
        <f t="shared" si="3"/>
        <v>23506255.714285716</v>
      </c>
      <c r="J5" s="468">
        <f t="shared" si="3"/>
        <v>23506255.714285716</v>
      </c>
      <c r="K5" s="468">
        <f t="shared" si="3"/>
        <v>23506255.714285716</v>
      </c>
      <c r="L5" s="468">
        <f t="shared" si="3"/>
        <v>23506255.714285716</v>
      </c>
      <c r="M5" s="468">
        <f t="shared" si="3"/>
        <v>56415013.714285709</v>
      </c>
      <c r="N5" s="468">
        <f t="shared" si="3"/>
        <v>56415013.714285709</v>
      </c>
      <c r="O5" s="468">
        <f t="shared" si="3"/>
        <v>56415013.714285709</v>
      </c>
      <c r="P5" s="468">
        <f t="shared" si="3"/>
        <v>56415013.714285709</v>
      </c>
      <c r="Q5" s="468">
        <f t="shared" si="3"/>
        <v>37610009.142857142</v>
      </c>
      <c r="R5" s="468">
        <f t="shared" si="3"/>
        <v>37610009.142857142</v>
      </c>
      <c r="S5" s="468">
        <f t="shared" si="3"/>
        <v>37610009.142857142</v>
      </c>
      <c r="T5" s="468">
        <f t="shared" si="3"/>
        <v>37610009.142857142</v>
      </c>
      <c r="U5" s="468">
        <f t="shared" si="3"/>
        <v>0</v>
      </c>
      <c r="V5" s="468">
        <f>$B$5*V4</f>
        <v>0</v>
      </c>
      <c r="W5" s="469"/>
      <c r="X5" s="469"/>
      <c r="Y5" s="469"/>
      <c r="Z5" s="469"/>
      <c r="AA5" s="469"/>
      <c r="AB5" s="469"/>
      <c r="AC5" s="469"/>
      <c r="AD5" s="469"/>
      <c r="AE5" s="469"/>
      <c r="AF5" s="469"/>
      <c r="AG5" s="469"/>
      <c r="AH5" s="469"/>
      <c r="AI5" s="469"/>
      <c r="AJ5" s="469"/>
      <c r="AK5" s="469"/>
      <c r="AL5" s="469"/>
      <c r="AM5" s="469"/>
      <c r="AN5" s="469"/>
      <c r="AO5" s="469"/>
      <c r="AP5" s="469"/>
      <c r="AQ5" s="469"/>
      <c r="AR5" s="469"/>
      <c r="AS5" s="469"/>
      <c r="AT5" s="469"/>
      <c r="AU5" s="469"/>
      <c r="AV5" s="469">
        <f>SUM(C5:AU5)</f>
        <v>470125114.28571421</v>
      </c>
      <c r="AW5" s="469">
        <f t="shared" ref="AW5:AW25" si="4">B5</f>
        <v>470125114.28571427</v>
      </c>
      <c r="AX5" s="469">
        <f>AW5-AV5</f>
        <v>0</v>
      </c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</row>
    <row r="6" spans="1:74">
      <c r="A6" s="466" t="str">
        <f>'Phase 1a Financial'!A93</f>
        <v>Parking stalls</v>
      </c>
      <c r="B6" s="467">
        <f>'Phase 1a Financial'!C93</f>
        <v>0</v>
      </c>
      <c r="C6" s="468">
        <f t="shared" ref="C6:V6" si="5">$B$6*C4</f>
        <v>0</v>
      </c>
      <c r="D6" s="468">
        <f t="shared" si="5"/>
        <v>0</v>
      </c>
      <c r="E6" s="468">
        <f t="shared" si="5"/>
        <v>0</v>
      </c>
      <c r="F6" s="468">
        <f t="shared" si="5"/>
        <v>0</v>
      </c>
      <c r="G6" s="468">
        <f t="shared" si="5"/>
        <v>0</v>
      </c>
      <c r="H6" s="468">
        <f t="shared" si="5"/>
        <v>0</v>
      </c>
      <c r="I6" s="468">
        <f t="shared" si="5"/>
        <v>0</v>
      </c>
      <c r="J6" s="468">
        <f t="shared" si="5"/>
        <v>0</v>
      </c>
      <c r="K6" s="468">
        <f t="shared" si="5"/>
        <v>0</v>
      </c>
      <c r="L6" s="468">
        <f t="shared" si="5"/>
        <v>0</v>
      </c>
      <c r="M6" s="468">
        <f t="shared" si="5"/>
        <v>0</v>
      </c>
      <c r="N6" s="468">
        <f t="shared" si="5"/>
        <v>0</v>
      </c>
      <c r="O6" s="468">
        <f t="shared" si="5"/>
        <v>0</v>
      </c>
      <c r="P6" s="468">
        <f t="shared" si="5"/>
        <v>0</v>
      </c>
      <c r="Q6" s="468">
        <f t="shared" si="5"/>
        <v>0</v>
      </c>
      <c r="R6" s="468">
        <f t="shared" si="5"/>
        <v>0</v>
      </c>
      <c r="S6" s="468">
        <f t="shared" si="5"/>
        <v>0</v>
      </c>
      <c r="T6" s="468">
        <f t="shared" si="5"/>
        <v>0</v>
      </c>
      <c r="U6" s="468">
        <f t="shared" si="5"/>
        <v>0</v>
      </c>
      <c r="V6" s="468">
        <f t="shared" si="5"/>
        <v>0</v>
      </c>
      <c r="W6" s="469"/>
      <c r="X6" s="469"/>
      <c r="Y6" s="469"/>
      <c r="Z6" s="469"/>
      <c r="AA6" s="469"/>
      <c r="AB6" s="469"/>
      <c r="AC6" s="469"/>
      <c r="AD6" s="469"/>
      <c r="AE6" s="469"/>
      <c r="AF6" s="469"/>
      <c r="AG6" s="469"/>
      <c r="AH6" s="469"/>
      <c r="AI6" s="469"/>
      <c r="AJ6" s="469"/>
      <c r="AK6" s="469"/>
      <c r="AL6" s="469"/>
      <c r="AM6" s="469"/>
      <c r="AN6" s="469"/>
      <c r="AO6" s="469"/>
      <c r="AP6" s="469"/>
      <c r="AQ6" s="469"/>
      <c r="AR6" s="469"/>
      <c r="AS6" s="469"/>
      <c r="AT6" s="469"/>
      <c r="AU6" s="469"/>
      <c r="AV6" s="469">
        <f>SUM(C6:AU6)</f>
        <v>0</v>
      </c>
      <c r="AW6" s="469">
        <f t="shared" si="4"/>
        <v>0</v>
      </c>
      <c r="AX6" s="469">
        <f t="shared" ref="AX6:AX25" si="6">AW6-AV6</f>
        <v>0</v>
      </c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</row>
    <row r="7" spans="1:74">
      <c r="A7" s="466" t="str">
        <f>'Phase 1a Financial'!A94</f>
        <v>Hard Cost Contingency</v>
      </c>
      <c r="B7" s="467">
        <f>'Phase 1a Financial'!C94</f>
        <v>23506255.714285716</v>
      </c>
      <c r="C7" s="468">
        <f t="shared" ref="C7:Q7" si="7">$B7*C$4</f>
        <v>0</v>
      </c>
      <c r="D7" s="468">
        <f t="shared" si="7"/>
        <v>0</v>
      </c>
      <c r="E7" s="468">
        <f t="shared" si="7"/>
        <v>0</v>
      </c>
      <c r="F7" s="468">
        <f t="shared" si="7"/>
        <v>0</v>
      </c>
      <c r="G7" s="468">
        <f t="shared" si="7"/>
        <v>0</v>
      </c>
      <c r="H7" s="468">
        <f t="shared" si="7"/>
        <v>0</v>
      </c>
      <c r="I7" s="468">
        <f t="shared" si="7"/>
        <v>1175312.7857142859</v>
      </c>
      <c r="J7" s="468">
        <f t="shared" si="7"/>
        <v>1175312.7857142859</v>
      </c>
      <c r="K7" s="468">
        <f t="shared" si="7"/>
        <v>1175312.7857142859</v>
      </c>
      <c r="L7" s="468">
        <f t="shared" si="7"/>
        <v>1175312.7857142859</v>
      </c>
      <c r="M7" s="468">
        <f t="shared" si="7"/>
        <v>2820750.6857142858</v>
      </c>
      <c r="N7" s="468">
        <f t="shared" si="7"/>
        <v>2820750.6857142858</v>
      </c>
      <c r="O7" s="468">
        <f t="shared" si="7"/>
        <v>2820750.6857142858</v>
      </c>
      <c r="P7" s="468">
        <f t="shared" si="7"/>
        <v>2820750.6857142858</v>
      </c>
      <c r="Q7" s="468">
        <f t="shared" si="7"/>
        <v>1880500.4571428574</v>
      </c>
      <c r="R7" s="468">
        <f>$B7*R$4</f>
        <v>1880500.4571428574</v>
      </c>
      <c r="S7" s="468">
        <f t="shared" ref="S7:U7" si="8">$B7*S$4</f>
        <v>1880500.4571428574</v>
      </c>
      <c r="T7" s="468">
        <f t="shared" si="8"/>
        <v>1880500.4571428574</v>
      </c>
      <c r="U7" s="468">
        <f t="shared" si="8"/>
        <v>0</v>
      </c>
      <c r="V7" s="468">
        <f>$B7*V$4</f>
        <v>0</v>
      </c>
      <c r="W7" s="469"/>
      <c r="X7" s="469"/>
      <c r="Y7" s="469"/>
      <c r="Z7" s="469"/>
      <c r="AA7" s="469"/>
      <c r="AB7" s="469"/>
      <c r="AC7" s="469"/>
      <c r="AD7" s="469"/>
      <c r="AE7" s="469"/>
      <c r="AF7" s="469"/>
      <c r="AG7" s="469"/>
      <c r="AH7" s="469"/>
      <c r="AI7" s="469"/>
      <c r="AJ7" s="469"/>
      <c r="AK7" s="469"/>
      <c r="AL7" s="469"/>
      <c r="AM7" s="469"/>
      <c r="AN7" s="469"/>
      <c r="AO7" s="469"/>
      <c r="AP7" s="469"/>
      <c r="AQ7" s="469"/>
      <c r="AR7" s="469"/>
      <c r="AS7" s="469"/>
      <c r="AT7" s="469"/>
      <c r="AU7" s="469"/>
      <c r="AV7" s="469">
        <f>SUM(C7:AU7)</f>
        <v>23506255.714285713</v>
      </c>
      <c r="AW7" s="469">
        <f t="shared" si="4"/>
        <v>23506255.714285716</v>
      </c>
      <c r="AX7" s="469">
        <f t="shared" si="6"/>
        <v>0</v>
      </c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</row>
    <row r="8" spans="1:74">
      <c r="A8" s="466" t="str">
        <f>'Phase 1a Financial'!A95</f>
        <v>Demolition</v>
      </c>
      <c r="B8" s="467">
        <f>'Phase 1a Financial'!C95</f>
        <v>2250000</v>
      </c>
      <c r="C8" s="468"/>
      <c r="D8" s="468"/>
      <c r="E8" s="468"/>
      <c r="F8" s="468"/>
      <c r="G8" s="468">
        <v>2250000</v>
      </c>
      <c r="H8" s="468"/>
      <c r="I8" s="468"/>
      <c r="J8" s="468"/>
      <c r="K8" s="468"/>
      <c r="L8" s="468"/>
      <c r="M8" s="468"/>
      <c r="N8" s="468"/>
      <c r="O8" s="468"/>
      <c r="P8" s="468"/>
      <c r="Q8" s="468"/>
      <c r="R8" s="468"/>
      <c r="S8" s="468"/>
      <c r="T8" s="468"/>
      <c r="U8" s="468"/>
      <c r="V8" s="468"/>
      <c r="W8" s="469"/>
      <c r="X8" s="469"/>
      <c r="Y8" s="469"/>
      <c r="Z8" s="469"/>
      <c r="AA8" s="469"/>
      <c r="AB8" s="469"/>
      <c r="AC8" s="469"/>
      <c r="AD8" s="469"/>
      <c r="AE8" s="469"/>
      <c r="AF8" s="469"/>
      <c r="AG8" s="469"/>
      <c r="AH8" s="469"/>
      <c r="AI8" s="469"/>
      <c r="AJ8" s="469"/>
      <c r="AK8" s="469"/>
      <c r="AL8" s="469"/>
      <c r="AM8" s="469"/>
      <c r="AN8" s="469"/>
      <c r="AO8" s="469"/>
      <c r="AP8" s="469"/>
      <c r="AQ8" s="469"/>
      <c r="AR8" s="469"/>
      <c r="AS8" s="469"/>
      <c r="AT8" s="469"/>
      <c r="AU8" s="469"/>
      <c r="AV8" s="469">
        <f>SUM(C8:AU8)</f>
        <v>2250000</v>
      </c>
      <c r="AW8" s="469">
        <f t="shared" si="4"/>
        <v>2250000</v>
      </c>
      <c r="AX8" s="469">
        <f t="shared" si="6"/>
        <v>0</v>
      </c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</row>
    <row r="9" spans="1:74">
      <c r="A9" s="466" t="str">
        <f>'Phase 1a Financial'!A96</f>
        <v>LAND</v>
      </c>
      <c r="B9" s="467">
        <f>'Phase 1a Financial'!C96</f>
        <v>17000000</v>
      </c>
      <c r="C9" s="282"/>
      <c r="D9" s="470"/>
      <c r="E9" s="468">
        <v>400000</v>
      </c>
      <c r="F9" s="468"/>
      <c r="G9" s="471"/>
      <c r="H9" s="471"/>
      <c r="I9" s="468">
        <f>$B9-$E9</f>
        <v>16600000</v>
      </c>
      <c r="J9" s="472"/>
      <c r="K9" s="470"/>
      <c r="L9" s="470"/>
      <c r="M9" s="473"/>
      <c r="N9" s="470"/>
      <c r="O9" s="470"/>
      <c r="P9" s="470"/>
      <c r="Q9" s="470">
        <v>0</v>
      </c>
      <c r="R9" s="470">
        <v>0</v>
      </c>
      <c r="S9" s="470">
        <v>0</v>
      </c>
      <c r="T9" s="470">
        <v>0</v>
      </c>
      <c r="U9" s="470">
        <v>0</v>
      </c>
      <c r="V9" s="470">
        <v>0</v>
      </c>
      <c r="W9" s="474"/>
      <c r="X9" s="474"/>
      <c r="Y9" s="474"/>
      <c r="Z9" s="474"/>
      <c r="AA9" s="474"/>
      <c r="AB9" s="474"/>
      <c r="AC9" s="474"/>
      <c r="AD9" s="474"/>
      <c r="AE9" s="474"/>
      <c r="AF9" s="474"/>
      <c r="AG9" s="474"/>
      <c r="AH9" s="474"/>
      <c r="AI9" s="474"/>
      <c r="AJ9" s="474"/>
      <c r="AK9" s="474"/>
      <c r="AL9" s="474"/>
      <c r="AM9" s="474"/>
      <c r="AN9" s="474"/>
      <c r="AO9" s="474"/>
      <c r="AP9" s="474"/>
      <c r="AQ9" s="474"/>
      <c r="AR9" s="474"/>
      <c r="AS9" s="474"/>
      <c r="AT9" s="474"/>
      <c r="AU9" s="474"/>
      <c r="AV9" s="469">
        <f>SUM(D9:AU9)</f>
        <v>17000000</v>
      </c>
      <c r="AW9" s="469">
        <f t="shared" si="4"/>
        <v>17000000</v>
      </c>
      <c r="AX9" s="469">
        <f t="shared" si="6"/>
        <v>0</v>
      </c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</row>
    <row r="10" spans="1:74">
      <c r="A10" s="466" t="str">
        <f>'Phase 1a Financial'!A97</f>
        <v>Municipal Fees and Allowances</v>
      </c>
      <c r="B10" s="467">
        <f>'Phase 1a Financial'!C97</f>
        <v>1939000</v>
      </c>
      <c r="C10" s="473"/>
      <c r="D10" s="470"/>
      <c r="E10" s="468"/>
      <c r="F10" s="468"/>
      <c r="G10" s="468"/>
      <c r="H10" s="471"/>
      <c r="I10" s="468">
        <f>$B10</f>
        <v>1939000</v>
      </c>
      <c r="J10" s="468"/>
      <c r="K10" s="470"/>
      <c r="L10" s="470"/>
      <c r="M10" s="470"/>
      <c r="N10" s="470"/>
      <c r="O10" s="470"/>
      <c r="P10" s="470"/>
      <c r="Q10" s="470"/>
      <c r="R10" s="470"/>
      <c r="S10" s="283"/>
      <c r="T10" s="470"/>
      <c r="U10" s="470"/>
      <c r="V10" s="470"/>
      <c r="W10" s="474"/>
      <c r="X10" s="474"/>
      <c r="Y10" s="474"/>
      <c r="Z10" s="474"/>
      <c r="AA10" s="474"/>
      <c r="AB10" s="474"/>
      <c r="AC10" s="474"/>
      <c r="AD10" s="474"/>
      <c r="AE10" s="474"/>
      <c r="AF10" s="474"/>
      <c r="AG10" s="474"/>
      <c r="AH10" s="474"/>
      <c r="AI10" s="474"/>
      <c r="AJ10" s="474"/>
      <c r="AK10" s="474"/>
      <c r="AL10" s="474"/>
      <c r="AM10" s="474"/>
      <c r="AN10" s="474"/>
      <c r="AO10" s="474"/>
      <c r="AP10" s="474"/>
      <c r="AQ10" s="474"/>
      <c r="AR10" s="474"/>
      <c r="AS10" s="474"/>
      <c r="AT10" s="474"/>
      <c r="AU10" s="474"/>
      <c r="AV10" s="469">
        <f t="shared" ref="AV10:AV25" si="9">SUM(C10:AU10)</f>
        <v>1939000</v>
      </c>
      <c r="AW10" s="469">
        <f t="shared" si="4"/>
        <v>1939000</v>
      </c>
      <c r="AX10" s="469">
        <f t="shared" si="6"/>
        <v>0</v>
      </c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</row>
    <row r="11" spans="1:74" ht="19.05" customHeight="1">
      <c r="A11" s="466" t="str">
        <f>'Phase 1a Financial'!A98</f>
        <v>Infrastructure allocation</v>
      </c>
      <c r="B11" s="467">
        <f>'Phase 1a Financial'!C98</f>
        <v>4952298.333333333</v>
      </c>
      <c r="C11" s="475"/>
      <c r="D11" s="474"/>
      <c r="E11" s="476"/>
      <c r="F11" s="476"/>
      <c r="G11" s="476"/>
      <c r="H11" s="476"/>
      <c r="I11" s="476"/>
      <c r="J11" s="476"/>
      <c r="K11" s="474"/>
      <c r="L11" s="474"/>
      <c r="M11" s="474"/>
      <c r="N11" s="474"/>
      <c r="O11" s="474"/>
      <c r="P11" s="474"/>
      <c r="Q11" s="474"/>
      <c r="R11" s="468">
        <f>$B11/2</f>
        <v>2476149.1666666665</v>
      </c>
      <c r="S11" s="468">
        <f>$B11/2</f>
        <v>2476149.1666666665</v>
      </c>
      <c r="T11" s="474"/>
      <c r="U11" s="471"/>
      <c r="V11" s="471"/>
      <c r="W11" s="477"/>
      <c r="X11" s="477"/>
      <c r="Y11" s="477"/>
      <c r="Z11" s="477"/>
      <c r="AA11" s="477"/>
      <c r="AB11" s="477"/>
      <c r="AC11" s="477"/>
      <c r="AD11" s="477"/>
      <c r="AE11" s="477"/>
      <c r="AF11" s="477"/>
      <c r="AG11" s="477"/>
      <c r="AH11" s="477"/>
      <c r="AI11" s="477"/>
      <c r="AJ11" s="477"/>
      <c r="AK11" s="477"/>
      <c r="AL11" s="477"/>
      <c r="AM11" s="477"/>
      <c r="AN11" s="477"/>
      <c r="AO11" s="477"/>
      <c r="AP11" s="477"/>
      <c r="AQ11" s="474"/>
      <c r="AR11" s="474"/>
      <c r="AS11" s="474"/>
      <c r="AT11" s="474"/>
      <c r="AU11" s="474"/>
      <c r="AV11" s="469">
        <f t="shared" si="9"/>
        <v>4952298.333333333</v>
      </c>
      <c r="AW11" s="469">
        <f t="shared" si="4"/>
        <v>4952298.333333333</v>
      </c>
      <c r="AX11" s="469">
        <f t="shared" si="6"/>
        <v>0</v>
      </c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</row>
    <row r="12" spans="1:74">
      <c r="A12" s="466" t="str">
        <f>'Phase 1a Financial'!A99</f>
        <v>Legal</v>
      </c>
      <c r="B12" s="467">
        <f>'Phase 1a Financial'!C99</f>
        <v>400000</v>
      </c>
      <c r="C12" s="475"/>
      <c r="D12" s="475"/>
      <c r="E12" s="468">
        <v>100000</v>
      </c>
      <c r="F12" s="468">
        <v>100000</v>
      </c>
      <c r="G12" s="468">
        <v>50000</v>
      </c>
      <c r="H12" s="468">
        <v>50000</v>
      </c>
      <c r="I12" s="468">
        <v>50000</v>
      </c>
      <c r="J12" s="468">
        <v>50000</v>
      </c>
      <c r="K12" s="474"/>
      <c r="L12" s="474"/>
      <c r="M12" s="474"/>
      <c r="N12" s="474"/>
      <c r="O12" s="474"/>
      <c r="P12" s="474"/>
      <c r="Q12" s="474"/>
      <c r="R12" s="474"/>
      <c r="S12" s="474"/>
      <c r="T12" s="474"/>
      <c r="U12" s="470"/>
      <c r="V12" s="470"/>
      <c r="W12" s="474"/>
      <c r="X12" s="474"/>
      <c r="Y12" s="474"/>
      <c r="Z12" s="474"/>
      <c r="AA12" s="474"/>
      <c r="AB12" s="474"/>
      <c r="AC12" s="474"/>
      <c r="AD12" s="474"/>
      <c r="AE12" s="474"/>
      <c r="AF12" s="474"/>
      <c r="AG12" s="474"/>
      <c r="AH12" s="474"/>
      <c r="AI12" s="474"/>
      <c r="AJ12" s="474"/>
      <c r="AK12" s="474"/>
      <c r="AL12" s="474"/>
      <c r="AM12" s="474"/>
      <c r="AN12" s="474"/>
      <c r="AO12" s="474"/>
      <c r="AP12" s="474"/>
      <c r="AQ12" s="474"/>
      <c r="AR12" s="474"/>
      <c r="AS12" s="474"/>
      <c r="AT12" s="474"/>
      <c r="AU12" s="474"/>
      <c r="AV12" s="469">
        <f t="shared" si="9"/>
        <v>400000</v>
      </c>
      <c r="AW12" s="469">
        <f t="shared" si="4"/>
        <v>400000</v>
      </c>
      <c r="AX12" s="469">
        <f t="shared" si="6"/>
        <v>0</v>
      </c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</row>
    <row r="13" spans="1:74">
      <c r="A13" s="466" t="str">
        <f>'Phase 1a Financial'!A100</f>
        <v>Land Closing Costs/commissions</v>
      </c>
      <c r="B13" s="467">
        <f>'Phase 1a Financial'!C100</f>
        <v>9469.5</v>
      </c>
      <c r="C13" s="472"/>
      <c r="D13" s="468"/>
      <c r="E13" s="468"/>
      <c r="F13" s="468"/>
      <c r="G13" s="282"/>
      <c r="H13" s="468">
        <f>B13</f>
        <v>9469.5</v>
      </c>
      <c r="I13" s="468"/>
      <c r="J13" s="468"/>
      <c r="K13" s="468"/>
      <c r="L13" s="468"/>
      <c r="M13" s="468"/>
      <c r="N13" s="468"/>
      <c r="O13" s="468"/>
      <c r="P13" s="468"/>
      <c r="Q13" s="468"/>
      <c r="R13" s="468"/>
      <c r="S13" s="468"/>
      <c r="T13" s="468"/>
      <c r="U13" s="468"/>
      <c r="V13" s="468"/>
      <c r="W13" s="469"/>
      <c r="X13" s="469"/>
      <c r="Y13" s="469"/>
      <c r="Z13" s="469"/>
      <c r="AA13" s="469"/>
      <c r="AB13" s="469"/>
      <c r="AC13" s="469"/>
      <c r="AD13" s="469"/>
      <c r="AE13" s="469"/>
      <c r="AF13" s="469"/>
      <c r="AG13" s="469"/>
      <c r="AH13" s="469"/>
      <c r="AI13" s="469"/>
      <c r="AJ13" s="469"/>
      <c r="AK13" s="469"/>
      <c r="AL13" s="469"/>
      <c r="AM13" s="469"/>
      <c r="AN13" s="469"/>
      <c r="AO13" s="469"/>
      <c r="AP13" s="469"/>
      <c r="AQ13" s="469"/>
      <c r="AR13" s="469"/>
      <c r="AS13" s="469"/>
      <c r="AT13" s="469"/>
      <c r="AU13" s="469"/>
      <c r="AV13" s="469">
        <f t="shared" si="9"/>
        <v>9469.5</v>
      </c>
      <c r="AW13" s="469">
        <f t="shared" si="4"/>
        <v>9469.5</v>
      </c>
      <c r="AX13" s="469">
        <f t="shared" si="6"/>
        <v>0</v>
      </c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</row>
    <row r="14" spans="1:74">
      <c r="A14" s="466" t="str">
        <f>'Phase 1a Financial'!A101</f>
        <v xml:space="preserve">Design </v>
      </c>
      <c r="B14" s="467">
        <f>'Phase 1a Financial'!C101</f>
        <v>19745254.800000001</v>
      </c>
      <c r="C14" s="468"/>
      <c r="D14" s="468"/>
      <c r="E14" s="468">
        <f>0.3*$B14</f>
        <v>5923576.4400000004</v>
      </c>
      <c r="F14" s="468">
        <f>0.3*$B14</f>
        <v>5923576.4400000004</v>
      </c>
      <c r="G14" s="468">
        <f>0.1*$B14</f>
        <v>1974525.4800000002</v>
      </c>
      <c r="H14" s="468">
        <f>0.1*$B14</f>
        <v>1974525.4800000002</v>
      </c>
      <c r="I14" s="468">
        <f>0.05*$B14</f>
        <v>987262.74000000011</v>
      </c>
      <c r="J14" s="468">
        <f>0.02*$B14</f>
        <v>394905.09600000002</v>
      </c>
      <c r="K14" s="468">
        <f t="shared" ref="K14:N14" si="10">0.02*$B14</f>
        <v>394905.09600000002</v>
      </c>
      <c r="L14" s="468">
        <f t="shared" si="10"/>
        <v>394905.09600000002</v>
      </c>
      <c r="M14" s="468">
        <f t="shared" si="10"/>
        <v>394905.09600000002</v>
      </c>
      <c r="N14" s="468">
        <f t="shared" si="10"/>
        <v>394905.09600000002</v>
      </c>
      <c r="O14" s="468">
        <f>0.01*$B14</f>
        <v>197452.54800000001</v>
      </c>
      <c r="P14" s="468">
        <f t="shared" ref="P14:S14" si="11">0.01*$B14</f>
        <v>197452.54800000001</v>
      </c>
      <c r="Q14" s="468">
        <f t="shared" si="11"/>
        <v>197452.54800000001</v>
      </c>
      <c r="R14" s="468">
        <f t="shared" si="11"/>
        <v>197452.54800000001</v>
      </c>
      <c r="S14" s="468">
        <f t="shared" si="11"/>
        <v>197452.54800000001</v>
      </c>
      <c r="T14" s="468"/>
      <c r="U14" s="468"/>
      <c r="V14" s="468"/>
      <c r="W14" s="469"/>
      <c r="X14" s="469"/>
      <c r="Y14" s="469"/>
      <c r="Z14" s="469"/>
      <c r="AA14" s="469"/>
      <c r="AB14" s="469"/>
      <c r="AC14" s="469"/>
      <c r="AD14" s="469"/>
      <c r="AE14" s="469"/>
      <c r="AF14" s="469"/>
      <c r="AG14" s="469"/>
      <c r="AH14" s="469"/>
      <c r="AI14" s="469"/>
      <c r="AJ14" s="469"/>
      <c r="AK14" s="469"/>
      <c r="AL14" s="469"/>
      <c r="AM14" s="469"/>
      <c r="AN14" s="469"/>
      <c r="AO14" s="469"/>
      <c r="AP14" s="469"/>
      <c r="AQ14" s="469"/>
      <c r="AR14" s="469"/>
      <c r="AS14" s="469"/>
      <c r="AT14" s="469"/>
      <c r="AU14" s="469"/>
      <c r="AV14" s="469">
        <f t="shared" si="9"/>
        <v>19745254.800000008</v>
      </c>
      <c r="AW14" s="469">
        <f t="shared" si="4"/>
        <v>19745254.800000001</v>
      </c>
      <c r="AX14" s="469">
        <f t="shared" si="6"/>
        <v>0</v>
      </c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</row>
    <row r="15" spans="1:74">
      <c r="A15" s="466" t="str">
        <f>'Phase 1a Financial'!A102</f>
        <v>Developer Fee</v>
      </c>
      <c r="B15" s="467">
        <v>5173594</v>
      </c>
      <c r="C15" s="468">
        <f>$B15*C$4</f>
        <v>0</v>
      </c>
      <c r="D15" s="468">
        <f>$B15*D4</f>
        <v>0</v>
      </c>
      <c r="E15" s="468">
        <f>$B15*E4</f>
        <v>0</v>
      </c>
      <c r="F15" s="468">
        <f>$B15*F4</f>
        <v>0</v>
      </c>
      <c r="G15" s="468">
        <f>$B15*G4</f>
        <v>0</v>
      </c>
      <c r="H15" s="468"/>
      <c r="I15" s="468">
        <f>$B15/12</f>
        <v>431132.83333333331</v>
      </c>
      <c r="J15" s="468">
        <f t="shared" ref="J15:T16" si="12">$B15/12</f>
        <v>431132.83333333331</v>
      </c>
      <c r="K15" s="468">
        <f t="shared" si="12"/>
        <v>431132.83333333331</v>
      </c>
      <c r="L15" s="468">
        <f t="shared" si="12"/>
        <v>431132.83333333331</v>
      </c>
      <c r="M15" s="468">
        <f t="shared" si="12"/>
        <v>431132.83333333331</v>
      </c>
      <c r="N15" s="468">
        <f t="shared" si="12"/>
        <v>431132.83333333331</v>
      </c>
      <c r="O15" s="468">
        <f t="shared" si="12"/>
        <v>431132.83333333331</v>
      </c>
      <c r="P15" s="468">
        <f t="shared" si="12"/>
        <v>431132.83333333331</v>
      </c>
      <c r="Q15" s="468">
        <f t="shared" si="12"/>
        <v>431132.83333333331</v>
      </c>
      <c r="R15" s="468">
        <f t="shared" si="12"/>
        <v>431132.83333333331</v>
      </c>
      <c r="S15" s="468">
        <f t="shared" si="12"/>
        <v>431132.83333333331</v>
      </c>
      <c r="T15" s="468">
        <f t="shared" si="12"/>
        <v>431132.83333333331</v>
      </c>
      <c r="U15" s="468"/>
      <c r="V15" s="468"/>
      <c r="W15" s="469"/>
      <c r="X15" s="469"/>
      <c r="Y15" s="469"/>
      <c r="Z15" s="469"/>
      <c r="AA15" s="469"/>
      <c r="AB15" s="469"/>
      <c r="AC15" s="469"/>
      <c r="AD15" s="469"/>
      <c r="AE15" s="469"/>
      <c r="AF15" s="469"/>
      <c r="AG15" s="469"/>
      <c r="AH15" s="469"/>
      <c r="AI15" s="469"/>
      <c r="AJ15" s="469"/>
      <c r="AK15" s="469"/>
      <c r="AL15" s="469"/>
      <c r="AM15" s="469"/>
      <c r="AN15" s="469"/>
      <c r="AO15" s="469"/>
      <c r="AP15" s="469"/>
      <c r="AQ15" s="469"/>
      <c r="AR15" s="469"/>
      <c r="AS15" s="469"/>
      <c r="AT15" s="469"/>
      <c r="AU15" s="469"/>
      <c r="AV15" s="469">
        <f t="shared" si="9"/>
        <v>5173594</v>
      </c>
      <c r="AW15" s="469">
        <f t="shared" si="4"/>
        <v>5173594</v>
      </c>
      <c r="AX15" s="469">
        <f t="shared" si="6"/>
        <v>0</v>
      </c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</row>
    <row r="16" spans="1:74">
      <c r="A16" s="466" t="str">
        <f>'Phase 1a Financial'!A103</f>
        <v>Construction Management Fee</v>
      </c>
      <c r="B16" s="467">
        <f>'Phase 1a Financial'!C103</f>
        <v>9872627.4000000004</v>
      </c>
      <c r="C16" s="468">
        <f>$B16*C$4</f>
        <v>0</v>
      </c>
      <c r="D16" s="468">
        <f t="shared" ref="D16:G16" si="13">$B16*D$4</f>
        <v>0</v>
      </c>
      <c r="E16" s="468">
        <f t="shared" si="13"/>
        <v>0</v>
      </c>
      <c r="F16" s="468">
        <f t="shared" si="13"/>
        <v>0</v>
      </c>
      <c r="G16" s="468">
        <f t="shared" si="13"/>
        <v>0</v>
      </c>
      <c r="H16" s="468"/>
      <c r="I16" s="468">
        <f>$B16/12</f>
        <v>822718.95000000007</v>
      </c>
      <c r="J16" s="468">
        <f t="shared" si="12"/>
        <v>822718.95000000007</v>
      </c>
      <c r="K16" s="468">
        <f t="shared" si="12"/>
        <v>822718.95000000007</v>
      </c>
      <c r="L16" s="468">
        <f t="shared" si="12"/>
        <v>822718.95000000007</v>
      </c>
      <c r="M16" s="468">
        <f t="shared" si="12"/>
        <v>822718.95000000007</v>
      </c>
      <c r="N16" s="468">
        <f t="shared" si="12"/>
        <v>822718.95000000007</v>
      </c>
      <c r="O16" s="468">
        <f t="shared" si="12"/>
        <v>822718.95000000007</v>
      </c>
      <c r="P16" s="468">
        <f t="shared" si="12"/>
        <v>822718.95000000007</v>
      </c>
      <c r="Q16" s="468">
        <f t="shared" si="12"/>
        <v>822718.95000000007</v>
      </c>
      <c r="R16" s="468">
        <f t="shared" si="12"/>
        <v>822718.95000000007</v>
      </c>
      <c r="S16" s="468">
        <f t="shared" si="12"/>
        <v>822718.95000000007</v>
      </c>
      <c r="T16" s="468">
        <f t="shared" si="12"/>
        <v>822718.95000000007</v>
      </c>
      <c r="U16" s="468"/>
      <c r="V16" s="468"/>
      <c r="W16" s="469"/>
      <c r="X16" s="469"/>
      <c r="Y16" s="469"/>
      <c r="Z16" s="469"/>
      <c r="AA16" s="469"/>
      <c r="AB16" s="469"/>
      <c r="AC16" s="469"/>
      <c r="AD16" s="469"/>
      <c r="AE16" s="469"/>
      <c r="AF16" s="469"/>
      <c r="AG16" s="469"/>
      <c r="AH16" s="469"/>
      <c r="AI16" s="469"/>
      <c r="AJ16" s="469"/>
      <c r="AK16" s="469"/>
      <c r="AL16" s="469"/>
      <c r="AM16" s="469"/>
      <c r="AN16" s="469"/>
      <c r="AO16" s="469"/>
      <c r="AP16" s="469"/>
      <c r="AQ16" s="469"/>
      <c r="AR16" s="469"/>
      <c r="AS16" s="469"/>
      <c r="AT16" s="469"/>
      <c r="AU16" s="469"/>
      <c r="AV16" s="469">
        <f t="shared" si="9"/>
        <v>9872627.4000000004</v>
      </c>
      <c r="AW16" s="469">
        <f t="shared" si="4"/>
        <v>9872627.4000000004</v>
      </c>
      <c r="AX16" s="469">
        <f t="shared" si="6"/>
        <v>0</v>
      </c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</row>
    <row r="17" spans="1:74">
      <c r="A17" s="466" t="str">
        <f>'Phase 1a Financial'!A104</f>
        <v>Taxes</v>
      </c>
      <c r="B17" s="467">
        <f>'Phase 1a Financial'!C104</f>
        <v>0</v>
      </c>
      <c r="C17" s="472"/>
      <c r="D17" s="468"/>
      <c r="E17" s="468"/>
      <c r="F17" s="468"/>
      <c r="G17" s="471"/>
      <c r="H17" s="468">
        <f>$B17/10</f>
        <v>0</v>
      </c>
      <c r="I17" s="468"/>
      <c r="J17" s="468">
        <f>$B17/8</f>
        <v>0</v>
      </c>
      <c r="K17" s="468"/>
      <c r="L17" s="468">
        <f>$B17/6</f>
        <v>0</v>
      </c>
      <c r="M17" s="468"/>
      <c r="N17" s="468">
        <f>$B17/4</f>
        <v>0</v>
      </c>
      <c r="O17" s="468"/>
      <c r="P17" s="468">
        <f>$B17/6</f>
        <v>0</v>
      </c>
      <c r="Q17" s="282"/>
      <c r="R17" s="468"/>
      <c r="S17" s="282"/>
      <c r="T17" s="468"/>
      <c r="U17" s="468"/>
      <c r="V17" s="468"/>
      <c r="W17" s="469"/>
      <c r="X17" s="469"/>
      <c r="Y17" s="469"/>
      <c r="Z17" s="469"/>
      <c r="AA17" s="469"/>
      <c r="AB17" s="469"/>
      <c r="AC17" s="469"/>
      <c r="AD17" s="469"/>
      <c r="AE17" s="469"/>
      <c r="AF17" s="469"/>
      <c r="AG17" s="469"/>
      <c r="AH17" s="469"/>
      <c r="AI17" s="469"/>
      <c r="AJ17" s="469"/>
      <c r="AK17" s="469"/>
      <c r="AL17" s="469"/>
      <c r="AM17" s="469"/>
      <c r="AN17" s="469"/>
      <c r="AO17" s="469"/>
      <c r="AP17" s="469"/>
      <c r="AQ17" s="469"/>
      <c r="AR17" s="469"/>
      <c r="AT17" s="469"/>
      <c r="AU17" s="469"/>
      <c r="AV17" s="469">
        <f t="shared" si="9"/>
        <v>0</v>
      </c>
      <c r="AW17" s="469">
        <f t="shared" si="4"/>
        <v>0</v>
      </c>
      <c r="AX17" s="469">
        <f t="shared" si="6"/>
        <v>0</v>
      </c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</row>
    <row r="18" spans="1:74">
      <c r="A18" s="466" t="str">
        <f>'Phase 1a Financial'!A105</f>
        <v>Insurance</v>
      </c>
      <c r="B18" s="467">
        <f>'Phase 1a Financial'!C105</f>
        <v>6925000</v>
      </c>
      <c r="C18" s="472"/>
      <c r="D18" s="471"/>
      <c r="E18" s="471"/>
      <c r="F18" s="468"/>
      <c r="G18" s="468"/>
      <c r="H18" s="468"/>
      <c r="I18" s="468">
        <v>10000</v>
      </c>
      <c r="J18" s="468">
        <v>10000</v>
      </c>
      <c r="K18" s="468"/>
      <c r="L18" s="472">
        <f>$B18-SUM(C18:K18)</f>
        <v>6905000</v>
      </c>
      <c r="M18" s="468"/>
      <c r="N18" s="468"/>
      <c r="O18" s="468"/>
      <c r="P18" s="468"/>
      <c r="Q18" s="468"/>
      <c r="R18" s="468"/>
      <c r="S18" s="468"/>
      <c r="T18" s="282"/>
      <c r="U18" s="468"/>
      <c r="V18" s="468">
        <f>$B18-SUM(C18:U18)</f>
        <v>0</v>
      </c>
      <c r="W18" s="469"/>
      <c r="X18" s="469"/>
      <c r="Y18" s="469"/>
      <c r="Z18" s="469"/>
      <c r="AA18" s="469"/>
      <c r="AB18" s="469"/>
      <c r="AC18" s="469"/>
      <c r="AD18" s="469"/>
      <c r="AE18" s="469"/>
      <c r="AF18" s="469"/>
      <c r="AG18" s="469"/>
      <c r="AH18" s="469"/>
      <c r="AI18" s="469"/>
      <c r="AJ18" s="469"/>
      <c r="AK18" s="469"/>
      <c r="AL18" s="469"/>
      <c r="AM18" s="469"/>
      <c r="AN18" s="469"/>
      <c r="AO18" s="469"/>
      <c r="AP18" s="469"/>
      <c r="AQ18" s="469"/>
      <c r="AR18" s="469"/>
      <c r="AS18" s="469"/>
      <c r="AT18" s="469"/>
      <c r="AU18" s="469"/>
      <c r="AV18" s="469">
        <f t="shared" si="9"/>
        <v>6925000</v>
      </c>
      <c r="AW18" s="469">
        <f t="shared" si="4"/>
        <v>6925000</v>
      </c>
      <c r="AX18" s="469">
        <f t="shared" si="6"/>
        <v>0</v>
      </c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</row>
    <row r="19" spans="1:74">
      <c r="A19" s="466" t="str">
        <f>'Phase 1a Financial'!A106</f>
        <v>Marketing, FFE and Preleasing</v>
      </c>
      <c r="B19" s="467">
        <f>'Phase 1a Financial'!C106</f>
        <v>500000</v>
      </c>
      <c r="C19" s="472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468"/>
      <c r="Q19" s="468"/>
      <c r="R19" s="468"/>
      <c r="S19" s="468">
        <f>$B19/2</f>
        <v>250000</v>
      </c>
      <c r="T19" s="468">
        <f>$B19/2</f>
        <v>250000</v>
      </c>
      <c r="U19" s="468"/>
      <c r="V19" s="468"/>
      <c r="W19" s="469"/>
      <c r="X19" s="469"/>
      <c r="Y19" s="469"/>
      <c r="Z19" s="469"/>
      <c r="AA19" s="469"/>
      <c r="AB19" s="469"/>
      <c r="AC19" s="469"/>
      <c r="AD19" s="469"/>
      <c r="AE19" s="469"/>
      <c r="AF19" s="469"/>
      <c r="AG19" s="469"/>
      <c r="AH19" s="469"/>
      <c r="AI19" s="469"/>
      <c r="AJ19" s="469"/>
      <c r="AK19" s="469"/>
      <c r="AL19" s="469"/>
      <c r="AM19" s="469"/>
      <c r="AN19" s="469"/>
      <c r="AO19" s="469"/>
      <c r="AP19" s="469"/>
      <c r="AQ19" s="469"/>
      <c r="AR19" s="469"/>
      <c r="AS19" s="318"/>
      <c r="AT19" s="318"/>
      <c r="AU19" s="318"/>
      <c r="AV19" s="469">
        <f t="shared" si="9"/>
        <v>500000</v>
      </c>
      <c r="AW19" s="469">
        <f t="shared" si="4"/>
        <v>500000</v>
      </c>
      <c r="AX19" s="469">
        <f t="shared" si="6"/>
        <v>0</v>
      </c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</row>
    <row r="20" spans="1:74">
      <c r="A20" s="466" t="str">
        <f>'Phase 1a Financial'!A107</f>
        <v>Operating Deficit</v>
      </c>
      <c r="B20" s="467">
        <f>'Phase 1a Financial'!C107</f>
        <v>6090496.6780714281</v>
      </c>
      <c r="C20" s="472"/>
      <c r="D20" s="468"/>
      <c r="E20" s="468"/>
      <c r="F20" s="468"/>
      <c r="G20" s="468"/>
      <c r="H20" s="468"/>
      <c r="I20" s="468"/>
      <c r="J20" s="468"/>
      <c r="K20" s="468"/>
      <c r="L20" s="468"/>
      <c r="M20" s="468"/>
      <c r="N20" s="468"/>
      <c r="O20" s="468"/>
      <c r="P20" s="468"/>
      <c r="Q20" s="468"/>
      <c r="R20" s="468"/>
      <c r="S20" s="468"/>
      <c r="T20" s="468"/>
      <c r="U20" s="478">
        <v>956059</v>
      </c>
      <c r="V20" s="478">
        <v>800608</v>
      </c>
      <c r="W20" s="318"/>
      <c r="X20" s="318"/>
      <c r="Y20" s="318"/>
      <c r="Z20" s="318"/>
      <c r="AA20" s="318"/>
      <c r="AB20" s="318"/>
      <c r="AC20" s="318"/>
      <c r="AD20" s="318"/>
      <c r="AE20" s="318"/>
      <c r="AF20" s="318"/>
      <c r="AG20" s="318"/>
      <c r="AH20" s="318"/>
      <c r="AI20" s="318"/>
      <c r="AJ20" s="318"/>
      <c r="AK20" s="318"/>
      <c r="AL20" s="318"/>
      <c r="AM20" s="318"/>
      <c r="AN20" s="318"/>
      <c r="AO20" s="318"/>
      <c r="AP20" s="318"/>
      <c r="AQ20" s="469"/>
      <c r="AR20" s="469"/>
      <c r="AS20" s="469"/>
      <c r="AT20" s="469"/>
      <c r="AU20" s="479"/>
      <c r="AV20" s="469">
        <f t="shared" si="9"/>
        <v>1756667</v>
      </c>
      <c r="AW20" s="469">
        <f t="shared" si="4"/>
        <v>6090496.6780714281</v>
      </c>
      <c r="AX20" s="469">
        <f t="shared" si="6"/>
        <v>4333829.6780714281</v>
      </c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</row>
    <row r="21" spans="1:74">
      <c r="A21" s="466" t="str">
        <f>'Phase 1a Financial'!A108</f>
        <v>Retail Tenant Improvements</v>
      </c>
      <c r="B21" s="467">
        <f>'Phase 1a Financial'!C108</f>
        <v>19222708.571428575</v>
      </c>
      <c r="C21" s="472"/>
      <c r="D21" s="468"/>
      <c r="E21" s="468"/>
      <c r="F21" s="468"/>
      <c r="G21" s="468"/>
      <c r="H21" s="468"/>
      <c r="I21" s="468"/>
      <c r="J21" s="468"/>
      <c r="K21" s="468"/>
      <c r="L21" s="468"/>
      <c r="M21" s="468"/>
      <c r="N21" s="468"/>
      <c r="O21" s="468"/>
      <c r="P21" s="468"/>
      <c r="Q21" s="468"/>
      <c r="R21" s="468"/>
      <c r="S21" s="468">
        <f>$B21/2</f>
        <v>9611354.2857142873</v>
      </c>
      <c r="T21" s="468">
        <f>$B21/2</f>
        <v>9611354.2857142873</v>
      </c>
      <c r="U21" s="468"/>
      <c r="V21" s="468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69"/>
      <c r="AV21" s="469">
        <f t="shared" si="9"/>
        <v>19222708.571428575</v>
      </c>
      <c r="AW21" s="469">
        <f t="shared" si="4"/>
        <v>19222708.571428575</v>
      </c>
      <c r="AX21" s="469">
        <f t="shared" si="6"/>
        <v>0</v>
      </c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</row>
    <row r="22" spans="1:74">
      <c r="A22" s="466" t="str">
        <f>'Phase 1a Financial'!A109</f>
        <v>Retail brokerage</v>
      </c>
      <c r="B22" s="467">
        <f>'Phase 1a Financial'!C109</f>
        <v>5432946.497142856</v>
      </c>
      <c r="C22" s="472"/>
      <c r="D22" s="468"/>
      <c r="E22" s="468"/>
      <c r="F22" s="468"/>
      <c r="G22" s="468"/>
      <c r="H22" s="468"/>
      <c r="I22" s="468"/>
      <c r="J22" s="468"/>
      <c r="K22" s="468"/>
      <c r="L22" s="468"/>
      <c r="M22" s="468"/>
      <c r="N22" s="468"/>
      <c r="O22" s="468"/>
      <c r="P22" s="468"/>
      <c r="Q22" s="468"/>
      <c r="R22" s="468"/>
      <c r="S22" s="468"/>
      <c r="T22" s="468"/>
      <c r="U22" s="468">
        <f>$B22</f>
        <v>5432946.497142856</v>
      </c>
      <c r="V22" s="468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69"/>
      <c r="AV22" s="469">
        <f t="shared" si="9"/>
        <v>5432946.497142856</v>
      </c>
      <c r="AW22" s="469">
        <f t="shared" si="4"/>
        <v>5432946.497142856</v>
      </c>
      <c r="AX22" s="469">
        <f t="shared" si="6"/>
        <v>0</v>
      </c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</row>
    <row r="23" spans="1:74">
      <c r="A23" s="466" t="str">
        <f>'Phase 1a Financial'!A110</f>
        <v>Construction Loan Origination</v>
      </c>
      <c r="B23" s="467">
        <f>'Phase 1a Financial'!C110</f>
        <v>5464520.9420307856</v>
      </c>
      <c r="C23" s="468">
        <f>$B$23*C4</f>
        <v>0</v>
      </c>
      <c r="D23" s="468">
        <f>$B$23*D4</f>
        <v>0</v>
      </c>
      <c r="E23" s="468">
        <v>0</v>
      </c>
      <c r="F23" s="468">
        <v>0</v>
      </c>
      <c r="G23" s="468">
        <v>0</v>
      </c>
      <c r="H23" s="468">
        <v>0</v>
      </c>
      <c r="I23" s="468">
        <f>$B23</f>
        <v>5464520.9420307856</v>
      </c>
      <c r="J23" s="468">
        <v>0</v>
      </c>
      <c r="K23" s="468"/>
      <c r="L23" s="468">
        <v>0</v>
      </c>
      <c r="M23" s="282"/>
      <c r="N23" s="468">
        <v>0</v>
      </c>
      <c r="O23" s="468">
        <v>0</v>
      </c>
      <c r="P23" s="282"/>
      <c r="Q23" s="468"/>
      <c r="R23" s="468"/>
      <c r="S23" s="468"/>
      <c r="T23" s="468"/>
      <c r="U23" s="468"/>
      <c r="V23" s="468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S23" s="469"/>
      <c r="AT23" s="469"/>
      <c r="AU23" s="469"/>
      <c r="AV23" s="469">
        <f t="shared" si="9"/>
        <v>5464520.9420307856</v>
      </c>
      <c r="AW23" s="469">
        <f t="shared" si="4"/>
        <v>5464520.9420307856</v>
      </c>
      <c r="AX23" s="469">
        <f t="shared" si="6"/>
        <v>0</v>
      </c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</row>
    <row r="24" spans="1:74">
      <c r="A24" s="466" t="str">
        <f>'Phase 1a Financial'!A111</f>
        <v>Construction Interest</v>
      </c>
      <c r="B24" s="467">
        <f>'Phase 1a Financial'!C111</f>
        <v>25501097.729476999</v>
      </c>
      <c r="C24" s="480"/>
      <c r="D24" s="468"/>
      <c r="E24" s="468"/>
      <c r="F24" s="468"/>
      <c r="G24" s="468"/>
      <c r="H24" s="468"/>
      <c r="I24" s="468"/>
      <c r="J24" s="468"/>
      <c r="K24" s="468"/>
      <c r="L24" s="468"/>
      <c r="M24" s="468"/>
      <c r="N24" s="468">
        <f>$B24/20</f>
        <v>1275054.8864738499</v>
      </c>
      <c r="O24" s="468">
        <f t="shared" ref="O24:P24" si="14">$B24/20</f>
        <v>1275054.8864738499</v>
      </c>
      <c r="P24" s="468">
        <f t="shared" si="14"/>
        <v>1275054.8864738499</v>
      </c>
      <c r="Q24" s="468">
        <f>$B24/15</f>
        <v>1700073.1819651334</v>
      </c>
      <c r="R24" s="468">
        <f>$B24/10</f>
        <v>2550109.7729476998</v>
      </c>
      <c r="S24" s="468">
        <f>$B24/8</f>
        <v>3187637.2161846249</v>
      </c>
      <c r="T24" s="468">
        <f>$B24/7</f>
        <v>3643013.9613538571</v>
      </c>
      <c r="U24" s="468">
        <f>$B24/6</f>
        <v>4250182.9549128329</v>
      </c>
      <c r="V24" s="468">
        <v>1870799</v>
      </c>
      <c r="W24" s="469"/>
      <c r="X24" s="469"/>
      <c r="Y24" s="469"/>
      <c r="Z24" s="469"/>
      <c r="AA24" s="469"/>
      <c r="AB24" s="469"/>
      <c r="AC24" s="469"/>
      <c r="AD24" s="469"/>
      <c r="AE24" s="469"/>
      <c r="AF24" s="469"/>
      <c r="AG24" s="469"/>
      <c r="AH24" s="469"/>
      <c r="AI24" s="469"/>
      <c r="AJ24" s="469"/>
      <c r="AK24" s="469"/>
      <c r="AL24" s="469"/>
      <c r="AM24" s="469"/>
      <c r="AN24" s="469"/>
      <c r="AO24" s="469"/>
      <c r="AP24" s="469"/>
      <c r="AQ24" s="469"/>
      <c r="AR24" s="469"/>
      <c r="AS24" s="469"/>
      <c r="AT24" s="469"/>
      <c r="AU24" s="469"/>
      <c r="AV24" s="469">
        <f t="shared" si="9"/>
        <v>21026980.746785697</v>
      </c>
      <c r="AW24" s="469">
        <f t="shared" si="4"/>
        <v>25501097.729476999</v>
      </c>
      <c r="AX24" s="469">
        <f t="shared" si="6"/>
        <v>4474116.9826913029</v>
      </c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</row>
    <row r="25" spans="1:74" ht="14.65" thickBot="1">
      <c r="A25" s="466" t="str">
        <f>'Phase 1a Financial'!A112</f>
        <v>Additional Contingency</v>
      </c>
      <c r="B25" s="481">
        <f>'Phase 1a Financial'!C112</f>
        <v>3000000</v>
      </c>
      <c r="C25" s="482">
        <v>0</v>
      </c>
      <c r="D25" s="482">
        <v>0</v>
      </c>
      <c r="E25" s="482">
        <v>0</v>
      </c>
      <c r="F25" s="482"/>
      <c r="G25" s="482">
        <v>0</v>
      </c>
      <c r="H25" s="482">
        <v>0</v>
      </c>
      <c r="I25" s="482">
        <f t="shared" ref="I25:S25" si="15">$B25/12</f>
        <v>250000</v>
      </c>
      <c r="J25" s="482">
        <f t="shared" si="15"/>
        <v>250000</v>
      </c>
      <c r="K25" s="482">
        <f t="shared" si="15"/>
        <v>250000</v>
      </c>
      <c r="L25" s="482">
        <f t="shared" si="15"/>
        <v>250000</v>
      </c>
      <c r="M25" s="482">
        <f t="shared" si="15"/>
        <v>250000</v>
      </c>
      <c r="N25" s="482">
        <f t="shared" si="15"/>
        <v>250000</v>
      </c>
      <c r="O25" s="482">
        <f t="shared" si="15"/>
        <v>250000</v>
      </c>
      <c r="P25" s="482">
        <f t="shared" si="15"/>
        <v>250000</v>
      </c>
      <c r="Q25" s="482">
        <f t="shared" si="15"/>
        <v>250000</v>
      </c>
      <c r="R25" s="482">
        <f t="shared" si="15"/>
        <v>250000</v>
      </c>
      <c r="S25" s="482">
        <f t="shared" si="15"/>
        <v>250000</v>
      </c>
      <c r="T25" s="482">
        <f>$B25/12</f>
        <v>250000</v>
      </c>
      <c r="U25" s="482"/>
      <c r="V25" s="482"/>
      <c r="W25" s="483"/>
      <c r="X25" s="483"/>
      <c r="Y25" s="483"/>
      <c r="Z25" s="483"/>
      <c r="AA25" s="483"/>
      <c r="AB25" s="483"/>
      <c r="AC25" s="483"/>
      <c r="AD25" s="483"/>
      <c r="AE25" s="483"/>
      <c r="AF25" s="483"/>
      <c r="AG25" s="483"/>
      <c r="AH25" s="483"/>
      <c r="AI25" s="483"/>
      <c r="AJ25" s="483"/>
      <c r="AK25" s="483"/>
      <c r="AL25" s="483"/>
      <c r="AM25" s="483"/>
      <c r="AN25" s="483"/>
      <c r="AO25" s="483"/>
      <c r="AP25" s="483"/>
      <c r="AQ25" s="483"/>
      <c r="AR25" s="483"/>
      <c r="AS25" s="483"/>
      <c r="AT25" s="483"/>
      <c r="AU25" s="483"/>
      <c r="AV25" s="483">
        <f t="shared" si="9"/>
        <v>3000000</v>
      </c>
      <c r="AW25" s="483">
        <f t="shared" si="4"/>
        <v>3000000</v>
      </c>
      <c r="AX25" s="469">
        <f t="shared" si="6"/>
        <v>0</v>
      </c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</row>
    <row r="26" spans="1:74" ht="15" thickTop="1" thickBot="1">
      <c r="A26" s="466" t="str">
        <f>'Phase 1a Financial'!A113</f>
        <v>Total Project Cost</v>
      </c>
      <c r="B26" s="173">
        <f t="shared" ref="B26:V26" si="16">SUM(B5:B25)</f>
        <v>627110384.45148396</v>
      </c>
      <c r="C26" s="181">
        <f t="shared" si="16"/>
        <v>0</v>
      </c>
      <c r="D26" s="181">
        <f t="shared" si="16"/>
        <v>0</v>
      </c>
      <c r="E26" s="181">
        <f t="shared" si="16"/>
        <v>6423576.4400000004</v>
      </c>
      <c r="F26" s="181">
        <f t="shared" si="16"/>
        <v>6023576.4400000004</v>
      </c>
      <c r="G26" s="181">
        <f t="shared" si="16"/>
        <v>4274525.4800000004</v>
      </c>
      <c r="H26" s="181">
        <f t="shared" si="16"/>
        <v>2033994.9800000002</v>
      </c>
      <c r="I26" s="181">
        <f t="shared" si="16"/>
        <v>51236203.965364128</v>
      </c>
      <c r="J26" s="181">
        <f t="shared" si="16"/>
        <v>26640325.379333336</v>
      </c>
      <c r="K26" s="181">
        <f t="shared" si="16"/>
        <v>26580325.379333336</v>
      </c>
      <c r="L26" s="181">
        <f t="shared" si="16"/>
        <v>33485325.379333336</v>
      </c>
      <c r="M26" s="181">
        <f t="shared" si="16"/>
        <v>61134521.279333331</v>
      </c>
      <c r="N26" s="181">
        <f t="shared" si="16"/>
        <v>62409576.16580718</v>
      </c>
      <c r="O26" s="181">
        <f t="shared" si="16"/>
        <v>62212123.61780718</v>
      </c>
      <c r="P26" s="181">
        <f t="shared" si="16"/>
        <v>62212123.61780718</v>
      </c>
      <c r="Q26" s="181">
        <f t="shared" si="16"/>
        <v>42891887.113298476</v>
      </c>
      <c r="R26" s="181">
        <f t="shared" si="16"/>
        <v>46218072.870947704</v>
      </c>
      <c r="S26" s="181">
        <f t="shared" si="16"/>
        <v>56716954.599898912</v>
      </c>
      <c r="T26" s="181">
        <f t="shared" si="16"/>
        <v>54498729.630401477</v>
      </c>
      <c r="U26" s="181">
        <f t="shared" si="16"/>
        <v>10639188.452055689</v>
      </c>
      <c r="V26" s="181">
        <f t="shared" si="16"/>
        <v>2671407</v>
      </c>
      <c r="W26" s="181"/>
      <c r="X26" s="181"/>
      <c r="Y26" s="181"/>
      <c r="Z26" s="181"/>
      <c r="AA26" s="181"/>
      <c r="AB26" s="181"/>
      <c r="AC26" s="181"/>
      <c r="AD26" s="181"/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P26" s="181"/>
      <c r="AQ26" s="181"/>
      <c r="AR26" s="181"/>
      <c r="AS26" s="181"/>
      <c r="AT26" s="181"/>
      <c r="AU26" s="181"/>
      <c r="AV26" s="178">
        <f>SUM(AV5:AV25)</f>
        <v>618302437.79072106</v>
      </c>
      <c r="AW26" s="177">
        <f>SUM(AW5:AW25)</f>
        <v>627110384.45148396</v>
      </c>
      <c r="AX26" s="177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</row>
    <row r="27" spans="1:74" ht="14.65" thickTop="1">
      <c r="A27" s="179" t="s">
        <v>292</v>
      </c>
      <c r="B27" s="180">
        <f>'Phase 1a Financial'!B121</f>
        <v>-203253000</v>
      </c>
      <c r="C27" s="181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78"/>
      <c r="AW27" s="177"/>
      <c r="AX27" s="17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</row>
    <row r="28" spans="1:74" ht="14.65" thickBot="1">
      <c r="A28" s="484" t="s">
        <v>293</v>
      </c>
      <c r="B28" s="485">
        <f>B26+B27</f>
        <v>423857384.45148396</v>
      </c>
      <c r="C28" s="477"/>
      <c r="D28" s="477"/>
      <c r="E28" s="477"/>
      <c r="F28" s="477"/>
      <c r="G28" s="477"/>
      <c r="H28" s="477"/>
      <c r="I28" s="477"/>
      <c r="J28" s="477"/>
      <c r="K28" s="477"/>
      <c r="L28" s="477"/>
      <c r="M28" s="477"/>
      <c r="N28" s="477"/>
      <c r="O28" s="477"/>
      <c r="P28" s="477"/>
      <c r="Q28" s="477"/>
      <c r="R28" s="477"/>
      <c r="S28" s="477"/>
      <c r="T28" s="477"/>
      <c r="U28" s="477"/>
      <c r="V28" s="477"/>
      <c r="W28" s="477"/>
      <c r="X28" s="477"/>
      <c r="Y28" s="477"/>
      <c r="Z28" s="477"/>
      <c r="AA28" s="477"/>
      <c r="AB28" s="477"/>
      <c r="AC28" s="477"/>
      <c r="AD28" s="477"/>
      <c r="AE28" s="477"/>
      <c r="AF28" s="477"/>
      <c r="AG28" s="477"/>
      <c r="AH28" s="477"/>
      <c r="AI28" s="477"/>
      <c r="AJ28" s="477"/>
      <c r="AK28" s="477"/>
      <c r="AL28" s="477"/>
      <c r="AM28" s="477"/>
      <c r="AN28" s="477"/>
      <c r="AO28" s="477"/>
      <c r="AP28" s="477"/>
      <c r="AQ28" s="477"/>
      <c r="AR28" s="477"/>
      <c r="AS28" s="477"/>
      <c r="AT28" s="477"/>
      <c r="AU28" s="318"/>
      <c r="AV28" s="486"/>
      <c r="AW28" s="486"/>
      <c r="AX28" s="486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</row>
    <row r="29" spans="1:74">
      <c r="A29" s="487" t="s">
        <v>294</v>
      </c>
      <c r="B29" s="488">
        <f>SUM(C29:AU29)</f>
        <v>245714258.88992429</v>
      </c>
      <c r="C29" s="469">
        <f>C26</f>
        <v>0</v>
      </c>
      <c r="D29" s="469">
        <f t="shared" ref="D29:U29" si="17">IF(C30+D26&lt;=$B$30,D26,($B$30-C30))</f>
        <v>0</v>
      </c>
      <c r="E29" s="469">
        <f t="shared" si="17"/>
        <v>6423576.4400000004</v>
      </c>
      <c r="F29" s="469">
        <f t="shared" si="17"/>
        <v>6023576.4400000004</v>
      </c>
      <c r="G29" s="469">
        <f t="shared" si="17"/>
        <v>4274525.4800000004</v>
      </c>
      <c r="H29" s="469">
        <f t="shared" si="17"/>
        <v>2033994.9800000002</v>
      </c>
      <c r="I29" s="469">
        <f t="shared" si="17"/>
        <v>51236203.965364128</v>
      </c>
      <c r="J29" s="469">
        <f t="shared" si="17"/>
        <v>26640325.379333336</v>
      </c>
      <c r="K29" s="469">
        <f t="shared" si="17"/>
        <v>26580325.379333336</v>
      </c>
      <c r="L29" s="469">
        <f t="shared" si="17"/>
        <v>33485325.379333336</v>
      </c>
      <c r="M29" s="469">
        <f t="shared" si="17"/>
        <v>61134521.279333331</v>
      </c>
      <c r="N29" s="469">
        <f t="shared" si="17"/>
        <v>27881884.167226821</v>
      </c>
      <c r="O29" s="469">
        <f t="shared" si="17"/>
        <v>0</v>
      </c>
      <c r="P29" s="469">
        <f t="shared" si="17"/>
        <v>0</v>
      </c>
      <c r="Q29" s="469">
        <f t="shared" si="17"/>
        <v>0</v>
      </c>
      <c r="R29" s="469">
        <f t="shared" si="17"/>
        <v>0</v>
      </c>
      <c r="S29" s="469">
        <f t="shared" si="17"/>
        <v>0</v>
      </c>
      <c r="T29" s="469">
        <f t="shared" si="17"/>
        <v>0</v>
      </c>
      <c r="U29" s="469">
        <f t="shared" si="17"/>
        <v>0</v>
      </c>
      <c r="V29" s="469">
        <f>IF(U30+V26&lt;=$B$30,V26,($B$30-U30))</f>
        <v>0</v>
      </c>
      <c r="W29" s="469"/>
      <c r="X29" s="469"/>
      <c r="Y29" s="469"/>
      <c r="Z29" s="469"/>
      <c r="AA29" s="469"/>
      <c r="AB29" s="469"/>
      <c r="AC29" s="469"/>
      <c r="AD29" s="469"/>
      <c r="AE29" s="469"/>
      <c r="AF29" s="469"/>
      <c r="AG29" s="469"/>
      <c r="AH29" s="469"/>
      <c r="AI29" s="469"/>
      <c r="AJ29" s="469"/>
      <c r="AK29" s="469"/>
      <c r="AL29" s="469"/>
      <c r="AM29" s="469"/>
      <c r="AN29" s="469"/>
      <c r="AO29" s="469"/>
      <c r="AP29" s="469"/>
      <c r="AQ29" s="469"/>
      <c r="AR29" s="469"/>
      <c r="AS29" s="469"/>
      <c r="AT29" s="469"/>
      <c r="AU29" s="469"/>
      <c r="AV29" s="489"/>
      <c r="AW29" s="489"/>
      <c r="AX29" s="48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</row>
    <row r="30" spans="1:74" ht="14.65" thickBot="1">
      <c r="A30" s="466" t="s">
        <v>295</v>
      </c>
      <c r="B30" s="183">
        <f>'Phase 1a Financial'!B127</f>
        <v>245714258.88992429</v>
      </c>
      <c r="C30" s="469">
        <f>C29</f>
        <v>0</v>
      </c>
      <c r="D30" s="469">
        <f>IF(SUM($C$29:D$29)&lt;=$B30,SUM($C$29:D$29),0)</f>
        <v>0</v>
      </c>
      <c r="E30" s="469">
        <f>IF(SUM($C$29:E29)&lt;=$B30,SUM($C$29:E29),0)</f>
        <v>6423576.4400000004</v>
      </c>
      <c r="F30" s="469">
        <f>IF(SUM($C$29:F29)&lt;=$B30,SUM($C$29:F29),0)</f>
        <v>12447152.880000001</v>
      </c>
      <c r="G30" s="469">
        <f>IF(SUM($C$29:G29)&lt;=$B30,SUM($C$29:G29),0)</f>
        <v>16721678.360000001</v>
      </c>
      <c r="H30" s="469">
        <f>IF(SUM($C$29:H29)&lt;=$B30,SUM($C$29:H29),0)</f>
        <v>18755673.34</v>
      </c>
      <c r="I30" s="469">
        <f>IF(SUM($C$29:I29)&lt;=$B30,SUM($C$29:I29),0)</f>
        <v>69991877.305364132</v>
      </c>
      <c r="J30" s="469">
        <f>IF(SUM($C$29:J29)&lt;=$B30,SUM($C$29:J29),0)</f>
        <v>96632202.684697464</v>
      </c>
      <c r="K30" s="469">
        <f>IF(SUM($C$29:K29)&lt;=$B30,SUM($C$29:K29),0)</f>
        <v>123212528.0640308</v>
      </c>
      <c r="L30" s="469">
        <f>IF(SUM($C$29:L29)&lt;=$B30,SUM($C$29:L29),0)</f>
        <v>156697853.44336414</v>
      </c>
      <c r="M30" s="469">
        <f>IF(SUM($C$29:M29)&lt;=$B30,SUM($C$29:M29),0)</f>
        <v>217832374.72269747</v>
      </c>
      <c r="N30" s="469">
        <f>IF(SUM($C$29:N29)&lt;=$B30,SUM($C$29:N29),0)</f>
        <v>245714258.88992429</v>
      </c>
      <c r="O30" s="469">
        <f>IF(SUM($C$29:O29)&lt;=$B30,SUM($C$29:O29),0)</f>
        <v>245714258.88992429</v>
      </c>
      <c r="P30" s="469">
        <f>IF(SUM($C$29:P29)&lt;=$B30,SUM($C$29:P29),0)</f>
        <v>245714258.88992429</v>
      </c>
      <c r="Q30" s="469">
        <f>IF(SUM($C$29:Q29)&lt;=$B30,SUM($C$29:Q29),0)</f>
        <v>245714258.88992429</v>
      </c>
      <c r="R30" s="469">
        <f>IF(SUM($C$29:R29)&lt;=$B30,SUM($C$29:R29),0)</f>
        <v>245714258.88992429</v>
      </c>
      <c r="S30" s="469">
        <f>IF(SUM($C$29:S29)&lt;=$B30,SUM($C$29:S29),0)</f>
        <v>245714258.88992429</v>
      </c>
      <c r="T30" s="469">
        <f>IF(SUM($C$29:T29)&lt;=$B30,SUM($C$29:T29),0)</f>
        <v>245714258.88992429</v>
      </c>
      <c r="U30" s="469">
        <f>IF(SUM($C$29:U29)&lt;=$B30,SUM($C$29:U29),0)</f>
        <v>245714258.88992429</v>
      </c>
      <c r="V30" s="469">
        <f>IF(SUM($C$29:AP29)&lt;=$B30,SUM($C$29:AP29),0)</f>
        <v>245714258.88992429</v>
      </c>
      <c r="W30" s="469"/>
      <c r="X30" s="469"/>
      <c r="Y30" s="469"/>
      <c r="Z30" s="469"/>
      <c r="AA30" s="469"/>
      <c r="AB30" s="469"/>
      <c r="AC30" s="469"/>
      <c r="AD30" s="469"/>
      <c r="AE30" s="469"/>
      <c r="AF30" s="469"/>
      <c r="AG30" s="469"/>
      <c r="AH30" s="469"/>
      <c r="AI30" s="469"/>
      <c r="AJ30" s="469"/>
      <c r="AK30" s="469"/>
      <c r="AL30" s="469"/>
      <c r="AM30" s="469"/>
      <c r="AN30" s="469"/>
      <c r="AO30" s="469"/>
      <c r="AP30" s="469"/>
      <c r="AQ30" s="469"/>
      <c r="AR30" s="469"/>
      <c r="AS30" s="469"/>
      <c r="AT30" s="469"/>
      <c r="AU30" s="469"/>
      <c r="AV30" s="489"/>
      <c r="AW30" s="489"/>
      <c r="AX30" s="489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</row>
    <row r="31" spans="1:74">
      <c r="A31" s="184" t="s">
        <v>296</v>
      </c>
      <c r="B31" s="185">
        <f>'Phase 1a Financial'!B123</f>
        <v>382880767.33829039</v>
      </c>
      <c r="C31" s="490"/>
      <c r="D31" s="491"/>
      <c r="E31" s="491"/>
      <c r="F31" s="491"/>
      <c r="G31" s="491"/>
      <c r="H31" s="491"/>
      <c r="I31" s="491"/>
      <c r="J31" s="491"/>
      <c r="K31" s="491"/>
      <c r="L31" s="491"/>
      <c r="M31" s="491"/>
      <c r="N31" s="491"/>
      <c r="O31" s="491"/>
      <c r="P31" s="491"/>
      <c r="Q31" s="491"/>
      <c r="R31" s="491"/>
      <c r="S31" s="491"/>
      <c r="T31" s="491"/>
      <c r="U31" s="491"/>
      <c r="V31" s="491"/>
      <c r="W31" s="491"/>
      <c r="X31" s="491"/>
      <c r="Y31" s="491"/>
      <c r="Z31" s="491"/>
      <c r="AA31" s="491"/>
      <c r="AB31" s="491"/>
      <c r="AC31" s="491"/>
      <c r="AD31" s="491"/>
      <c r="AE31" s="491"/>
      <c r="AF31" s="491"/>
      <c r="AG31" s="491"/>
      <c r="AH31" s="491"/>
      <c r="AI31" s="491"/>
      <c r="AJ31" s="491"/>
      <c r="AK31" s="491"/>
      <c r="AL31" s="491"/>
      <c r="AM31" s="491"/>
      <c r="AN31" s="491"/>
      <c r="AO31" s="491"/>
      <c r="AP31" s="491"/>
      <c r="AQ31" s="491"/>
      <c r="AR31" s="491"/>
      <c r="AS31" s="491"/>
      <c r="AT31" s="491"/>
      <c r="AU31" s="491"/>
      <c r="AV31" s="490"/>
      <c r="AW31" s="490"/>
      <c r="AX31" s="489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</row>
    <row r="32" spans="1:74" ht="14.65" thickBot="1">
      <c r="A32" s="492" t="s">
        <v>297</v>
      </c>
      <c r="B32" s="493">
        <f>PMT(0.045,30,(B31))</f>
        <v>-23505641.056923725</v>
      </c>
      <c r="C32" s="490"/>
      <c r="D32" s="491"/>
      <c r="E32" s="491"/>
      <c r="F32" s="491"/>
      <c r="G32" s="491"/>
      <c r="H32" s="491"/>
      <c r="I32" s="491"/>
      <c r="J32" s="491"/>
      <c r="K32" s="491"/>
      <c r="L32" s="491"/>
      <c r="M32" s="491"/>
      <c r="N32" s="491"/>
      <c r="O32" s="491"/>
      <c r="P32" s="491"/>
      <c r="Q32" s="491"/>
      <c r="R32" s="491"/>
      <c r="S32" s="491"/>
      <c r="T32" s="491"/>
      <c r="U32" s="491"/>
      <c r="V32" s="491"/>
      <c r="W32" s="491"/>
      <c r="X32" s="491"/>
      <c r="Y32" s="491"/>
      <c r="Z32" s="491"/>
      <c r="AA32" s="491"/>
      <c r="AB32" s="491"/>
      <c r="AC32" s="491"/>
      <c r="AD32" s="491"/>
      <c r="AE32" s="491"/>
      <c r="AF32" s="491"/>
      <c r="AG32" s="491"/>
      <c r="AH32" s="491"/>
      <c r="AI32" s="491"/>
      <c r="AJ32" s="491"/>
      <c r="AK32" s="491"/>
      <c r="AL32" s="491"/>
      <c r="AM32" s="491"/>
      <c r="AN32" s="491"/>
      <c r="AO32" s="491"/>
      <c r="AP32" s="491"/>
      <c r="AQ32" s="491"/>
      <c r="AR32" s="491"/>
      <c r="AS32" s="491"/>
      <c r="AT32" s="491"/>
      <c r="AU32" s="491"/>
      <c r="AV32" s="490"/>
      <c r="AW32" s="490"/>
      <c r="AX32" s="489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</row>
    <row r="33" spans="1:74">
      <c r="A33" s="186" t="s">
        <v>298</v>
      </c>
      <c r="B33" s="187">
        <f>SUM(C33:AV33)</f>
        <v>0</v>
      </c>
      <c r="C33" s="469"/>
      <c r="D33" s="469"/>
      <c r="E33" s="469"/>
      <c r="F33" s="469"/>
      <c r="G33" s="469"/>
      <c r="H33" s="469"/>
      <c r="I33" s="469"/>
      <c r="J33" s="469"/>
      <c r="K33" s="469"/>
      <c r="L33" s="469"/>
      <c r="M33" s="469"/>
      <c r="N33" s="469"/>
      <c r="O33" s="469"/>
      <c r="P33" s="469"/>
      <c r="Q33" s="469"/>
      <c r="R33" s="469"/>
      <c r="S33" s="469"/>
      <c r="T33" s="469"/>
      <c r="U33" s="469"/>
      <c r="V33" s="469"/>
      <c r="W33" s="469"/>
      <c r="X33" s="469"/>
      <c r="Y33" s="469"/>
      <c r="Z33" s="469"/>
      <c r="AA33" s="469"/>
      <c r="AB33" s="469"/>
      <c r="AC33" s="469"/>
      <c r="AD33" s="469"/>
      <c r="AE33" s="469"/>
      <c r="AF33" s="469"/>
      <c r="AG33" s="469"/>
      <c r="AH33" s="469"/>
      <c r="AI33" s="469"/>
      <c r="AJ33" s="469"/>
      <c r="AK33" s="469"/>
      <c r="AL33" s="469"/>
      <c r="AM33" s="469"/>
      <c r="AN33" s="469"/>
      <c r="AO33" s="469"/>
      <c r="AP33" s="469"/>
      <c r="AQ33" s="469"/>
      <c r="AR33" s="469"/>
      <c r="AS33" s="469"/>
      <c r="AT33" s="469"/>
      <c r="AU33" s="469"/>
      <c r="AV33" s="318"/>
      <c r="AW33" s="491"/>
      <c r="AX33" s="489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</row>
    <row r="34" spans="1:74">
      <c r="A34" s="1430" t="s">
        <v>299</v>
      </c>
      <c r="B34" s="1431"/>
      <c r="C34" s="491"/>
      <c r="D34" s="491"/>
      <c r="E34" s="491"/>
      <c r="F34" s="491"/>
      <c r="G34" s="491"/>
      <c r="H34" s="491"/>
      <c r="I34" s="491"/>
      <c r="J34" s="491"/>
      <c r="K34" s="491"/>
      <c r="L34" s="491"/>
      <c r="M34" s="491"/>
      <c r="N34" s="491"/>
      <c r="O34" s="491"/>
      <c r="P34" s="491"/>
      <c r="Q34" s="491"/>
      <c r="R34" s="491"/>
      <c r="S34" s="491"/>
      <c r="T34" s="491"/>
      <c r="U34" s="491"/>
      <c r="V34" s="491"/>
      <c r="W34" s="491"/>
      <c r="X34" s="491"/>
      <c r="Y34" s="491"/>
      <c r="Z34" s="491"/>
      <c r="AA34" s="491"/>
      <c r="AB34" s="491"/>
      <c r="AC34" s="491"/>
      <c r="AD34" s="491"/>
      <c r="AE34" s="491"/>
      <c r="AF34" s="491"/>
      <c r="AG34" s="491"/>
      <c r="AH34" s="491"/>
      <c r="AI34" s="491"/>
      <c r="AJ34" s="491"/>
      <c r="AK34" s="491"/>
      <c r="AL34" s="491"/>
      <c r="AM34" s="491"/>
      <c r="AN34" s="491"/>
      <c r="AO34" s="491"/>
      <c r="AP34" s="491"/>
      <c r="AQ34" s="491"/>
      <c r="AR34" s="491"/>
      <c r="AS34" s="491"/>
      <c r="AT34" s="491"/>
      <c r="AU34" s="491"/>
      <c r="AV34" s="495"/>
      <c r="AW34" s="491"/>
      <c r="AX34" s="489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</row>
    <row r="35" spans="1:74">
      <c r="A35" s="487" t="s">
        <v>300</v>
      </c>
      <c r="B35" s="488">
        <v>123642369</v>
      </c>
      <c r="C35" s="495"/>
      <c r="D35" s="496"/>
      <c r="E35" s="496"/>
      <c r="F35" s="496"/>
      <c r="G35" s="496"/>
      <c r="H35" s="496"/>
      <c r="I35" s="496"/>
      <c r="J35" s="496"/>
      <c r="K35" s="496"/>
      <c r="L35" s="496"/>
      <c r="M35" s="496"/>
      <c r="N35" s="496"/>
      <c r="O35" s="496"/>
      <c r="P35" s="496"/>
      <c r="Q35" s="496"/>
      <c r="R35" s="496"/>
      <c r="S35" s="496"/>
      <c r="T35" s="496"/>
      <c r="U35" s="496"/>
      <c r="V35" s="496"/>
      <c r="W35" s="496"/>
      <c r="X35" s="496"/>
      <c r="Y35" s="496"/>
      <c r="Z35" s="496"/>
      <c r="AA35" s="496"/>
      <c r="AB35" s="496"/>
      <c r="AC35" s="496"/>
      <c r="AD35" s="496"/>
      <c r="AE35" s="496"/>
      <c r="AF35" s="496"/>
      <c r="AG35" s="496"/>
      <c r="AH35" s="496"/>
      <c r="AI35" s="496"/>
      <c r="AJ35" s="496"/>
      <c r="AK35" s="496"/>
      <c r="AL35" s="496"/>
      <c r="AM35" s="496"/>
      <c r="AN35" s="496"/>
      <c r="AO35" s="496"/>
      <c r="AP35" s="496"/>
      <c r="AQ35" s="496"/>
      <c r="AR35" s="496"/>
      <c r="AS35" s="496"/>
      <c r="AT35" s="496"/>
      <c r="AU35" s="496"/>
      <c r="AV35" s="497"/>
      <c r="AW35" s="498"/>
      <c r="AX35" s="499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</row>
    <row r="36" spans="1:74">
      <c r="A36" s="487" t="s">
        <v>301</v>
      </c>
      <c r="B36" s="271">
        <v>43795855</v>
      </c>
      <c r="C36" s="500">
        <f t="shared" ref="C36:U36" si="18">-C29</f>
        <v>0</v>
      </c>
      <c r="D36" s="500">
        <f t="shared" si="18"/>
        <v>0</v>
      </c>
      <c r="E36" s="500">
        <f t="shared" si="18"/>
        <v>-6423576.4400000004</v>
      </c>
      <c r="F36" s="500">
        <f t="shared" si="18"/>
        <v>-6023576.4400000004</v>
      </c>
      <c r="G36" s="500">
        <f t="shared" si="18"/>
        <v>-4274525.4800000004</v>
      </c>
      <c r="H36" s="500">
        <f t="shared" si="18"/>
        <v>-2033994.9800000002</v>
      </c>
      <c r="I36" s="500">
        <f t="shared" si="18"/>
        <v>-51236203.965364128</v>
      </c>
      <c r="J36" s="500">
        <f t="shared" si="18"/>
        <v>-26640325.379333336</v>
      </c>
      <c r="K36" s="500">
        <f t="shared" si="18"/>
        <v>-26580325.379333336</v>
      </c>
      <c r="L36" s="500">
        <f t="shared" si="18"/>
        <v>-33485325.379333336</v>
      </c>
      <c r="M36" s="500">
        <f t="shared" si="18"/>
        <v>-61134521.279333331</v>
      </c>
      <c r="N36" s="500">
        <f t="shared" si="18"/>
        <v>-27881884.167226821</v>
      </c>
      <c r="O36" s="500">
        <f t="shared" si="18"/>
        <v>0</v>
      </c>
      <c r="P36" s="500">
        <f t="shared" si="18"/>
        <v>0</v>
      </c>
      <c r="Q36" s="500">
        <f t="shared" si="18"/>
        <v>0</v>
      </c>
      <c r="R36" s="500">
        <f t="shared" si="18"/>
        <v>0</v>
      </c>
      <c r="S36" s="500">
        <f t="shared" si="18"/>
        <v>0</v>
      </c>
      <c r="T36" s="500">
        <f t="shared" si="18"/>
        <v>0</v>
      </c>
      <c r="U36" s="500">
        <f t="shared" si="18"/>
        <v>0</v>
      </c>
      <c r="V36" s="501">
        <f>B35</f>
        <v>123642369</v>
      </c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2"/>
      <c r="AW36" s="469"/>
      <c r="AX36" s="469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</row>
    <row r="37" spans="1:74">
      <c r="A37" s="487" t="s">
        <v>302</v>
      </c>
      <c r="B37" s="269">
        <v>3.44E-2</v>
      </c>
      <c r="C37" s="503"/>
      <c r="D37" s="503"/>
      <c r="E37" s="503"/>
      <c r="F37" s="503"/>
      <c r="G37" s="503"/>
      <c r="H37" s="503"/>
      <c r="I37" s="503"/>
      <c r="J37" s="503"/>
      <c r="K37" s="503"/>
      <c r="L37" s="503"/>
      <c r="M37" s="503"/>
      <c r="N37" s="503"/>
      <c r="O37" s="503"/>
      <c r="P37" s="503"/>
      <c r="Q37" s="503"/>
      <c r="R37" s="503"/>
      <c r="S37" s="503"/>
      <c r="T37" s="503"/>
      <c r="U37" s="503"/>
      <c r="V37" s="503"/>
      <c r="W37" s="503"/>
      <c r="X37" s="503"/>
      <c r="Y37" s="503"/>
      <c r="Z37" s="503"/>
      <c r="AA37" s="503"/>
      <c r="AB37" s="503"/>
      <c r="AC37" s="503"/>
      <c r="AD37" s="503"/>
      <c r="AE37" s="503"/>
      <c r="AF37" s="503"/>
      <c r="AG37" s="503"/>
      <c r="AH37" s="503"/>
      <c r="AI37" s="503"/>
      <c r="AJ37" s="503"/>
      <c r="AK37" s="503"/>
      <c r="AL37" s="503"/>
      <c r="AM37" s="503"/>
      <c r="AN37" s="503"/>
      <c r="AO37" s="503"/>
      <c r="AP37" s="503"/>
      <c r="AQ37" s="503"/>
      <c r="AR37" s="503"/>
      <c r="AS37" s="503"/>
      <c r="AT37" s="503"/>
      <c r="AU37" s="503"/>
      <c r="AV37" s="497"/>
      <c r="AW37" s="503"/>
      <c r="AX37" s="504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</row>
    <row r="38" spans="1:74">
      <c r="A38" s="477" t="s">
        <v>303</v>
      </c>
      <c r="B38" s="505">
        <f>POWER((1+B37),4)-1</f>
        <v>0.14486439067688939</v>
      </c>
      <c r="C38" s="497"/>
      <c r="D38" s="497"/>
      <c r="E38" s="506"/>
      <c r="F38" s="506"/>
      <c r="G38" s="506"/>
      <c r="H38" s="506"/>
      <c r="I38" s="506"/>
      <c r="J38" s="506"/>
      <c r="K38" s="506"/>
      <c r="L38" s="506"/>
      <c r="M38" s="506"/>
      <c r="N38" s="506"/>
      <c r="O38" s="506"/>
      <c r="P38" s="507"/>
      <c r="Q38" s="506"/>
      <c r="R38" s="506"/>
      <c r="S38" s="506"/>
      <c r="T38" s="506"/>
      <c r="U38" s="506"/>
      <c r="V38" s="507"/>
      <c r="W38" s="506"/>
      <c r="X38" s="506"/>
      <c r="Y38" s="506"/>
      <c r="Z38" s="506"/>
      <c r="AA38" s="506"/>
      <c r="AB38" s="506"/>
      <c r="AC38" s="506"/>
      <c r="AD38" s="506"/>
      <c r="AE38" s="506"/>
      <c r="AF38" s="506"/>
      <c r="AG38" s="506"/>
      <c r="AH38" s="506"/>
      <c r="AI38" s="506"/>
      <c r="AJ38" s="506"/>
      <c r="AK38" s="506"/>
      <c r="AL38" s="506"/>
      <c r="AM38" s="506"/>
      <c r="AN38" s="506"/>
      <c r="AO38" s="506"/>
      <c r="AP38" s="506"/>
      <c r="AQ38" s="506"/>
      <c r="AR38" s="506"/>
      <c r="AS38" s="506"/>
      <c r="AT38" s="506"/>
      <c r="AU38" s="506"/>
      <c r="AV38" s="506"/>
      <c r="AW38" s="506"/>
      <c r="AX38" s="508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</row>
    <row r="39" spans="1:74">
      <c r="A39" s="1428" t="s">
        <v>304</v>
      </c>
      <c r="B39" s="1429"/>
      <c r="C39" s="497"/>
      <c r="D39" s="497"/>
      <c r="E39" s="506"/>
      <c r="F39" s="506"/>
      <c r="G39" s="506"/>
      <c r="H39" s="506"/>
      <c r="I39" s="506"/>
      <c r="J39" s="506"/>
      <c r="K39" s="506"/>
      <c r="L39" s="506"/>
      <c r="M39" s="506"/>
      <c r="N39" s="506"/>
      <c r="O39" s="506"/>
      <c r="P39" s="507"/>
      <c r="Q39" s="506"/>
      <c r="R39" s="506"/>
      <c r="S39" s="506"/>
      <c r="T39" s="506"/>
      <c r="U39" s="506"/>
      <c r="V39" s="507"/>
      <c r="W39" s="506"/>
      <c r="X39" s="506"/>
      <c r="Y39" s="506"/>
      <c r="Z39" s="506"/>
      <c r="AA39" s="506"/>
      <c r="AB39" s="506"/>
      <c r="AC39" s="506"/>
      <c r="AD39" s="506"/>
      <c r="AE39" s="506"/>
      <c r="AF39" s="506"/>
      <c r="AG39" s="506"/>
      <c r="AH39" s="506"/>
      <c r="AI39" s="506"/>
      <c r="AJ39" s="506"/>
      <c r="AK39" s="506"/>
      <c r="AL39" s="506"/>
      <c r="AM39" s="506"/>
      <c r="AN39" s="506"/>
      <c r="AO39" s="506"/>
      <c r="AP39" s="506"/>
      <c r="AQ39" s="506"/>
      <c r="AR39" s="506"/>
      <c r="AS39" s="506"/>
      <c r="AT39" s="506"/>
      <c r="AU39" s="506"/>
      <c r="AV39" s="506"/>
      <c r="AW39" s="506"/>
      <c r="AX39" s="508"/>
      <c r="AY39" s="194"/>
      <c r="AZ39" s="194"/>
      <c r="BA39" s="194"/>
      <c r="BB39" s="194"/>
      <c r="BC39" s="194"/>
      <c r="BD39" s="194"/>
      <c r="BE39" s="194"/>
      <c r="BF39" s="194"/>
      <c r="BG39" s="194"/>
      <c r="BH39" s="194"/>
      <c r="BI39" s="194"/>
      <c r="BJ39" s="194"/>
      <c r="BK39" s="194"/>
      <c r="BL39" s="194"/>
      <c r="BM39" s="194"/>
      <c r="BN39" s="194"/>
      <c r="BO39" s="194"/>
      <c r="BP39" s="194"/>
      <c r="BQ39" s="194"/>
      <c r="BR39" s="194"/>
      <c r="BS39" s="194"/>
      <c r="BT39" s="194"/>
      <c r="BU39" s="194"/>
    </row>
    <row r="40" spans="1:74">
      <c r="A40" s="487" t="s">
        <v>305</v>
      </c>
      <c r="B40" s="86">
        <v>251967139</v>
      </c>
      <c r="C40" s="497"/>
      <c r="D40" s="497"/>
      <c r="E40" s="506"/>
      <c r="F40" s="506"/>
      <c r="G40" s="506"/>
      <c r="H40" s="506"/>
      <c r="I40" s="506"/>
      <c r="J40" s="506"/>
      <c r="K40" s="506"/>
      <c r="L40" s="506"/>
      <c r="M40" s="506"/>
      <c r="N40" s="506"/>
      <c r="O40" s="506"/>
      <c r="P40" s="507"/>
      <c r="Q40" s="506"/>
      <c r="R40" s="506"/>
      <c r="S40" s="506"/>
      <c r="T40" s="506"/>
      <c r="U40" s="506"/>
      <c r="V40" s="507"/>
      <c r="W40" s="506"/>
      <c r="X40" s="506"/>
      <c r="Y40" s="506"/>
      <c r="Z40" s="506"/>
      <c r="AA40" s="506"/>
      <c r="AB40" s="506"/>
      <c r="AC40" s="506"/>
      <c r="AD40" s="506"/>
      <c r="AE40" s="506"/>
      <c r="AF40" s="506"/>
      <c r="AG40" s="506"/>
      <c r="AH40" s="506"/>
      <c r="AI40" s="506"/>
      <c r="AJ40" s="506"/>
      <c r="AK40" s="506"/>
      <c r="AL40" s="506"/>
      <c r="AM40" s="506"/>
      <c r="AN40" s="506"/>
      <c r="AO40" s="506"/>
      <c r="AP40" s="506"/>
      <c r="AQ40" s="506"/>
      <c r="AR40" s="506"/>
      <c r="AS40" s="506"/>
      <c r="AT40" s="506"/>
      <c r="AU40" s="506"/>
      <c r="AV40" s="506"/>
      <c r="AW40" s="506"/>
      <c r="AX40" s="508"/>
      <c r="AY40" s="194"/>
      <c r="AZ40" s="194"/>
      <c r="BA40" s="194"/>
      <c r="BB40" s="194"/>
      <c r="BC40" s="194"/>
      <c r="BD40" s="194"/>
      <c r="BE40" s="194"/>
      <c r="BF40" s="194"/>
      <c r="BG40" s="194"/>
      <c r="BH40" s="194"/>
      <c r="BI40" s="194"/>
      <c r="BJ40" s="194"/>
      <c r="BK40" s="194"/>
      <c r="BL40" s="194"/>
      <c r="BM40" s="194"/>
      <c r="BN40" s="194"/>
      <c r="BO40" s="194"/>
      <c r="BP40" s="194"/>
      <c r="BQ40" s="194"/>
      <c r="BR40" s="194"/>
      <c r="BS40" s="194"/>
      <c r="BT40" s="194"/>
      <c r="BU40" s="194"/>
    </row>
    <row r="41" spans="1:74">
      <c r="A41" s="487" t="s">
        <v>306</v>
      </c>
      <c r="B41" s="271">
        <f>SUM(C41:AU41)</f>
        <v>-366335298.79072118</v>
      </c>
      <c r="C41" s="469">
        <f>-C26</f>
        <v>0</v>
      </c>
      <c r="D41" s="469">
        <f>-D26</f>
        <v>0</v>
      </c>
      <c r="E41" s="469">
        <f>-E26</f>
        <v>-6423576.4400000004</v>
      </c>
      <c r="F41" s="469">
        <f t="shared" ref="F41:U41" si="19">-F26</f>
        <v>-6023576.4400000004</v>
      </c>
      <c r="G41" s="469">
        <f t="shared" si="19"/>
        <v>-4274525.4800000004</v>
      </c>
      <c r="H41" s="469">
        <f t="shared" si="19"/>
        <v>-2033994.9800000002</v>
      </c>
      <c r="I41" s="469">
        <f t="shared" si="19"/>
        <v>-51236203.965364128</v>
      </c>
      <c r="J41" s="469">
        <f t="shared" si="19"/>
        <v>-26640325.379333336</v>
      </c>
      <c r="K41" s="469">
        <f t="shared" si="19"/>
        <v>-26580325.379333336</v>
      </c>
      <c r="L41" s="469">
        <f t="shared" si="19"/>
        <v>-33485325.379333336</v>
      </c>
      <c r="M41" s="469">
        <f t="shared" si="19"/>
        <v>-61134521.279333331</v>
      </c>
      <c r="N41" s="469">
        <f t="shared" si="19"/>
        <v>-62409576.16580718</v>
      </c>
      <c r="O41" s="469">
        <f t="shared" si="19"/>
        <v>-62212123.61780718</v>
      </c>
      <c r="P41" s="469">
        <f t="shared" si="19"/>
        <v>-62212123.61780718</v>
      </c>
      <c r="Q41" s="469">
        <f t="shared" si="19"/>
        <v>-42891887.113298476</v>
      </c>
      <c r="R41" s="469">
        <f t="shared" si="19"/>
        <v>-46218072.870947704</v>
      </c>
      <c r="S41" s="469">
        <f t="shared" si="19"/>
        <v>-56716954.599898912</v>
      </c>
      <c r="T41" s="469">
        <f t="shared" si="19"/>
        <v>-54498729.630401477</v>
      </c>
      <c r="U41" s="469">
        <f t="shared" si="19"/>
        <v>-10639188.452055689</v>
      </c>
      <c r="V41" s="504">
        <f>-V26+B40</f>
        <v>249295732</v>
      </c>
      <c r="W41" s="469"/>
      <c r="X41" s="469"/>
      <c r="Y41" s="469"/>
      <c r="Z41" s="469"/>
      <c r="AA41" s="469"/>
      <c r="AB41" s="469"/>
      <c r="AC41" s="469"/>
      <c r="AD41" s="469"/>
      <c r="AE41" s="469"/>
      <c r="AF41" s="469"/>
      <c r="AG41" s="469"/>
      <c r="AH41" s="469"/>
      <c r="AI41" s="469"/>
      <c r="AJ41" s="469"/>
      <c r="AK41" s="469"/>
      <c r="AL41" s="469"/>
      <c r="AM41" s="469"/>
      <c r="AN41" s="469"/>
      <c r="AO41" s="469"/>
      <c r="AP41" s="469"/>
      <c r="AQ41" s="469"/>
      <c r="AR41" s="469"/>
      <c r="AS41" s="469"/>
      <c r="AT41" s="469"/>
      <c r="AU41" s="469"/>
      <c r="AV41" s="504"/>
      <c r="AW41" s="477"/>
      <c r="AX41" s="477"/>
    </row>
    <row r="42" spans="1:74">
      <c r="A42" s="487" t="s">
        <v>307</v>
      </c>
      <c r="B42" s="269">
        <f>IF(B41&lt;0,0,IRR(C41:AU41))</f>
        <v>0</v>
      </c>
      <c r="C42" s="497"/>
      <c r="D42" s="497"/>
      <c r="E42" s="497"/>
      <c r="F42" s="497"/>
      <c r="G42" s="497"/>
      <c r="H42" s="497"/>
      <c r="I42" s="497"/>
      <c r="J42" s="497"/>
      <c r="K42" s="497"/>
      <c r="L42" s="497"/>
      <c r="M42" s="491"/>
      <c r="N42" s="497"/>
      <c r="O42" s="497"/>
      <c r="P42" s="497"/>
      <c r="Q42" s="497"/>
      <c r="R42" s="497"/>
      <c r="S42" s="491"/>
      <c r="T42" s="497"/>
      <c r="U42" s="497"/>
      <c r="V42" s="497"/>
      <c r="W42" s="497"/>
      <c r="X42" s="497"/>
      <c r="Y42" s="497"/>
      <c r="Z42" s="497"/>
      <c r="AA42" s="497"/>
      <c r="AB42" s="497"/>
      <c r="AC42" s="497"/>
      <c r="AD42" s="497"/>
      <c r="AE42" s="497"/>
      <c r="AF42" s="497"/>
      <c r="AG42" s="497"/>
      <c r="AH42" s="497"/>
      <c r="AI42" s="497"/>
      <c r="AJ42" s="497"/>
      <c r="AK42" s="497"/>
      <c r="AL42" s="497"/>
      <c r="AM42" s="497"/>
      <c r="AN42" s="497"/>
      <c r="AO42" s="497"/>
      <c r="AP42" s="497"/>
      <c r="AQ42" s="497"/>
      <c r="AR42" s="497"/>
      <c r="AS42" s="497"/>
      <c r="AT42" s="497"/>
      <c r="AU42" s="497"/>
      <c r="AV42" s="497"/>
      <c r="AW42" s="497"/>
      <c r="AX42" s="477"/>
    </row>
    <row r="43" spans="1:74">
      <c r="A43" s="477" t="s">
        <v>308</v>
      </c>
      <c r="B43" s="505">
        <f>POWER((1+B42),4)-1</f>
        <v>0</v>
      </c>
      <c r="C43" s="497"/>
      <c r="D43" s="497"/>
      <c r="E43" s="497"/>
      <c r="F43" s="497"/>
      <c r="G43" s="497"/>
      <c r="H43" s="497"/>
      <c r="I43" s="497"/>
      <c r="J43" s="497"/>
      <c r="K43" s="497"/>
      <c r="L43" s="497"/>
      <c r="M43" s="491"/>
      <c r="N43" s="497"/>
      <c r="O43" s="497"/>
      <c r="P43" s="497"/>
      <c r="Q43" s="497"/>
      <c r="R43" s="497"/>
      <c r="S43" s="491"/>
      <c r="T43" s="497"/>
      <c r="U43" s="497"/>
      <c r="V43" s="497"/>
      <c r="W43" s="497"/>
      <c r="X43" s="497"/>
      <c r="Y43" s="497"/>
      <c r="Z43" s="497"/>
      <c r="AA43" s="497"/>
      <c r="AB43" s="497"/>
      <c r="AC43" s="497"/>
      <c r="AD43" s="497"/>
      <c r="AE43" s="497"/>
      <c r="AF43" s="497"/>
      <c r="AG43" s="497"/>
      <c r="AH43" s="497"/>
      <c r="AI43" s="497"/>
      <c r="AJ43" s="497"/>
      <c r="AK43" s="497"/>
      <c r="AL43" s="497"/>
      <c r="AM43" s="497"/>
      <c r="AN43" s="497"/>
      <c r="AO43" s="497"/>
      <c r="AP43" s="497"/>
      <c r="AQ43" s="497"/>
      <c r="AR43" s="497"/>
      <c r="AS43" s="497"/>
      <c r="AT43" s="497"/>
      <c r="AU43" s="497"/>
      <c r="AV43" s="497"/>
      <c r="AW43" s="477"/>
      <c r="AX43" s="477"/>
    </row>
    <row r="44" spans="1:74">
      <c r="G44" s="37"/>
    </row>
    <row r="45" spans="1:74">
      <c r="G45" s="37"/>
    </row>
    <row r="46" spans="1:74">
      <c r="G46" s="37"/>
    </row>
    <row r="47" spans="1:74">
      <c r="G47" s="37"/>
    </row>
    <row r="48" spans="1:74">
      <c r="G48" s="37"/>
    </row>
    <row r="49" spans="7:7">
      <c r="G49" s="37"/>
    </row>
    <row r="50" spans="7:7">
      <c r="G50" s="37"/>
    </row>
    <row r="51" spans="7:7">
      <c r="G51" s="37"/>
    </row>
    <row r="52" spans="7:7">
      <c r="G52" s="37"/>
    </row>
    <row r="53" spans="7:7">
      <c r="G53" s="37"/>
    </row>
    <row r="54" spans="7:7">
      <c r="G54" s="37"/>
    </row>
    <row r="55" spans="7:7">
      <c r="G55" s="37"/>
    </row>
    <row r="56" spans="7:7">
      <c r="G56" s="37"/>
    </row>
    <row r="57" spans="7:7">
      <c r="G57" s="37"/>
    </row>
    <row r="58" spans="7:7">
      <c r="G58" s="37"/>
    </row>
    <row r="59" spans="7:7">
      <c r="G59" s="37"/>
    </row>
    <row r="60" spans="7:7">
      <c r="G60" s="37"/>
    </row>
    <row r="61" spans="7:7">
      <c r="G61" s="37"/>
    </row>
    <row r="62" spans="7:7">
      <c r="G62" s="37"/>
    </row>
    <row r="63" spans="7:7">
      <c r="G63" s="37"/>
    </row>
    <row r="64" spans="7:7">
      <c r="G64" s="37"/>
    </row>
    <row r="65" spans="7:7">
      <c r="G65" s="37"/>
    </row>
    <row r="66" spans="7:7">
      <c r="G66" s="37"/>
    </row>
    <row r="67" spans="7:7">
      <c r="G67" s="37"/>
    </row>
    <row r="68" spans="7:7">
      <c r="G68" s="37"/>
    </row>
    <row r="69" spans="7:7">
      <c r="G69" s="37"/>
    </row>
    <row r="70" spans="7:7">
      <c r="G70" s="37"/>
    </row>
    <row r="71" spans="7:7">
      <c r="G71" s="37"/>
    </row>
    <row r="72" spans="7:7">
      <c r="G72" s="37"/>
    </row>
    <row r="73" spans="7:7">
      <c r="G73" s="37"/>
    </row>
    <row r="74" spans="7:7">
      <c r="G74" s="37"/>
    </row>
    <row r="75" spans="7:7">
      <c r="G75" s="37"/>
    </row>
    <row r="76" spans="7:7">
      <c r="G76" s="37"/>
    </row>
    <row r="77" spans="7:7">
      <c r="G77" s="37"/>
    </row>
    <row r="78" spans="7:7">
      <c r="G78" s="37"/>
    </row>
    <row r="79" spans="7:7">
      <c r="G79" s="37"/>
    </row>
    <row r="80" spans="7:7">
      <c r="G80" s="37"/>
    </row>
    <row r="81" spans="7:7">
      <c r="G81" s="37"/>
    </row>
    <row r="82" spans="7:7">
      <c r="G82" s="37"/>
    </row>
    <row r="83" spans="7:7">
      <c r="G83" s="37"/>
    </row>
    <row r="84" spans="7:7">
      <c r="G84" s="37"/>
    </row>
    <row r="85" spans="7:7">
      <c r="G85" s="37"/>
    </row>
    <row r="86" spans="7:7">
      <c r="G86" s="37"/>
    </row>
    <row r="87" spans="7:7">
      <c r="G87" s="37"/>
    </row>
    <row r="88" spans="7:7">
      <c r="G88" s="37"/>
    </row>
    <row r="89" spans="7:7">
      <c r="G89" s="37"/>
    </row>
    <row r="90" spans="7:7">
      <c r="G90" s="37"/>
    </row>
    <row r="91" spans="7:7">
      <c r="G91" s="37"/>
    </row>
    <row r="92" spans="7:7">
      <c r="G92" s="37"/>
    </row>
    <row r="93" spans="7:7">
      <c r="G93" s="37"/>
    </row>
    <row r="94" spans="7:7">
      <c r="G94" s="37"/>
    </row>
    <row r="95" spans="7:7">
      <c r="G95" s="37"/>
    </row>
    <row r="96" spans="7:7">
      <c r="G96" s="37"/>
    </row>
    <row r="97" spans="7:7">
      <c r="G97" s="37"/>
    </row>
    <row r="98" spans="7:7">
      <c r="G98" s="37"/>
    </row>
    <row r="99" spans="7:7">
      <c r="G99" s="37"/>
    </row>
    <row r="100" spans="7:7">
      <c r="G100" s="37"/>
    </row>
    <row r="101" spans="7:7">
      <c r="G101" s="37"/>
    </row>
    <row r="102" spans="7:7">
      <c r="G102" s="37"/>
    </row>
    <row r="103" spans="7:7">
      <c r="G103" s="37"/>
    </row>
    <row r="104" spans="7:7">
      <c r="G104" s="37"/>
    </row>
    <row r="105" spans="7:7">
      <c r="G105" s="37"/>
    </row>
    <row r="106" spans="7:7">
      <c r="G106" s="37"/>
    </row>
    <row r="107" spans="7:7">
      <c r="G107" s="37"/>
    </row>
    <row r="108" spans="7:7">
      <c r="G108" s="37"/>
    </row>
    <row r="109" spans="7:7">
      <c r="G109" s="37"/>
    </row>
    <row r="110" spans="7:7">
      <c r="G110" s="37"/>
    </row>
    <row r="111" spans="7:7">
      <c r="G111" s="37"/>
    </row>
    <row r="112" spans="7:7">
      <c r="G112" s="37"/>
    </row>
    <row r="113" spans="7:7">
      <c r="G113" s="37"/>
    </row>
    <row r="114" spans="7:7">
      <c r="G114" s="37"/>
    </row>
    <row r="115" spans="7:7">
      <c r="G115" s="37"/>
    </row>
    <row r="116" spans="7:7">
      <c r="G116" s="37"/>
    </row>
    <row r="117" spans="7:7">
      <c r="G117" s="37"/>
    </row>
    <row r="118" spans="7:7">
      <c r="G118" s="37"/>
    </row>
    <row r="119" spans="7:7">
      <c r="G119" s="37"/>
    </row>
    <row r="120" spans="7:7">
      <c r="G120" s="37"/>
    </row>
    <row r="121" spans="7:7">
      <c r="G121" s="37"/>
    </row>
    <row r="122" spans="7:7">
      <c r="G122" s="37"/>
    </row>
    <row r="123" spans="7:7">
      <c r="G123" s="37"/>
    </row>
    <row r="124" spans="7:7">
      <c r="G124" s="37"/>
    </row>
    <row r="125" spans="7:7">
      <c r="G125" s="37"/>
    </row>
    <row r="126" spans="7:7">
      <c r="G126" s="37"/>
    </row>
    <row r="127" spans="7:7">
      <c r="G127" s="37"/>
    </row>
    <row r="128" spans="7:7">
      <c r="G128" s="37"/>
    </row>
    <row r="129" spans="7:7">
      <c r="G129" s="37"/>
    </row>
    <row r="130" spans="7:7">
      <c r="G130" s="37"/>
    </row>
    <row r="131" spans="7:7">
      <c r="G131" s="37"/>
    </row>
    <row r="132" spans="7:7">
      <c r="G132" s="37"/>
    </row>
    <row r="133" spans="7:7">
      <c r="G133" s="37"/>
    </row>
    <row r="134" spans="7:7">
      <c r="G134" s="37"/>
    </row>
    <row r="135" spans="7:7">
      <c r="G135" s="37"/>
    </row>
    <row r="136" spans="7:7">
      <c r="G136" s="37"/>
    </row>
    <row r="137" spans="7:7">
      <c r="G137" s="37"/>
    </row>
    <row r="138" spans="7:7">
      <c r="G138" s="37"/>
    </row>
    <row r="139" spans="7:7">
      <c r="G139" s="37"/>
    </row>
    <row r="140" spans="7:7">
      <c r="G140" s="37"/>
    </row>
    <row r="141" spans="7:7">
      <c r="G141" s="37"/>
    </row>
    <row r="142" spans="7:7">
      <c r="G142" s="37"/>
    </row>
    <row r="143" spans="7:7">
      <c r="G143" s="37"/>
    </row>
    <row r="144" spans="7:7">
      <c r="G144" s="37"/>
    </row>
    <row r="145" spans="7:7">
      <c r="G145" s="37"/>
    </row>
    <row r="146" spans="7:7">
      <c r="G146" s="37"/>
    </row>
    <row r="147" spans="7:7">
      <c r="G147" s="37"/>
    </row>
    <row r="148" spans="7:7">
      <c r="G148" s="37"/>
    </row>
    <row r="149" spans="7:7">
      <c r="G149" s="37"/>
    </row>
    <row r="150" spans="7:7">
      <c r="G150" s="37"/>
    </row>
    <row r="151" spans="7:7">
      <c r="G151" s="37"/>
    </row>
    <row r="152" spans="7:7">
      <c r="G152" s="37"/>
    </row>
    <row r="153" spans="7:7">
      <c r="G153" s="37"/>
    </row>
    <row r="154" spans="7:7">
      <c r="G154" s="37"/>
    </row>
    <row r="155" spans="7:7">
      <c r="G155" s="37"/>
    </row>
    <row r="156" spans="7:7">
      <c r="G156" s="37"/>
    </row>
    <row r="157" spans="7:7">
      <c r="G157" s="37"/>
    </row>
    <row r="158" spans="7:7">
      <c r="G158" s="37"/>
    </row>
    <row r="159" spans="7:7">
      <c r="G159" s="37"/>
    </row>
    <row r="160" spans="7:7">
      <c r="G160" s="37"/>
    </row>
    <row r="161" spans="7:7">
      <c r="G161" s="37"/>
    </row>
    <row r="162" spans="7:7">
      <c r="G162" s="37"/>
    </row>
    <row r="163" spans="7:7">
      <c r="G163" s="37"/>
    </row>
    <row r="164" spans="7:7">
      <c r="G164" s="37"/>
    </row>
    <row r="165" spans="7:7">
      <c r="G165" s="37"/>
    </row>
    <row r="166" spans="7:7">
      <c r="G166" s="37"/>
    </row>
    <row r="167" spans="7:7">
      <c r="G167" s="37"/>
    </row>
    <row r="168" spans="7:7">
      <c r="G168" s="37"/>
    </row>
    <row r="169" spans="7:7">
      <c r="G169" s="37"/>
    </row>
    <row r="170" spans="7:7">
      <c r="G170" s="37"/>
    </row>
    <row r="171" spans="7:7">
      <c r="G171" s="37"/>
    </row>
    <row r="172" spans="7:7">
      <c r="G172" s="37"/>
    </row>
    <row r="173" spans="7:7">
      <c r="G173" s="37"/>
    </row>
    <row r="174" spans="7:7">
      <c r="G174" s="37"/>
    </row>
    <row r="175" spans="7:7">
      <c r="G175" s="37"/>
    </row>
    <row r="176" spans="7:7">
      <c r="G176" s="37"/>
    </row>
    <row r="177" spans="7:7">
      <c r="G177" s="37"/>
    </row>
    <row r="178" spans="7:7">
      <c r="G178" s="37"/>
    </row>
    <row r="179" spans="7:7">
      <c r="G179" s="37"/>
    </row>
    <row r="180" spans="7:7">
      <c r="G180" s="37"/>
    </row>
    <row r="181" spans="7:7">
      <c r="G181" s="37"/>
    </row>
    <row r="182" spans="7:7">
      <c r="G182" s="37"/>
    </row>
    <row r="183" spans="7:7">
      <c r="G183" s="37"/>
    </row>
    <row r="184" spans="7:7">
      <c r="G184" s="37"/>
    </row>
    <row r="185" spans="7:7">
      <c r="G185" s="37"/>
    </row>
    <row r="186" spans="7:7">
      <c r="G186" s="37"/>
    </row>
    <row r="187" spans="7:7">
      <c r="G187" s="37"/>
    </row>
    <row r="188" spans="7:7">
      <c r="G188" s="37"/>
    </row>
    <row r="189" spans="7:7">
      <c r="G189" s="37"/>
    </row>
    <row r="190" spans="7:7">
      <c r="G190" s="37"/>
    </row>
    <row r="191" spans="7:7">
      <c r="G191" s="37"/>
    </row>
    <row r="192" spans="7:7">
      <c r="G192" s="37"/>
    </row>
    <row r="193" spans="7:7">
      <c r="G193" s="37"/>
    </row>
    <row r="194" spans="7:7">
      <c r="G194" s="37"/>
    </row>
    <row r="195" spans="7:7">
      <c r="G195" s="37"/>
    </row>
    <row r="196" spans="7:7">
      <c r="G196" s="37"/>
    </row>
    <row r="197" spans="7:7">
      <c r="G197" s="37"/>
    </row>
    <row r="198" spans="7:7">
      <c r="G198" s="37"/>
    </row>
    <row r="199" spans="7:7">
      <c r="G199" s="37"/>
    </row>
    <row r="200" spans="7:7">
      <c r="G200" s="37"/>
    </row>
    <row r="201" spans="7:7">
      <c r="G201" s="37"/>
    </row>
    <row r="202" spans="7:7">
      <c r="G202" s="37"/>
    </row>
    <row r="203" spans="7:7">
      <c r="G203" s="37"/>
    </row>
    <row r="204" spans="7:7">
      <c r="G204" s="37"/>
    </row>
    <row r="205" spans="7:7">
      <c r="G205" s="37"/>
    </row>
    <row r="206" spans="7:7">
      <c r="G206" s="37"/>
    </row>
    <row r="207" spans="7:7">
      <c r="G207" s="37"/>
    </row>
    <row r="208" spans="7:7">
      <c r="G208" s="37"/>
    </row>
    <row r="209" spans="7:7">
      <c r="G209" s="37"/>
    </row>
    <row r="210" spans="7:7">
      <c r="G210" s="37"/>
    </row>
    <row r="211" spans="7:7">
      <c r="G211" s="37"/>
    </row>
    <row r="212" spans="7:7">
      <c r="G212" s="37"/>
    </row>
    <row r="213" spans="7:7">
      <c r="G213" s="37"/>
    </row>
    <row r="214" spans="7:7">
      <c r="G214" s="37"/>
    </row>
    <row r="215" spans="7:7">
      <c r="G215" s="37"/>
    </row>
    <row r="216" spans="7:7">
      <c r="G216" s="37"/>
    </row>
    <row r="217" spans="7:7">
      <c r="G217" s="37"/>
    </row>
    <row r="218" spans="7:7">
      <c r="G218" s="37"/>
    </row>
    <row r="219" spans="7:7">
      <c r="G219" s="37"/>
    </row>
    <row r="220" spans="7:7">
      <c r="G220" s="37"/>
    </row>
    <row r="221" spans="7:7">
      <c r="G221" s="37"/>
    </row>
    <row r="222" spans="7:7">
      <c r="G222" s="37"/>
    </row>
    <row r="223" spans="7:7">
      <c r="G223" s="37"/>
    </row>
    <row r="224" spans="7:7">
      <c r="G224" s="37"/>
    </row>
    <row r="225" spans="7:7">
      <c r="G225" s="37"/>
    </row>
    <row r="226" spans="7:7">
      <c r="G226" s="37"/>
    </row>
    <row r="227" spans="7:7">
      <c r="G227" s="37"/>
    </row>
    <row r="228" spans="7:7">
      <c r="G228" s="37"/>
    </row>
    <row r="229" spans="7:7">
      <c r="G229" s="37"/>
    </row>
    <row r="230" spans="7:7">
      <c r="G230" s="37"/>
    </row>
    <row r="231" spans="7:7">
      <c r="G231" s="37"/>
    </row>
    <row r="232" spans="7:7">
      <c r="G232" s="37"/>
    </row>
    <row r="233" spans="7:7">
      <c r="G233" s="37"/>
    </row>
    <row r="234" spans="7:7">
      <c r="G234" s="37"/>
    </row>
    <row r="235" spans="7:7">
      <c r="G235" s="37"/>
    </row>
    <row r="236" spans="7:7">
      <c r="G236" s="37"/>
    </row>
    <row r="237" spans="7:7">
      <c r="G237" s="37"/>
    </row>
    <row r="238" spans="7:7">
      <c r="G238" s="37"/>
    </row>
    <row r="239" spans="7:7">
      <c r="G239" s="37"/>
    </row>
    <row r="240" spans="7:7">
      <c r="G240" s="37"/>
    </row>
    <row r="241" spans="7:7">
      <c r="G241" s="37"/>
    </row>
    <row r="242" spans="7:7">
      <c r="G242" s="37"/>
    </row>
    <row r="243" spans="7:7">
      <c r="G243" s="37"/>
    </row>
    <row r="244" spans="7:7">
      <c r="G244" s="37"/>
    </row>
    <row r="245" spans="7:7">
      <c r="G245" s="37"/>
    </row>
    <row r="246" spans="7:7">
      <c r="G246" s="37"/>
    </row>
    <row r="247" spans="7:7">
      <c r="G247" s="37"/>
    </row>
    <row r="248" spans="7:7">
      <c r="G248" s="37"/>
    </row>
    <row r="249" spans="7:7">
      <c r="G249" s="37"/>
    </row>
    <row r="250" spans="7:7">
      <c r="G250" s="37"/>
    </row>
    <row r="251" spans="7:7">
      <c r="G251" s="37"/>
    </row>
    <row r="252" spans="7:7">
      <c r="G252" s="37"/>
    </row>
    <row r="253" spans="7:7">
      <c r="G253" s="37"/>
    </row>
    <row r="254" spans="7:7">
      <c r="G254" s="37"/>
    </row>
    <row r="255" spans="7:7">
      <c r="G255" s="37"/>
    </row>
    <row r="256" spans="7:7">
      <c r="G256" s="37"/>
    </row>
    <row r="257" spans="7:7">
      <c r="G257" s="37"/>
    </row>
    <row r="258" spans="7:7">
      <c r="G258" s="37"/>
    </row>
    <row r="259" spans="7:7">
      <c r="G259" s="37"/>
    </row>
    <row r="260" spans="7:7">
      <c r="G260" s="37"/>
    </row>
    <row r="261" spans="7:7">
      <c r="G261" s="37"/>
    </row>
    <row r="262" spans="7:7">
      <c r="G262" s="37"/>
    </row>
    <row r="263" spans="7:7">
      <c r="G263" s="37"/>
    </row>
    <row r="264" spans="7:7">
      <c r="G264" s="37"/>
    </row>
    <row r="265" spans="7:7">
      <c r="G265" s="37"/>
    </row>
    <row r="266" spans="7:7">
      <c r="G266" s="37"/>
    </row>
    <row r="267" spans="7:7">
      <c r="G267" s="37"/>
    </row>
    <row r="268" spans="7:7">
      <c r="G268" s="37"/>
    </row>
    <row r="269" spans="7:7">
      <c r="G269" s="37"/>
    </row>
    <row r="270" spans="7:7">
      <c r="G270" s="37"/>
    </row>
    <row r="271" spans="7:7">
      <c r="G271" s="37"/>
    </row>
    <row r="272" spans="7:7">
      <c r="G272" s="37"/>
    </row>
    <row r="273" spans="7:7">
      <c r="G273" s="37"/>
    </row>
    <row r="274" spans="7:7">
      <c r="G274" s="37"/>
    </row>
    <row r="275" spans="7:7">
      <c r="G275" s="37"/>
    </row>
    <row r="276" spans="7:7">
      <c r="G276" s="37"/>
    </row>
    <row r="277" spans="7:7">
      <c r="G277" s="37"/>
    </row>
    <row r="278" spans="7:7">
      <c r="G278" s="37"/>
    </row>
    <row r="279" spans="7:7">
      <c r="G279" s="37"/>
    </row>
    <row r="280" spans="7:7">
      <c r="G280" s="37"/>
    </row>
    <row r="281" spans="7:7">
      <c r="G281" s="37"/>
    </row>
    <row r="282" spans="7:7">
      <c r="G282" s="37"/>
    </row>
    <row r="283" spans="7:7">
      <c r="G283" s="37"/>
    </row>
    <row r="284" spans="7:7">
      <c r="G284" s="37"/>
    </row>
    <row r="285" spans="7:7">
      <c r="G285" s="37"/>
    </row>
    <row r="286" spans="7:7">
      <c r="G286" s="37"/>
    </row>
    <row r="287" spans="7:7">
      <c r="G287" s="37"/>
    </row>
    <row r="288" spans="7:7">
      <c r="G288" s="37"/>
    </row>
    <row r="289" spans="7:7">
      <c r="G289" s="37"/>
    </row>
    <row r="290" spans="7:7">
      <c r="G290" s="37"/>
    </row>
    <row r="291" spans="7:7">
      <c r="G291" s="37"/>
    </row>
    <row r="292" spans="7:7">
      <c r="G292" s="37"/>
    </row>
    <row r="293" spans="7:7">
      <c r="G293" s="37"/>
    </row>
    <row r="294" spans="7:7">
      <c r="G294" s="37"/>
    </row>
    <row r="295" spans="7:7">
      <c r="G295" s="37"/>
    </row>
    <row r="296" spans="7:7">
      <c r="G296" s="37"/>
    </row>
    <row r="297" spans="7:7">
      <c r="G297" s="37"/>
    </row>
    <row r="298" spans="7:7">
      <c r="G298" s="37"/>
    </row>
    <row r="299" spans="7:7">
      <c r="G299" s="37"/>
    </row>
    <row r="300" spans="7:7">
      <c r="G300" s="37"/>
    </row>
    <row r="301" spans="7:7">
      <c r="G301" s="37"/>
    </row>
    <row r="302" spans="7:7">
      <c r="G302" s="37"/>
    </row>
    <row r="303" spans="7:7">
      <c r="G303" s="37"/>
    </row>
    <row r="304" spans="7:7">
      <c r="G304" s="37"/>
    </row>
    <row r="305" spans="7:7">
      <c r="G305" s="37"/>
    </row>
    <row r="306" spans="7:7">
      <c r="G306" s="37"/>
    </row>
    <row r="307" spans="7:7">
      <c r="G307" s="37"/>
    </row>
    <row r="308" spans="7:7">
      <c r="G308" s="37"/>
    </row>
    <row r="309" spans="7:7">
      <c r="G309" s="37"/>
    </row>
    <row r="310" spans="7:7">
      <c r="G310" s="37"/>
    </row>
    <row r="311" spans="7:7">
      <c r="G311" s="37"/>
    </row>
    <row r="312" spans="7:7">
      <c r="G312" s="37"/>
    </row>
    <row r="313" spans="7:7">
      <c r="G313" s="37"/>
    </row>
    <row r="314" spans="7:7">
      <c r="G314" s="37"/>
    </row>
    <row r="315" spans="7:7">
      <c r="G315" s="37"/>
    </row>
    <row r="316" spans="7:7">
      <c r="G316" s="37"/>
    </row>
    <row r="317" spans="7:7">
      <c r="G317" s="37"/>
    </row>
    <row r="318" spans="7:7">
      <c r="G318" s="37"/>
    </row>
    <row r="319" spans="7:7">
      <c r="G319" s="37"/>
    </row>
    <row r="320" spans="7:7">
      <c r="G320" s="37"/>
    </row>
    <row r="321" spans="7:7">
      <c r="G321" s="37"/>
    </row>
    <row r="322" spans="7:7">
      <c r="G322" s="37"/>
    </row>
    <row r="323" spans="7:7">
      <c r="G323" s="37"/>
    </row>
    <row r="324" spans="7:7">
      <c r="G324" s="37"/>
    </row>
    <row r="325" spans="7:7">
      <c r="G325" s="37"/>
    </row>
    <row r="326" spans="7:7">
      <c r="G326" s="37"/>
    </row>
    <row r="327" spans="7:7">
      <c r="G327" s="37"/>
    </row>
    <row r="328" spans="7:7">
      <c r="G328" s="37"/>
    </row>
    <row r="329" spans="7:7">
      <c r="G329" s="37"/>
    </row>
    <row r="330" spans="7:7">
      <c r="G330" s="37"/>
    </row>
    <row r="331" spans="7:7">
      <c r="G331" s="37"/>
    </row>
    <row r="332" spans="7:7">
      <c r="G332" s="37"/>
    </row>
    <row r="333" spans="7:7">
      <c r="G333" s="37"/>
    </row>
    <row r="334" spans="7:7">
      <c r="G334" s="37"/>
    </row>
    <row r="335" spans="7:7">
      <c r="G335" s="37"/>
    </row>
    <row r="336" spans="7:7">
      <c r="G336" s="37"/>
    </row>
    <row r="337" spans="7:7">
      <c r="G337" s="37"/>
    </row>
    <row r="338" spans="7:7">
      <c r="G338" s="37"/>
    </row>
    <row r="339" spans="7:7">
      <c r="G339" s="37"/>
    </row>
    <row r="340" spans="7:7">
      <c r="G340" s="37"/>
    </row>
    <row r="341" spans="7:7">
      <c r="G341" s="37"/>
    </row>
    <row r="342" spans="7:7">
      <c r="G342" s="37"/>
    </row>
    <row r="343" spans="7:7">
      <c r="G343" s="37"/>
    </row>
    <row r="344" spans="7:7">
      <c r="G344" s="37"/>
    </row>
    <row r="345" spans="7:7">
      <c r="G345" s="37"/>
    </row>
    <row r="346" spans="7:7">
      <c r="G346" s="37"/>
    </row>
    <row r="347" spans="7:7">
      <c r="G347" s="37"/>
    </row>
    <row r="348" spans="7:7">
      <c r="G348" s="37"/>
    </row>
    <row r="349" spans="7:7">
      <c r="G349" s="37"/>
    </row>
    <row r="350" spans="7:7">
      <c r="G350" s="37"/>
    </row>
    <row r="351" spans="7:7">
      <c r="G351" s="37"/>
    </row>
    <row r="352" spans="7:7">
      <c r="G352" s="37"/>
    </row>
    <row r="353" spans="7:7">
      <c r="G353" s="37"/>
    </row>
    <row r="354" spans="7:7">
      <c r="G354" s="37"/>
    </row>
    <row r="355" spans="7:7">
      <c r="G355" s="37"/>
    </row>
    <row r="356" spans="7:7">
      <c r="G356" s="37"/>
    </row>
    <row r="357" spans="7:7">
      <c r="G357" s="37"/>
    </row>
    <row r="358" spans="7:7">
      <c r="G358" s="37"/>
    </row>
    <row r="359" spans="7:7">
      <c r="G359" s="37"/>
    </row>
    <row r="360" spans="7:7">
      <c r="G360" s="37"/>
    </row>
    <row r="361" spans="7:7">
      <c r="G361" s="37"/>
    </row>
    <row r="362" spans="7:7">
      <c r="G362" s="37"/>
    </row>
    <row r="363" spans="7:7">
      <c r="G363" s="37"/>
    </row>
    <row r="364" spans="7:7">
      <c r="G364" s="37"/>
    </row>
    <row r="365" spans="7:7">
      <c r="G365" s="37"/>
    </row>
    <row r="366" spans="7:7">
      <c r="G366" s="37"/>
    </row>
    <row r="367" spans="7:7">
      <c r="G367" s="37"/>
    </row>
    <row r="368" spans="7:7">
      <c r="G368" s="37"/>
    </row>
    <row r="369" spans="7:7">
      <c r="G369" s="37"/>
    </row>
    <row r="370" spans="7:7">
      <c r="G370" s="37"/>
    </row>
    <row r="371" spans="7:7">
      <c r="G371" s="37"/>
    </row>
    <row r="372" spans="7:7">
      <c r="G372" s="37"/>
    </row>
    <row r="373" spans="7:7">
      <c r="G373" s="37"/>
    </row>
    <row r="374" spans="7:7">
      <c r="G374" s="37"/>
    </row>
    <row r="375" spans="7:7">
      <c r="G375" s="37"/>
    </row>
    <row r="376" spans="7:7">
      <c r="G376" s="37"/>
    </row>
    <row r="377" spans="7:7">
      <c r="G377" s="37"/>
    </row>
    <row r="378" spans="7:7">
      <c r="G378" s="37"/>
    </row>
    <row r="379" spans="7:7">
      <c r="G379" s="37"/>
    </row>
    <row r="380" spans="7:7">
      <c r="G380" s="37"/>
    </row>
    <row r="381" spans="7:7">
      <c r="G381" s="37"/>
    </row>
    <row r="382" spans="7:7">
      <c r="G382" s="37"/>
    </row>
    <row r="383" spans="7:7">
      <c r="G383" s="37"/>
    </row>
    <row r="384" spans="7:7">
      <c r="G384" s="37"/>
    </row>
    <row r="385" spans="7:7">
      <c r="G385" s="37"/>
    </row>
    <row r="386" spans="7:7">
      <c r="G386" s="37"/>
    </row>
    <row r="387" spans="7:7">
      <c r="G387" s="37"/>
    </row>
    <row r="388" spans="7:7">
      <c r="G388" s="37"/>
    </row>
    <row r="389" spans="7:7">
      <c r="G389" s="37"/>
    </row>
    <row r="390" spans="7:7">
      <c r="G390" s="37"/>
    </row>
    <row r="391" spans="7:7">
      <c r="G391" s="37"/>
    </row>
    <row r="392" spans="7:7">
      <c r="G392" s="37"/>
    </row>
    <row r="393" spans="7:7">
      <c r="G393" s="37"/>
    </row>
    <row r="394" spans="7:7">
      <c r="G394" s="37"/>
    </row>
    <row r="395" spans="7:7">
      <c r="G395" s="37"/>
    </row>
    <row r="396" spans="7:7">
      <c r="G396" s="37"/>
    </row>
    <row r="397" spans="7:7">
      <c r="G397" s="37"/>
    </row>
    <row r="398" spans="7:7">
      <c r="G398" s="37"/>
    </row>
    <row r="399" spans="7:7">
      <c r="G399" s="37"/>
    </row>
    <row r="400" spans="7:7">
      <c r="G400" s="37"/>
    </row>
    <row r="401" spans="7:7">
      <c r="G401" s="37"/>
    </row>
    <row r="402" spans="7:7">
      <c r="G402" s="37"/>
    </row>
    <row r="403" spans="7:7">
      <c r="G403" s="37"/>
    </row>
    <row r="404" spans="7:7">
      <c r="G404" s="37"/>
    </row>
    <row r="405" spans="7:7">
      <c r="G405" s="37"/>
    </row>
    <row r="406" spans="7:7">
      <c r="G406" s="37"/>
    </row>
    <row r="407" spans="7:7">
      <c r="G407" s="37"/>
    </row>
    <row r="408" spans="7:7">
      <c r="G408" s="37"/>
    </row>
    <row r="409" spans="7:7">
      <c r="G409" s="37"/>
    </row>
    <row r="410" spans="7:7">
      <c r="G410" s="37"/>
    </row>
    <row r="411" spans="7:7">
      <c r="G411" s="37"/>
    </row>
    <row r="412" spans="7:7">
      <c r="G412" s="37"/>
    </row>
    <row r="413" spans="7:7">
      <c r="G413" s="37"/>
    </row>
    <row r="414" spans="7:7">
      <c r="G414" s="37"/>
    </row>
    <row r="415" spans="7:7">
      <c r="G415" s="37"/>
    </row>
    <row r="416" spans="7:7">
      <c r="G416" s="37"/>
    </row>
    <row r="417" spans="7:7">
      <c r="G417" s="37"/>
    </row>
    <row r="418" spans="7:7">
      <c r="G418" s="37"/>
    </row>
    <row r="419" spans="7:7">
      <c r="G419" s="37"/>
    </row>
    <row r="420" spans="7:7">
      <c r="G420" s="37"/>
    </row>
    <row r="421" spans="7:7">
      <c r="G421" s="37"/>
    </row>
    <row r="422" spans="7:7">
      <c r="G422" s="37"/>
    </row>
    <row r="423" spans="7:7">
      <c r="G423" s="37"/>
    </row>
    <row r="424" spans="7:7">
      <c r="G424" s="37"/>
    </row>
    <row r="425" spans="7:7">
      <c r="G425" s="37"/>
    </row>
    <row r="426" spans="7:7">
      <c r="G426" s="37"/>
    </row>
    <row r="427" spans="7:7">
      <c r="G427" s="37"/>
    </row>
    <row r="428" spans="7:7">
      <c r="G428" s="37"/>
    </row>
    <row r="429" spans="7:7">
      <c r="G429" s="37"/>
    </row>
    <row r="430" spans="7:7">
      <c r="G430" s="37"/>
    </row>
    <row r="431" spans="7:7">
      <c r="G431" s="37"/>
    </row>
    <row r="432" spans="7:7">
      <c r="G432" s="37"/>
    </row>
    <row r="433" spans="7:7">
      <c r="G433" s="37"/>
    </row>
    <row r="434" spans="7:7">
      <c r="G434" s="37"/>
    </row>
    <row r="435" spans="7:7">
      <c r="G435" s="37"/>
    </row>
    <row r="436" spans="7:7">
      <c r="G436" s="37"/>
    </row>
    <row r="437" spans="7:7">
      <c r="G437" s="37"/>
    </row>
    <row r="438" spans="7:7">
      <c r="G438" s="37"/>
    </row>
    <row r="439" spans="7:7">
      <c r="G439" s="37"/>
    </row>
    <row r="440" spans="7:7">
      <c r="G440" s="37"/>
    </row>
    <row r="441" spans="7:7">
      <c r="G441" s="37"/>
    </row>
    <row r="442" spans="7:7">
      <c r="G442" s="37"/>
    </row>
    <row r="443" spans="7:7">
      <c r="G443" s="37"/>
    </row>
    <row r="444" spans="7:7">
      <c r="G444" s="37"/>
    </row>
    <row r="445" spans="7:7">
      <c r="G445" s="37"/>
    </row>
    <row r="446" spans="7:7">
      <c r="G446" s="37"/>
    </row>
    <row r="447" spans="7:7">
      <c r="G447" s="37"/>
    </row>
    <row r="448" spans="7:7">
      <c r="G448" s="37"/>
    </row>
    <row r="449" spans="7:7">
      <c r="G449" s="37"/>
    </row>
    <row r="450" spans="7:7">
      <c r="G450" s="37"/>
    </row>
    <row r="451" spans="7:7">
      <c r="G451" s="37"/>
    </row>
    <row r="452" spans="7:7">
      <c r="G452" s="37"/>
    </row>
    <row r="453" spans="7:7">
      <c r="G453" s="37"/>
    </row>
    <row r="454" spans="7:7">
      <c r="G454" s="37"/>
    </row>
    <row r="455" spans="7:7">
      <c r="G455" s="37"/>
    </row>
    <row r="456" spans="7:7">
      <c r="G456" s="37"/>
    </row>
    <row r="457" spans="7:7">
      <c r="G457" s="37"/>
    </row>
    <row r="458" spans="7:7">
      <c r="G458" s="37"/>
    </row>
    <row r="459" spans="7:7">
      <c r="G459" s="37"/>
    </row>
    <row r="460" spans="7:7">
      <c r="G460" s="37"/>
    </row>
    <row r="461" spans="7:7">
      <c r="G461" s="37"/>
    </row>
    <row r="462" spans="7:7">
      <c r="G462" s="37"/>
    </row>
    <row r="463" spans="7:7">
      <c r="G463" s="37"/>
    </row>
    <row r="464" spans="7:7">
      <c r="G464" s="37"/>
    </row>
    <row r="465" spans="7:7">
      <c r="G465" s="37"/>
    </row>
    <row r="466" spans="7:7">
      <c r="G466" s="37"/>
    </row>
    <row r="467" spans="7:7">
      <c r="G467" s="37"/>
    </row>
    <row r="468" spans="7:7">
      <c r="G468" s="37"/>
    </row>
    <row r="469" spans="7:7">
      <c r="G469" s="37"/>
    </row>
    <row r="470" spans="7:7">
      <c r="G470" s="37"/>
    </row>
    <row r="471" spans="7:7">
      <c r="G471" s="37"/>
    </row>
    <row r="472" spans="7:7">
      <c r="G472" s="37"/>
    </row>
    <row r="473" spans="7:7">
      <c r="G473" s="37"/>
    </row>
    <row r="474" spans="7:7">
      <c r="G474" s="37"/>
    </row>
    <row r="475" spans="7:7">
      <c r="G475" s="37"/>
    </row>
    <row r="476" spans="7:7">
      <c r="G476" s="37"/>
    </row>
    <row r="477" spans="7:7">
      <c r="G477" s="37"/>
    </row>
    <row r="478" spans="7:7">
      <c r="G478" s="37"/>
    </row>
    <row r="479" spans="7:7">
      <c r="G479" s="37"/>
    </row>
    <row r="480" spans="7:7">
      <c r="G480" s="37"/>
    </row>
    <row r="481" spans="7:7">
      <c r="G481" s="37"/>
    </row>
    <row r="482" spans="7:7">
      <c r="G482" s="37"/>
    </row>
    <row r="483" spans="7:7">
      <c r="G483" s="37"/>
    </row>
    <row r="484" spans="7:7">
      <c r="G484" s="37"/>
    </row>
    <row r="485" spans="7:7">
      <c r="G485" s="37"/>
    </row>
    <row r="486" spans="7:7">
      <c r="G486" s="37"/>
    </row>
    <row r="487" spans="7:7">
      <c r="G487" s="37"/>
    </row>
    <row r="488" spans="7:7">
      <c r="G488" s="37"/>
    </row>
    <row r="489" spans="7:7">
      <c r="G489" s="37"/>
    </row>
    <row r="490" spans="7:7">
      <c r="G490" s="37"/>
    </row>
    <row r="491" spans="7:7">
      <c r="G491" s="37"/>
    </row>
    <row r="492" spans="7:7">
      <c r="G492" s="37"/>
    </row>
    <row r="493" spans="7:7">
      <c r="G493" s="37"/>
    </row>
    <row r="494" spans="7:7">
      <c r="G494" s="37"/>
    </row>
    <row r="495" spans="7:7">
      <c r="G495" s="37"/>
    </row>
    <row r="496" spans="7:7">
      <c r="G496" s="37"/>
    </row>
    <row r="497" spans="7:7">
      <c r="G497" s="37"/>
    </row>
    <row r="498" spans="7:7">
      <c r="G498" s="37"/>
    </row>
    <row r="499" spans="7:7">
      <c r="G499" s="37"/>
    </row>
    <row r="500" spans="7:7">
      <c r="G500" s="37"/>
    </row>
    <row r="501" spans="7:7">
      <c r="G501" s="37"/>
    </row>
    <row r="502" spans="7:7">
      <c r="G502" s="37"/>
    </row>
    <row r="503" spans="7:7">
      <c r="G503" s="37"/>
    </row>
    <row r="504" spans="7:7">
      <c r="G504" s="37"/>
    </row>
    <row r="505" spans="7:7">
      <c r="G505" s="37"/>
    </row>
    <row r="506" spans="7:7">
      <c r="G506" s="37"/>
    </row>
    <row r="507" spans="7:7">
      <c r="G507" s="37"/>
    </row>
    <row r="508" spans="7:7">
      <c r="G508" s="37"/>
    </row>
    <row r="509" spans="7:7">
      <c r="G509" s="37"/>
    </row>
    <row r="510" spans="7:7">
      <c r="G510" s="37"/>
    </row>
    <row r="511" spans="7:7">
      <c r="G511" s="37"/>
    </row>
    <row r="512" spans="7:7">
      <c r="G512" s="37"/>
    </row>
    <row r="513" spans="7:7">
      <c r="G513" s="37"/>
    </row>
    <row r="514" spans="7:7">
      <c r="G514" s="37"/>
    </row>
    <row r="515" spans="7:7">
      <c r="G515" s="37"/>
    </row>
    <row r="516" spans="7:7">
      <c r="G516" s="37"/>
    </row>
    <row r="517" spans="7:7">
      <c r="G517" s="37"/>
    </row>
    <row r="518" spans="7:7">
      <c r="G518" s="37"/>
    </row>
    <row r="519" spans="7:7">
      <c r="G519" s="37"/>
    </row>
    <row r="520" spans="7:7">
      <c r="G520" s="37"/>
    </row>
    <row r="521" spans="7:7">
      <c r="G521" s="37"/>
    </row>
    <row r="522" spans="7:7">
      <c r="G522" s="37"/>
    </row>
    <row r="523" spans="7:7">
      <c r="G523" s="37"/>
    </row>
    <row r="524" spans="7:7">
      <c r="G524" s="37"/>
    </row>
    <row r="525" spans="7:7">
      <c r="G525" s="37"/>
    </row>
    <row r="526" spans="7:7">
      <c r="G526" s="37"/>
    </row>
    <row r="527" spans="7:7">
      <c r="G527" s="37"/>
    </row>
    <row r="528" spans="7:7">
      <c r="G528" s="37"/>
    </row>
    <row r="529" spans="7:7">
      <c r="G529" s="37"/>
    </row>
    <row r="530" spans="7:7">
      <c r="G530" s="37"/>
    </row>
    <row r="531" spans="7:7">
      <c r="G531" s="37"/>
    </row>
    <row r="532" spans="7:7">
      <c r="G532" s="37"/>
    </row>
    <row r="533" spans="7:7">
      <c r="G533" s="37"/>
    </row>
    <row r="534" spans="7:7">
      <c r="G534" s="37"/>
    </row>
    <row r="535" spans="7:7">
      <c r="G535" s="37"/>
    </row>
    <row r="536" spans="7:7">
      <c r="G536" s="37"/>
    </row>
    <row r="537" spans="7:7">
      <c r="G537" s="37"/>
    </row>
    <row r="538" spans="7:7">
      <c r="G538" s="37"/>
    </row>
    <row r="539" spans="7:7">
      <c r="G539" s="37"/>
    </row>
    <row r="540" spans="7:7">
      <c r="G540" s="37"/>
    </row>
    <row r="541" spans="7:7">
      <c r="G541" s="37"/>
    </row>
    <row r="542" spans="7:7">
      <c r="G542" s="37"/>
    </row>
    <row r="543" spans="7:7">
      <c r="G543" s="37"/>
    </row>
    <row r="544" spans="7:7">
      <c r="G544" s="37"/>
    </row>
    <row r="545" spans="7:7">
      <c r="G545" s="37"/>
    </row>
    <row r="546" spans="7:7">
      <c r="G546" s="37"/>
    </row>
    <row r="547" spans="7:7">
      <c r="G547" s="37"/>
    </row>
    <row r="548" spans="7:7">
      <c r="G548" s="37"/>
    </row>
    <row r="549" spans="7:7">
      <c r="G549" s="37"/>
    </row>
    <row r="550" spans="7:7">
      <c r="G550" s="37"/>
    </row>
    <row r="551" spans="7:7">
      <c r="G551" s="37"/>
    </row>
    <row r="552" spans="7:7">
      <c r="G552" s="37"/>
    </row>
    <row r="553" spans="7:7">
      <c r="G553" s="37"/>
    </row>
    <row r="554" spans="7:7">
      <c r="G554" s="37"/>
    </row>
    <row r="555" spans="7:7">
      <c r="G555" s="37"/>
    </row>
    <row r="556" spans="7:7">
      <c r="G556" s="37"/>
    </row>
    <row r="557" spans="7:7">
      <c r="G557" s="37"/>
    </row>
    <row r="558" spans="7:7">
      <c r="G558" s="37"/>
    </row>
    <row r="559" spans="7:7">
      <c r="G559" s="37"/>
    </row>
    <row r="560" spans="7:7">
      <c r="G560" s="37"/>
    </row>
    <row r="561" spans="7:7">
      <c r="G561" s="37"/>
    </row>
    <row r="562" spans="7:7">
      <c r="G562" s="37"/>
    </row>
    <row r="563" spans="7:7">
      <c r="G563" s="37"/>
    </row>
    <row r="564" spans="7:7">
      <c r="G564" s="37"/>
    </row>
    <row r="565" spans="7:7">
      <c r="G565" s="37"/>
    </row>
    <row r="566" spans="7:7">
      <c r="G566" s="37"/>
    </row>
    <row r="567" spans="7:7">
      <c r="G567" s="37"/>
    </row>
    <row r="568" spans="7:7">
      <c r="G568" s="37"/>
    </row>
    <row r="569" spans="7:7">
      <c r="G569" s="37"/>
    </row>
    <row r="570" spans="7:7">
      <c r="G570" s="37"/>
    </row>
    <row r="571" spans="7:7">
      <c r="G571" s="37"/>
    </row>
    <row r="572" spans="7:7">
      <c r="G572" s="37"/>
    </row>
    <row r="573" spans="7:7">
      <c r="G573" s="37"/>
    </row>
    <row r="574" spans="7:7">
      <c r="G574" s="37"/>
    </row>
    <row r="575" spans="7:7">
      <c r="G575" s="37"/>
    </row>
    <row r="576" spans="7:7">
      <c r="G576" s="37"/>
    </row>
    <row r="577" spans="7:7">
      <c r="G577" s="37"/>
    </row>
    <row r="578" spans="7:7">
      <c r="G578" s="37"/>
    </row>
    <row r="579" spans="7:7">
      <c r="G579" s="37"/>
    </row>
    <row r="580" spans="7:7">
      <c r="G580" s="37"/>
    </row>
    <row r="581" spans="7:7">
      <c r="G581" s="37"/>
    </row>
    <row r="582" spans="7:7">
      <c r="G582" s="37"/>
    </row>
    <row r="583" spans="7:7">
      <c r="G583" s="37"/>
    </row>
    <row r="584" spans="7:7">
      <c r="G584" s="37"/>
    </row>
    <row r="585" spans="7:7">
      <c r="G585" s="37"/>
    </row>
    <row r="586" spans="7:7">
      <c r="G586" s="37"/>
    </row>
    <row r="587" spans="7:7">
      <c r="G587" s="37"/>
    </row>
    <row r="588" spans="7:7">
      <c r="G588" s="37"/>
    </row>
    <row r="589" spans="7:7">
      <c r="G589" s="37"/>
    </row>
    <row r="590" spans="7:7">
      <c r="G590" s="37"/>
    </row>
    <row r="591" spans="7:7">
      <c r="G591" s="37"/>
    </row>
    <row r="592" spans="7:7">
      <c r="G592" s="37"/>
    </row>
    <row r="593" spans="7:7">
      <c r="G593" s="37"/>
    </row>
    <row r="594" spans="7:7">
      <c r="G594" s="37"/>
    </row>
    <row r="595" spans="7:7">
      <c r="G595" s="37"/>
    </row>
    <row r="596" spans="7:7">
      <c r="G596" s="37"/>
    </row>
    <row r="597" spans="7:7">
      <c r="G597" s="37"/>
    </row>
    <row r="598" spans="7:7">
      <c r="G598" s="37"/>
    </row>
    <row r="599" spans="7:7">
      <c r="G599" s="37"/>
    </row>
    <row r="600" spans="7:7">
      <c r="G600" s="37"/>
    </row>
  </sheetData>
  <mergeCells count="4">
    <mergeCell ref="A1:A3"/>
    <mergeCell ref="A39:B39"/>
    <mergeCell ref="A34:B34"/>
    <mergeCell ref="AV2:AX2"/>
  </mergeCells>
  <phoneticPr fontId="168" type="noConversion"/>
  <conditionalFormatting sqref="D3:AU3">
    <cfRule type="cellIs" dxfId="99" priority="1" operator="equal">
      <formula>#REF!</formula>
    </cfRule>
    <cfRule type="cellIs" dxfId="98" priority="2" operator="equal">
      <formula>#REF!</formula>
    </cfRule>
    <cfRule type="cellIs" dxfId="97" priority="3" operator="equal">
      <formula>#REF!</formula>
    </cfRule>
    <cfRule type="cellIs" dxfId="96" priority="4" operator="equal">
      <formula>#REF!</formula>
    </cfRule>
  </conditionalFormatting>
  <conditionalFormatting sqref="AT4:AU4">
    <cfRule type="cellIs" dxfId="95" priority="5" operator="equal">
      <formula>#REF!</formula>
    </cfRule>
    <cfRule type="cellIs" dxfId="94" priority="6" operator="equal">
      <formula>#REF!</formula>
    </cfRule>
    <cfRule type="cellIs" dxfId="93" priority="7" operator="equal">
      <formula>#REF!</formula>
    </cfRule>
    <cfRule type="cellIs" dxfId="92" priority="8" operator="equal">
      <formula>#REF!</formula>
    </cfRule>
    <cfRule type="cellIs" dxfId="91" priority="9" operator="equal">
      <formula>#REF!</formula>
    </cfRule>
    <cfRule type="cellIs" dxfId="90" priority="10" operator="equal">
      <formula>#REF!</formula>
    </cfRule>
    <cfRule type="cellIs" dxfId="89" priority="11" operator="equal">
      <formula>#REF!</formula>
    </cfRule>
    <cfRule type="cellIs" dxfId="88" priority="12" operator="equal">
      <formula>#REF!</formula>
    </cfRule>
  </conditionalFormatting>
  <conditionalFormatting sqref="AV3:AX3">
    <cfRule type="cellIs" dxfId="87" priority="13" operator="equal">
      <formula>#REF!</formula>
    </cfRule>
    <cfRule type="cellIs" dxfId="86" priority="14" operator="equal">
      <formula>#REF!</formula>
    </cfRule>
    <cfRule type="cellIs" dxfId="85" priority="15" operator="equal">
      <formula>#REF!</formula>
    </cfRule>
    <cfRule type="cellIs" dxfId="84" priority="16" operator="equal">
      <formula>#REF!</formula>
    </cfRule>
  </conditionalFormatting>
  <pageMargins left="0.7" right="0.7" top="0.75" bottom="0.75" header="0.3" footer="0.3"/>
  <pageSetup paperSize="3" orientation="landscape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3FF04-8D76-415D-A91C-AFC9561002AF}">
  <sheetPr>
    <tabColor rgb="FF0070C0"/>
  </sheetPr>
  <dimension ref="A1:BX598"/>
  <sheetViews>
    <sheetView zoomScaleNormal="100" zoomScalePageLayoutView="12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35" sqref="A35"/>
    </sheetView>
  </sheetViews>
  <sheetFormatPr defaultColWidth="8.796875" defaultRowHeight="14.25"/>
  <cols>
    <col min="1" max="1" width="45.53125" style="37" customWidth="1"/>
    <col min="2" max="2" width="21.46484375" style="37" customWidth="1"/>
    <col min="3" max="3" width="18.53125" style="37" customWidth="1"/>
    <col min="4" max="4" width="15" style="37" customWidth="1"/>
    <col min="5" max="5" width="15.46484375" style="37" customWidth="1"/>
    <col min="6" max="6" width="18.19921875" style="37" customWidth="1"/>
    <col min="7" max="7" width="15.19921875" style="167" bestFit="1" customWidth="1"/>
    <col min="8" max="8" width="19" style="37" customWidth="1"/>
    <col min="9" max="9" width="17.796875" style="37" customWidth="1"/>
    <col min="10" max="10" width="16.46484375" style="37" customWidth="1"/>
    <col min="11" max="11" width="12.46484375" style="37" customWidth="1"/>
    <col min="12" max="12" width="14.19921875" style="37" customWidth="1"/>
    <col min="13" max="13" width="14.46484375" style="37" customWidth="1"/>
    <col min="14" max="14" width="15.46484375" style="37" customWidth="1"/>
    <col min="15" max="15" width="16.19921875" style="37" customWidth="1"/>
    <col min="16" max="16" width="15.46484375" style="37" customWidth="1"/>
    <col min="17" max="17" width="16" style="37" customWidth="1"/>
    <col min="18" max="19" width="14" style="37" customWidth="1"/>
    <col min="20" max="20" width="12.796875" style="37" customWidth="1"/>
    <col min="21" max="21" width="14.46484375" style="37" customWidth="1"/>
    <col min="22" max="22" width="12.53125" style="37" customWidth="1"/>
    <col min="23" max="23" width="17" style="37" hidden="1" customWidth="1"/>
    <col min="24" max="24" width="16.46484375" style="37" hidden="1" customWidth="1"/>
    <col min="25" max="25" width="13.46484375" style="37" hidden="1" customWidth="1"/>
    <col min="26" max="26" width="15" style="37" hidden="1" customWidth="1"/>
    <col min="27" max="27" width="13.46484375" style="37" hidden="1" customWidth="1"/>
    <col min="28" max="28" width="16.796875" style="168" hidden="1" customWidth="1"/>
    <col min="29" max="29" width="15" style="37" hidden="1" customWidth="1"/>
    <col min="30" max="30" width="16.19921875" style="37" hidden="1" customWidth="1"/>
    <col min="31" max="31" width="13.46484375" style="168" hidden="1" customWidth="1"/>
    <col min="32" max="32" width="17.19921875" style="37" hidden="1" customWidth="1"/>
    <col min="33" max="33" width="14.46484375" style="37" hidden="1" customWidth="1"/>
    <col min="34" max="34" width="17.53125" style="37" hidden="1" customWidth="1"/>
    <col min="35" max="35" width="14.46484375" style="169" hidden="1" customWidth="1"/>
    <col min="36" max="36" width="14.796875" style="37" hidden="1" customWidth="1"/>
    <col min="37" max="37" width="15" style="37" hidden="1" customWidth="1"/>
    <col min="38" max="47" width="15.19921875" style="37" hidden="1" customWidth="1"/>
    <col min="48" max="48" width="21" style="37" customWidth="1"/>
    <col min="49" max="50" width="17" style="37" customWidth="1"/>
    <col min="51" max="73" width="17" customWidth="1"/>
    <col min="74" max="74" width="16.53125" customWidth="1"/>
    <col min="75" max="75" width="15" style="37" customWidth="1"/>
    <col min="76" max="76" width="17.796875" style="37" bestFit="1" customWidth="1"/>
    <col min="77" max="77" width="9.53125" style="37" bestFit="1" customWidth="1"/>
    <col min="78" max="78" width="11.796875" style="37" bestFit="1" customWidth="1"/>
    <col min="79" max="80" width="9.53125" style="37" bestFit="1" customWidth="1"/>
    <col min="81" max="16384" width="8.796875" style="37"/>
  </cols>
  <sheetData>
    <row r="1" spans="1:76" ht="14.65" thickBot="1">
      <c r="A1" s="1426" t="s">
        <v>558</v>
      </c>
      <c r="B1" s="253" t="s">
        <v>280</v>
      </c>
      <c r="C1" s="242" t="str">
        <f>'Development Program'!B48</f>
        <v>Pre-Development</v>
      </c>
      <c r="D1" s="242" t="str">
        <f>'Development Program'!C48</f>
        <v>Demolition</v>
      </c>
      <c r="E1" s="242" t="str">
        <f>'Development Program'!D48</f>
        <v>Construction</v>
      </c>
      <c r="F1" s="243" t="str">
        <f>'Development Program'!E48</f>
        <v>Close-out</v>
      </c>
      <c r="G1" s="37"/>
      <c r="T1" s="288" t="s">
        <v>285</v>
      </c>
      <c r="AB1" s="37"/>
      <c r="AE1" s="37"/>
      <c r="AI1" s="37"/>
      <c r="BW1"/>
      <c r="BX1"/>
    </row>
    <row r="2" spans="1:76" ht="14.65" thickBot="1">
      <c r="A2" s="1426"/>
      <c r="B2" s="456" t="s">
        <v>281</v>
      </c>
      <c r="C2" s="458" t="s">
        <v>343</v>
      </c>
      <c r="D2" s="458" t="s">
        <v>372</v>
      </c>
      <c r="E2" s="458" t="s">
        <v>373</v>
      </c>
      <c r="F2" s="575" t="s">
        <v>374</v>
      </c>
      <c r="G2" s="287" t="s">
        <v>518</v>
      </c>
      <c r="H2" s="287" t="s">
        <v>519</v>
      </c>
      <c r="I2" s="287" t="s">
        <v>283</v>
      </c>
      <c r="J2" s="1178"/>
      <c r="T2" s="287" t="s">
        <v>284</v>
      </c>
      <c r="V2" s="288" t="s">
        <v>286</v>
      </c>
      <c r="AB2" s="37"/>
      <c r="AE2" s="37"/>
      <c r="AF2" s="246"/>
      <c r="AI2" s="37"/>
      <c r="AV2" s="1432" t="s">
        <v>287</v>
      </c>
      <c r="AW2" s="1432"/>
      <c r="AX2" s="1432"/>
      <c r="BW2"/>
      <c r="BX2"/>
    </row>
    <row r="3" spans="1:76" ht="14.65" thickBot="1">
      <c r="A3" s="1427"/>
      <c r="B3" s="171" t="s">
        <v>155</v>
      </c>
      <c r="C3" s="244">
        <v>45658</v>
      </c>
      <c r="D3" s="245">
        <f>EOMONTH(C3,3)</f>
        <v>45777</v>
      </c>
      <c r="E3" s="245">
        <f t="shared" ref="E3:AK3" si="0">EOMONTH(D3,3)</f>
        <v>45869</v>
      </c>
      <c r="F3" s="245">
        <f t="shared" si="0"/>
        <v>45961</v>
      </c>
      <c r="G3" s="289">
        <f t="shared" si="0"/>
        <v>46053</v>
      </c>
      <c r="H3" s="289">
        <f t="shared" si="0"/>
        <v>46142</v>
      </c>
      <c r="I3" s="289">
        <f t="shared" si="0"/>
        <v>46234</v>
      </c>
      <c r="J3" s="289">
        <f t="shared" si="0"/>
        <v>46326</v>
      </c>
      <c r="K3" s="289">
        <f t="shared" si="0"/>
        <v>46418</v>
      </c>
      <c r="L3" s="289">
        <f t="shared" si="0"/>
        <v>46507</v>
      </c>
      <c r="M3" s="289">
        <f t="shared" si="0"/>
        <v>46599</v>
      </c>
      <c r="N3" s="289">
        <f t="shared" si="0"/>
        <v>46691</v>
      </c>
      <c r="O3" s="289">
        <f t="shared" si="0"/>
        <v>46783</v>
      </c>
      <c r="P3" s="289">
        <f t="shared" si="0"/>
        <v>46873</v>
      </c>
      <c r="Q3" s="289">
        <f t="shared" si="0"/>
        <v>46965</v>
      </c>
      <c r="R3" s="289">
        <f t="shared" si="0"/>
        <v>47057</v>
      </c>
      <c r="S3" s="289">
        <f t="shared" si="0"/>
        <v>47149</v>
      </c>
      <c r="T3" s="289">
        <f t="shared" si="0"/>
        <v>47238</v>
      </c>
      <c r="U3" s="289">
        <f t="shared" si="0"/>
        <v>47330</v>
      </c>
      <c r="V3" s="289">
        <f t="shared" si="0"/>
        <v>47422</v>
      </c>
      <c r="W3" s="289">
        <f t="shared" si="0"/>
        <v>47514</v>
      </c>
      <c r="X3" s="289">
        <f t="shared" si="0"/>
        <v>47603</v>
      </c>
      <c r="Y3" s="289">
        <f t="shared" si="0"/>
        <v>47695</v>
      </c>
      <c r="Z3" s="289">
        <f t="shared" si="0"/>
        <v>47787</v>
      </c>
      <c r="AA3" s="289">
        <f t="shared" si="0"/>
        <v>47879</v>
      </c>
      <c r="AB3" s="289">
        <f t="shared" si="0"/>
        <v>47968</v>
      </c>
      <c r="AC3" s="289">
        <f t="shared" si="0"/>
        <v>48060</v>
      </c>
      <c r="AD3" s="289">
        <f t="shared" si="0"/>
        <v>48152</v>
      </c>
      <c r="AE3" s="289">
        <f t="shared" si="0"/>
        <v>48244</v>
      </c>
      <c r="AF3" s="289">
        <f t="shared" si="0"/>
        <v>48334</v>
      </c>
      <c r="AG3" s="289">
        <f t="shared" si="0"/>
        <v>48426</v>
      </c>
      <c r="AH3" s="289">
        <f t="shared" si="0"/>
        <v>48518</v>
      </c>
      <c r="AI3" s="289">
        <f t="shared" si="0"/>
        <v>48610</v>
      </c>
      <c r="AJ3" s="289">
        <f t="shared" si="0"/>
        <v>48699</v>
      </c>
      <c r="AK3" s="289">
        <f t="shared" si="0"/>
        <v>48791</v>
      </c>
      <c r="AL3" s="289">
        <f>EOMONTH(AK3,3)</f>
        <v>48883</v>
      </c>
      <c r="AM3" s="289">
        <f t="shared" ref="AM3:AU3" si="1">EOMONTH(AL3,3)</f>
        <v>48975</v>
      </c>
      <c r="AN3" s="289">
        <f t="shared" si="1"/>
        <v>49064</v>
      </c>
      <c r="AO3" s="289">
        <f t="shared" si="1"/>
        <v>49156</v>
      </c>
      <c r="AP3" s="289">
        <f t="shared" si="1"/>
        <v>49248</v>
      </c>
      <c r="AQ3" s="289">
        <f t="shared" si="1"/>
        <v>49340</v>
      </c>
      <c r="AR3" s="289">
        <f t="shared" si="1"/>
        <v>49429</v>
      </c>
      <c r="AS3" s="289">
        <f>EOMONTH(AR3,3)</f>
        <v>49521</v>
      </c>
      <c r="AT3" s="289">
        <f t="shared" si="1"/>
        <v>49613</v>
      </c>
      <c r="AU3" s="289">
        <f t="shared" si="1"/>
        <v>49705</v>
      </c>
      <c r="AV3" s="289" t="s">
        <v>288</v>
      </c>
      <c r="AW3" s="539" t="s">
        <v>289</v>
      </c>
      <c r="AX3" s="460"/>
      <c r="BW3"/>
      <c r="BX3"/>
    </row>
    <row r="4" spans="1:76" ht="14.65" thickBot="1">
      <c r="A4" s="462" t="s">
        <v>290</v>
      </c>
      <c r="B4" s="463">
        <v>1</v>
      </c>
      <c r="C4" s="281">
        <v>0</v>
      </c>
      <c r="D4" s="281">
        <v>0</v>
      </c>
      <c r="E4" s="281">
        <v>0</v>
      </c>
      <c r="F4" s="281">
        <f t="shared" ref="F4:H4" si="2">E4</f>
        <v>0</v>
      </c>
      <c r="G4" s="280">
        <f t="shared" si="2"/>
        <v>0</v>
      </c>
      <c r="H4" s="280">
        <f t="shared" si="2"/>
        <v>0</v>
      </c>
      <c r="I4" s="280">
        <v>0.05</v>
      </c>
      <c r="J4" s="280">
        <v>0.05</v>
      </c>
      <c r="K4" s="280">
        <v>0.05</v>
      </c>
      <c r="L4" s="280">
        <v>0.05</v>
      </c>
      <c r="M4" s="280">
        <v>0.1</v>
      </c>
      <c r="N4" s="280">
        <v>0.1</v>
      </c>
      <c r="O4" s="280">
        <v>0.1</v>
      </c>
      <c r="P4" s="280">
        <v>0.1</v>
      </c>
      <c r="Q4" s="280">
        <v>0.1</v>
      </c>
      <c r="R4" s="280">
        <v>0.1</v>
      </c>
      <c r="S4" s="280">
        <v>0.1</v>
      </c>
      <c r="T4" s="280">
        <v>0.1</v>
      </c>
      <c r="U4" s="280"/>
      <c r="V4" s="280"/>
      <c r="W4" s="280"/>
      <c r="X4" s="280"/>
      <c r="Y4" s="280"/>
      <c r="Z4" s="280"/>
      <c r="AA4" s="280"/>
      <c r="AB4" s="280"/>
      <c r="AC4" s="280"/>
      <c r="AD4" s="280"/>
      <c r="AE4" s="280"/>
      <c r="AF4" s="280"/>
      <c r="AG4" s="280"/>
      <c r="AH4" s="280"/>
      <c r="AI4" s="280"/>
      <c r="AJ4" s="280"/>
      <c r="AK4" s="280"/>
      <c r="AL4" s="280"/>
      <c r="AM4" s="280"/>
      <c r="AN4" s="280"/>
      <c r="AO4" s="280"/>
      <c r="AP4" s="280"/>
      <c r="AQ4" s="280"/>
      <c r="AR4" s="280"/>
      <c r="AS4" s="280"/>
      <c r="AT4" s="280"/>
      <c r="AU4" s="280"/>
      <c r="AV4" s="464">
        <f>SUM(C4:AL4)</f>
        <v>0.99999999999999989</v>
      </c>
      <c r="AW4" s="465"/>
      <c r="AX4" s="255" t="s">
        <v>291</v>
      </c>
      <c r="BW4"/>
      <c r="BX4"/>
    </row>
    <row r="5" spans="1:76">
      <c r="A5" s="466" t="str">
        <f>'Phase 1b Financial'!A34</f>
        <v>Hard Costs for Construction</v>
      </c>
      <c r="B5" s="576">
        <f>'Phase 1b Financial'!C34</f>
        <v>224415000</v>
      </c>
      <c r="C5" s="468">
        <f t="shared" ref="C5:T5" si="3">$B$5*C4</f>
        <v>0</v>
      </c>
      <c r="D5" s="468">
        <f t="shared" si="3"/>
        <v>0</v>
      </c>
      <c r="E5" s="468">
        <f t="shared" si="3"/>
        <v>0</v>
      </c>
      <c r="F5" s="468">
        <f t="shared" si="3"/>
        <v>0</v>
      </c>
      <c r="G5" s="468">
        <f t="shared" si="3"/>
        <v>0</v>
      </c>
      <c r="H5" s="468">
        <f t="shared" si="3"/>
        <v>0</v>
      </c>
      <c r="I5" s="468">
        <f t="shared" si="3"/>
        <v>11220750</v>
      </c>
      <c r="J5" s="468">
        <f t="shared" si="3"/>
        <v>11220750</v>
      </c>
      <c r="K5" s="468">
        <f t="shared" si="3"/>
        <v>11220750</v>
      </c>
      <c r="L5" s="468">
        <f t="shared" si="3"/>
        <v>11220750</v>
      </c>
      <c r="M5" s="468">
        <f t="shared" si="3"/>
        <v>22441500</v>
      </c>
      <c r="N5" s="468">
        <f t="shared" si="3"/>
        <v>22441500</v>
      </c>
      <c r="O5" s="468">
        <f t="shared" si="3"/>
        <v>22441500</v>
      </c>
      <c r="P5" s="468">
        <f t="shared" si="3"/>
        <v>22441500</v>
      </c>
      <c r="Q5" s="468">
        <f t="shared" si="3"/>
        <v>22441500</v>
      </c>
      <c r="R5" s="468">
        <f t="shared" si="3"/>
        <v>22441500</v>
      </c>
      <c r="S5" s="468">
        <f t="shared" si="3"/>
        <v>22441500</v>
      </c>
      <c r="T5" s="468">
        <f t="shared" si="3"/>
        <v>22441500</v>
      </c>
      <c r="U5" s="468"/>
      <c r="V5" s="468"/>
      <c r="W5" s="468"/>
      <c r="X5" s="468"/>
      <c r="Y5" s="468"/>
      <c r="Z5" s="468"/>
      <c r="AA5" s="468"/>
      <c r="AB5" s="468"/>
      <c r="AC5" s="468"/>
      <c r="AD5" s="468"/>
      <c r="AE5" s="468"/>
      <c r="AF5" s="468"/>
      <c r="AG5" s="468"/>
      <c r="AH5" s="468"/>
      <c r="AI5" s="292"/>
      <c r="AJ5" s="292"/>
      <c r="AK5" s="292"/>
      <c r="AL5" s="292"/>
      <c r="AM5" s="292"/>
      <c r="AN5" s="292"/>
      <c r="AO5" s="292"/>
      <c r="AP5" s="292"/>
      <c r="AQ5" s="292"/>
      <c r="AR5" s="292"/>
      <c r="AS5" s="292"/>
      <c r="AT5" s="292"/>
      <c r="AU5" s="292"/>
      <c r="AV5" s="469">
        <f>SUM(C5:AL5)</f>
        <v>224415000</v>
      </c>
      <c r="AW5" s="469">
        <f>B5</f>
        <v>224415000</v>
      </c>
      <c r="AX5" s="469">
        <f>AW5-AV5</f>
        <v>0</v>
      </c>
      <c r="BW5"/>
      <c r="BX5"/>
    </row>
    <row r="6" spans="1:76">
      <c r="A6" s="466" t="str">
        <f>'Phase 1b Financial'!A35</f>
        <v>Guest Parking</v>
      </c>
      <c r="B6" s="576">
        <f>'Phase 1b Financial'!C35</f>
        <v>0</v>
      </c>
      <c r="C6" s="468">
        <f>$B$6*C4</f>
        <v>0</v>
      </c>
      <c r="D6" s="468">
        <f t="shared" ref="D6:S6" si="4">$B$6*D4</f>
        <v>0</v>
      </c>
      <c r="E6" s="468">
        <f t="shared" si="4"/>
        <v>0</v>
      </c>
      <c r="F6" s="468">
        <f t="shared" si="4"/>
        <v>0</v>
      </c>
      <c r="G6" s="468">
        <f t="shared" si="4"/>
        <v>0</v>
      </c>
      <c r="H6" s="468">
        <f t="shared" si="4"/>
        <v>0</v>
      </c>
      <c r="I6" s="468">
        <f t="shared" si="4"/>
        <v>0</v>
      </c>
      <c r="J6" s="468">
        <f t="shared" si="4"/>
        <v>0</v>
      </c>
      <c r="K6" s="468">
        <f t="shared" si="4"/>
        <v>0</v>
      </c>
      <c r="L6" s="468">
        <f t="shared" si="4"/>
        <v>0</v>
      </c>
      <c r="M6" s="468">
        <f t="shared" si="4"/>
        <v>0</v>
      </c>
      <c r="N6" s="468">
        <f t="shared" si="4"/>
        <v>0</v>
      </c>
      <c r="O6" s="468">
        <f t="shared" si="4"/>
        <v>0</v>
      </c>
      <c r="P6" s="468">
        <f t="shared" si="4"/>
        <v>0</v>
      </c>
      <c r="Q6" s="468">
        <f t="shared" si="4"/>
        <v>0</v>
      </c>
      <c r="R6" s="468">
        <f t="shared" si="4"/>
        <v>0</v>
      </c>
      <c r="S6" s="468">
        <f t="shared" si="4"/>
        <v>0</v>
      </c>
      <c r="T6" s="468"/>
      <c r="U6" s="468"/>
      <c r="V6" s="468"/>
      <c r="W6" s="468"/>
      <c r="X6" s="468"/>
      <c r="Y6" s="468"/>
      <c r="Z6" s="468"/>
      <c r="AA6" s="468"/>
      <c r="AB6" s="468"/>
      <c r="AC6" s="468"/>
      <c r="AD6" s="468"/>
      <c r="AE6" s="468"/>
      <c r="AF6" s="468"/>
      <c r="AG6" s="468"/>
      <c r="AH6" s="468"/>
      <c r="AI6" s="468"/>
      <c r="AJ6" s="468"/>
      <c r="AK6" s="468"/>
      <c r="AL6" s="468"/>
      <c r="AM6" s="468"/>
      <c r="AN6" s="468"/>
      <c r="AO6" s="468"/>
      <c r="AP6" s="468"/>
      <c r="AQ6" s="468"/>
      <c r="AR6" s="468"/>
      <c r="AS6" s="468"/>
      <c r="AT6" s="468"/>
      <c r="AU6" s="468"/>
      <c r="AV6" s="469">
        <f>SUM(C6:AL6)</f>
        <v>0</v>
      </c>
      <c r="AW6" s="469">
        <f>B6</f>
        <v>0</v>
      </c>
      <c r="AX6" s="469">
        <f t="shared" ref="AX6:AX25" si="5">AW6-AV6</f>
        <v>0</v>
      </c>
      <c r="BW6"/>
      <c r="BX6"/>
    </row>
    <row r="7" spans="1:76">
      <c r="A7" s="466" t="str">
        <f>'Phase 1b Financial'!A36</f>
        <v>Hard Cost Contingency</v>
      </c>
      <c r="B7" s="576">
        <f>'Phase 1b Financial'!C36</f>
        <v>11220750</v>
      </c>
      <c r="C7" s="468">
        <f t="shared" ref="C7:T7" si="6">$B7*C$4</f>
        <v>0</v>
      </c>
      <c r="D7" s="468">
        <f t="shared" si="6"/>
        <v>0</v>
      </c>
      <c r="E7" s="468">
        <f t="shared" si="6"/>
        <v>0</v>
      </c>
      <c r="F7" s="468">
        <f t="shared" si="6"/>
        <v>0</v>
      </c>
      <c r="G7" s="468">
        <f t="shared" si="6"/>
        <v>0</v>
      </c>
      <c r="H7" s="468">
        <f t="shared" si="6"/>
        <v>0</v>
      </c>
      <c r="I7" s="468">
        <f t="shared" si="6"/>
        <v>561037.5</v>
      </c>
      <c r="J7" s="468">
        <f t="shared" si="6"/>
        <v>561037.5</v>
      </c>
      <c r="K7" s="468">
        <f t="shared" si="6"/>
        <v>561037.5</v>
      </c>
      <c r="L7" s="468">
        <f t="shared" si="6"/>
        <v>561037.5</v>
      </c>
      <c r="M7" s="468">
        <f t="shared" si="6"/>
        <v>1122075</v>
      </c>
      <c r="N7" s="468">
        <f t="shared" si="6"/>
        <v>1122075</v>
      </c>
      <c r="O7" s="468">
        <f t="shared" si="6"/>
        <v>1122075</v>
      </c>
      <c r="P7" s="468">
        <f t="shared" si="6"/>
        <v>1122075</v>
      </c>
      <c r="Q7" s="468">
        <f t="shared" si="6"/>
        <v>1122075</v>
      </c>
      <c r="R7" s="468">
        <f t="shared" si="6"/>
        <v>1122075</v>
      </c>
      <c r="S7" s="468">
        <f t="shared" si="6"/>
        <v>1122075</v>
      </c>
      <c r="T7" s="468">
        <f t="shared" si="6"/>
        <v>1122075</v>
      </c>
      <c r="U7" s="468"/>
      <c r="V7" s="468"/>
      <c r="W7" s="468"/>
      <c r="X7" s="468"/>
      <c r="Y7" s="468"/>
      <c r="Z7" s="468"/>
      <c r="AA7" s="468"/>
      <c r="AB7" s="468"/>
      <c r="AC7" s="468"/>
      <c r="AD7" s="468"/>
      <c r="AE7" s="468"/>
      <c r="AF7" s="468"/>
      <c r="AG7" s="468"/>
      <c r="AH7" s="468"/>
      <c r="AI7" s="468"/>
      <c r="AJ7" s="468"/>
      <c r="AK7" s="468"/>
      <c r="AL7" s="468"/>
      <c r="AM7" s="468"/>
      <c r="AN7" s="468"/>
      <c r="AO7" s="468"/>
      <c r="AP7" s="468"/>
      <c r="AQ7" s="468"/>
      <c r="AR7" s="468"/>
      <c r="AS7" s="468"/>
      <c r="AT7" s="468"/>
      <c r="AU7" s="468"/>
      <c r="AV7" s="469">
        <f>SUM(C7:AL7)</f>
        <v>11220750</v>
      </c>
      <c r="AW7" s="469">
        <f>B7</f>
        <v>11220750</v>
      </c>
      <c r="AX7" s="469">
        <f t="shared" si="5"/>
        <v>0</v>
      </c>
      <c r="BW7"/>
      <c r="BX7"/>
    </row>
    <row r="8" spans="1:76">
      <c r="A8" s="466" t="str">
        <f>'Phase 1b Financial'!A37</f>
        <v>Demolition</v>
      </c>
      <c r="B8" s="576">
        <f>'Phase 1b Financial'!C37</f>
        <v>0</v>
      </c>
      <c r="C8" s="468"/>
      <c r="D8" s="468"/>
      <c r="E8" s="468"/>
      <c r="F8" s="468"/>
      <c r="G8" s="468"/>
      <c r="H8" s="468"/>
      <c r="I8" s="468"/>
      <c r="J8" s="468"/>
      <c r="K8" s="468"/>
      <c r="L8" s="468"/>
      <c r="M8" s="468"/>
      <c r="N8" s="468"/>
      <c r="O8" s="468"/>
      <c r="P8" s="468"/>
      <c r="Q8" s="468"/>
      <c r="R8" s="468"/>
      <c r="S8" s="468"/>
      <c r="T8" s="468"/>
      <c r="U8" s="468"/>
      <c r="V8" s="468"/>
      <c r="W8" s="468"/>
      <c r="X8" s="468"/>
      <c r="Y8" s="468"/>
      <c r="Z8" s="468"/>
      <c r="AA8" s="468"/>
      <c r="AB8" s="468"/>
      <c r="AC8" s="468"/>
      <c r="AD8" s="468"/>
      <c r="AE8" s="468"/>
      <c r="AF8" s="468"/>
      <c r="AG8" s="468"/>
      <c r="AH8" s="468"/>
      <c r="AI8" s="468"/>
      <c r="AJ8" s="468"/>
      <c r="AK8" s="468"/>
      <c r="AL8" s="468"/>
      <c r="AM8" s="468"/>
      <c r="AN8" s="468"/>
      <c r="AO8" s="468"/>
      <c r="AP8" s="468"/>
      <c r="AQ8" s="468"/>
      <c r="AR8" s="468"/>
      <c r="AS8" s="468"/>
      <c r="AT8" s="468"/>
      <c r="AU8" s="468"/>
      <c r="AV8" s="469"/>
      <c r="AW8" s="469"/>
      <c r="AX8" s="469">
        <f t="shared" si="5"/>
        <v>0</v>
      </c>
      <c r="BW8"/>
      <c r="BX8"/>
    </row>
    <row r="9" spans="1:76">
      <c r="A9" s="466" t="str">
        <f>'Phase 1b Financial'!A38</f>
        <v>LAND</v>
      </c>
      <c r="B9" s="469">
        <f>'Phase 1b Financial'!C38</f>
        <v>0</v>
      </c>
      <c r="C9" s="471"/>
      <c r="D9" s="470"/>
      <c r="E9" s="472">
        <f>0.1*B9</f>
        <v>0</v>
      </c>
      <c r="F9" s="468"/>
      <c r="G9" s="471"/>
      <c r="H9" s="471"/>
      <c r="I9" s="472">
        <f>$B9-$E9</f>
        <v>0</v>
      </c>
      <c r="J9" s="472"/>
      <c r="K9" s="470"/>
      <c r="L9" s="470"/>
      <c r="M9" s="473"/>
      <c r="N9" s="470"/>
      <c r="O9" s="470"/>
      <c r="P9" s="470"/>
      <c r="Q9" s="470"/>
      <c r="R9" s="470"/>
      <c r="S9" s="470"/>
      <c r="T9" s="470"/>
      <c r="U9" s="470"/>
      <c r="V9" s="470"/>
      <c r="W9" s="470"/>
      <c r="X9" s="470"/>
      <c r="Y9" s="470"/>
      <c r="Z9" s="470"/>
      <c r="AA9" s="470"/>
      <c r="AB9" s="470"/>
      <c r="AC9" s="470"/>
      <c r="AD9" s="470"/>
      <c r="AE9" s="540"/>
      <c r="AF9" s="540"/>
      <c r="AG9" s="540"/>
      <c r="AH9" s="540"/>
      <c r="AI9" s="540"/>
      <c r="AJ9" s="540"/>
      <c r="AK9" s="540"/>
      <c r="AL9" s="540"/>
      <c r="AM9" s="540"/>
      <c r="AN9" s="540"/>
      <c r="AO9" s="540"/>
      <c r="AP9" s="540"/>
      <c r="AQ9" s="540"/>
      <c r="AR9" s="540"/>
      <c r="AS9" s="540"/>
      <c r="AT9" s="540"/>
      <c r="AU9" s="540"/>
      <c r="AV9" s="469">
        <f>SUM(D9:AL9)</f>
        <v>0</v>
      </c>
      <c r="AW9" s="469">
        <f t="shared" ref="AW9:AW25" si="7">B9</f>
        <v>0</v>
      </c>
      <c r="AX9" s="469">
        <f t="shared" si="5"/>
        <v>0</v>
      </c>
      <c r="BW9"/>
      <c r="BX9"/>
    </row>
    <row r="10" spans="1:76">
      <c r="A10" s="466" t="str">
        <f>'Phase 1b Financial'!A39</f>
        <v>Municipal Fees and Allowances</v>
      </c>
      <c r="B10" s="576">
        <f>'Phase 1b Financial'!C39</f>
        <v>606200</v>
      </c>
      <c r="C10" s="473"/>
      <c r="D10" s="470"/>
      <c r="E10" s="468"/>
      <c r="F10" s="468"/>
      <c r="G10" s="468"/>
      <c r="H10" s="471"/>
      <c r="I10" s="468">
        <f>$B10</f>
        <v>606200</v>
      </c>
      <c r="J10" s="468"/>
      <c r="K10" s="470"/>
      <c r="L10" s="470"/>
      <c r="M10" s="470"/>
      <c r="N10" s="470"/>
      <c r="O10" s="470"/>
      <c r="P10" s="470"/>
      <c r="Q10" s="470"/>
      <c r="R10" s="470"/>
      <c r="S10" s="283"/>
      <c r="T10" s="470"/>
      <c r="U10" s="470"/>
      <c r="V10" s="470"/>
      <c r="W10" s="470"/>
      <c r="X10" s="470"/>
      <c r="Y10" s="470"/>
      <c r="Z10" s="470"/>
      <c r="AA10" s="470"/>
      <c r="AB10" s="470"/>
      <c r="AC10" s="470"/>
      <c r="AD10" s="470"/>
      <c r="AE10" s="540"/>
      <c r="AF10" s="540"/>
      <c r="AG10" s="540"/>
      <c r="AH10" s="540"/>
      <c r="AI10" s="540"/>
      <c r="AJ10" s="540"/>
      <c r="AK10" s="541"/>
      <c r="AL10" s="540"/>
      <c r="AM10" s="540"/>
      <c r="AN10" s="540"/>
      <c r="AO10" s="540"/>
      <c r="AP10" s="540"/>
      <c r="AQ10" s="540"/>
      <c r="AR10" s="540"/>
      <c r="AS10" s="540"/>
      <c r="AT10" s="540"/>
      <c r="AU10" s="540"/>
      <c r="AV10" s="469">
        <f t="shared" ref="AV10:AV25" si="8">SUM(C10:AL10)</f>
        <v>606200</v>
      </c>
      <c r="AW10" s="469">
        <f t="shared" si="7"/>
        <v>606200</v>
      </c>
      <c r="AX10" s="469">
        <f t="shared" si="5"/>
        <v>0</v>
      </c>
      <c r="BW10"/>
      <c r="BX10"/>
    </row>
    <row r="11" spans="1:76">
      <c r="A11" s="466" t="str">
        <f>'Phase 1b Financial'!A40</f>
        <v>Infrastructure allocation</v>
      </c>
      <c r="B11" s="576">
        <f>'Phase 1b Financial'!C40</f>
        <v>0</v>
      </c>
      <c r="C11" s="473"/>
      <c r="D11" s="470"/>
      <c r="E11" s="468"/>
      <c r="F11" s="468"/>
      <c r="G11" s="468"/>
      <c r="H11" s="468"/>
      <c r="I11" s="468"/>
      <c r="J11" s="468"/>
      <c r="K11" s="470"/>
      <c r="L11" s="470"/>
      <c r="M11" s="470"/>
      <c r="N11" s="470"/>
      <c r="O11" s="470"/>
      <c r="P11" s="470"/>
      <c r="Q11" s="470"/>
      <c r="R11" s="470"/>
      <c r="S11" s="283"/>
      <c r="T11" s="470"/>
      <c r="U11" s="470"/>
      <c r="V11" s="470"/>
      <c r="W11" s="470"/>
      <c r="X11" s="470"/>
      <c r="Y11" s="470"/>
      <c r="Z11" s="470"/>
      <c r="AA11" s="470"/>
      <c r="AB11" s="470"/>
      <c r="AC11" s="470"/>
      <c r="AD11" s="470"/>
      <c r="AE11" s="540"/>
      <c r="AF11" s="540"/>
      <c r="AG11" s="540"/>
      <c r="AH11" s="540"/>
      <c r="AI11" s="540"/>
      <c r="AJ11" s="540"/>
      <c r="AK11" s="541"/>
      <c r="AL11" s="540"/>
      <c r="AM11" s="540"/>
      <c r="AN11" s="540"/>
      <c r="AO11" s="540"/>
      <c r="AP11" s="540"/>
      <c r="AQ11" s="540"/>
      <c r="AR11" s="540"/>
      <c r="AS11" s="540"/>
      <c r="AT11" s="540"/>
      <c r="AU11" s="540"/>
      <c r="AV11" s="469">
        <f t="shared" si="8"/>
        <v>0</v>
      </c>
      <c r="AW11" s="469">
        <f t="shared" si="7"/>
        <v>0</v>
      </c>
      <c r="AX11" s="469">
        <f t="shared" si="5"/>
        <v>0</v>
      </c>
      <c r="BW11"/>
      <c r="BX11"/>
    </row>
    <row r="12" spans="1:76">
      <c r="A12" s="466" t="str">
        <f>'Phase 1b Financial'!A41</f>
        <v>Legal</v>
      </c>
      <c r="B12" s="576">
        <f>'Phase 1b Financial'!C41</f>
        <v>400000</v>
      </c>
      <c r="C12" s="473"/>
      <c r="D12" s="473"/>
      <c r="E12" s="472">
        <v>80000</v>
      </c>
      <c r="F12" s="472">
        <f t="shared" ref="F12:G12" si="9">0.2*$B12</f>
        <v>80000</v>
      </c>
      <c r="G12" s="472">
        <f t="shared" si="9"/>
        <v>80000</v>
      </c>
      <c r="H12" s="472">
        <v>80000</v>
      </c>
      <c r="I12" s="472">
        <f>0.1*$B12</f>
        <v>40000</v>
      </c>
      <c r="J12" s="472">
        <f>0.1*$B12</f>
        <v>40000</v>
      </c>
      <c r="K12" s="470"/>
      <c r="L12" s="470"/>
      <c r="M12" s="470"/>
      <c r="N12" s="470"/>
      <c r="O12" s="470"/>
      <c r="P12" s="470"/>
      <c r="Q12" s="470"/>
      <c r="R12" s="470"/>
      <c r="S12" s="470"/>
      <c r="T12" s="470"/>
      <c r="U12" s="470"/>
      <c r="V12" s="470"/>
      <c r="W12" s="470"/>
      <c r="X12" s="470"/>
      <c r="Y12" s="470"/>
      <c r="Z12" s="470"/>
      <c r="AA12" s="470"/>
      <c r="AB12" s="470"/>
      <c r="AC12" s="470"/>
      <c r="AD12" s="470"/>
      <c r="AE12" s="470"/>
      <c r="AF12" s="470"/>
      <c r="AG12" s="470"/>
      <c r="AH12" s="470"/>
      <c r="AI12" s="470"/>
      <c r="AJ12" s="470"/>
      <c r="AK12" s="544"/>
      <c r="AL12" s="470"/>
      <c r="AM12" s="470"/>
      <c r="AN12" s="470"/>
      <c r="AO12" s="470"/>
      <c r="AP12" s="470"/>
      <c r="AQ12" s="470"/>
      <c r="AR12" s="470"/>
      <c r="AS12" s="470"/>
      <c r="AT12" s="470"/>
      <c r="AU12" s="470"/>
      <c r="AV12" s="469">
        <f t="shared" si="8"/>
        <v>400000</v>
      </c>
      <c r="AW12" s="469">
        <f t="shared" si="7"/>
        <v>400000</v>
      </c>
      <c r="AX12" s="469">
        <f t="shared" si="5"/>
        <v>0</v>
      </c>
      <c r="BW12"/>
      <c r="BX12"/>
    </row>
    <row r="13" spans="1:76">
      <c r="A13" s="466" t="str">
        <f>'Phase 1b Financial'!A42</f>
        <v>Land Closing Costs/commissions</v>
      </c>
      <c r="B13" s="576">
        <f>'Phase 1b Financial'!C42</f>
        <v>303.10000000000002</v>
      </c>
      <c r="C13" s="472"/>
      <c r="D13" s="468"/>
      <c r="E13" s="468"/>
      <c r="F13" s="468"/>
      <c r="G13" s="282"/>
      <c r="H13" s="468"/>
      <c r="I13" s="468">
        <f>B13</f>
        <v>303.10000000000002</v>
      </c>
      <c r="J13" s="468"/>
      <c r="K13" s="468"/>
      <c r="L13" s="468"/>
      <c r="M13" s="282"/>
      <c r="N13" s="468"/>
      <c r="O13" s="468"/>
      <c r="P13" s="468"/>
      <c r="Q13" s="468"/>
      <c r="R13" s="468"/>
      <c r="S13" s="468"/>
      <c r="T13" s="468"/>
      <c r="U13" s="468"/>
      <c r="V13" s="468"/>
      <c r="W13" s="468"/>
      <c r="X13" s="468"/>
      <c r="Y13" s="468"/>
      <c r="Z13" s="468"/>
      <c r="AA13" s="468"/>
      <c r="AB13" s="468"/>
      <c r="AC13" s="468"/>
      <c r="AD13" s="468"/>
      <c r="AE13" s="471"/>
      <c r="AF13" s="471"/>
      <c r="AG13" s="471"/>
      <c r="AH13" s="471"/>
      <c r="AI13" s="471"/>
      <c r="AJ13" s="471"/>
      <c r="AK13" s="546"/>
      <c r="AL13" s="471"/>
      <c r="AM13" s="471"/>
      <c r="AN13" s="471"/>
      <c r="AO13" s="471"/>
      <c r="AP13" s="471"/>
      <c r="AQ13" s="471"/>
      <c r="AR13" s="471"/>
      <c r="AS13" s="471"/>
      <c r="AT13" s="471"/>
      <c r="AU13" s="471"/>
      <c r="AV13" s="469">
        <f t="shared" si="8"/>
        <v>303.10000000000002</v>
      </c>
      <c r="AW13" s="469">
        <f t="shared" si="7"/>
        <v>303.10000000000002</v>
      </c>
      <c r="AX13" s="469">
        <f t="shared" si="5"/>
        <v>0</v>
      </c>
      <c r="BW13"/>
      <c r="BX13"/>
    </row>
    <row r="14" spans="1:76">
      <c r="A14" s="466" t="str">
        <f>'Phase 1b Financial'!A43</f>
        <v xml:space="preserve">Design </v>
      </c>
      <c r="B14" s="576">
        <f>'Phase 1b Financial'!C43</f>
        <v>9425430</v>
      </c>
      <c r="C14" s="468"/>
      <c r="D14" s="468"/>
      <c r="E14" s="468">
        <f>0.4*$B14</f>
        <v>3770172</v>
      </c>
      <c r="F14" s="468">
        <f t="shared" ref="F14" si="10">0.4*$B14</f>
        <v>3770172</v>
      </c>
      <c r="G14" s="468">
        <f>0.1*$B14</f>
        <v>942543</v>
      </c>
      <c r="H14" s="468">
        <f>0.05*$B14</f>
        <v>471271.5</v>
      </c>
      <c r="I14" s="468">
        <f>0.02*$B14</f>
        <v>188508.6</v>
      </c>
      <c r="J14" s="468">
        <f>0.01*$B14</f>
        <v>94254.3</v>
      </c>
      <c r="K14" s="468">
        <f t="shared" ref="K14:L14" si="11">0.01*$B14</f>
        <v>94254.3</v>
      </c>
      <c r="L14" s="468">
        <f t="shared" si="11"/>
        <v>94254.3</v>
      </c>
      <c r="M14" s="468"/>
      <c r="N14" s="468"/>
      <c r="O14" s="468"/>
      <c r="P14" s="468"/>
      <c r="Q14" s="468"/>
      <c r="R14" s="468"/>
      <c r="S14" s="468"/>
      <c r="T14" s="468"/>
      <c r="U14" s="468"/>
      <c r="V14" s="468"/>
      <c r="W14" s="468"/>
      <c r="X14" s="468"/>
      <c r="Y14" s="468"/>
      <c r="Z14" s="468"/>
      <c r="AA14" s="468"/>
      <c r="AB14" s="468"/>
      <c r="AC14" s="468"/>
      <c r="AD14" s="468"/>
      <c r="AE14" s="468"/>
      <c r="AF14" s="468"/>
      <c r="AG14" s="468"/>
      <c r="AH14" s="468"/>
      <c r="AI14" s="468"/>
      <c r="AJ14" s="468"/>
      <c r="AK14" s="468"/>
      <c r="AL14" s="468"/>
      <c r="AM14" s="468"/>
      <c r="AN14" s="468"/>
      <c r="AO14" s="468"/>
      <c r="AP14" s="468"/>
      <c r="AQ14" s="468"/>
      <c r="AR14" s="468"/>
      <c r="AS14" s="468"/>
      <c r="AT14" s="468"/>
      <c r="AU14" s="468"/>
      <c r="AV14" s="469">
        <f t="shared" si="8"/>
        <v>9425430.0000000019</v>
      </c>
      <c r="AW14" s="469">
        <f t="shared" si="7"/>
        <v>9425430</v>
      </c>
      <c r="AX14" s="469">
        <f t="shared" si="5"/>
        <v>0</v>
      </c>
      <c r="BW14"/>
      <c r="BX14"/>
    </row>
    <row r="15" spans="1:76">
      <c r="A15" s="466" t="str">
        <f>'Phase 1b Financial'!A44</f>
        <v>Developer Fee</v>
      </c>
      <c r="B15" s="576">
        <f>'Phase 1b Financial'!C44</f>
        <v>7382030.4929999998</v>
      </c>
      <c r="C15" s="468">
        <f>$B15*C$4</f>
        <v>0</v>
      </c>
      <c r="D15" s="468">
        <f t="shared" ref="D15:G15" si="12">$B15*D4</f>
        <v>0</v>
      </c>
      <c r="E15" s="468">
        <f t="shared" si="12"/>
        <v>0</v>
      </c>
      <c r="F15" s="468">
        <f t="shared" si="12"/>
        <v>0</v>
      </c>
      <c r="G15" s="468">
        <f t="shared" si="12"/>
        <v>0</v>
      </c>
      <c r="H15" s="468"/>
      <c r="I15" s="468">
        <f>$B15*I$4</f>
        <v>369101.52465000004</v>
      </c>
      <c r="J15" s="468">
        <f t="shared" ref="J15:T15" si="13">$B15*J$4</f>
        <v>369101.52465000004</v>
      </c>
      <c r="K15" s="468">
        <f t="shared" si="13"/>
        <v>369101.52465000004</v>
      </c>
      <c r="L15" s="468">
        <f t="shared" si="13"/>
        <v>369101.52465000004</v>
      </c>
      <c r="M15" s="468">
        <f t="shared" si="13"/>
        <v>738203.04930000007</v>
      </c>
      <c r="N15" s="468">
        <f t="shared" si="13"/>
        <v>738203.04930000007</v>
      </c>
      <c r="O15" s="468">
        <f t="shared" si="13"/>
        <v>738203.04930000007</v>
      </c>
      <c r="P15" s="468">
        <f t="shared" si="13"/>
        <v>738203.04930000007</v>
      </c>
      <c r="Q15" s="468">
        <f t="shared" si="13"/>
        <v>738203.04930000007</v>
      </c>
      <c r="R15" s="468">
        <f t="shared" si="13"/>
        <v>738203.04930000007</v>
      </c>
      <c r="S15" s="468">
        <f t="shared" si="13"/>
        <v>738203.04930000007</v>
      </c>
      <c r="T15" s="468">
        <f t="shared" si="13"/>
        <v>738203.04930000007</v>
      </c>
      <c r="U15" s="468"/>
      <c r="V15" s="468"/>
      <c r="W15" s="468"/>
      <c r="X15" s="468"/>
      <c r="Y15" s="468"/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8"/>
      <c r="AL15" s="468"/>
      <c r="AM15" s="468"/>
      <c r="AN15" s="468"/>
      <c r="AO15" s="468"/>
      <c r="AP15" s="468"/>
      <c r="AQ15" s="468"/>
      <c r="AR15" s="468"/>
      <c r="AS15" s="468"/>
      <c r="AT15" s="468"/>
      <c r="AU15" s="468"/>
      <c r="AV15" s="469">
        <f t="shared" si="8"/>
        <v>7382030.4930000007</v>
      </c>
      <c r="AW15" s="469">
        <f t="shared" si="7"/>
        <v>7382030.4929999998</v>
      </c>
      <c r="AX15" s="469">
        <f t="shared" si="5"/>
        <v>0</v>
      </c>
      <c r="BW15"/>
      <c r="BX15"/>
    </row>
    <row r="16" spans="1:76">
      <c r="A16" s="466" t="str">
        <f>'Phase 1b Financial'!A45</f>
        <v>Construction Management Fee</v>
      </c>
      <c r="B16" s="576">
        <f>'Phase 1b Financial'!C45</f>
        <v>4712715</v>
      </c>
      <c r="C16" s="468">
        <f>$B16*C$4</f>
        <v>0</v>
      </c>
      <c r="D16" s="468">
        <f t="shared" ref="D16:G16" si="14">$B16*D$4</f>
        <v>0</v>
      </c>
      <c r="E16" s="468">
        <f t="shared" si="14"/>
        <v>0</v>
      </c>
      <c r="F16" s="468">
        <f t="shared" si="14"/>
        <v>0</v>
      </c>
      <c r="G16" s="468">
        <f t="shared" si="14"/>
        <v>0</v>
      </c>
      <c r="H16" s="468"/>
      <c r="I16" s="468">
        <f t="shared" ref="I16:T16" si="15">$B16*I$4</f>
        <v>235635.75</v>
      </c>
      <c r="J16" s="468">
        <f t="shared" si="15"/>
        <v>235635.75</v>
      </c>
      <c r="K16" s="468">
        <f t="shared" si="15"/>
        <v>235635.75</v>
      </c>
      <c r="L16" s="468">
        <f t="shared" si="15"/>
        <v>235635.75</v>
      </c>
      <c r="M16" s="468">
        <f t="shared" si="15"/>
        <v>471271.5</v>
      </c>
      <c r="N16" s="468">
        <f t="shared" si="15"/>
        <v>471271.5</v>
      </c>
      <c r="O16" s="468">
        <f t="shared" si="15"/>
        <v>471271.5</v>
      </c>
      <c r="P16" s="468">
        <f t="shared" si="15"/>
        <v>471271.5</v>
      </c>
      <c r="Q16" s="468">
        <f t="shared" si="15"/>
        <v>471271.5</v>
      </c>
      <c r="R16" s="468">
        <f t="shared" si="15"/>
        <v>471271.5</v>
      </c>
      <c r="S16" s="468">
        <f t="shared" si="15"/>
        <v>471271.5</v>
      </c>
      <c r="T16" s="468">
        <f t="shared" si="15"/>
        <v>471271.5</v>
      </c>
      <c r="U16" s="468"/>
      <c r="V16" s="468"/>
      <c r="W16" s="468"/>
      <c r="X16" s="468"/>
      <c r="Y16" s="468"/>
      <c r="Z16" s="468"/>
      <c r="AA16" s="468"/>
      <c r="AB16" s="468"/>
      <c r="AC16" s="468"/>
      <c r="AD16" s="468"/>
      <c r="AE16" s="468"/>
      <c r="AF16" s="468"/>
      <c r="AG16" s="468"/>
      <c r="AH16" s="468"/>
      <c r="AI16" s="468"/>
      <c r="AJ16" s="468"/>
      <c r="AK16" s="468"/>
      <c r="AL16" s="468"/>
      <c r="AM16" s="468"/>
      <c r="AN16" s="468"/>
      <c r="AO16" s="468"/>
      <c r="AP16" s="468"/>
      <c r="AQ16" s="468"/>
      <c r="AR16" s="468"/>
      <c r="AS16" s="468"/>
      <c r="AT16" s="468"/>
      <c r="AU16" s="468"/>
      <c r="AV16" s="469">
        <f t="shared" si="8"/>
        <v>4712715</v>
      </c>
      <c r="AW16" s="469">
        <f t="shared" si="7"/>
        <v>4712715</v>
      </c>
      <c r="AX16" s="469">
        <f t="shared" si="5"/>
        <v>0</v>
      </c>
      <c r="BW16"/>
      <c r="BX16"/>
    </row>
    <row r="17" spans="1:76">
      <c r="A17" s="466" t="str">
        <f>'Phase 1b Financial'!A46</f>
        <v>Taxes</v>
      </c>
      <c r="B17" s="576">
        <f>'Phase 1b Financial'!C46</f>
        <v>0</v>
      </c>
      <c r="C17" s="472"/>
      <c r="D17" s="468"/>
      <c r="E17" s="468"/>
      <c r="F17" s="468"/>
      <c r="G17" s="471"/>
      <c r="H17" s="468">
        <f>0.1*$B17</f>
        <v>0</v>
      </c>
      <c r="I17" s="468"/>
      <c r="J17" s="470"/>
      <c r="K17" s="468"/>
      <c r="L17" s="282"/>
      <c r="M17" s="468"/>
      <c r="N17" s="468">
        <f>0.4*$B17</f>
        <v>0</v>
      </c>
      <c r="O17" s="282"/>
      <c r="P17" s="468"/>
      <c r="Q17" s="468">
        <f>0.5*$B17</f>
        <v>0</v>
      </c>
      <c r="R17" s="471"/>
      <c r="S17" s="471"/>
      <c r="T17" s="471"/>
      <c r="U17" s="471"/>
      <c r="V17" s="468"/>
      <c r="W17" s="468"/>
      <c r="X17" s="282"/>
      <c r="Y17" s="468"/>
      <c r="Z17" s="468"/>
      <c r="AA17" s="468"/>
      <c r="AB17" s="468"/>
      <c r="AC17" s="468"/>
      <c r="AD17" s="468"/>
      <c r="AE17" s="282"/>
      <c r="AF17" s="468"/>
      <c r="AG17" s="282"/>
      <c r="AH17" s="468"/>
      <c r="AI17" s="471"/>
      <c r="AJ17" s="468"/>
      <c r="AK17" s="468"/>
      <c r="AL17" s="468"/>
      <c r="AM17" s="468"/>
      <c r="AN17" s="468"/>
      <c r="AO17" s="468"/>
      <c r="AP17" s="468"/>
      <c r="AQ17" s="468"/>
      <c r="AR17" s="468"/>
      <c r="AS17" s="468"/>
      <c r="AT17" s="468"/>
      <c r="AU17" s="468"/>
      <c r="AV17" s="469">
        <f t="shared" si="8"/>
        <v>0</v>
      </c>
      <c r="AW17" s="469">
        <f t="shared" si="7"/>
        <v>0</v>
      </c>
      <c r="AX17" s="469">
        <f t="shared" si="5"/>
        <v>0</v>
      </c>
      <c r="BW17"/>
      <c r="BX17"/>
    </row>
    <row r="18" spans="1:76">
      <c r="A18" s="466" t="str">
        <f>'Phase 1b Financial'!A47</f>
        <v>Insurance</v>
      </c>
      <c r="B18" s="576">
        <f>'Phase 1b Financial'!C47</f>
        <v>2598000</v>
      </c>
      <c r="C18" s="472"/>
      <c r="D18" s="468"/>
      <c r="E18" s="468"/>
      <c r="F18" s="468"/>
      <c r="G18" s="468"/>
      <c r="H18" s="468"/>
      <c r="I18" s="468"/>
      <c r="J18" s="468"/>
      <c r="K18" s="468"/>
      <c r="L18" s="472">
        <f>$B18</f>
        <v>2598000</v>
      </c>
      <c r="M18" s="468"/>
      <c r="N18" s="468"/>
      <c r="O18" s="468"/>
      <c r="P18" s="468"/>
      <c r="Q18" s="468"/>
      <c r="R18" s="468"/>
      <c r="S18" s="468"/>
      <c r="T18" s="471"/>
      <c r="U18" s="468"/>
      <c r="V18" s="468"/>
      <c r="W18" s="468"/>
      <c r="X18" s="468"/>
      <c r="Y18" s="468"/>
      <c r="Z18" s="468"/>
      <c r="AA18" s="468"/>
      <c r="AB18" s="468"/>
      <c r="AC18" s="468"/>
      <c r="AD18" s="468"/>
      <c r="AE18" s="468"/>
      <c r="AF18" s="478"/>
      <c r="AG18" s="468"/>
      <c r="AH18" s="468"/>
      <c r="AI18" s="468"/>
      <c r="AJ18" s="468"/>
      <c r="AK18" s="548"/>
      <c r="AL18" s="468"/>
      <c r="AM18" s="468"/>
      <c r="AN18" s="468"/>
      <c r="AO18" s="468"/>
      <c r="AP18" s="468"/>
      <c r="AQ18" s="468"/>
      <c r="AR18" s="468"/>
      <c r="AS18" s="468"/>
      <c r="AT18" s="468"/>
      <c r="AU18" s="468"/>
      <c r="AV18" s="469">
        <f t="shared" si="8"/>
        <v>2598000</v>
      </c>
      <c r="AW18" s="469">
        <f t="shared" si="7"/>
        <v>2598000</v>
      </c>
      <c r="AX18" s="469">
        <f t="shared" si="5"/>
        <v>0</v>
      </c>
      <c r="BW18"/>
      <c r="BX18"/>
    </row>
    <row r="19" spans="1:76">
      <c r="A19" s="466" t="str">
        <f>'Phase 1b Financial'!A48</f>
        <v>Marketing, FFE and Preleasing</v>
      </c>
      <c r="B19" s="576">
        <f>'Phase 1b Financial'!C48</f>
        <v>400000</v>
      </c>
      <c r="C19" s="472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468">
        <f>0.5*$B19</f>
        <v>200000</v>
      </c>
      <c r="Q19" s="468">
        <f>0.5*B19</f>
        <v>200000</v>
      </c>
      <c r="R19" s="468"/>
      <c r="S19" s="471"/>
      <c r="T19" s="471"/>
      <c r="U19" s="468"/>
      <c r="V19" s="468"/>
      <c r="W19" s="468"/>
      <c r="X19" s="478"/>
      <c r="Y19" s="478"/>
      <c r="Z19" s="478"/>
      <c r="AA19" s="478"/>
      <c r="AB19" s="471"/>
      <c r="AC19" s="471"/>
      <c r="AD19" s="471"/>
      <c r="AE19" s="468"/>
      <c r="AF19" s="293"/>
      <c r="AG19" s="282"/>
      <c r="AH19" s="282"/>
      <c r="AI19" s="478"/>
      <c r="AJ19" s="478"/>
      <c r="AK19" s="478"/>
      <c r="AL19" s="478"/>
      <c r="AM19" s="478"/>
      <c r="AN19" s="478"/>
      <c r="AO19" s="478"/>
      <c r="AP19" s="478"/>
      <c r="AQ19" s="478"/>
      <c r="AR19" s="478"/>
      <c r="AS19" s="478"/>
      <c r="AT19" s="478"/>
      <c r="AU19" s="478"/>
      <c r="AV19" s="469">
        <f t="shared" si="8"/>
        <v>400000</v>
      </c>
      <c r="AW19" s="469">
        <f t="shared" si="7"/>
        <v>400000</v>
      </c>
      <c r="AX19" s="469">
        <f t="shared" si="5"/>
        <v>0</v>
      </c>
      <c r="BW19"/>
      <c r="BX19"/>
    </row>
    <row r="20" spans="1:76">
      <c r="A20" s="466" t="str">
        <f>'Phase 1b Financial'!A49</f>
        <v>Net interest during closeout</v>
      </c>
      <c r="B20" s="576">
        <f>'Phase 1b Financial'!C49</f>
        <v>0</v>
      </c>
      <c r="C20" s="472"/>
      <c r="D20" s="468"/>
      <c r="E20" s="468"/>
      <c r="F20" s="468"/>
      <c r="G20" s="468"/>
      <c r="H20" s="468"/>
      <c r="I20" s="468"/>
      <c r="J20" s="468"/>
      <c r="K20" s="468"/>
      <c r="L20" s="468"/>
      <c r="M20" s="468"/>
      <c r="N20" s="468"/>
      <c r="O20" s="468"/>
      <c r="P20" s="468"/>
      <c r="Q20" s="468"/>
      <c r="R20" s="468"/>
      <c r="S20" s="468"/>
      <c r="T20" s="468"/>
      <c r="U20" s="468"/>
      <c r="V20" s="468"/>
      <c r="W20" s="468"/>
      <c r="X20" s="468"/>
      <c r="Y20" s="468"/>
      <c r="Z20" s="551"/>
      <c r="AA20" s="551"/>
      <c r="AB20" s="551"/>
      <c r="AC20" s="471"/>
      <c r="AD20" s="471"/>
      <c r="AE20" s="468"/>
      <c r="AF20" s="472"/>
      <c r="AG20" s="478"/>
      <c r="AH20" s="478"/>
      <c r="AI20" s="478"/>
      <c r="AJ20" s="478"/>
      <c r="AK20" s="478"/>
      <c r="AL20" s="478"/>
      <c r="AM20" s="478"/>
      <c r="AN20" s="478"/>
      <c r="AO20" s="478"/>
      <c r="AP20" s="478"/>
      <c r="AQ20" s="478"/>
      <c r="AR20" s="478"/>
      <c r="AS20" s="478"/>
      <c r="AT20" s="478"/>
      <c r="AU20" s="478"/>
      <c r="AV20" s="469">
        <f t="shared" si="8"/>
        <v>0</v>
      </c>
      <c r="AW20" s="469">
        <f t="shared" si="7"/>
        <v>0</v>
      </c>
      <c r="AX20" s="469">
        <f t="shared" si="5"/>
        <v>0</v>
      </c>
      <c r="BW20"/>
      <c r="BX20"/>
    </row>
    <row r="21" spans="1:76">
      <c r="A21" s="466" t="str">
        <f>'Phase 1b Financial'!A50</f>
        <v>Retail Tenant Improvements</v>
      </c>
      <c r="B21" s="576">
        <f>'Phase 1b Financial'!C50</f>
        <v>0</v>
      </c>
      <c r="C21" s="472"/>
      <c r="D21" s="468"/>
      <c r="E21" s="468"/>
      <c r="F21" s="468"/>
      <c r="G21" s="468"/>
      <c r="H21" s="468"/>
      <c r="I21" s="468"/>
      <c r="J21" s="468"/>
      <c r="K21" s="468"/>
      <c r="L21" s="468"/>
      <c r="M21" s="468"/>
      <c r="N21" s="468"/>
      <c r="O21" s="468"/>
      <c r="P21" s="468"/>
      <c r="Q21" s="468"/>
      <c r="R21" s="468"/>
      <c r="S21" s="468"/>
      <c r="T21" s="468"/>
      <c r="U21" s="468"/>
      <c r="V21" s="468"/>
      <c r="W21" s="468"/>
      <c r="X21" s="468"/>
      <c r="Y21" s="468"/>
      <c r="Z21" s="468"/>
      <c r="AA21" s="471"/>
      <c r="AB21" s="471"/>
      <c r="AC21" s="472"/>
      <c r="AD21" s="471"/>
      <c r="AE21" s="468"/>
      <c r="AF21" s="478"/>
      <c r="AG21" s="478"/>
      <c r="AH21" s="478"/>
      <c r="AI21" s="478"/>
      <c r="AJ21" s="551"/>
      <c r="AK21" s="552"/>
      <c r="AL21" s="471"/>
      <c r="AM21" s="471"/>
      <c r="AN21" s="471"/>
      <c r="AO21" s="471"/>
      <c r="AP21" s="471"/>
      <c r="AQ21" s="471"/>
      <c r="AR21" s="471"/>
      <c r="AS21" s="471"/>
      <c r="AT21" s="471"/>
      <c r="AU21" s="471"/>
      <c r="AV21" s="469">
        <f t="shared" si="8"/>
        <v>0</v>
      </c>
      <c r="AW21" s="469">
        <f t="shared" si="7"/>
        <v>0</v>
      </c>
      <c r="AX21" s="469">
        <f t="shared" si="5"/>
        <v>0</v>
      </c>
      <c r="BW21"/>
      <c r="BX21"/>
    </row>
    <row r="22" spans="1:76">
      <c r="A22" s="466" t="str">
        <f>'Phase 1b Financial'!A51</f>
        <v>Retail brokerage</v>
      </c>
      <c r="B22" s="576">
        <f>'Phase 1b Financial'!C51</f>
        <v>0</v>
      </c>
      <c r="C22" s="472"/>
      <c r="D22" s="468"/>
      <c r="E22" s="468"/>
      <c r="F22" s="468"/>
      <c r="G22" s="468"/>
      <c r="H22" s="468"/>
      <c r="I22" s="468"/>
      <c r="J22" s="468"/>
      <c r="K22" s="468"/>
      <c r="L22" s="468"/>
      <c r="M22" s="468"/>
      <c r="N22" s="468"/>
      <c r="O22" s="468"/>
      <c r="P22" s="468"/>
      <c r="Q22" s="468"/>
      <c r="R22" s="468"/>
      <c r="S22" s="468"/>
      <c r="T22" s="468"/>
      <c r="U22" s="468"/>
      <c r="V22" s="468"/>
      <c r="W22" s="468"/>
      <c r="X22" s="468"/>
      <c r="Y22" s="468"/>
      <c r="Z22" s="468"/>
      <c r="AA22" s="468"/>
      <c r="AB22" s="468"/>
      <c r="AC22" s="468"/>
      <c r="AD22" s="468"/>
      <c r="AE22" s="468"/>
      <c r="AF22" s="478"/>
      <c r="AG22" s="468"/>
      <c r="AH22" s="468"/>
      <c r="AI22" s="468"/>
      <c r="AJ22" s="468"/>
      <c r="AK22" s="548"/>
      <c r="AL22" s="471"/>
      <c r="AM22" s="471"/>
      <c r="AN22" s="471"/>
      <c r="AO22" s="471"/>
      <c r="AP22" s="471"/>
      <c r="AQ22" s="471"/>
      <c r="AR22" s="471"/>
      <c r="AS22" s="471"/>
      <c r="AT22" s="471"/>
      <c r="AU22" s="471"/>
      <c r="AV22" s="469">
        <f t="shared" si="8"/>
        <v>0</v>
      </c>
      <c r="AW22" s="469">
        <f t="shared" si="7"/>
        <v>0</v>
      </c>
      <c r="AX22" s="469">
        <f t="shared" si="5"/>
        <v>0</v>
      </c>
      <c r="BW22"/>
      <c r="BX22"/>
    </row>
    <row r="23" spans="1:76">
      <c r="A23" s="466" t="str">
        <f>'Phase 1b Financial'!A52</f>
        <v>Construction Loan Origination</v>
      </c>
      <c r="B23" s="576">
        <f>'Phase 1b Financial'!C52</f>
        <v>2359440</v>
      </c>
      <c r="C23" s="468">
        <f>$B$23*C4</f>
        <v>0</v>
      </c>
      <c r="D23" s="468">
        <f>$B$23*D4</f>
        <v>0</v>
      </c>
      <c r="E23" s="468">
        <v>0</v>
      </c>
      <c r="F23" s="468">
        <v>0</v>
      </c>
      <c r="G23" s="468">
        <v>0</v>
      </c>
      <c r="H23" s="468">
        <v>0</v>
      </c>
      <c r="I23" s="468">
        <f>$B23</f>
        <v>2359440</v>
      </c>
      <c r="J23" s="468">
        <v>0</v>
      </c>
      <c r="K23" s="468"/>
      <c r="L23" s="468">
        <v>0</v>
      </c>
      <c r="M23" s="282"/>
      <c r="N23" s="468">
        <v>0</v>
      </c>
      <c r="O23" s="468">
        <v>0</v>
      </c>
      <c r="P23" s="282"/>
      <c r="Q23" s="468"/>
      <c r="R23" s="468"/>
      <c r="S23" s="468"/>
      <c r="T23" s="468"/>
      <c r="U23" s="468"/>
      <c r="V23" s="468"/>
      <c r="W23" s="282"/>
      <c r="X23" s="468"/>
      <c r="Y23" s="468"/>
      <c r="Z23" s="468"/>
      <c r="AA23" s="468"/>
      <c r="AB23" s="468"/>
      <c r="AC23" s="468"/>
      <c r="AD23" s="468"/>
      <c r="AE23" s="468"/>
      <c r="AF23" s="478"/>
      <c r="AG23" s="468"/>
      <c r="AH23" s="468"/>
      <c r="AI23" s="468"/>
      <c r="AJ23" s="468"/>
      <c r="AK23" s="548"/>
      <c r="AL23" s="468"/>
      <c r="AM23" s="468"/>
      <c r="AN23" s="468"/>
      <c r="AO23" s="468"/>
      <c r="AP23" s="468"/>
      <c r="AQ23" s="468"/>
      <c r="AR23" s="468"/>
      <c r="AS23" s="468"/>
      <c r="AT23" s="468"/>
      <c r="AU23" s="468"/>
      <c r="AV23" s="469">
        <f t="shared" si="8"/>
        <v>2359440</v>
      </c>
      <c r="AW23" s="469">
        <f t="shared" si="7"/>
        <v>2359440</v>
      </c>
      <c r="AX23" s="469">
        <f t="shared" si="5"/>
        <v>0</v>
      </c>
      <c r="BW23"/>
      <c r="BX23"/>
    </row>
    <row r="24" spans="1:76">
      <c r="A24" s="466" t="str">
        <f>'Phase 1b Financial'!A53</f>
        <v>Construction Interest</v>
      </c>
      <c r="B24" s="576">
        <f>'Phase 1b Financial'!C53</f>
        <v>11010720.000000002</v>
      </c>
      <c r="C24" s="480"/>
      <c r="D24" s="468"/>
      <c r="E24" s="468"/>
      <c r="F24" s="468"/>
      <c r="G24" s="468"/>
      <c r="H24" s="468"/>
      <c r="I24" s="468"/>
      <c r="J24" s="468"/>
      <c r="K24" s="468"/>
      <c r="L24" s="468"/>
      <c r="M24" s="468"/>
      <c r="N24" s="468">
        <f>0.05*$B24</f>
        <v>550536.00000000012</v>
      </c>
      <c r="O24" s="468">
        <f t="shared" ref="O24:P24" si="16">0.1*$B24</f>
        <v>1101072.0000000002</v>
      </c>
      <c r="P24" s="468">
        <f t="shared" si="16"/>
        <v>1101072.0000000002</v>
      </c>
      <c r="Q24" s="468">
        <f>0.15*$B24</f>
        <v>1651608.0000000002</v>
      </c>
      <c r="R24" s="468">
        <f>0.3*$B24</f>
        <v>3303216.0000000005</v>
      </c>
      <c r="S24" s="468">
        <f>0.3*$B24</f>
        <v>3303216.0000000005</v>
      </c>
      <c r="T24" s="468"/>
      <c r="U24" s="468"/>
      <c r="V24" s="468"/>
      <c r="W24" s="468"/>
      <c r="X24" s="468"/>
      <c r="Y24" s="468"/>
      <c r="Z24" s="468"/>
      <c r="AA24" s="468"/>
      <c r="AB24" s="468"/>
      <c r="AC24" s="468"/>
      <c r="AD24" s="468"/>
      <c r="AE24" s="468"/>
      <c r="AF24" s="468"/>
      <c r="AG24" s="468"/>
      <c r="AH24" s="468"/>
      <c r="AI24" s="468"/>
      <c r="AJ24" s="468"/>
      <c r="AK24" s="468"/>
      <c r="AL24" s="468"/>
      <c r="AM24" s="468"/>
      <c r="AN24" s="468"/>
      <c r="AO24" s="468"/>
      <c r="AP24" s="468"/>
      <c r="AQ24" s="468"/>
      <c r="AR24" s="468"/>
      <c r="AS24" s="468"/>
      <c r="AT24" s="468"/>
      <c r="AU24" s="468"/>
      <c r="AV24" s="469">
        <f t="shared" si="8"/>
        <v>11010720.000000002</v>
      </c>
      <c r="AW24" s="469">
        <f t="shared" si="7"/>
        <v>11010720.000000002</v>
      </c>
      <c r="AX24" s="469">
        <f t="shared" si="5"/>
        <v>0</v>
      </c>
      <c r="BW24"/>
      <c r="BX24"/>
    </row>
    <row r="25" spans="1:76" ht="14.65" thickBot="1">
      <c r="A25" s="553" t="str">
        <f>'Phase 1b Financial'!A54</f>
        <v>Additional Contingency</v>
      </c>
      <c r="B25" s="483">
        <f>'Phase 1b Financial'!C54</f>
        <v>1000000</v>
      </c>
      <c r="C25" s="482">
        <v>0</v>
      </c>
      <c r="D25" s="482">
        <v>0</v>
      </c>
      <c r="E25" s="482">
        <v>0</v>
      </c>
      <c r="F25" s="482"/>
      <c r="G25" s="482">
        <v>0</v>
      </c>
      <c r="H25" s="482">
        <v>0</v>
      </c>
      <c r="I25" s="482">
        <f t="shared" ref="I25:S25" si="17">$B25*I$4</f>
        <v>50000</v>
      </c>
      <c r="J25" s="482">
        <f t="shared" si="17"/>
        <v>50000</v>
      </c>
      <c r="K25" s="482">
        <f t="shared" si="17"/>
        <v>50000</v>
      </c>
      <c r="L25" s="482">
        <f t="shared" si="17"/>
        <v>50000</v>
      </c>
      <c r="M25" s="482">
        <f t="shared" si="17"/>
        <v>100000</v>
      </c>
      <c r="N25" s="482">
        <f t="shared" si="17"/>
        <v>100000</v>
      </c>
      <c r="O25" s="482">
        <f t="shared" si="17"/>
        <v>100000</v>
      </c>
      <c r="P25" s="482">
        <f t="shared" si="17"/>
        <v>100000</v>
      </c>
      <c r="Q25" s="482">
        <f t="shared" si="17"/>
        <v>100000</v>
      </c>
      <c r="R25" s="482">
        <f t="shared" si="17"/>
        <v>100000</v>
      </c>
      <c r="S25" s="482">
        <f t="shared" si="17"/>
        <v>100000</v>
      </c>
      <c r="T25" s="482"/>
      <c r="U25" s="482"/>
      <c r="V25" s="482"/>
      <c r="W25" s="482"/>
      <c r="X25" s="482"/>
      <c r="Y25" s="482"/>
      <c r="Z25" s="482"/>
      <c r="AA25" s="482"/>
      <c r="AB25" s="482"/>
      <c r="AC25" s="482"/>
      <c r="AD25" s="482"/>
      <c r="AE25" s="482"/>
      <c r="AF25" s="482"/>
      <c r="AG25" s="482"/>
      <c r="AH25" s="482"/>
      <c r="AI25" s="482"/>
      <c r="AJ25" s="482"/>
      <c r="AK25" s="482"/>
      <c r="AL25" s="482"/>
      <c r="AM25" s="482"/>
      <c r="AN25" s="482"/>
      <c r="AO25" s="482"/>
      <c r="AP25" s="482"/>
      <c r="AQ25" s="482"/>
      <c r="AR25" s="482"/>
      <c r="AS25" s="482"/>
      <c r="AT25" s="482"/>
      <c r="AU25" s="482"/>
      <c r="AV25" s="483">
        <f t="shared" si="8"/>
        <v>900000</v>
      </c>
      <c r="AW25" s="469">
        <f t="shared" si="7"/>
        <v>1000000</v>
      </c>
      <c r="AX25" s="469">
        <f t="shared" si="5"/>
        <v>100000</v>
      </c>
      <c r="BW25"/>
      <c r="BX25"/>
    </row>
    <row r="26" spans="1:76" ht="15" thickTop="1" thickBot="1">
      <c r="A26" s="202" t="str">
        <f>'Phase 1a Financial'!A113</f>
        <v>Total Project Cost</v>
      </c>
      <c r="B26" s="203">
        <f t="shared" ref="B26:S26" si="18">SUM(B5:B25)</f>
        <v>275530588.59299999</v>
      </c>
      <c r="C26" s="181">
        <f t="shared" si="18"/>
        <v>0</v>
      </c>
      <c r="D26" s="181">
        <f t="shared" si="18"/>
        <v>0</v>
      </c>
      <c r="E26" s="181">
        <f t="shared" si="18"/>
        <v>3850172</v>
      </c>
      <c r="F26" s="181">
        <f t="shared" si="18"/>
        <v>3850172</v>
      </c>
      <c r="G26" s="181">
        <f t="shared" si="18"/>
        <v>1022543</v>
      </c>
      <c r="H26" s="181">
        <f t="shared" si="18"/>
        <v>551271.5</v>
      </c>
      <c r="I26" s="181">
        <f t="shared" si="18"/>
        <v>15630976.474649999</v>
      </c>
      <c r="J26" s="181">
        <f t="shared" si="18"/>
        <v>12570779.074650001</v>
      </c>
      <c r="K26" s="181">
        <f t="shared" si="18"/>
        <v>12530779.074650001</v>
      </c>
      <c r="L26" s="181">
        <f t="shared" si="18"/>
        <v>15128779.074650001</v>
      </c>
      <c r="M26" s="181">
        <f t="shared" si="18"/>
        <v>24873049.5493</v>
      </c>
      <c r="N26" s="181">
        <f t="shared" si="18"/>
        <v>25423585.5493</v>
      </c>
      <c r="O26" s="181">
        <f t="shared" si="18"/>
        <v>25974121.5493</v>
      </c>
      <c r="P26" s="181">
        <f t="shared" si="18"/>
        <v>26174121.5493</v>
      </c>
      <c r="Q26" s="181">
        <f t="shared" si="18"/>
        <v>26724657.5493</v>
      </c>
      <c r="R26" s="181">
        <f t="shared" si="18"/>
        <v>28176265.5493</v>
      </c>
      <c r="S26" s="181">
        <f t="shared" si="18"/>
        <v>28176265.5493</v>
      </c>
      <c r="T26" s="181"/>
      <c r="U26" s="181"/>
      <c r="V26" s="181"/>
      <c r="W26" s="181"/>
      <c r="X26" s="181"/>
      <c r="Y26" s="181"/>
      <c r="Z26" s="181"/>
      <c r="AA26" s="181"/>
      <c r="AB26" s="181"/>
      <c r="AC26" s="181"/>
      <c r="AD26" s="181"/>
      <c r="AE26" s="181"/>
      <c r="AF26" s="181"/>
      <c r="AG26" s="181"/>
      <c r="AH26" s="181"/>
      <c r="AI26" s="181"/>
      <c r="AJ26" s="181"/>
      <c r="AK26" s="181"/>
      <c r="AL26" s="181"/>
      <c r="AM26" s="177"/>
      <c r="AN26" s="177"/>
      <c r="AO26" s="177"/>
      <c r="AP26" s="177"/>
      <c r="AQ26" s="177"/>
      <c r="AR26" s="177"/>
      <c r="AS26" s="177"/>
      <c r="AT26" s="177"/>
      <c r="AU26" s="177"/>
      <c r="AV26" s="178">
        <f>SUM(AV5:AV25)</f>
        <v>275430588.59299999</v>
      </c>
      <c r="AW26" s="177">
        <f>SUM(AW5:AW25)</f>
        <v>275530588.59299999</v>
      </c>
      <c r="AX26" s="177"/>
      <c r="BW26"/>
      <c r="BX26"/>
    </row>
    <row r="27" spans="1:76">
      <c r="A27" s="179" t="s">
        <v>292</v>
      </c>
      <c r="B27" s="204">
        <f>'Phase 1b Financial'!B63</f>
        <v>0</v>
      </c>
      <c r="C27" s="205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5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8"/>
      <c r="AW27" s="205"/>
      <c r="AX27" s="177"/>
      <c r="BW27"/>
      <c r="BX27"/>
    </row>
    <row r="28" spans="1:76" ht="14.65" thickBot="1">
      <c r="A28" s="484" t="s">
        <v>293</v>
      </c>
      <c r="B28" s="577">
        <f>B26+B27</f>
        <v>275530588.59299999</v>
      </c>
      <c r="C28" s="578"/>
      <c r="D28" s="497"/>
      <c r="E28" s="497"/>
      <c r="F28" s="497"/>
      <c r="G28" s="497"/>
      <c r="H28" s="497"/>
      <c r="I28" s="497"/>
      <c r="J28" s="497"/>
      <c r="K28" s="497"/>
      <c r="L28" s="497"/>
      <c r="M28" s="497"/>
      <c r="N28" s="497"/>
      <c r="O28" s="497"/>
      <c r="P28" s="497"/>
      <c r="Q28" s="497"/>
      <c r="R28" s="497"/>
      <c r="S28" s="497"/>
      <c r="T28" s="497"/>
      <c r="U28" s="497"/>
      <c r="V28" s="497"/>
      <c r="W28" s="497"/>
      <c r="X28" s="497"/>
      <c r="Y28" s="497"/>
      <c r="Z28" s="495"/>
      <c r="AA28" s="495"/>
      <c r="AB28" s="495"/>
      <c r="AC28" s="495"/>
      <c r="AD28" s="495"/>
      <c r="AE28" s="495"/>
      <c r="AF28" s="495"/>
      <c r="AG28" s="495"/>
      <c r="AH28" s="497"/>
      <c r="AI28" s="497"/>
      <c r="AJ28" s="497"/>
      <c r="AK28" s="578"/>
      <c r="AL28" s="256"/>
      <c r="AM28" s="256"/>
      <c r="AN28" s="256"/>
      <c r="AO28" s="256"/>
      <c r="AP28" s="256"/>
      <c r="AQ28" s="256"/>
      <c r="AR28" s="256"/>
      <c r="AS28" s="256"/>
      <c r="AT28" s="256"/>
      <c r="AU28" s="256"/>
      <c r="AV28" s="497"/>
      <c r="AW28" s="578"/>
      <c r="AX28" s="486"/>
      <c r="BW28"/>
      <c r="BX28"/>
    </row>
    <row r="29" spans="1:76">
      <c r="A29" s="186" t="s">
        <v>294</v>
      </c>
      <c r="B29" s="187">
        <f>SUM(C29:AV29)</f>
        <v>110212000</v>
      </c>
      <c r="C29" s="469">
        <f>C26</f>
        <v>0</v>
      </c>
      <c r="D29" s="469">
        <f t="shared" ref="D29:S29" si="19">IF(C30+D26&lt;=$B$30,D26,($B$30-C30))</f>
        <v>0</v>
      </c>
      <c r="E29" s="469">
        <f t="shared" si="19"/>
        <v>3850172</v>
      </c>
      <c r="F29" s="469">
        <f t="shared" si="19"/>
        <v>3850172</v>
      </c>
      <c r="G29" s="469">
        <f t="shared" si="19"/>
        <v>1022543</v>
      </c>
      <c r="H29" s="469">
        <f t="shared" si="19"/>
        <v>551271.5</v>
      </c>
      <c r="I29" s="469">
        <f t="shared" si="19"/>
        <v>15630976.474649999</v>
      </c>
      <c r="J29" s="469">
        <f t="shared" si="19"/>
        <v>12570779.074650001</v>
      </c>
      <c r="K29" s="469">
        <f t="shared" si="19"/>
        <v>12530779.074650001</v>
      </c>
      <c r="L29" s="469">
        <f t="shared" si="19"/>
        <v>15128779.074650001</v>
      </c>
      <c r="M29" s="469">
        <f t="shared" si="19"/>
        <v>24873049.5493</v>
      </c>
      <c r="N29" s="469">
        <f t="shared" si="19"/>
        <v>20203478.252099991</v>
      </c>
      <c r="O29" s="469">
        <f t="shared" si="19"/>
        <v>0</v>
      </c>
      <c r="P29" s="469">
        <f t="shared" si="19"/>
        <v>0</v>
      </c>
      <c r="Q29" s="469">
        <f t="shared" si="19"/>
        <v>0</v>
      </c>
      <c r="R29" s="469">
        <f t="shared" si="19"/>
        <v>0</v>
      </c>
      <c r="S29" s="469">
        <f t="shared" si="19"/>
        <v>0</v>
      </c>
      <c r="T29" s="469"/>
      <c r="U29" s="469"/>
      <c r="V29" s="469"/>
      <c r="W29" s="469"/>
      <c r="X29" s="469"/>
      <c r="Y29" s="469"/>
      <c r="Z29" s="469"/>
      <c r="AA29" s="469"/>
      <c r="AB29" s="469"/>
      <c r="AC29" s="469"/>
      <c r="AD29" s="469"/>
      <c r="AE29" s="469"/>
      <c r="AF29" s="469"/>
      <c r="AG29" s="469"/>
      <c r="AH29" s="469"/>
      <c r="AI29" s="469"/>
      <c r="AJ29" s="469"/>
      <c r="AK29" s="469"/>
      <c r="AL29" s="469"/>
      <c r="AM29" s="469"/>
      <c r="AN29" s="469"/>
      <c r="AO29" s="469"/>
      <c r="AP29" s="469"/>
      <c r="AQ29" s="469"/>
      <c r="AR29" s="469"/>
      <c r="AS29" s="469"/>
      <c r="AT29" s="469"/>
      <c r="AU29" s="469"/>
      <c r="AV29" s="491"/>
      <c r="AW29" s="490"/>
      <c r="AX29" s="489"/>
      <c r="BW29"/>
      <c r="BX29"/>
    </row>
    <row r="30" spans="1:76" ht="14.65" thickBot="1">
      <c r="A30" s="466" t="s">
        <v>295</v>
      </c>
      <c r="B30" s="183">
        <f>'Phase 1b Financial'!B66</f>
        <v>110212000</v>
      </c>
      <c r="C30" s="469">
        <f>C29</f>
        <v>0</v>
      </c>
      <c r="D30" s="469">
        <f>IF(SUM($C$29:D29)&lt;=$B30,SUM($C$29:D29),0)</f>
        <v>0</v>
      </c>
      <c r="E30" s="469">
        <f>IF(SUM($C$29:E29)&lt;=$B30,SUM($C$29:E29),0)</f>
        <v>3850172</v>
      </c>
      <c r="F30" s="469">
        <f>IF(SUM($C$29:F29)&lt;=$B30,SUM($C$29:F29),0)</f>
        <v>7700344</v>
      </c>
      <c r="G30" s="469">
        <f>IF(SUM($C$29:G29)&lt;=$B30,SUM($C$29:G29),0)</f>
        <v>8722887</v>
      </c>
      <c r="H30" s="469">
        <f>IF(SUM($C$29:H29)&lt;=$B30,SUM($C$29:H29),0)</f>
        <v>9274158.5</v>
      </c>
      <c r="I30" s="469">
        <f>IF(SUM($C$29:I29)&lt;=$B30,SUM($C$29:I29),0)</f>
        <v>24905134.974649999</v>
      </c>
      <c r="J30" s="469">
        <f>IF(SUM($C$29:J29)&lt;=$B30,SUM($C$29:J29),0)</f>
        <v>37475914.0493</v>
      </c>
      <c r="K30" s="469">
        <f>IF(SUM($C$29:K29)&lt;=$B30,SUM($C$29:K29),0)</f>
        <v>50006693.123950005</v>
      </c>
      <c r="L30" s="469">
        <f>IF(SUM($C$29:L29)&lt;=$B30,SUM($C$29:L29),0)</f>
        <v>65135472.198600009</v>
      </c>
      <c r="M30" s="469">
        <f>IF(SUM($C$29:M29)&lt;=$B30,SUM($C$29:M29),0)</f>
        <v>90008521.747900009</v>
      </c>
      <c r="N30" s="469">
        <f>IF(SUM($C$29:N29)&lt;=$B30,SUM($C$29:N29),0)</f>
        <v>110212000</v>
      </c>
      <c r="O30" s="469">
        <f>IF(SUM($C$29:O29)&lt;=$B30,SUM($C$29:O29),0)</f>
        <v>110212000</v>
      </c>
      <c r="P30" s="469">
        <f>IF(SUM($C$29:P29)&lt;=$B30,SUM($C$29:P29),0)</f>
        <v>110212000</v>
      </c>
      <c r="Q30" s="469">
        <f>IF(SUM($C$29:Q29)&lt;=$B30,SUM($C$29:Q29),0)</f>
        <v>110212000</v>
      </c>
      <c r="R30" s="469">
        <f>IF(SUM($C$29:R29)&lt;=$B30,SUM($C$29:R29),0)</f>
        <v>110212000</v>
      </c>
      <c r="S30" s="469">
        <f>IF(SUM($C$29:S29)&lt;=$B30,SUM($C$29:S29),0)</f>
        <v>110212000</v>
      </c>
      <c r="T30" s="469"/>
      <c r="U30" s="469"/>
      <c r="V30" s="469"/>
      <c r="W30" s="469"/>
      <c r="X30" s="469"/>
      <c r="Y30" s="469"/>
      <c r="Z30" s="469"/>
      <c r="AA30" s="469"/>
      <c r="AB30" s="469"/>
      <c r="AC30" s="469"/>
      <c r="AD30" s="469"/>
      <c r="AE30" s="469"/>
      <c r="AF30" s="469"/>
      <c r="AG30" s="469"/>
      <c r="AH30" s="469"/>
      <c r="AI30" s="469"/>
      <c r="AJ30" s="469"/>
      <c r="AK30" s="469"/>
      <c r="AL30" s="469"/>
      <c r="AM30" s="469"/>
      <c r="AN30" s="469"/>
      <c r="AO30" s="469"/>
      <c r="AP30" s="469"/>
      <c r="AQ30" s="469"/>
      <c r="AR30" s="469"/>
      <c r="AS30" s="469"/>
      <c r="AT30" s="469"/>
      <c r="AU30" s="469"/>
      <c r="AV30" s="491"/>
      <c r="AW30" s="490"/>
      <c r="AX30" s="489"/>
      <c r="BW30"/>
      <c r="BX30"/>
    </row>
    <row r="31" spans="1:76">
      <c r="A31" s="184" t="s">
        <v>296</v>
      </c>
      <c r="B31" s="185">
        <f>'Phase 1b Financial'!B65</f>
        <v>165318000</v>
      </c>
      <c r="C31" s="490"/>
      <c r="D31" s="491"/>
      <c r="E31" s="491"/>
      <c r="F31" s="491"/>
      <c r="G31" s="491"/>
      <c r="H31" s="491"/>
      <c r="I31" s="491"/>
      <c r="J31" s="491"/>
      <c r="K31" s="491"/>
      <c r="L31" s="491"/>
      <c r="M31" s="491"/>
      <c r="N31" s="491"/>
      <c r="O31" s="491"/>
      <c r="P31" s="491"/>
      <c r="Q31" s="491"/>
      <c r="R31" s="491"/>
      <c r="S31" s="491"/>
      <c r="T31" s="491"/>
      <c r="U31" s="491"/>
      <c r="V31" s="491"/>
      <c r="W31" s="491"/>
      <c r="X31" s="491"/>
      <c r="Y31" s="491"/>
      <c r="Z31" s="491"/>
      <c r="AA31" s="491"/>
      <c r="AB31" s="491"/>
      <c r="AC31" s="491"/>
      <c r="AD31" s="491"/>
      <c r="AE31" s="491"/>
      <c r="AF31" s="491"/>
      <c r="AG31" s="491"/>
      <c r="AH31" s="491"/>
      <c r="AI31" s="491"/>
      <c r="AJ31" s="491"/>
      <c r="AK31" s="491"/>
      <c r="AL31" s="491"/>
      <c r="AM31" s="491"/>
      <c r="AN31" s="491"/>
      <c r="AO31" s="491"/>
      <c r="AP31" s="491"/>
      <c r="AQ31" s="491"/>
      <c r="AR31" s="491"/>
      <c r="AS31" s="491"/>
      <c r="AT31" s="491"/>
      <c r="AU31" s="491"/>
      <c r="AV31" s="491"/>
      <c r="AW31" s="490"/>
      <c r="AX31" s="489"/>
      <c r="BW31"/>
      <c r="BX31"/>
    </row>
    <row r="32" spans="1:76" ht="14.65" thickBot="1">
      <c r="A32" s="492" t="s">
        <v>297</v>
      </c>
      <c r="B32" s="493">
        <f>PMT(0.045,30,(B31))</f>
        <v>-10149127.090562802</v>
      </c>
      <c r="C32" s="490"/>
      <c r="D32" s="491"/>
      <c r="E32" s="491"/>
      <c r="F32" s="491"/>
      <c r="G32" s="491"/>
      <c r="H32" s="491"/>
      <c r="I32" s="491"/>
      <c r="J32" s="491"/>
      <c r="K32" s="491"/>
      <c r="L32" s="491"/>
      <c r="M32" s="491"/>
      <c r="N32" s="491"/>
      <c r="O32" s="491"/>
      <c r="P32" s="491"/>
      <c r="Q32" s="491"/>
      <c r="R32" s="491"/>
      <c r="S32" s="491"/>
      <c r="T32" s="491"/>
      <c r="U32" s="491"/>
      <c r="V32" s="491"/>
      <c r="W32" s="491"/>
      <c r="X32" s="491"/>
      <c r="Y32" s="491"/>
      <c r="Z32" s="491"/>
      <c r="AA32" s="491"/>
      <c r="AB32" s="491"/>
      <c r="AC32" s="491"/>
      <c r="AD32" s="491"/>
      <c r="AE32" s="491"/>
      <c r="AF32" s="491"/>
      <c r="AG32" s="491"/>
      <c r="AH32" s="491"/>
      <c r="AI32" s="491"/>
      <c r="AJ32" s="491"/>
      <c r="AK32" s="491"/>
      <c r="AL32" s="491"/>
      <c r="AM32" s="491"/>
      <c r="AN32" s="491"/>
      <c r="AO32" s="491"/>
      <c r="AP32" s="491"/>
      <c r="AQ32" s="491"/>
      <c r="AR32" s="491"/>
      <c r="AS32" s="491"/>
      <c r="AT32" s="491"/>
      <c r="AU32" s="491"/>
      <c r="AV32" s="491"/>
      <c r="AW32" s="490"/>
      <c r="AX32" s="489"/>
      <c r="BW32"/>
      <c r="BX32"/>
    </row>
    <row r="33" spans="1:76">
      <c r="A33" s="202" t="s">
        <v>298</v>
      </c>
      <c r="B33" s="268">
        <f>SUM(C33:AV33)</f>
        <v>0</v>
      </c>
      <c r="C33" s="500"/>
      <c r="D33" s="500"/>
      <c r="E33" s="500"/>
      <c r="F33" s="500"/>
      <c r="G33" s="500"/>
      <c r="H33" s="500"/>
      <c r="I33" s="500"/>
      <c r="J33" s="500"/>
      <c r="K33" s="500"/>
      <c r="L33" s="500"/>
      <c r="M33" s="500"/>
      <c r="N33" s="500"/>
      <c r="O33" s="500"/>
      <c r="P33" s="500"/>
      <c r="Q33" s="500"/>
      <c r="R33" s="500"/>
      <c r="S33" s="500"/>
      <c r="T33" s="500"/>
      <c r="U33" s="500"/>
      <c r="V33" s="500"/>
      <c r="W33" s="500"/>
      <c r="X33" s="500"/>
      <c r="Y33" s="500"/>
      <c r="Z33" s="500"/>
      <c r="AA33" s="500"/>
      <c r="AB33" s="500"/>
      <c r="AC33" s="500"/>
      <c r="AD33" s="500"/>
      <c r="AE33" s="500"/>
      <c r="AF33" s="500"/>
      <c r="AH33" s="579"/>
      <c r="AI33" s="579"/>
      <c r="AJ33" s="579"/>
      <c r="AK33" s="579"/>
      <c r="AL33" s="579"/>
      <c r="AM33" s="579"/>
      <c r="AN33" s="579"/>
      <c r="AO33" s="579"/>
      <c r="AP33" s="579"/>
      <c r="AQ33" s="579"/>
      <c r="AR33" s="579"/>
      <c r="AS33" s="579"/>
      <c r="AT33" s="579"/>
      <c r="AU33" s="579"/>
      <c r="AV33" s="580"/>
      <c r="AW33" s="188"/>
      <c r="AX33" s="489"/>
      <c r="BW33"/>
      <c r="BX33"/>
    </row>
    <row r="34" spans="1:76">
      <c r="A34" s="560" t="s">
        <v>299</v>
      </c>
      <c r="B34" s="560"/>
      <c r="C34" s="491"/>
      <c r="D34" s="491"/>
      <c r="E34" s="491"/>
      <c r="F34" s="491"/>
      <c r="G34" s="491"/>
      <c r="H34" s="491"/>
      <c r="I34" s="491"/>
      <c r="J34" s="491"/>
      <c r="K34" s="491"/>
      <c r="L34" s="491"/>
      <c r="M34" s="491"/>
      <c r="N34" s="491"/>
      <c r="O34" s="491"/>
      <c r="P34" s="491"/>
      <c r="Q34" s="491"/>
      <c r="R34" s="491"/>
      <c r="S34" s="491"/>
      <c r="T34" s="491"/>
      <c r="U34" s="491"/>
      <c r="V34" s="491"/>
      <c r="W34" s="491"/>
      <c r="X34" s="491"/>
      <c r="Y34" s="491"/>
      <c r="Z34" s="491"/>
      <c r="AA34" s="491"/>
      <c r="AB34" s="491"/>
      <c r="AC34" s="491"/>
      <c r="AD34" s="491"/>
      <c r="AE34" s="491"/>
      <c r="AF34" s="491"/>
      <c r="AG34" s="495"/>
      <c r="AH34" s="495"/>
      <c r="AI34" s="495"/>
      <c r="AJ34" s="495"/>
      <c r="AK34" s="495"/>
      <c r="AL34" s="495"/>
      <c r="AM34" s="495"/>
      <c r="AN34" s="495"/>
      <c r="AO34" s="495"/>
      <c r="AP34" s="495"/>
      <c r="AQ34" s="495"/>
      <c r="AR34" s="495"/>
      <c r="AS34" s="495"/>
      <c r="AT34" s="495"/>
      <c r="AU34" s="495"/>
      <c r="AV34" s="495"/>
      <c r="AW34" s="497"/>
      <c r="AX34" s="489"/>
      <c r="BW34"/>
      <c r="BX34"/>
    </row>
    <row r="35" spans="1:76">
      <c r="A35" s="487" t="s">
        <v>300</v>
      </c>
      <c r="B35" s="318">
        <f>'Phase 1b Financial'!B73+'Phase 1b Financial'!B74</f>
        <v>476763400</v>
      </c>
      <c r="C35" s="495"/>
      <c r="D35" s="496"/>
      <c r="E35" s="496"/>
      <c r="F35" s="496"/>
      <c r="G35" s="496"/>
      <c r="H35" s="496"/>
      <c r="I35" s="496"/>
      <c r="J35" s="496"/>
      <c r="K35" s="496"/>
      <c r="L35" s="496"/>
      <c r="M35" s="496"/>
      <c r="N35" s="496"/>
      <c r="O35" s="496"/>
      <c r="P35" s="496"/>
      <c r="Q35" s="496"/>
      <c r="R35" s="496"/>
      <c r="S35" s="496"/>
      <c r="T35" s="496"/>
      <c r="U35" s="496"/>
      <c r="V35" s="496"/>
      <c r="W35" s="496"/>
      <c r="X35" s="496"/>
      <c r="Y35" s="496"/>
      <c r="Z35" s="496"/>
      <c r="AA35" s="496"/>
      <c r="AB35" s="496"/>
      <c r="AC35" s="496"/>
      <c r="AD35" s="496"/>
      <c r="AE35" s="496"/>
      <c r="AF35" s="496"/>
      <c r="AG35" s="496"/>
      <c r="AH35" s="496"/>
      <c r="AI35" s="496"/>
      <c r="AJ35" s="498"/>
      <c r="AK35" s="498"/>
      <c r="AL35" s="495"/>
      <c r="AM35" s="495"/>
      <c r="AN35" s="495"/>
      <c r="AO35" s="495"/>
      <c r="AP35" s="495"/>
      <c r="AQ35" s="495"/>
      <c r="AR35" s="495"/>
      <c r="AS35" s="495"/>
      <c r="AT35" s="495"/>
      <c r="AU35" s="495"/>
      <c r="AV35" s="497"/>
      <c r="AW35" s="497"/>
      <c r="AX35" s="499"/>
      <c r="BW35"/>
      <c r="BX35"/>
    </row>
    <row r="36" spans="1:76">
      <c r="A36" s="477" t="s">
        <v>301</v>
      </c>
      <c r="B36" s="469">
        <f>SUM(C36:AU36)</f>
        <v>366551400</v>
      </c>
      <c r="C36" s="469">
        <f t="shared" ref="C36:R36" si="20">-C29</f>
        <v>0</v>
      </c>
      <c r="D36" s="469">
        <f t="shared" si="20"/>
        <v>0</v>
      </c>
      <c r="E36" s="469">
        <f t="shared" si="20"/>
        <v>-3850172</v>
      </c>
      <c r="F36" s="469">
        <f t="shared" si="20"/>
        <v>-3850172</v>
      </c>
      <c r="G36" s="469">
        <f t="shared" si="20"/>
        <v>-1022543</v>
      </c>
      <c r="H36" s="469">
        <f t="shared" si="20"/>
        <v>-551271.5</v>
      </c>
      <c r="I36" s="469">
        <f t="shared" si="20"/>
        <v>-15630976.474649999</v>
      </c>
      <c r="J36" s="469">
        <f t="shared" si="20"/>
        <v>-12570779.074650001</v>
      </c>
      <c r="K36" s="469">
        <f t="shared" si="20"/>
        <v>-12530779.074650001</v>
      </c>
      <c r="L36" s="469">
        <f t="shared" si="20"/>
        <v>-15128779.074650001</v>
      </c>
      <c r="M36" s="469">
        <f t="shared" si="20"/>
        <v>-24873049.5493</v>
      </c>
      <c r="N36" s="469">
        <f t="shared" si="20"/>
        <v>-20203478.252099991</v>
      </c>
      <c r="O36" s="469">
        <f t="shared" si="20"/>
        <v>0</v>
      </c>
      <c r="P36" s="469">
        <f t="shared" si="20"/>
        <v>0</v>
      </c>
      <c r="Q36" s="469">
        <f t="shared" si="20"/>
        <v>0</v>
      </c>
      <c r="R36" s="469">
        <f t="shared" si="20"/>
        <v>0</v>
      </c>
      <c r="S36" s="502">
        <f>B35</f>
        <v>476763400</v>
      </c>
      <c r="T36" s="469"/>
      <c r="U36" s="469"/>
      <c r="V36" s="477"/>
      <c r="W36" s="469"/>
      <c r="X36" s="469"/>
      <c r="Y36" s="469"/>
      <c r="Z36" s="469"/>
      <c r="AA36" s="469"/>
      <c r="AB36" s="469"/>
      <c r="AC36" s="469"/>
      <c r="AD36" s="469"/>
      <c r="AE36" s="469"/>
      <c r="AF36" s="469"/>
      <c r="AG36" s="318"/>
      <c r="AH36" s="318"/>
      <c r="AI36" s="318"/>
      <c r="AJ36" s="318"/>
      <c r="AK36" s="318"/>
      <c r="AL36" s="318"/>
      <c r="AM36" s="318"/>
      <c r="AN36" s="318"/>
      <c r="AO36" s="318"/>
      <c r="AP36" s="318"/>
      <c r="AQ36" s="318"/>
      <c r="AR36" s="318"/>
      <c r="AS36" s="318"/>
      <c r="AT36" s="318"/>
      <c r="AU36" s="318"/>
      <c r="AV36" s="497"/>
      <c r="AW36" s="497"/>
      <c r="AX36" s="581"/>
      <c r="BW36"/>
      <c r="BX36"/>
    </row>
    <row r="37" spans="1:76">
      <c r="A37" s="477" t="s">
        <v>326</v>
      </c>
      <c r="B37" s="582">
        <f>IF(B36&lt;0,0,IRR(C36:AJU36))</f>
        <v>0.19410457243420098</v>
      </c>
      <c r="C37" s="503"/>
      <c r="D37" s="503"/>
      <c r="E37" s="503"/>
      <c r="F37" s="503"/>
      <c r="G37" s="503"/>
      <c r="H37" s="503"/>
      <c r="I37" s="503"/>
      <c r="J37" s="503"/>
      <c r="K37" s="503"/>
      <c r="L37" s="503"/>
      <c r="M37" s="503"/>
      <c r="N37" s="503"/>
      <c r="O37" s="503"/>
      <c r="P37" s="503"/>
      <c r="Q37" s="503"/>
      <c r="R37" s="503"/>
      <c r="S37" s="503"/>
      <c r="T37" s="503"/>
      <c r="U37" s="503"/>
      <c r="V37" s="503"/>
      <c r="W37" s="503"/>
      <c r="X37" s="503"/>
      <c r="Y37" s="503"/>
      <c r="Z37" s="503"/>
      <c r="AA37" s="503"/>
      <c r="AB37" s="503"/>
      <c r="AC37" s="503"/>
      <c r="AD37" s="503"/>
      <c r="AE37" s="503"/>
      <c r="AF37" s="503"/>
      <c r="AG37" s="503"/>
      <c r="AH37" s="503"/>
      <c r="AI37" s="503"/>
      <c r="AJ37" s="503"/>
      <c r="AK37" s="503"/>
      <c r="AL37" s="503"/>
      <c r="AM37" s="503"/>
      <c r="AN37" s="503"/>
      <c r="AO37" s="503"/>
      <c r="AP37" s="503"/>
      <c r="AQ37" s="503"/>
      <c r="AR37" s="503"/>
      <c r="AS37" s="503"/>
      <c r="AT37" s="503"/>
      <c r="AU37" s="503"/>
      <c r="AV37" s="497"/>
      <c r="AW37" s="497"/>
      <c r="AX37" s="583"/>
      <c r="BW37"/>
      <c r="BX37"/>
    </row>
    <row r="38" spans="1:76">
      <c r="A38" s="477" t="s">
        <v>303</v>
      </c>
      <c r="B38" s="584">
        <f>POWER((1+B37),4)-1</f>
        <v>1.0331501147560282</v>
      </c>
      <c r="C38" s="497"/>
      <c r="D38" s="497"/>
      <c r="E38" s="506"/>
      <c r="F38" s="506"/>
      <c r="G38" s="506"/>
      <c r="H38" s="506"/>
      <c r="I38" s="506"/>
      <c r="J38" s="506"/>
      <c r="K38" s="506"/>
      <c r="L38" s="506"/>
      <c r="M38" s="506"/>
      <c r="N38" s="506"/>
      <c r="O38" s="506"/>
      <c r="P38" s="507"/>
      <c r="Q38" s="506"/>
      <c r="R38" s="506"/>
      <c r="S38" s="506"/>
      <c r="T38" s="506"/>
      <c r="U38" s="506"/>
      <c r="V38" s="506"/>
      <c r="W38" s="506"/>
      <c r="X38" s="506"/>
      <c r="Y38" s="506"/>
      <c r="Z38" s="506"/>
      <c r="AA38" s="506"/>
      <c r="AB38" s="506"/>
      <c r="AC38" s="506"/>
      <c r="AD38" s="506"/>
      <c r="AE38" s="506"/>
      <c r="AF38" s="506"/>
      <c r="AG38" s="506"/>
      <c r="AH38" s="506"/>
      <c r="AI38" s="506"/>
      <c r="AJ38" s="506"/>
      <c r="AK38" s="506"/>
      <c r="AL38" s="506"/>
      <c r="AM38" s="506"/>
      <c r="AN38" s="506"/>
      <c r="AO38" s="506"/>
      <c r="AP38" s="506"/>
      <c r="AQ38" s="506"/>
      <c r="AR38" s="506"/>
      <c r="AS38" s="506"/>
      <c r="AT38" s="506"/>
      <c r="AU38" s="506"/>
      <c r="AV38" s="497"/>
      <c r="AW38" s="506"/>
      <c r="AX38" s="194"/>
      <c r="BW38"/>
      <c r="BX38"/>
    </row>
    <row r="39" spans="1:76">
      <c r="A39" s="560" t="s">
        <v>304</v>
      </c>
      <c r="B39" s="560"/>
      <c r="C39" s="497"/>
      <c r="D39" s="497"/>
      <c r="E39" s="497"/>
      <c r="F39" s="497"/>
      <c r="G39" s="497"/>
      <c r="H39" s="497"/>
      <c r="I39" s="497"/>
      <c r="J39" s="497"/>
      <c r="K39" s="497"/>
      <c r="L39" s="497"/>
      <c r="M39" s="497"/>
      <c r="N39" s="497"/>
      <c r="O39" s="497"/>
      <c r="P39" s="497"/>
      <c r="Q39" s="497"/>
      <c r="R39" s="497"/>
      <c r="S39" s="497"/>
      <c r="T39" s="497"/>
      <c r="U39" s="497"/>
      <c r="V39" s="497"/>
      <c r="W39" s="497"/>
      <c r="X39" s="497"/>
      <c r="Y39" s="497"/>
      <c r="Z39" s="497"/>
      <c r="AA39" s="497"/>
      <c r="AB39" s="497"/>
      <c r="AC39" s="497"/>
      <c r="AD39" s="497"/>
      <c r="AE39" s="497"/>
      <c r="AF39" s="497"/>
      <c r="AG39" s="497"/>
      <c r="AH39" s="497"/>
      <c r="AI39" s="497"/>
      <c r="AJ39" s="497"/>
      <c r="AK39" s="497"/>
      <c r="AL39" s="497"/>
      <c r="AM39" s="497"/>
      <c r="AN39" s="497"/>
      <c r="AO39" s="497"/>
      <c r="AP39" s="497"/>
      <c r="AQ39" s="497"/>
      <c r="AR39" s="497"/>
      <c r="AS39" s="497"/>
      <c r="AT39" s="497"/>
      <c r="AU39" s="497"/>
      <c r="AV39" s="497"/>
      <c r="AW39" s="497"/>
    </row>
    <row r="40" spans="1:76">
      <c r="A40" s="487" t="s">
        <v>305</v>
      </c>
      <c r="B40" s="318">
        <f>'Phase 1b Financial'!B73-B27</f>
        <v>642081400</v>
      </c>
      <c r="C40" s="497"/>
      <c r="D40" s="497"/>
      <c r="E40" s="497"/>
      <c r="F40" s="497"/>
      <c r="G40" s="497"/>
      <c r="H40" s="497"/>
      <c r="I40" s="497"/>
      <c r="J40" s="497"/>
      <c r="K40" s="497"/>
      <c r="L40" s="497"/>
      <c r="M40" s="491"/>
      <c r="N40" s="497"/>
      <c r="O40" s="497"/>
      <c r="P40" s="497"/>
      <c r="Q40" s="497"/>
      <c r="R40" s="497"/>
      <c r="S40" s="491"/>
      <c r="T40" s="497"/>
      <c r="U40" s="497"/>
      <c r="V40" s="497"/>
      <c r="W40" s="497"/>
      <c r="X40" s="497"/>
      <c r="Y40" s="497"/>
      <c r="Z40" s="497"/>
      <c r="AA40" s="497"/>
      <c r="AB40" s="497"/>
      <c r="AC40" s="497"/>
      <c r="AD40" s="497"/>
      <c r="AE40" s="497"/>
      <c r="AF40" s="497"/>
      <c r="AG40" s="497"/>
      <c r="AH40" s="497"/>
      <c r="AI40" s="497"/>
      <c r="AJ40" s="497"/>
      <c r="AK40" s="497"/>
      <c r="AL40" s="497"/>
      <c r="AM40" s="497"/>
      <c r="AN40" s="497"/>
      <c r="AO40" s="497"/>
      <c r="AP40" s="497"/>
      <c r="AQ40" s="497"/>
      <c r="AR40" s="497"/>
      <c r="AS40" s="497"/>
      <c r="AT40" s="497"/>
      <c r="AU40" s="497"/>
      <c r="AV40" s="497"/>
      <c r="AW40" s="497"/>
    </row>
    <row r="41" spans="1:76">
      <c r="A41" s="477" t="s">
        <v>306</v>
      </c>
      <c r="B41" s="469">
        <f>SUM(C41:AU41)</f>
        <v>391423860.95630002</v>
      </c>
      <c r="C41" s="469">
        <f>-C26</f>
        <v>0</v>
      </c>
      <c r="D41" s="469">
        <f t="shared" ref="D41:R41" si="21">-D26</f>
        <v>0</v>
      </c>
      <c r="E41" s="469">
        <f t="shared" si="21"/>
        <v>-3850172</v>
      </c>
      <c r="F41" s="469">
        <f t="shared" si="21"/>
        <v>-3850172</v>
      </c>
      <c r="G41" s="469">
        <f t="shared" si="21"/>
        <v>-1022543</v>
      </c>
      <c r="H41" s="469">
        <f t="shared" si="21"/>
        <v>-551271.5</v>
      </c>
      <c r="I41" s="469">
        <f t="shared" si="21"/>
        <v>-15630976.474649999</v>
      </c>
      <c r="J41" s="469">
        <f t="shared" si="21"/>
        <v>-12570779.074650001</v>
      </c>
      <c r="K41" s="469">
        <f t="shared" si="21"/>
        <v>-12530779.074650001</v>
      </c>
      <c r="L41" s="469">
        <f t="shared" si="21"/>
        <v>-15128779.074650001</v>
      </c>
      <c r="M41" s="469">
        <f t="shared" si="21"/>
        <v>-24873049.5493</v>
      </c>
      <c r="N41" s="469">
        <f t="shared" si="21"/>
        <v>-25423585.5493</v>
      </c>
      <c r="O41" s="469">
        <f t="shared" si="21"/>
        <v>-25974121.5493</v>
      </c>
      <c r="P41" s="469">
        <f t="shared" si="21"/>
        <v>-26174121.5493</v>
      </c>
      <c r="Q41" s="469">
        <f t="shared" si="21"/>
        <v>-26724657.5493</v>
      </c>
      <c r="R41" s="469">
        <f t="shared" si="21"/>
        <v>-28176265.5493</v>
      </c>
      <c r="S41" s="504">
        <f>B40-S26</f>
        <v>613905134.45070004</v>
      </c>
      <c r="T41" s="469"/>
      <c r="U41" s="469"/>
      <c r="V41" s="477"/>
      <c r="W41" s="469"/>
      <c r="X41" s="469"/>
      <c r="Y41" s="469"/>
      <c r="Z41" s="469"/>
      <c r="AA41" s="469"/>
      <c r="AB41" s="469"/>
      <c r="AC41" s="469"/>
      <c r="AD41" s="469"/>
      <c r="AE41" s="469"/>
      <c r="AF41" s="469"/>
      <c r="AG41" s="469"/>
      <c r="AH41" s="469"/>
      <c r="AI41" s="469"/>
      <c r="AJ41" s="469"/>
      <c r="AK41" s="469"/>
      <c r="AL41" s="469"/>
      <c r="AM41" s="469"/>
      <c r="AN41" s="469"/>
      <c r="AO41" s="469"/>
      <c r="AP41" s="469"/>
      <c r="AQ41" s="469"/>
      <c r="AR41" s="469"/>
      <c r="AS41" s="469"/>
      <c r="AT41" s="469"/>
      <c r="AU41" s="469"/>
      <c r="AV41" s="477"/>
      <c r="AW41" s="477"/>
    </row>
    <row r="42" spans="1:76">
      <c r="A42" s="477" t="s">
        <v>307</v>
      </c>
      <c r="B42" s="582">
        <f>IF(B41&lt;0,0,IRR(C41:AU41))</f>
        <v>0.18243353614477154</v>
      </c>
      <c r="C42" s="497"/>
      <c r="D42" s="497"/>
      <c r="E42" s="497"/>
      <c r="F42" s="497"/>
      <c r="G42" s="497"/>
      <c r="H42" s="497"/>
      <c r="I42" s="497"/>
      <c r="J42" s="497"/>
      <c r="K42" s="497"/>
      <c r="L42" s="497"/>
      <c r="M42" s="497"/>
      <c r="N42" s="497"/>
      <c r="O42" s="497"/>
      <c r="P42" s="497"/>
      <c r="Q42" s="497"/>
      <c r="R42" s="497"/>
      <c r="S42" s="497"/>
      <c r="T42" s="497"/>
      <c r="U42" s="497"/>
      <c r="V42" s="497"/>
      <c r="W42" s="497"/>
      <c r="X42" s="497"/>
      <c r="Y42" s="497"/>
      <c r="Z42" s="497"/>
      <c r="AA42" s="497"/>
      <c r="AB42" s="497"/>
      <c r="AC42" s="497"/>
      <c r="AD42" s="497"/>
      <c r="AE42" s="497"/>
      <c r="AF42" s="497"/>
      <c r="AG42" s="497"/>
      <c r="AH42" s="497"/>
      <c r="AI42" s="497"/>
      <c r="AJ42" s="497"/>
      <c r="AK42" s="497"/>
      <c r="AL42" s="497"/>
      <c r="AM42" s="497"/>
      <c r="AN42" s="497"/>
      <c r="AO42" s="497"/>
      <c r="AP42" s="497"/>
      <c r="AQ42" s="497"/>
      <c r="AR42" s="497"/>
      <c r="AS42" s="497"/>
      <c r="AT42" s="497"/>
      <c r="AU42" s="497"/>
      <c r="AV42" s="497"/>
      <c r="AW42" s="497"/>
    </row>
    <row r="43" spans="1:76">
      <c r="A43" s="477" t="s">
        <v>308</v>
      </c>
      <c r="B43" s="584">
        <f>POWER((1+B42),4)-1</f>
        <v>0.95482081467101065</v>
      </c>
      <c r="C43" s="497"/>
      <c r="D43" s="497"/>
      <c r="E43" s="497"/>
      <c r="F43" s="497"/>
      <c r="G43" s="497"/>
      <c r="H43" s="497"/>
      <c r="I43" s="497"/>
      <c r="J43" s="497"/>
      <c r="K43" s="497"/>
      <c r="L43" s="497"/>
      <c r="M43" s="497"/>
      <c r="N43" s="497"/>
      <c r="O43" s="497"/>
      <c r="P43" s="497"/>
      <c r="Q43" s="497"/>
      <c r="R43" s="497"/>
      <c r="S43" s="497"/>
      <c r="T43" s="497"/>
      <c r="U43" s="497"/>
      <c r="V43" s="497"/>
      <c r="W43" s="497"/>
      <c r="X43" s="497"/>
      <c r="Y43" s="497"/>
      <c r="Z43" s="497"/>
      <c r="AA43" s="497"/>
      <c r="AB43" s="497"/>
      <c r="AC43" s="497"/>
      <c r="AD43" s="497"/>
      <c r="AE43" s="497"/>
      <c r="AF43" s="497"/>
      <c r="AG43" s="497"/>
      <c r="AH43" s="497"/>
      <c r="AI43" s="497"/>
      <c r="AJ43" s="497"/>
      <c r="AK43" s="497"/>
      <c r="AL43" s="497"/>
      <c r="AM43" s="497"/>
      <c r="AN43" s="497"/>
      <c r="AO43" s="497"/>
      <c r="AP43" s="497"/>
      <c r="AQ43" s="497"/>
      <c r="AR43" s="497"/>
      <c r="AS43" s="497"/>
      <c r="AT43" s="497"/>
      <c r="AU43" s="497"/>
      <c r="AV43" s="497"/>
      <c r="AW43" s="497"/>
    </row>
    <row r="44" spans="1:76">
      <c r="G44" s="37"/>
      <c r="AB44" s="37"/>
      <c r="AE44" s="37"/>
      <c r="AI44" s="37"/>
    </row>
    <row r="45" spans="1:76">
      <c r="G45" s="37"/>
      <c r="AB45" s="37"/>
      <c r="AE45" s="37"/>
      <c r="AI45" s="37"/>
    </row>
    <row r="46" spans="1:76">
      <c r="G46" s="37"/>
      <c r="AB46" s="37"/>
      <c r="AE46" s="37"/>
      <c r="AI46" s="37"/>
    </row>
    <row r="47" spans="1:76">
      <c r="G47" s="37"/>
      <c r="AB47" s="37"/>
      <c r="AE47" s="37"/>
      <c r="AI47" s="37"/>
    </row>
    <row r="48" spans="1:76">
      <c r="G48" s="37"/>
      <c r="AB48" s="37"/>
      <c r="AE48" s="37"/>
      <c r="AI48" s="37"/>
    </row>
    <row r="49" spans="7:35">
      <c r="G49" s="37"/>
      <c r="AB49" s="37"/>
      <c r="AE49" s="37"/>
      <c r="AI49" s="37"/>
    </row>
    <row r="50" spans="7:35">
      <c r="G50" s="37"/>
      <c r="AB50" s="37"/>
      <c r="AE50" s="37"/>
      <c r="AI50" s="37"/>
    </row>
    <row r="51" spans="7:35">
      <c r="G51" s="37"/>
    </row>
    <row r="52" spans="7:35">
      <c r="G52" s="37"/>
    </row>
    <row r="53" spans="7:35">
      <c r="G53" s="37"/>
    </row>
    <row r="54" spans="7:35">
      <c r="G54" s="37"/>
    </row>
    <row r="55" spans="7:35">
      <c r="G55" s="37"/>
    </row>
    <row r="56" spans="7:35">
      <c r="G56" s="37"/>
    </row>
    <row r="57" spans="7:35">
      <c r="G57" s="37"/>
    </row>
    <row r="58" spans="7:35">
      <c r="G58" s="37"/>
    </row>
    <row r="59" spans="7:35">
      <c r="G59" s="37"/>
    </row>
    <row r="60" spans="7:35">
      <c r="G60" s="37"/>
    </row>
    <row r="61" spans="7:35">
      <c r="G61" s="37"/>
    </row>
    <row r="62" spans="7:35">
      <c r="G62" s="37"/>
    </row>
    <row r="63" spans="7:35">
      <c r="G63" s="37"/>
    </row>
    <row r="64" spans="7:35">
      <c r="G64" s="37"/>
    </row>
    <row r="65" spans="7:7">
      <c r="G65" s="37"/>
    </row>
    <row r="66" spans="7:7">
      <c r="G66" s="37"/>
    </row>
    <row r="67" spans="7:7">
      <c r="G67" s="37"/>
    </row>
    <row r="68" spans="7:7">
      <c r="G68" s="37"/>
    </row>
    <row r="69" spans="7:7">
      <c r="G69" s="37"/>
    </row>
    <row r="70" spans="7:7">
      <c r="G70" s="37"/>
    </row>
    <row r="71" spans="7:7">
      <c r="G71" s="37"/>
    </row>
    <row r="72" spans="7:7">
      <c r="G72" s="37"/>
    </row>
    <row r="73" spans="7:7">
      <c r="G73" s="37"/>
    </row>
    <row r="74" spans="7:7">
      <c r="G74" s="37"/>
    </row>
    <row r="75" spans="7:7">
      <c r="G75" s="37"/>
    </row>
    <row r="76" spans="7:7">
      <c r="G76" s="37"/>
    </row>
    <row r="77" spans="7:7">
      <c r="G77" s="37"/>
    </row>
    <row r="78" spans="7:7">
      <c r="G78" s="37"/>
    </row>
    <row r="79" spans="7:7">
      <c r="G79" s="37"/>
    </row>
    <row r="80" spans="7:7">
      <c r="G80" s="37"/>
    </row>
    <row r="81" spans="7:7">
      <c r="G81" s="37"/>
    </row>
    <row r="82" spans="7:7">
      <c r="G82" s="37"/>
    </row>
    <row r="83" spans="7:7">
      <c r="G83" s="37"/>
    </row>
    <row r="84" spans="7:7">
      <c r="G84" s="37"/>
    </row>
    <row r="85" spans="7:7">
      <c r="G85" s="37"/>
    </row>
    <row r="86" spans="7:7">
      <c r="G86" s="37"/>
    </row>
    <row r="87" spans="7:7">
      <c r="G87" s="37"/>
    </row>
    <row r="88" spans="7:7">
      <c r="G88" s="37"/>
    </row>
    <row r="89" spans="7:7">
      <c r="G89" s="37"/>
    </row>
    <row r="90" spans="7:7">
      <c r="G90" s="37"/>
    </row>
    <row r="91" spans="7:7">
      <c r="G91" s="37"/>
    </row>
    <row r="92" spans="7:7">
      <c r="G92" s="37"/>
    </row>
    <row r="93" spans="7:7">
      <c r="G93" s="37"/>
    </row>
    <row r="94" spans="7:7">
      <c r="G94" s="37"/>
    </row>
    <row r="95" spans="7:7">
      <c r="G95" s="37"/>
    </row>
    <row r="96" spans="7:7">
      <c r="G96" s="37"/>
    </row>
    <row r="97" spans="7:7">
      <c r="G97" s="37"/>
    </row>
    <row r="98" spans="7:7">
      <c r="G98" s="37"/>
    </row>
    <row r="99" spans="7:7">
      <c r="G99" s="37"/>
    </row>
    <row r="100" spans="7:7">
      <c r="G100" s="37"/>
    </row>
    <row r="101" spans="7:7">
      <c r="G101" s="37"/>
    </row>
    <row r="102" spans="7:7">
      <c r="G102" s="37"/>
    </row>
    <row r="103" spans="7:7">
      <c r="G103" s="37"/>
    </row>
    <row r="104" spans="7:7">
      <c r="G104" s="37"/>
    </row>
    <row r="105" spans="7:7">
      <c r="G105" s="37"/>
    </row>
    <row r="106" spans="7:7">
      <c r="G106" s="37"/>
    </row>
    <row r="107" spans="7:7">
      <c r="G107" s="37"/>
    </row>
    <row r="108" spans="7:7">
      <c r="G108" s="37"/>
    </row>
    <row r="109" spans="7:7">
      <c r="G109" s="37"/>
    </row>
    <row r="110" spans="7:7">
      <c r="G110" s="37"/>
    </row>
    <row r="111" spans="7:7">
      <c r="G111" s="37"/>
    </row>
    <row r="112" spans="7:7">
      <c r="G112" s="37"/>
    </row>
    <row r="113" spans="7:7">
      <c r="G113" s="37"/>
    </row>
    <row r="114" spans="7:7">
      <c r="G114" s="37"/>
    </row>
    <row r="115" spans="7:7">
      <c r="G115" s="37"/>
    </row>
    <row r="116" spans="7:7">
      <c r="G116" s="37"/>
    </row>
    <row r="117" spans="7:7">
      <c r="G117" s="37"/>
    </row>
    <row r="118" spans="7:7">
      <c r="G118" s="37"/>
    </row>
    <row r="119" spans="7:7">
      <c r="G119" s="37"/>
    </row>
    <row r="120" spans="7:7">
      <c r="G120" s="37"/>
    </row>
    <row r="121" spans="7:7">
      <c r="G121" s="37"/>
    </row>
    <row r="122" spans="7:7">
      <c r="G122" s="37"/>
    </row>
    <row r="123" spans="7:7">
      <c r="G123" s="37"/>
    </row>
    <row r="124" spans="7:7">
      <c r="G124" s="37"/>
    </row>
    <row r="125" spans="7:7">
      <c r="G125" s="37"/>
    </row>
    <row r="126" spans="7:7">
      <c r="G126" s="37"/>
    </row>
    <row r="127" spans="7:7">
      <c r="G127" s="37"/>
    </row>
    <row r="128" spans="7:7">
      <c r="G128" s="37"/>
    </row>
    <row r="129" spans="7:7">
      <c r="G129" s="37"/>
    </row>
    <row r="130" spans="7:7">
      <c r="G130" s="37"/>
    </row>
    <row r="131" spans="7:7">
      <c r="G131" s="37"/>
    </row>
    <row r="132" spans="7:7">
      <c r="G132" s="37"/>
    </row>
    <row r="133" spans="7:7">
      <c r="G133" s="37"/>
    </row>
    <row r="134" spans="7:7">
      <c r="G134" s="37"/>
    </row>
    <row r="135" spans="7:7">
      <c r="G135" s="37"/>
    </row>
    <row r="136" spans="7:7">
      <c r="G136" s="37"/>
    </row>
    <row r="137" spans="7:7">
      <c r="G137" s="37"/>
    </row>
    <row r="138" spans="7:7">
      <c r="G138" s="37"/>
    </row>
    <row r="139" spans="7:7">
      <c r="G139" s="37"/>
    </row>
    <row r="140" spans="7:7">
      <c r="G140" s="37"/>
    </row>
    <row r="141" spans="7:7">
      <c r="G141" s="37"/>
    </row>
    <row r="142" spans="7:7">
      <c r="G142" s="37"/>
    </row>
    <row r="143" spans="7:7">
      <c r="G143" s="37"/>
    </row>
    <row r="144" spans="7:7">
      <c r="G144" s="37"/>
    </row>
    <row r="145" spans="7:7">
      <c r="G145" s="37"/>
    </row>
    <row r="146" spans="7:7">
      <c r="G146" s="37"/>
    </row>
    <row r="147" spans="7:7">
      <c r="G147" s="37"/>
    </row>
    <row r="148" spans="7:7">
      <c r="G148" s="37"/>
    </row>
    <row r="149" spans="7:7">
      <c r="G149" s="37"/>
    </row>
    <row r="150" spans="7:7">
      <c r="G150" s="37"/>
    </row>
    <row r="151" spans="7:7">
      <c r="G151" s="37"/>
    </row>
    <row r="152" spans="7:7">
      <c r="G152" s="37"/>
    </row>
    <row r="153" spans="7:7">
      <c r="G153" s="37"/>
    </row>
    <row r="154" spans="7:7">
      <c r="G154" s="37"/>
    </row>
    <row r="155" spans="7:7">
      <c r="G155" s="37"/>
    </row>
    <row r="156" spans="7:7">
      <c r="G156" s="37"/>
    </row>
    <row r="157" spans="7:7">
      <c r="G157" s="37"/>
    </row>
    <row r="158" spans="7:7">
      <c r="G158" s="37"/>
    </row>
    <row r="159" spans="7:7">
      <c r="G159" s="37"/>
    </row>
    <row r="160" spans="7:7">
      <c r="G160" s="37"/>
    </row>
    <row r="161" spans="7:7">
      <c r="G161" s="37"/>
    </row>
    <row r="162" spans="7:7">
      <c r="G162" s="37"/>
    </row>
    <row r="163" spans="7:7">
      <c r="G163" s="37"/>
    </row>
    <row r="164" spans="7:7">
      <c r="G164" s="37"/>
    </row>
    <row r="165" spans="7:7">
      <c r="G165" s="37"/>
    </row>
    <row r="166" spans="7:7">
      <c r="G166" s="37"/>
    </row>
    <row r="167" spans="7:7">
      <c r="G167" s="37"/>
    </row>
    <row r="168" spans="7:7">
      <c r="G168" s="37"/>
    </row>
    <row r="169" spans="7:7">
      <c r="G169" s="37"/>
    </row>
    <row r="170" spans="7:7">
      <c r="G170" s="37"/>
    </row>
    <row r="171" spans="7:7">
      <c r="G171" s="37"/>
    </row>
    <row r="172" spans="7:7">
      <c r="G172" s="37"/>
    </row>
    <row r="173" spans="7:7">
      <c r="G173" s="37"/>
    </row>
    <row r="174" spans="7:7">
      <c r="G174" s="37"/>
    </row>
    <row r="175" spans="7:7">
      <c r="G175" s="37"/>
    </row>
    <row r="176" spans="7:7">
      <c r="G176" s="37"/>
    </row>
    <row r="177" spans="7:7">
      <c r="G177" s="37"/>
    </row>
    <row r="178" spans="7:7">
      <c r="G178" s="37"/>
    </row>
    <row r="179" spans="7:7">
      <c r="G179" s="37"/>
    </row>
    <row r="180" spans="7:7">
      <c r="G180" s="37"/>
    </row>
    <row r="181" spans="7:7">
      <c r="G181" s="37"/>
    </row>
    <row r="182" spans="7:7">
      <c r="G182" s="37"/>
    </row>
    <row r="183" spans="7:7">
      <c r="G183" s="37"/>
    </row>
    <row r="184" spans="7:7">
      <c r="G184" s="37"/>
    </row>
    <row r="185" spans="7:7">
      <c r="G185" s="37"/>
    </row>
    <row r="186" spans="7:7">
      <c r="G186" s="37"/>
    </row>
    <row r="187" spans="7:7">
      <c r="G187" s="37"/>
    </row>
    <row r="188" spans="7:7">
      <c r="G188" s="37"/>
    </row>
    <row r="189" spans="7:7">
      <c r="G189" s="37"/>
    </row>
    <row r="190" spans="7:7">
      <c r="G190" s="37"/>
    </row>
    <row r="191" spans="7:7">
      <c r="G191" s="37"/>
    </row>
    <row r="192" spans="7:7">
      <c r="G192" s="37"/>
    </row>
    <row r="193" spans="7:7">
      <c r="G193" s="37"/>
    </row>
    <row r="194" spans="7:7">
      <c r="G194" s="37"/>
    </row>
    <row r="195" spans="7:7">
      <c r="G195" s="37"/>
    </row>
    <row r="196" spans="7:7">
      <c r="G196" s="37"/>
    </row>
    <row r="197" spans="7:7">
      <c r="G197" s="37"/>
    </row>
    <row r="198" spans="7:7">
      <c r="G198" s="37"/>
    </row>
    <row r="199" spans="7:7">
      <c r="G199" s="37"/>
    </row>
    <row r="200" spans="7:7">
      <c r="G200" s="37"/>
    </row>
    <row r="201" spans="7:7">
      <c r="G201" s="37"/>
    </row>
    <row r="202" spans="7:7">
      <c r="G202" s="37"/>
    </row>
    <row r="203" spans="7:7">
      <c r="G203" s="37"/>
    </row>
    <row r="204" spans="7:7">
      <c r="G204" s="37"/>
    </row>
    <row r="205" spans="7:7">
      <c r="G205" s="37"/>
    </row>
    <row r="206" spans="7:7">
      <c r="G206" s="37"/>
    </row>
    <row r="207" spans="7:7">
      <c r="G207" s="37"/>
    </row>
    <row r="208" spans="7:7">
      <c r="G208" s="37"/>
    </row>
    <row r="209" spans="7:7">
      <c r="G209" s="37"/>
    </row>
    <row r="210" spans="7:7">
      <c r="G210" s="37"/>
    </row>
    <row r="211" spans="7:7">
      <c r="G211" s="37"/>
    </row>
    <row r="212" spans="7:7">
      <c r="G212" s="37"/>
    </row>
    <row r="213" spans="7:7">
      <c r="G213" s="37"/>
    </row>
    <row r="214" spans="7:7">
      <c r="G214" s="37"/>
    </row>
    <row r="215" spans="7:7">
      <c r="G215" s="37"/>
    </row>
    <row r="216" spans="7:7">
      <c r="G216" s="37"/>
    </row>
    <row r="217" spans="7:7">
      <c r="G217" s="37"/>
    </row>
    <row r="218" spans="7:7">
      <c r="G218" s="37"/>
    </row>
    <row r="219" spans="7:7">
      <c r="G219" s="37"/>
    </row>
    <row r="220" spans="7:7">
      <c r="G220" s="37"/>
    </row>
    <row r="221" spans="7:7">
      <c r="G221" s="37"/>
    </row>
    <row r="222" spans="7:7">
      <c r="G222" s="37"/>
    </row>
    <row r="223" spans="7:7">
      <c r="G223" s="37"/>
    </row>
    <row r="224" spans="7:7">
      <c r="G224" s="37"/>
    </row>
    <row r="225" spans="7:7">
      <c r="G225" s="37"/>
    </row>
    <row r="226" spans="7:7">
      <c r="G226" s="37"/>
    </row>
    <row r="227" spans="7:7">
      <c r="G227" s="37"/>
    </row>
    <row r="228" spans="7:7">
      <c r="G228" s="37"/>
    </row>
    <row r="229" spans="7:7">
      <c r="G229" s="37"/>
    </row>
    <row r="230" spans="7:7">
      <c r="G230" s="37"/>
    </row>
    <row r="231" spans="7:7">
      <c r="G231" s="37"/>
    </row>
    <row r="232" spans="7:7">
      <c r="G232" s="37"/>
    </row>
    <row r="233" spans="7:7">
      <c r="G233" s="37"/>
    </row>
    <row r="234" spans="7:7">
      <c r="G234" s="37"/>
    </row>
    <row r="235" spans="7:7">
      <c r="G235" s="37"/>
    </row>
    <row r="236" spans="7:7">
      <c r="G236" s="37"/>
    </row>
    <row r="237" spans="7:7">
      <c r="G237" s="37"/>
    </row>
    <row r="238" spans="7:7">
      <c r="G238" s="37"/>
    </row>
    <row r="239" spans="7:7">
      <c r="G239" s="37"/>
    </row>
    <row r="240" spans="7:7">
      <c r="G240" s="37"/>
    </row>
    <row r="241" spans="7:7">
      <c r="G241" s="37"/>
    </row>
    <row r="242" spans="7:7">
      <c r="G242" s="37"/>
    </row>
    <row r="243" spans="7:7">
      <c r="G243" s="37"/>
    </row>
    <row r="244" spans="7:7">
      <c r="G244" s="37"/>
    </row>
    <row r="245" spans="7:7">
      <c r="G245" s="37"/>
    </row>
    <row r="246" spans="7:7">
      <c r="G246" s="37"/>
    </row>
    <row r="247" spans="7:7">
      <c r="G247" s="37"/>
    </row>
    <row r="248" spans="7:7">
      <c r="G248" s="37"/>
    </row>
    <row r="249" spans="7:7">
      <c r="G249" s="37"/>
    </row>
    <row r="250" spans="7:7">
      <c r="G250" s="37"/>
    </row>
    <row r="251" spans="7:7">
      <c r="G251" s="37"/>
    </row>
    <row r="252" spans="7:7">
      <c r="G252" s="37"/>
    </row>
    <row r="253" spans="7:7">
      <c r="G253" s="37"/>
    </row>
    <row r="254" spans="7:7">
      <c r="G254" s="37"/>
    </row>
    <row r="255" spans="7:7">
      <c r="G255" s="37"/>
    </row>
    <row r="256" spans="7:7">
      <c r="G256" s="37"/>
    </row>
    <row r="257" spans="7:7">
      <c r="G257" s="37"/>
    </row>
    <row r="258" spans="7:7">
      <c r="G258" s="37"/>
    </row>
    <row r="259" spans="7:7">
      <c r="G259" s="37"/>
    </row>
    <row r="260" spans="7:7">
      <c r="G260" s="37"/>
    </row>
    <row r="261" spans="7:7">
      <c r="G261" s="37"/>
    </row>
    <row r="262" spans="7:7">
      <c r="G262" s="37"/>
    </row>
    <row r="263" spans="7:7">
      <c r="G263" s="37"/>
    </row>
    <row r="264" spans="7:7">
      <c r="G264" s="37"/>
    </row>
    <row r="265" spans="7:7">
      <c r="G265" s="37"/>
    </row>
    <row r="266" spans="7:7">
      <c r="G266" s="37"/>
    </row>
    <row r="267" spans="7:7">
      <c r="G267" s="37"/>
    </row>
    <row r="268" spans="7:7">
      <c r="G268" s="37"/>
    </row>
    <row r="269" spans="7:7">
      <c r="G269" s="37"/>
    </row>
    <row r="270" spans="7:7">
      <c r="G270" s="37"/>
    </row>
    <row r="271" spans="7:7">
      <c r="G271" s="37"/>
    </row>
    <row r="272" spans="7:7">
      <c r="G272" s="37"/>
    </row>
    <row r="273" spans="7:7">
      <c r="G273" s="37"/>
    </row>
    <row r="274" spans="7:7">
      <c r="G274" s="37"/>
    </row>
    <row r="275" spans="7:7">
      <c r="G275" s="37"/>
    </row>
    <row r="276" spans="7:7">
      <c r="G276" s="37"/>
    </row>
    <row r="277" spans="7:7">
      <c r="G277" s="37"/>
    </row>
    <row r="278" spans="7:7">
      <c r="G278" s="37"/>
    </row>
    <row r="279" spans="7:7">
      <c r="G279" s="37"/>
    </row>
    <row r="280" spans="7:7">
      <c r="G280" s="37"/>
    </row>
    <row r="281" spans="7:7">
      <c r="G281" s="37"/>
    </row>
    <row r="282" spans="7:7">
      <c r="G282" s="37"/>
    </row>
    <row r="283" spans="7:7">
      <c r="G283" s="37"/>
    </row>
    <row r="284" spans="7:7">
      <c r="G284" s="37"/>
    </row>
    <row r="285" spans="7:7">
      <c r="G285" s="37"/>
    </row>
    <row r="286" spans="7:7">
      <c r="G286" s="37"/>
    </row>
    <row r="287" spans="7:7">
      <c r="G287" s="37"/>
    </row>
    <row r="288" spans="7:7">
      <c r="G288" s="37"/>
    </row>
    <row r="289" spans="7:7">
      <c r="G289" s="37"/>
    </row>
    <row r="290" spans="7:7">
      <c r="G290" s="37"/>
    </row>
    <row r="291" spans="7:7">
      <c r="G291" s="37"/>
    </row>
    <row r="292" spans="7:7">
      <c r="G292" s="37"/>
    </row>
    <row r="293" spans="7:7">
      <c r="G293" s="37"/>
    </row>
    <row r="294" spans="7:7">
      <c r="G294" s="37"/>
    </row>
    <row r="295" spans="7:7">
      <c r="G295" s="37"/>
    </row>
    <row r="296" spans="7:7">
      <c r="G296" s="37"/>
    </row>
    <row r="297" spans="7:7">
      <c r="G297" s="37"/>
    </row>
    <row r="298" spans="7:7">
      <c r="G298" s="37"/>
    </row>
    <row r="299" spans="7:7">
      <c r="G299" s="37"/>
    </row>
    <row r="300" spans="7:7">
      <c r="G300" s="37"/>
    </row>
    <row r="301" spans="7:7">
      <c r="G301" s="37"/>
    </row>
    <row r="302" spans="7:7">
      <c r="G302" s="37"/>
    </row>
    <row r="303" spans="7:7">
      <c r="G303" s="37"/>
    </row>
    <row r="304" spans="7:7">
      <c r="G304" s="37"/>
    </row>
    <row r="305" spans="7:7">
      <c r="G305" s="37"/>
    </row>
    <row r="306" spans="7:7">
      <c r="G306" s="37"/>
    </row>
    <row r="307" spans="7:7">
      <c r="G307" s="37"/>
    </row>
    <row r="308" spans="7:7">
      <c r="G308" s="37"/>
    </row>
    <row r="309" spans="7:7">
      <c r="G309" s="37"/>
    </row>
    <row r="310" spans="7:7">
      <c r="G310" s="37"/>
    </row>
    <row r="311" spans="7:7">
      <c r="G311" s="37"/>
    </row>
    <row r="312" spans="7:7">
      <c r="G312" s="37"/>
    </row>
    <row r="313" spans="7:7">
      <c r="G313" s="37"/>
    </row>
    <row r="314" spans="7:7">
      <c r="G314" s="37"/>
    </row>
    <row r="315" spans="7:7">
      <c r="G315" s="37"/>
    </row>
    <row r="316" spans="7:7">
      <c r="G316" s="37"/>
    </row>
    <row r="317" spans="7:7">
      <c r="G317" s="37"/>
    </row>
    <row r="318" spans="7:7">
      <c r="G318" s="37"/>
    </row>
    <row r="319" spans="7:7">
      <c r="G319" s="37"/>
    </row>
    <row r="320" spans="7:7">
      <c r="G320" s="37"/>
    </row>
    <row r="321" spans="7:7">
      <c r="G321" s="37"/>
    </row>
    <row r="322" spans="7:7">
      <c r="G322" s="37"/>
    </row>
    <row r="323" spans="7:7">
      <c r="G323" s="37"/>
    </row>
    <row r="324" spans="7:7">
      <c r="G324" s="37"/>
    </row>
    <row r="325" spans="7:7">
      <c r="G325" s="37"/>
    </row>
    <row r="326" spans="7:7">
      <c r="G326" s="37"/>
    </row>
    <row r="327" spans="7:7">
      <c r="G327" s="37"/>
    </row>
    <row r="328" spans="7:7">
      <c r="G328" s="37"/>
    </row>
    <row r="329" spans="7:7">
      <c r="G329" s="37"/>
    </row>
    <row r="330" spans="7:7">
      <c r="G330" s="37"/>
    </row>
    <row r="331" spans="7:7">
      <c r="G331" s="37"/>
    </row>
    <row r="332" spans="7:7">
      <c r="G332" s="37"/>
    </row>
    <row r="333" spans="7:7">
      <c r="G333" s="37"/>
    </row>
    <row r="334" spans="7:7">
      <c r="G334" s="37"/>
    </row>
    <row r="335" spans="7:7">
      <c r="G335" s="37"/>
    </row>
    <row r="336" spans="7:7">
      <c r="G336" s="37"/>
    </row>
    <row r="337" spans="7:7">
      <c r="G337" s="37"/>
    </row>
    <row r="338" spans="7:7">
      <c r="G338" s="37"/>
    </row>
    <row r="339" spans="7:7">
      <c r="G339" s="37"/>
    </row>
    <row r="340" spans="7:7">
      <c r="G340" s="37"/>
    </row>
    <row r="341" spans="7:7">
      <c r="G341" s="37"/>
    </row>
    <row r="342" spans="7:7">
      <c r="G342" s="37"/>
    </row>
    <row r="343" spans="7:7">
      <c r="G343" s="37"/>
    </row>
    <row r="344" spans="7:7">
      <c r="G344" s="37"/>
    </row>
    <row r="345" spans="7:7">
      <c r="G345" s="37"/>
    </row>
    <row r="346" spans="7:7">
      <c r="G346" s="37"/>
    </row>
    <row r="347" spans="7:7">
      <c r="G347" s="37"/>
    </row>
    <row r="348" spans="7:7">
      <c r="G348" s="37"/>
    </row>
    <row r="349" spans="7:7">
      <c r="G349" s="37"/>
    </row>
    <row r="350" spans="7:7">
      <c r="G350" s="37"/>
    </row>
    <row r="351" spans="7:7">
      <c r="G351" s="37"/>
    </row>
    <row r="352" spans="7:7">
      <c r="G352" s="37"/>
    </row>
    <row r="353" spans="7:7">
      <c r="G353" s="37"/>
    </row>
    <row r="354" spans="7:7">
      <c r="G354" s="37"/>
    </row>
    <row r="355" spans="7:7">
      <c r="G355" s="37"/>
    </row>
    <row r="356" spans="7:7">
      <c r="G356" s="37"/>
    </row>
    <row r="357" spans="7:7">
      <c r="G357" s="37"/>
    </row>
    <row r="358" spans="7:7">
      <c r="G358" s="37"/>
    </row>
    <row r="359" spans="7:7">
      <c r="G359" s="37"/>
    </row>
    <row r="360" spans="7:7">
      <c r="G360" s="37"/>
    </row>
    <row r="361" spans="7:7">
      <c r="G361" s="37"/>
    </row>
    <row r="362" spans="7:7">
      <c r="G362" s="37"/>
    </row>
    <row r="363" spans="7:7">
      <c r="G363" s="37"/>
    </row>
    <row r="364" spans="7:7">
      <c r="G364" s="37"/>
    </row>
    <row r="365" spans="7:7">
      <c r="G365" s="37"/>
    </row>
    <row r="366" spans="7:7">
      <c r="G366" s="37"/>
    </row>
    <row r="367" spans="7:7">
      <c r="G367" s="37"/>
    </row>
    <row r="368" spans="7:7">
      <c r="G368" s="37"/>
    </row>
    <row r="369" spans="7:7">
      <c r="G369" s="37"/>
    </row>
    <row r="370" spans="7:7">
      <c r="G370" s="37"/>
    </row>
    <row r="371" spans="7:7">
      <c r="G371" s="37"/>
    </row>
    <row r="372" spans="7:7">
      <c r="G372" s="37"/>
    </row>
    <row r="373" spans="7:7">
      <c r="G373" s="37"/>
    </row>
    <row r="374" spans="7:7">
      <c r="G374" s="37"/>
    </row>
    <row r="375" spans="7:7">
      <c r="G375" s="37"/>
    </row>
    <row r="376" spans="7:7">
      <c r="G376" s="37"/>
    </row>
    <row r="377" spans="7:7">
      <c r="G377" s="37"/>
    </row>
    <row r="378" spans="7:7">
      <c r="G378" s="37"/>
    </row>
    <row r="379" spans="7:7">
      <c r="G379" s="37"/>
    </row>
    <row r="380" spans="7:7">
      <c r="G380" s="37"/>
    </row>
    <row r="381" spans="7:7">
      <c r="G381" s="37"/>
    </row>
    <row r="382" spans="7:7">
      <c r="G382" s="37"/>
    </row>
    <row r="383" spans="7:7">
      <c r="G383" s="37"/>
    </row>
    <row r="384" spans="7:7">
      <c r="G384" s="37"/>
    </row>
    <row r="385" spans="7:7">
      <c r="G385" s="37"/>
    </row>
    <row r="386" spans="7:7">
      <c r="G386" s="37"/>
    </row>
    <row r="387" spans="7:7">
      <c r="G387" s="37"/>
    </row>
    <row r="388" spans="7:7">
      <c r="G388" s="37"/>
    </row>
    <row r="389" spans="7:7">
      <c r="G389" s="37"/>
    </row>
    <row r="390" spans="7:7">
      <c r="G390" s="37"/>
    </row>
    <row r="391" spans="7:7">
      <c r="G391" s="37"/>
    </row>
    <row r="392" spans="7:7">
      <c r="G392" s="37"/>
    </row>
    <row r="393" spans="7:7">
      <c r="G393" s="37"/>
    </row>
    <row r="394" spans="7:7">
      <c r="G394" s="37"/>
    </row>
    <row r="395" spans="7:7">
      <c r="G395" s="37"/>
    </row>
    <row r="396" spans="7:7">
      <c r="G396" s="37"/>
    </row>
    <row r="397" spans="7:7">
      <c r="G397" s="37"/>
    </row>
    <row r="398" spans="7:7">
      <c r="G398" s="37"/>
    </row>
    <row r="399" spans="7:7">
      <c r="G399" s="37"/>
    </row>
    <row r="400" spans="7:7">
      <c r="G400" s="37"/>
    </row>
    <row r="401" spans="7:7">
      <c r="G401" s="37"/>
    </row>
    <row r="402" spans="7:7">
      <c r="G402" s="37"/>
    </row>
    <row r="403" spans="7:7">
      <c r="G403" s="37"/>
    </row>
    <row r="404" spans="7:7">
      <c r="G404" s="37"/>
    </row>
    <row r="405" spans="7:7">
      <c r="G405" s="37"/>
    </row>
    <row r="406" spans="7:7">
      <c r="G406" s="37"/>
    </row>
    <row r="407" spans="7:7">
      <c r="G407" s="37"/>
    </row>
    <row r="408" spans="7:7">
      <c r="G408" s="37"/>
    </row>
    <row r="409" spans="7:7">
      <c r="G409" s="37"/>
    </row>
    <row r="410" spans="7:7">
      <c r="G410" s="37"/>
    </row>
    <row r="411" spans="7:7">
      <c r="G411" s="37"/>
    </row>
    <row r="412" spans="7:7">
      <c r="G412" s="37"/>
    </row>
    <row r="413" spans="7:7">
      <c r="G413" s="37"/>
    </row>
    <row r="414" spans="7:7">
      <c r="G414" s="37"/>
    </row>
    <row r="415" spans="7:7">
      <c r="G415" s="37"/>
    </row>
    <row r="416" spans="7:7">
      <c r="G416" s="37"/>
    </row>
    <row r="417" spans="7:7">
      <c r="G417" s="37"/>
    </row>
    <row r="418" spans="7:7">
      <c r="G418" s="37"/>
    </row>
    <row r="419" spans="7:7">
      <c r="G419" s="37"/>
    </row>
    <row r="420" spans="7:7">
      <c r="G420" s="37"/>
    </row>
    <row r="421" spans="7:7">
      <c r="G421" s="37"/>
    </row>
    <row r="422" spans="7:7">
      <c r="G422" s="37"/>
    </row>
    <row r="423" spans="7:7">
      <c r="G423" s="37"/>
    </row>
    <row r="424" spans="7:7">
      <c r="G424" s="37"/>
    </row>
    <row r="425" spans="7:7">
      <c r="G425" s="37"/>
    </row>
    <row r="426" spans="7:7">
      <c r="G426" s="37"/>
    </row>
    <row r="427" spans="7:7">
      <c r="G427" s="37"/>
    </row>
    <row r="428" spans="7:7">
      <c r="G428" s="37"/>
    </row>
    <row r="429" spans="7:7">
      <c r="G429" s="37"/>
    </row>
    <row r="430" spans="7:7">
      <c r="G430" s="37"/>
    </row>
    <row r="431" spans="7:7">
      <c r="G431" s="37"/>
    </row>
    <row r="432" spans="7:7">
      <c r="G432" s="37"/>
    </row>
    <row r="433" spans="7:7">
      <c r="G433" s="37"/>
    </row>
    <row r="434" spans="7:7">
      <c r="G434" s="37"/>
    </row>
    <row r="435" spans="7:7">
      <c r="G435" s="37"/>
    </row>
    <row r="436" spans="7:7">
      <c r="G436" s="37"/>
    </row>
    <row r="437" spans="7:7">
      <c r="G437" s="37"/>
    </row>
    <row r="438" spans="7:7">
      <c r="G438" s="37"/>
    </row>
    <row r="439" spans="7:7">
      <c r="G439" s="37"/>
    </row>
    <row r="440" spans="7:7">
      <c r="G440" s="37"/>
    </row>
    <row r="441" spans="7:7">
      <c r="G441" s="37"/>
    </row>
    <row r="442" spans="7:7">
      <c r="G442" s="37"/>
    </row>
    <row r="443" spans="7:7">
      <c r="G443" s="37"/>
    </row>
    <row r="444" spans="7:7">
      <c r="G444" s="37"/>
    </row>
    <row r="445" spans="7:7">
      <c r="G445" s="37"/>
    </row>
    <row r="446" spans="7:7">
      <c r="G446" s="37"/>
    </row>
    <row r="447" spans="7:7">
      <c r="G447" s="37"/>
    </row>
    <row r="448" spans="7:7">
      <c r="G448" s="37"/>
    </row>
    <row r="449" spans="7:7">
      <c r="G449" s="37"/>
    </row>
    <row r="450" spans="7:7">
      <c r="G450" s="37"/>
    </row>
    <row r="451" spans="7:7">
      <c r="G451" s="37"/>
    </row>
    <row r="452" spans="7:7">
      <c r="G452" s="37"/>
    </row>
    <row r="453" spans="7:7">
      <c r="G453" s="37"/>
    </row>
    <row r="454" spans="7:7">
      <c r="G454" s="37"/>
    </row>
    <row r="455" spans="7:7">
      <c r="G455" s="37"/>
    </row>
    <row r="456" spans="7:7">
      <c r="G456" s="37"/>
    </row>
    <row r="457" spans="7:7">
      <c r="G457" s="37"/>
    </row>
    <row r="458" spans="7:7">
      <c r="G458" s="37"/>
    </row>
    <row r="459" spans="7:7">
      <c r="G459" s="37"/>
    </row>
    <row r="460" spans="7:7">
      <c r="G460" s="37"/>
    </row>
    <row r="461" spans="7:7">
      <c r="G461" s="37"/>
    </row>
    <row r="462" spans="7:7">
      <c r="G462" s="37"/>
    </row>
    <row r="463" spans="7:7">
      <c r="G463" s="37"/>
    </row>
    <row r="464" spans="7:7">
      <c r="G464" s="37"/>
    </row>
    <row r="465" spans="7:7">
      <c r="G465" s="37"/>
    </row>
    <row r="466" spans="7:7">
      <c r="G466" s="37"/>
    </row>
    <row r="467" spans="7:7">
      <c r="G467" s="37"/>
    </row>
    <row r="468" spans="7:7">
      <c r="G468" s="37"/>
    </row>
    <row r="469" spans="7:7">
      <c r="G469" s="37"/>
    </row>
    <row r="470" spans="7:7">
      <c r="G470" s="37"/>
    </row>
    <row r="471" spans="7:7">
      <c r="G471" s="37"/>
    </row>
    <row r="472" spans="7:7">
      <c r="G472" s="37"/>
    </row>
    <row r="473" spans="7:7">
      <c r="G473" s="37"/>
    </row>
    <row r="474" spans="7:7">
      <c r="G474" s="37"/>
    </row>
    <row r="475" spans="7:7">
      <c r="G475" s="37"/>
    </row>
    <row r="476" spans="7:7">
      <c r="G476" s="37"/>
    </row>
    <row r="477" spans="7:7">
      <c r="G477" s="37"/>
    </row>
    <row r="478" spans="7:7">
      <c r="G478" s="37"/>
    </row>
    <row r="479" spans="7:7">
      <c r="G479" s="37"/>
    </row>
    <row r="480" spans="7:7">
      <c r="G480" s="37"/>
    </row>
    <row r="481" spans="7:7">
      <c r="G481" s="37"/>
    </row>
    <row r="482" spans="7:7">
      <c r="G482" s="37"/>
    </row>
    <row r="483" spans="7:7">
      <c r="G483" s="37"/>
    </row>
    <row r="484" spans="7:7">
      <c r="G484" s="37"/>
    </row>
    <row r="485" spans="7:7">
      <c r="G485" s="37"/>
    </row>
    <row r="486" spans="7:7">
      <c r="G486" s="37"/>
    </row>
    <row r="487" spans="7:7">
      <c r="G487" s="37"/>
    </row>
    <row r="488" spans="7:7">
      <c r="G488" s="37"/>
    </row>
    <row r="489" spans="7:7">
      <c r="G489" s="37"/>
    </row>
    <row r="490" spans="7:7">
      <c r="G490" s="37"/>
    </row>
    <row r="491" spans="7:7">
      <c r="G491" s="37"/>
    </row>
    <row r="492" spans="7:7">
      <c r="G492" s="37"/>
    </row>
    <row r="493" spans="7:7">
      <c r="G493" s="37"/>
    </row>
    <row r="494" spans="7:7">
      <c r="G494" s="37"/>
    </row>
    <row r="495" spans="7:7">
      <c r="G495" s="37"/>
    </row>
    <row r="496" spans="7:7">
      <c r="G496" s="37"/>
    </row>
    <row r="497" spans="7:7">
      <c r="G497" s="37"/>
    </row>
    <row r="498" spans="7:7">
      <c r="G498" s="37"/>
    </row>
    <row r="499" spans="7:7">
      <c r="G499" s="37"/>
    </row>
    <row r="500" spans="7:7">
      <c r="G500" s="37"/>
    </row>
    <row r="501" spans="7:7">
      <c r="G501" s="37"/>
    </row>
    <row r="502" spans="7:7">
      <c r="G502" s="37"/>
    </row>
    <row r="503" spans="7:7">
      <c r="G503" s="37"/>
    </row>
    <row r="504" spans="7:7">
      <c r="G504" s="37"/>
    </row>
    <row r="505" spans="7:7">
      <c r="G505" s="37"/>
    </row>
    <row r="506" spans="7:7">
      <c r="G506" s="37"/>
    </row>
    <row r="507" spans="7:7">
      <c r="G507" s="37"/>
    </row>
    <row r="508" spans="7:7">
      <c r="G508" s="37"/>
    </row>
    <row r="509" spans="7:7">
      <c r="G509" s="37"/>
    </row>
    <row r="510" spans="7:7">
      <c r="G510" s="37"/>
    </row>
    <row r="511" spans="7:7">
      <c r="G511" s="37"/>
    </row>
    <row r="512" spans="7:7">
      <c r="G512" s="37"/>
    </row>
    <row r="513" spans="7:7">
      <c r="G513" s="37"/>
    </row>
    <row r="514" spans="7:7">
      <c r="G514" s="37"/>
    </row>
    <row r="515" spans="7:7">
      <c r="G515" s="37"/>
    </row>
    <row r="516" spans="7:7">
      <c r="G516" s="37"/>
    </row>
    <row r="517" spans="7:7">
      <c r="G517" s="37"/>
    </row>
    <row r="518" spans="7:7">
      <c r="G518" s="37"/>
    </row>
    <row r="519" spans="7:7">
      <c r="G519" s="37"/>
    </row>
    <row r="520" spans="7:7">
      <c r="G520" s="37"/>
    </row>
    <row r="521" spans="7:7">
      <c r="G521" s="37"/>
    </row>
    <row r="522" spans="7:7">
      <c r="G522" s="37"/>
    </row>
    <row r="523" spans="7:7">
      <c r="G523" s="37"/>
    </row>
    <row r="524" spans="7:7">
      <c r="G524" s="37"/>
    </row>
    <row r="525" spans="7:7">
      <c r="G525" s="37"/>
    </row>
    <row r="526" spans="7:7">
      <c r="G526" s="37"/>
    </row>
    <row r="527" spans="7:7">
      <c r="G527" s="37"/>
    </row>
    <row r="528" spans="7:7">
      <c r="G528" s="37"/>
    </row>
    <row r="529" spans="7:7">
      <c r="G529" s="37"/>
    </row>
    <row r="530" spans="7:7">
      <c r="G530" s="37"/>
    </row>
    <row r="531" spans="7:7">
      <c r="G531" s="37"/>
    </row>
    <row r="532" spans="7:7">
      <c r="G532" s="37"/>
    </row>
    <row r="533" spans="7:7">
      <c r="G533" s="37"/>
    </row>
    <row r="534" spans="7:7">
      <c r="G534" s="37"/>
    </row>
    <row r="535" spans="7:7">
      <c r="G535" s="37"/>
    </row>
    <row r="536" spans="7:7">
      <c r="G536" s="37"/>
    </row>
    <row r="537" spans="7:7">
      <c r="G537" s="37"/>
    </row>
    <row r="538" spans="7:7">
      <c r="G538" s="37"/>
    </row>
    <row r="539" spans="7:7">
      <c r="G539" s="37"/>
    </row>
    <row r="540" spans="7:7">
      <c r="G540" s="37"/>
    </row>
    <row r="541" spans="7:7">
      <c r="G541" s="37"/>
    </row>
    <row r="542" spans="7:7">
      <c r="G542" s="37"/>
    </row>
    <row r="543" spans="7:7">
      <c r="G543" s="37"/>
    </row>
    <row r="544" spans="7:7">
      <c r="G544" s="37"/>
    </row>
    <row r="545" spans="7:7">
      <c r="G545" s="37"/>
    </row>
    <row r="546" spans="7:7">
      <c r="G546" s="37"/>
    </row>
    <row r="547" spans="7:7">
      <c r="G547" s="37"/>
    </row>
    <row r="548" spans="7:7">
      <c r="G548" s="37"/>
    </row>
    <row r="549" spans="7:7">
      <c r="G549" s="37"/>
    </row>
    <row r="550" spans="7:7">
      <c r="G550" s="37"/>
    </row>
    <row r="551" spans="7:7">
      <c r="G551" s="37"/>
    </row>
    <row r="552" spans="7:7">
      <c r="G552" s="37"/>
    </row>
    <row r="553" spans="7:7">
      <c r="G553" s="37"/>
    </row>
    <row r="554" spans="7:7">
      <c r="G554" s="37"/>
    </row>
    <row r="555" spans="7:7">
      <c r="G555" s="37"/>
    </row>
    <row r="556" spans="7:7">
      <c r="G556" s="37"/>
    </row>
    <row r="557" spans="7:7">
      <c r="G557" s="37"/>
    </row>
    <row r="558" spans="7:7">
      <c r="G558" s="37"/>
    </row>
    <row r="559" spans="7:7">
      <c r="G559" s="37"/>
    </row>
    <row r="560" spans="7:7">
      <c r="G560" s="37"/>
    </row>
    <row r="561" spans="7:7">
      <c r="G561" s="37"/>
    </row>
    <row r="562" spans="7:7">
      <c r="G562" s="37"/>
    </row>
    <row r="563" spans="7:7">
      <c r="G563" s="37"/>
    </row>
    <row r="564" spans="7:7">
      <c r="G564" s="37"/>
    </row>
    <row r="565" spans="7:7">
      <c r="G565" s="37"/>
    </row>
    <row r="566" spans="7:7">
      <c r="G566" s="37"/>
    </row>
    <row r="567" spans="7:7">
      <c r="G567" s="37"/>
    </row>
    <row r="568" spans="7:7">
      <c r="G568" s="37"/>
    </row>
    <row r="569" spans="7:7">
      <c r="G569" s="37"/>
    </row>
    <row r="570" spans="7:7">
      <c r="G570" s="37"/>
    </row>
    <row r="571" spans="7:7">
      <c r="G571" s="37"/>
    </row>
    <row r="572" spans="7:7">
      <c r="G572" s="37"/>
    </row>
    <row r="573" spans="7:7">
      <c r="G573" s="37"/>
    </row>
    <row r="574" spans="7:7">
      <c r="G574" s="37"/>
    </row>
    <row r="575" spans="7:7">
      <c r="G575" s="37"/>
    </row>
    <row r="576" spans="7:7">
      <c r="G576" s="37"/>
    </row>
    <row r="577" spans="7:7">
      <c r="G577" s="37"/>
    </row>
    <row r="578" spans="7:7">
      <c r="G578" s="37"/>
    </row>
    <row r="579" spans="7:7">
      <c r="G579" s="37"/>
    </row>
    <row r="580" spans="7:7">
      <c r="G580" s="37"/>
    </row>
    <row r="581" spans="7:7">
      <c r="G581" s="37"/>
    </row>
    <row r="582" spans="7:7">
      <c r="G582" s="37"/>
    </row>
    <row r="583" spans="7:7">
      <c r="G583" s="37"/>
    </row>
    <row r="584" spans="7:7">
      <c r="G584" s="37"/>
    </row>
    <row r="585" spans="7:7">
      <c r="G585" s="37"/>
    </row>
    <row r="586" spans="7:7">
      <c r="G586" s="37"/>
    </row>
    <row r="587" spans="7:7">
      <c r="G587" s="37"/>
    </row>
    <row r="588" spans="7:7">
      <c r="G588" s="37"/>
    </row>
    <row r="589" spans="7:7">
      <c r="G589" s="37"/>
    </row>
    <row r="590" spans="7:7">
      <c r="G590" s="37"/>
    </row>
    <row r="591" spans="7:7">
      <c r="G591" s="37"/>
    </row>
    <row r="592" spans="7:7">
      <c r="G592" s="37"/>
    </row>
    <row r="593" spans="7:7">
      <c r="G593" s="37"/>
    </row>
    <row r="594" spans="7:7">
      <c r="G594" s="37"/>
    </row>
    <row r="595" spans="7:7">
      <c r="G595" s="37"/>
    </row>
    <row r="596" spans="7:7">
      <c r="G596" s="37"/>
    </row>
    <row r="597" spans="7:7">
      <c r="G597" s="37"/>
    </row>
    <row r="598" spans="7:7">
      <c r="G598" s="37"/>
    </row>
  </sheetData>
  <mergeCells count="2">
    <mergeCell ref="A1:A3"/>
    <mergeCell ref="AV2:AX2"/>
  </mergeCells>
  <conditionalFormatting sqref="D3:AX3">
    <cfRule type="cellIs" dxfId="83" priority="9" operator="equal">
      <formula>#REF!</formula>
    </cfRule>
    <cfRule type="cellIs" dxfId="82" priority="10" operator="equal">
      <formula>#REF!</formula>
    </cfRule>
    <cfRule type="cellIs" dxfId="81" priority="11" operator="equal">
      <formula>#REF!</formula>
    </cfRule>
    <cfRule type="cellIs" dxfId="80" priority="12" operator="equal">
      <formula>#REF!</formula>
    </cfRule>
  </conditionalFormatting>
  <conditionalFormatting sqref="U4:AU4">
    <cfRule type="cellIs" dxfId="79" priority="5" operator="equal">
      <formula>#REF!</formula>
    </cfRule>
    <cfRule type="cellIs" dxfId="78" priority="6" operator="equal">
      <formula>#REF!</formula>
    </cfRule>
    <cfRule type="cellIs" dxfId="77" priority="7" operator="equal">
      <formula>#REF!</formula>
    </cfRule>
    <cfRule type="cellIs" dxfId="76" priority="8" operator="equal">
      <formula>#REF!</formula>
    </cfRule>
  </conditionalFormatting>
  <conditionalFormatting sqref="Y4:AC4">
    <cfRule type="cellIs" dxfId="75" priority="1" operator="equal">
      <formula>#REF!</formula>
    </cfRule>
    <cfRule type="cellIs" dxfId="74" priority="2" operator="equal">
      <formula>#REF!</formula>
    </cfRule>
    <cfRule type="cellIs" dxfId="73" priority="3" operator="equal">
      <formula>#REF!</formula>
    </cfRule>
    <cfRule type="cellIs" dxfId="72" priority="4" operator="equal">
      <formula>#REF!</formula>
    </cfRule>
  </conditionalFormatting>
  <pageMargins left="0.7" right="0.7" top="0.75" bottom="0.75" header="0.3" footer="0.3"/>
  <pageSetup orientation="portrait" horizontalDpi="1200" verticalDpi="1200" r:id="rId1"/>
  <headerFooter>
    <oddHeader>&amp;C&amp;"Calibri,Regular"&amp;K000000OVERALL DRAW</oddHeader>
    <oddFooter>&amp;C&amp;"Calibri,Regular"&amp;K000000PAGE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DBF7D-5F6A-438B-88E2-E4C5457A478F}">
  <sheetPr>
    <tabColor rgb="FF7030A0"/>
    <pageSetUpPr fitToPage="1"/>
  </sheetPr>
  <dimension ref="A1:O144"/>
  <sheetViews>
    <sheetView showGridLines="0" zoomScaleNormal="100" zoomScaleSheetLayoutView="90" workbookViewId="0">
      <selection activeCell="F30" sqref="F30"/>
    </sheetView>
  </sheetViews>
  <sheetFormatPr defaultColWidth="8.796875" defaultRowHeight="23.25" customHeight="1"/>
  <cols>
    <col min="1" max="1" width="78.06640625" style="37" bestFit="1" customWidth="1"/>
    <col min="2" max="2" width="23.53125" style="37" bestFit="1" customWidth="1"/>
    <col min="3" max="3" width="22.59765625" style="37" bestFit="1" customWidth="1"/>
    <col min="4" max="4" width="12.9296875" style="37" bestFit="1" customWidth="1"/>
    <col min="5" max="5" width="51.9296875" style="37" bestFit="1" customWidth="1"/>
    <col min="6" max="6" width="22.59765625" style="37" customWidth="1"/>
    <col min="7" max="7" width="24.53125" style="37" customWidth="1"/>
    <col min="8" max="8" width="32.46484375" style="37" customWidth="1"/>
    <col min="9" max="9" width="20.19921875" style="37" customWidth="1"/>
    <col min="10" max="10" width="15.86328125" style="37" bestFit="1" customWidth="1"/>
    <col min="11" max="11" width="10" style="37" customWidth="1"/>
    <col min="12" max="12" width="10.19921875" style="37" bestFit="1" customWidth="1"/>
    <col min="13" max="14" width="8.796875" style="37"/>
    <col min="15" max="15" width="10.19921875" style="37" bestFit="1" customWidth="1"/>
    <col min="16" max="16384" width="8.796875" style="37"/>
  </cols>
  <sheetData>
    <row r="1" spans="1:14" ht="15" customHeight="1" thickBot="1">
      <c r="A1" s="1444" t="s">
        <v>200</v>
      </c>
      <c r="B1" s="1445"/>
      <c r="C1" s="1445"/>
      <c r="D1" s="1401" t="str">
        <f>'Development Program'!A14</f>
        <v>Phase 2</v>
      </c>
      <c r="E1" s="1446"/>
      <c r="G1" s="636" t="s">
        <v>582</v>
      </c>
    </row>
    <row r="2" spans="1:14" ht="13.15">
      <c r="A2" s="38"/>
      <c r="B2" s="39"/>
      <c r="C2" s="39"/>
      <c r="D2" s="346">
        <v>0</v>
      </c>
      <c r="E2" s="973" t="s">
        <v>201</v>
      </c>
    </row>
    <row r="3" spans="1:14" ht="26.25">
      <c r="A3" s="40" t="s">
        <v>202</v>
      </c>
      <c r="B3" s="41" t="s">
        <v>203</v>
      </c>
      <c r="C3" s="78" t="s">
        <v>204</v>
      </c>
      <c r="D3" s="41" t="s">
        <v>205</v>
      </c>
      <c r="E3" s="42" t="s">
        <v>206</v>
      </c>
    </row>
    <row r="4" spans="1:14" ht="13.15">
      <c r="A4" s="691" t="s">
        <v>392</v>
      </c>
      <c r="B4" s="692"/>
      <c r="C4" s="693"/>
      <c r="D4" s="692" t="s">
        <v>460</v>
      </c>
      <c r="E4" s="974"/>
    </row>
    <row r="5" spans="1:14" ht="13.15">
      <c r="A5" s="975">
        <v>200</v>
      </c>
      <c r="B5" s="804">
        <f>A5</f>
        <v>200</v>
      </c>
      <c r="C5" s="804">
        <v>350</v>
      </c>
      <c r="D5" s="510">
        <v>1350</v>
      </c>
      <c r="E5" s="976">
        <f>A5*D5*12</f>
        <v>3240000</v>
      </c>
    </row>
    <row r="6" spans="1:14" ht="13.15">
      <c r="A6" s="977">
        <v>121</v>
      </c>
      <c r="B6" s="804">
        <f>A6</f>
        <v>121</v>
      </c>
      <c r="C6" s="804">
        <v>500</v>
      </c>
      <c r="D6" s="510">
        <v>1900</v>
      </c>
      <c r="E6" s="976">
        <f t="shared" ref="E6" si="0">A6*D6*12</f>
        <v>2758800</v>
      </c>
      <c r="H6" s="246"/>
    </row>
    <row r="7" spans="1:14" ht="13.15">
      <c r="A7" s="978">
        <v>200</v>
      </c>
      <c r="B7" s="804">
        <f>A7/2</f>
        <v>100</v>
      </c>
      <c r="C7" s="804">
        <v>900</v>
      </c>
      <c r="D7" s="510">
        <v>1550</v>
      </c>
      <c r="E7" s="976">
        <f>A7*D7*12</f>
        <v>3720000</v>
      </c>
    </row>
    <row r="8" spans="1:14" ht="13.15">
      <c r="A8" s="979" t="s">
        <v>393</v>
      </c>
      <c r="B8" s="697">
        <f>SUM(B5:B7)</f>
        <v>421</v>
      </c>
      <c r="C8" s="699">
        <f>SUMPRODUCT(B5:B7,C5:C7)</f>
        <v>220500</v>
      </c>
      <c r="D8" s="695"/>
      <c r="E8" s="980">
        <f>SUM(E5:E7)</f>
        <v>9718800</v>
      </c>
    </row>
    <row r="9" spans="1:14" ht="13.15">
      <c r="A9" s="691" t="s">
        <v>387</v>
      </c>
      <c r="B9" s="692"/>
      <c r="C9" s="693"/>
      <c r="D9" s="692"/>
      <c r="E9" s="974"/>
      <c r="M9" s="971"/>
    </row>
    <row r="10" spans="1:14" ht="13.15">
      <c r="A10" s="353">
        <v>0.2</v>
      </c>
      <c r="B10" s="925">
        <f>$B$14*A10</f>
        <v>138</v>
      </c>
      <c r="C10" s="925">
        <v>500</v>
      </c>
      <c r="D10" s="512">
        <v>3.2</v>
      </c>
      <c r="E10" s="976">
        <f>B10*C10*D10*12</f>
        <v>2649600</v>
      </c>
      <c r="N10" s="620"/>
    </row>
    <row r="11" spans="1:14" ht="13.15">
      <c r="A11" s="759">
        <v>0.4</v>
      </c>
      <c r="B11" s="925">
        <f t="shared" ref="B11:B13" si="1">$B$14*A11</f>
        <v>276</v>
      </c>
      <c r="C11" s="925">
        <v>700</v>
      </c>
      <c r="D11" s="512">
        <v>3.1428571428571428</v>
      </c>
      <c r="E11" s="976">
        <f t="shared" ref="E11:E13" si="2">B11*C11*D11*12</f>
        <v>7286400</v>
      </c>
      <c r="G11" s="795"/>
    </row>
    <row r="12" spans="1:14" ht="13.15">
      <c r="A12" s="760">
        <v>0.24</v>
      </c>
      <c r="B12" s="925">
        <f t="shared" si="1"/>
        <v>165.6</v>
      </c>
      <c r="C12" s="925">
        <v>1000</v>
      </c>
      <c r="D12" s="512">
        <v>3.5</v>
      </c>
      <c r="E12" s="976">
        <f t="shared" si="2"/>
        <v>6955200</v>
      </c>
    </row>
    <row r="13" spans="1:14" ht="13.15">
      <c r="A13" s="761">
        <v>0.04</v>
      </c>
      <c r="B13" s="925">
        <f t="shared" si="1"/>
        <v>27.6</v>
      </c>
      <c r="C13" s="926">
        <v>1600</v>
      </c>
      <c r="D13" s="512">
        <v>3.4444444444444446</v>
      </c>
      <c r="E13" s="976">
        <f t="shared" si="2"/>
        <v>1825280.0000000002</v>
      </c>
    </row>
    <row r="14" spans="1:14" ht="13.15">
      <c r="A14" s="979" t="s">
        <v>386</v>
      </c>
      <c r="B14" s="697">
        <v>690</v>
      </c>
      <c r="C14" s="699">
        <f>SUMPRODUCT(B10:B13,C10:C13)</f>
        <v>471960</v>
      </c>
      <c r="D14" s="695"/>
      <c r="E14" s="980">
        <f>SUM(E10:E13)</f>
        <v>18716480</v>
      </c>
      <c r="I14" s="960"/>
      <c r="L14" s="795"/>
    </row>
    <row r="15" spans="1:14" ht="13.15">
      <c r="A15" s="691" t="s">
        <v>391</v>
      </c>
      <c r="B15" s="692"/>
      <c r="C15" s="693"/>
      <c r="D15" s="692"/>
      <c r="E15" s="974"/>
      <c r="G15" s="795"/>
      <c r="I15" s="960"/>
      <c r="L15" s="795"/>
    </row>
    <row r="16" spans="1:14" ht="13.15">
      <c r="A16" s="353">
        <v>0.36</v>
      </c>
      <c r="B16" s="925">
        <f>$B$20*A16</f>
        <v>166.68</v>
      </c>
      <c r="C16" s="925">
        <v>450</v>
      </c>
      <c r="D16" s="512">
        <v>2.873925925925926</v>
      </c>
      <c r="E16" s="976">
        <f t="shared" ref="E16:E19" si="3">12*B16*C16*D16</f>
        <v>2586740.2560000001</v>
      </c>
      <c r="I16" s="960"/>
      <c r="L16" s="795"/>
    </row>
    <row r="17" spans="1:15" ht="13.15">
      <c r="A17" s="759">
        <v>0.4</v>
      </c>
      <c r="B17" s="925">
        <f t="shared" ref="B17:B19" si="4">$B$20*A17</f>
        <v>185.20000000000002</v>
      </c>
      <c r="C17" s="925">
        <v>600</v>
      </c>
      <c r="D17" s="512">
        <v>2.4714444444444443</v>
      </c>
      <c r="E17" s="976">
        <f t="shared" si="3"/>
        <v>3295522.88</v>
      </c>
      <c r="I17" s="960"/>
      <c r="L17" s="795"/>
    </row>
    <row r="18" spans="1:15" ht="13.15">
      <c r="A18" s="760">
        <v>0.2</v>
      </c>
      <c r="B18" s="925">
        <f t="shared" si="4"/>
        <v>92.600000000000009</v>
      </c>
      <c r="C18" s="925">
        <v>900</v>
      </c>
      <c r="D18" s="512">
        <v>1.8582962962962961</v>
      </c>
      <c r="E18" s="976">
        <f t="shared" si="3"/>
        <v>1858444.9599999997</v>
      </c>
      <c r="I18" s="960"/>
      <c r="L18" s="795"/>
    </row>
    <row r="19" spans="1:15" ht="13.15">
      <c r="A19" s="761">
        <v>0.04</v>
      </c>
      <c r="B19" s="925">
        <f t="shared" si="4"/>
        <v>18.52</v>
      </c>
      <c r="C19" s="926">
        <v>1600</v>
      </c>
      <c r="D19" s="512">
        <v>1.1636041666666666</v>
      </c>
      <c r="E19" s="976">
        <f t="shared" si="3"/>
        <v>413759.02399999998</v>
      </c>
      <c r="I19" s="960"/>
      <c r="L19" s="795"/>
    </row>
    <row r="20" spans="1:15" ht="13.5" thickBot="1">
      <c r="A20" s="979" t="s">
        <v>388</v>
      </c>
      <c r="B20" s="697">
        <v>463</v>
      </c>
      <c r="C20" s="699">
        <f>SUMPRODUCT(B16:B19,C16:C19)</f>
        <v>299098</v>
      </c>
      <c r="D20" s="695"/>
      <c r="E20" s="980">
        <f>SUM(E16:E19)</f>
        <v>8154467.1200000001</v>
      </c>
      <c r="L20" s="795"/>
      <c r="O20" s="795"/>
    </row>
    <row r="21" spans="1:15" ht="13.9" thickTop="1" thickBot="1">
      <c r="A21" s="43" t="s">
        <v>207</v>
      </c>
      <c r="B21" s="44">
        <f>SUM(B8,B14,B20)</f>
        <v>1574</v>
      </c>
      <c r="C21" s="45">
        <f>SUM(C8,C14,C20)</f>
        <v>991558</v>
      </c>
      <c r="D21" s="46"/>
      <c r="E21" s="981">
        <f>SUM(E8,E14,E20)</f>
        <v>36589747.119999997</v>
      </c>
      <c r="L21" s="795"/>
      <c r="O21" s="795"/>
    </row>
    <row r="22" spans="1:15" ht="13.9" thickTop="1" thickBot="1">
      <c r="A22" s="47" t="s">
        <v>208</v>
      </c>
      <c r="B22" s="48"/>
      <c r="C22" s="49">
        <f>C21/B21</f>
        <v>629.96060991105469</v>
      </c>
      <c r="D22" s="50">
        <f>(E21/12)/C21</f>
        <v>3.0751056351048889</v>
      </c>
      <c r="E22" s="982"/>
      <c r="L22" s="795"/>
      <c r="O22" s="795"/>
    </row>
    <row r="23" spans="1:15" ht="13.5" thickBot="1">
      <c r="A23" s="60"/>
      <c r="B23" s="983"/>
      <c r="C23" s="984"/>
      <c r="D23" s="985"/>
      <c r="E23" s="805"/>
      <c r="G23" s="246"/>
      <c r="H23" s="246"/>
      <c r="I23" s="246"/>
      <c r="J23" s="246"/>
      <c r="K23" s="1245"/>
      <c r="L23" s="1245"/>
      <c r="O23" s="1245"/>
    </row>
    <row r="24" spans="1:15" ht="13.15">
      <c r="A24" s="360" t="s">
        <v>209</v>
      </c>
      <c r="B24" s="988" t="s">
        <v>210</v>
      </c>
      <c r="C24" s="988" t="s">
        <v>211</v>
      </c>
      <c r="D24" s="989" t="s">
        <v>206</v>
      </c>
      <c r="E24" s="998" t="s">
        <v>356</v>
      </c>
    </row>
    <row r="25" spans="1:15" ht="21" customHeight="1">
      <c r="A25" s="691" t="s">
        <v>4</v>
      </c>
      <c r="B25" s="692"/>
      <c r="C25" s="693"/>
      <c r="D25" s="974"/>
      <c r="E25" s="823"/>
    </row>
    <row r="26" spans="1:15" ht="21" customHeight="1">
      <c r="A26" s="356" t="s">
        <v>525</v>
      </c>
      <c r="B26" s="357">
        <v>120000</v>
      </c>
      <c r="C26" s="514">
        <v>39</v>
      </c>
      <c r="D26" s="990">
        <f>B26*C26</f>
        <v>4680000</v>
      </c>
      <c r="E26" s="59"/>
      <c r="F26" s="700"/>
      <c r="G26" s="632"/>
    </row>
    <row r="27" spans="1:15" ht="21" customHeight="1">
      <c r="A27" s="356" t="s">
        <v>500</v>
      </c>
      <c r="B27" s="357">
        <v>5000</v>
      </c>
      <c r="C27" s="514">
        <v>39</v>
      </c>
      <c r="D27" s="990">
        <f t="shared" ref="D27:D28" si="5">B27*C27</f>
        <v>195000</v>
      </c>
      <c r="E27" s="59"/>
    </row>
    <row r="28" spans="1:15" ht="21" customHeight="1">
      <c r="A28" s="356" t="s">
        <v>501</v>
      </c>
      <c r="B28" s="357">
        <v>20000</v>
      </c>
      <c r="C28" s="514">
        <v>39</v>
      </c>
      <c r="D28" s="990">
        <f t="shared" si="5"/>
        <v>780000</v>
      </c>
      <c r="E28" s="59"/>
      <c r="K28" s="971"/>
    </row>
    <row r="29" spans="1:15" ht="21" customHeight="1">
      <c r="A29" s="356" t="s">
        <v>502</v>
      </c>
      <c r="B29" s="357">
        <v>90000</v>
      </c>
      <c r="C29" s="514">
        <v>30</v>
      </c>
      <c r="D29" s="990">
        <f>B29*C29</f>
        <v>2700000</v>
      </c>
      <c r="E29" s="59"/>
    </row>
    <row r="30" spans="1:15" ht="21" customHeight="1">
      <c r="A30" s="979" t="s">
        <v>395</v>
      </c>
      <c r="B30" s="705">
        <f>SUM(B26:B29)</f>
        <v>235000</v>
      </c>
      <c r="C30" s="699"/>
      <c r="D30" s="991">
        <f>SUM(D26:D29)</f>
        <v>8355000</v>
      </c>
      <c r="E30" s="999"/>
      <c r="G30" s="964"/>
      <c r="H30" s="965"/>
      <c r="I30" s="966"/>
      <c r="J30" s="965"/>
    </row>
    <row r="31" spans="1:15" ht="21" customHeight="1">
      <c r="A31" s="691" t="s">
        <v>5</v>
      </c>
      <c r="B31" s="692"/>
      <c r="C31" s="693"/>
      <c r="D31" s="974"/>
      <c r="E31" s="823"/>
      <c r="G31" s="966"/>
      <c r="H31" s="965"/>
      <c r="I31" s="967"/>
      <c r="J31" s="965"/>
    </row>
    <row r="32" spans="1:15" ht="21" customHeight="1">
      <c r="A32" s="992" t="s">
        <v>499</v>
      </c>
      <c r="B32" s="993">
        <v>18000</v>
      </c>
      <c r="C32" s="634">
        <v>46</v>
      </c>
      <c r="D32" s="990">
        <f>B32*C32</f>
        <v>828000</v>
      </c>
      <c r="G32" s="967"/>
      <c r="H32" s="965"/>
      <c r="I32" s="968"/>
      <c r="J32" s="965"/>
    </row>
    <row r="33" spans="1:10" ht="21" customHeight="1">
      <c r="A33" s="994" t="s">
        <v>503</v>
      </c>
      <c r="B33" s="635">
        <v>5000</v>
      </c>
      <c r="C33" s="634">
        <v>46</v>
      </c>
      <c r="D33" s="990">
        <f>B33*C33</f>
        <v>230000</v>
      </c>
      <c r="G33" s="968"/>
      <c r="H33" s="965"/>
      <c r="I33" s="969"/>
      <c r="J33" s="965"/>
    </row>
    <row r="34" spans="1:10" ht="21" customHeight="1">
      <c r="A34" s="979" t="s">
        <v>396</v>
      </c>
      <c r="B34" s="705">
        <f>SUM(B32:B33)</f>
        <v>23000</v>
      </c>
      <c r="C34" s="699"/>
      <c r="D34" s="991">
        <f>SUM(D32:D33)</f>
        <v>1058000</v>
      </c>
      <c r="E34" s="999"/>
      <c r="G34" s="969"/>
      <c r="H34" s="965"/>
      <c r="I34" s="972"/>
    </row>
    <row r="35" spans="1:10" ht="13.15" thickBot="1">
      <c r="A35" s="60" t="s">
        <v>212</v>
      </c>
      <c r="B35" s="995">
        <f>SUM(B30,B34)</f>
        <v>258000</v>
      </c>
      <c r="C35" s="996">
        <f>IF(B35=0,0,D35/B35)</f>
        <v>36.484496124031011</v>
      </c>
      <c r="D35" s="997">
        <f>SUM(D30,D34)</f>
        <v>9413000</v>
      </c>
      <c r="G35" s="970"/>
    </row>
    <row r="36" spans="1:10" ht="13.15">
      <c r="A36" s="986" t="s">
        <v>213</v>
      </c>
      <c r="B36" s="987"/>
    </row>
    <row r="37" spans="1:10" ht="13.15">
      <c r="A37" s="313" t="s">
        <v>214</v>
      </c>
      <c r="B37" s="362">
        <v>567</v>
      </c>
      <c r="C37" s="58"/>
      <c r="D37" s="59"/>
      <c r="G37" s="964"/>
      <c r="I37" s="966"/>
      <c r="J37" s="965"/>
    </row>
    <row r="38" spans="1:10" ht="13.5" thickBot="1">
      <c r="A38" s="326" t="s">
        <v>215</v>
      </c>
      <c r="B38" s="362">
        <v>0</v>
      </c>
      <c r="C38" s="58"/>
      <c r="D38" s="59"/>
      <c r="G38" s="966"/>
      <c r="I38" s="967"/>
      <c r="J38" s="965"/>
    </row>
    <row r="39" spans="1:10" ht="13.5" thickTop="1" thickBot="1">
      <c r="A39" s="60" t="s">
        <v>216</v>
      </c>
      <c r="B39" s="61">
        <f>SUM(B37:B38)</f>
        <v>567</v>
      </c>
      <c r="C39" s="58"/>
      <c r="D39" s="59"/>
      <c r="G39" s="967"/>
      <c r="I39" s="968"/>
      <c r="J39" s="965"/>
    </row>
    <row r="40" spans="1:10" ht="13.15">
      <c r="A40" s="363" t="s">
        <v>217</v>
      </c>
      <c r="B40" s="364" t="str">
        <f>D1</f>
        <v>Phase 2</v>
      </c>
      <c r="C40" s="62"/>
      <c r="D40" s="62"/>
      <c r="E40" s="62"/>
      <c r="G40" s="968"/>
      <c r="I40" s="969"/>
      <c r="J40" s="965"/>
    </row>
    <row r="41" spans="1:10" ht="13.15">
      <c r="A41" s="365" t="s">
        <v>218</v>
      </c>
      <c r="B41" s="366">
        <f>'Development Program'!D14</f>
        <v>57256</v>
      </c>
      <c r="C41" s="63"/>
      <c r="D41" s="64"/>
      <c r="E41" s="62"/>
      <c r="G41" s="969"/>
      <c r="J41" s="965"/>
    </row>
    <row r="42" spans="1:10" ht="13.15">
      <c r="A42" s="365" t="s">
        <v>219</v>
      </c>
      <c r="B42" s="366">
        <f>B35+C21</f>
        <v>1249558</v>
      </c>
      <c r="C42" s="63"/>
      <c r="D42" s="64"/>
      <c r="E42" s="62"/>
    </row>
    <row r="43" spans="1:10" ht="13.15">
      <c r="A43" s="367">
        <v>350</v>
      </c>
      <c r="B43" s="366">
        <f>B39*A43</f>
        <v>198450</v>
      </c>
      <c r="C43" s="63"/>
      <c r="D43" s="64"/>
      <c r="E43" s="62"/>
    </row>
    <row r="44" spans="1:10" ht="13.15">
      <c r="A44" s="515">
        <v>0.2</v>
      </c>
      <c r="B44" s="366">
        <f>(1+A44)*(B42+B43)</f>
        <v>1737609.5999999999</v>
      </c>
      <c r="C44" s="63"/>
      <c r="D44" s="64"/>
      <c r="E44" s="62"/>
    </row>
    <row r="45" spans="1:10" ht="13.5" thickBot="1">
      <c r="A45" s="516">
        <v>10</v>
      </c>
      <c r="B45" s="370">
        <f>B44/A45</f>
        <v>173760.96</v>
      </c>
      <c r="C45" s="63"/>
      <c r="D45" s="64"/>
      <c r="E45" s="62"/>
    </row>
    <row r="46" spans="1:10" ht="15" customHeight="1" thickBot="1">
      <c r="A46" s="1421" t="s">
        <v>220</v>
      </c>
      <c r="B46" s="1422"/>
      <c r="C46" s="1447" t="str">
        <f>'Development Program'!A50</f>
        <v>Phase 2</v>
      </c>
      <c r="D46" s="1438"/>
      <c r="E46" s="62"/>
    </row>
    <row r="47" spans="1:10" ht="14.55" customHeight="1" thickBot="1">
      <c r="A47" s="373" t="s">
        <v>221</v>
      </c>
      <c r="B47" s="374" t="s">
        <v>222</v>
      </c>
      <c r="C47" s="374" t="s">
        <v>223</v>
      </c>
      <c r="D47" s="375" t="s">
        <v>224</v>
      </c>
      <c r="E47" s="62"/>
    </row>
    <row r="48" spans="1:10" ht="31.45" customHeight="1">
      <c r="A48" s="376" t="s">
        <v>225</v>
      </c>
      <c r="B48" s="377">
        <f>D48/B21</f>
        <v>23246.345057179158</v>
      </c>
      <c r="C48" s="378">
        <f>D48/C21</f>
        <v>36.901267621258661</v>
      </c>
      <c r="D48" s="65">
        <f>E21</f>
        <v>36589747.119999997</v>
      </c>
      <c r="E48" s="62"/>
    </row>
    <row r="49" spans="1:5" ht="12.75">
      <c r="A49" s="379">
        <f>B35</f>
        <v>258000</v>
      </c>
      <c r="B49" s="1419" t="s">
        <v>226</v>
      </c>
      <c r="C49" s="1420"/>
      <c r="D49" s="66">
        <f>D35</f>
        <v>9413000</v>
      </c>
      <c r="E49" s="62"/>
    </row>
    <row r="50" spans="1:5" ht="13.15">
      <c r="A50" s="380"/>
      <c r="B50" s="1412" t="s">
        <v>227</v>
      </c>
      <c r="C50" s="1412"/>
      <c r="D50" s="381">
        <f>SUM(D48:D49)</f>
        <v>46002747.119999997</v>
      </c>
      <c r="E50" s="62"/>
    </row>
    <row r="51" spans="1:5" ht="13.15">
      <c r="A51" s="382" t="s">
        <v>228</v>
      </c>
      <c r="B51" s="1025" t="s">
        <v>229</v>
      </c>
      <c r="C51" s="1025" t="s">
        <v>230</v>
      </c>
      <c r="D51" s="1025"/>
      <c r="E51" s="62"/>
    </row>
    <row r="52" spans="1:5" ht="12.75">
      <c r="A52" s="380" t="s">
        <v>309</v>
      </c>
      <c r="B52" s="404">
        <f>Assumptions!C32</f>
        <v>250</v>
      </c>
      <c r="C52" s="1028">
        <f>D52/C21</f>
        <v>1.7154820998872482</v>
      </c>
      <c r="D52" s="404">
        <f>B52*B39*12</f>
        <v>1701000</v>
      </c>
      <c r="E52" s="62"/>
    </row>
    <row r="53" spans="1:5" ht="12.75">
      <c r="A53" s="380" t="s">
        <v>232</v>
      </c>
      <c r="B53" s="383">
        <f>D53/B21</f>
        <v>2045.8655008894536</v>
      </c>
      <c r="C53" s="384">
        <f>D53/C21</f>
        <v>3.2476086102880521</v>
      </c>
      <c r="D53" s="383">
        <f>Assumptions!F15*D50</f>
        <v>3220192.2984000002</v>
      </c>
      <c r="E53" s="62"/>
    </row>
    <row r="54" spans="1:5" ht="13.5" thickBot="1">
      <c r="A54" s="67" t="s">
        <v>233</v>
      </c>
      <c r="B54" s="1413"/>
      <c r="C54" s="1414"/>
      <c r="D54" s="68">
        <f>SUM(D52:D53)</f>
        <v>4921192.2983999997</v>
      </c>
      <c r="E54" s="62"/>
    </row>
    <row r="55" spans="1:5" ht="13.5" thickTop="1" thickBot="1">
      <c r="A55" s="69">
        <v>7.0000000000000007E-2</v>
      </c>
      <c r="B55" s="1415"/>
      <c r="C55" s="1416"/>
      <c r="D55" s="70">
        <f>-A55*D50</f>
        <v>-3220192.2984000002</v>
      </c>
      <c r="E55" s="62"/>
    </row>
    <row r="56" spans="1:5" ht="13.9" thickTop="1" thickBot="1">
      <c r="A56" s="385" t="s">
        <v>234</v>
      </c>
      <c r="B56" s="71">
        <f>D56/B21</f>
        <v>30307.336162642947</v>
      </c>
      <c r="C56" s="386">
        <f>D56/C21</f>
        <v>48.109890818287987</v>
      </c>
      <c r="D56" s="72">
        <f>D50+D54+D55</f>
        <v>47703747.119999997</v>
      </c>
      <c r="E56" s="62"/>
    </row>
    <row r="57" spans="1:5" ht="13.15">
      <c r="A57" s="40" t="s">
        <v>235</v>
      </c>
      <c r="B57" s="41" t="s">
        <v>222</v>
      </c>
      <c r="C57" s="41" t="s">
        <v>236</v>
      </c>
      <c r="D57" s="73" t="s">
        <v>224</v>
      </c>
      <c r="E57" s="62"/>
    </row>
    <row r="58" spans="1:5" ht="13.5" thickBot="1">
      <c r="A58" s="74" t="s">
        <v>237</v>
      </c>
      <c r="B58" s="75">
        <f>D58/B21</f>
        <v>-8767.9950038119423</v>
      </c>
      <c r="C58" s="75">
        <f>D58/C21</f>
        <v>-13.91832261552022</v>
      </c>
      <c r="D58" s="75">
        <f>-0.3*D50</f>
        <v>-13800824.135999998</v>
      </c>
      <c r="E58" s="62"/>
    </row>
    <row r="59" spans="1:5" ht="13.5" thickBot="1">
      <c r="A59" s="387" t="s">
        <v>238</v>
      </c>
      <c r="B59" s="388">
        <f>D59/B21</f>
        <v>21393.216635324014</v>
      </c>
      <c r="C59" s="389"/>
      <c r="D59" s="388">
        <f>(D56+D58)-230000</f>
        <v>33672922.983999997</v>
      </c>
      <c r="E59" s="62"/>
    </row>
    <row r="60" spans="1:5" ht="13.5" thickBot="1">
      <c r="A60" s="390" t="s">
        <v>239</v>
      </c>
      <c r="B60" s="76" t="s">
        <v>240</v>
      </c>
      <c r="C60" s="77">
        <v>0.05</v>
      </c>
      <c r="D60" s="391">
        <f>D59/C60</f>
        <v>673458459.67999995</v>
      </c>
      <c r="E60" s="62"/>
    </row>
    <row r="61" spans="1:5" ht="13.5" thickBot="1">
      <c r="A61" s="1423" t="s">
        <v>241</v>
      </c>
      <c r="B61" s="1424"/>
      <c r="C61" s="1450" t="str">
        <f>'Development Program'!A50</f>
        <v>Phase 2</v>
      </c>
      <c r="D61" s="1435"/>
    </row>
    <row r="62" spans="1:5" ht="13.5" thickBot="1">
      <c r="A62" s="363"/>
      <c r="B62" s="78" t="s">
        <v>242</v>
      </c>
      <c r="C62" s="78" t="s">
        <v>243</v>
      </c>
      <c r="D62" s="78" t="s">
        <v>222</v>
      </c>
    </row>
    <row r="63" spans="1:5" ht="13.15">
      <c r="A63" s="267" t="s">
        <v>244</v>
      </c>
      <c r="B63" s="517">
        <f>Assumptions!F23</f>
        <v>450</v>
      </c>
      <c r="C63" s="393">
        <f>B63*(C21+B35)</f>
        <v>562301100</v>
      </c>
      <c r="D63" s="383">
        <f>C63/B$21</f>
        <v>357243.3926302414</v>
      </c>
    </row>
    <row r="64" spans="1:5" ht="13.15">
      <c r="A64" s="79" t="s">
        <v>245</v>
      </c>
      <c r="B64" s="518">
        <f>Assumptions!C26</f>
        <v>45000</v>
      </c>
      <c r="C64" s="80">
        <f>B39*B64</f>
        <v>25515000</v>
      </c>
      <c r="D64" s="404">
        <f t="shared" ref="D64:D83" si="6">C64/B$21</f>
        <v>16210.292249047014</v>
      </c>
    </row>
    <row r="65" spans="1:5" ht="13.15">
      <c r="A65" s="79" t="s">
        <v>101</v>
      </c>
      <c r="B65" s="519">
        <v>0.05</v>
      </c>
      <c r="C65" s="80">
        <f>B65*C63</f>
        <v>28115055</v>
      </c>
      <c r="D65" s="383">
        <f t="shared" si="6"/>
        <v>17862.169631512072</v>
      </c>
    </row>
    <row r="66" spans="1:5" ht="13.15">
      <c r="A66" s="79" t="s">
        <v>20</v>
      </c>
      <c r="B66" s="395" t="s">
        <v>110</v>
      </c>
      <c r="C66" s="80">
        <v>1500000</v>
      </c>
      <c r="D66" s="383">
        <f t="shared" si="6"/>
        <v>952.98602287166455</v>
      </c>
    </row>
    <row r="67" spans="1:5" ht="13.15">
      <c r="A67" s="79" t="s">
        <v>246</v>
      </c>
      <c r="B67" s="396" t="s">
        <v>310</v>
      </c>
      <c r="C67" s="520">
        <v>0</v>
      </c>
      <c r="D67" s="383">
        <f t="shared" si="6"/>
        <v>0</v>
      </c>
    </row>
    <row r="68" spans="1:5" ht="13.15">
      <c r="A68" s="79" t="s">
        <v>103</v>
      </c>
      <c r="B68" s="521">
        <v>1400</v>
      </c>
      <c r="C68" s="80">
        <f>B21*B68</f>
        <v>2203600</v>
      </c>
      <c r="D68" s="383">
        <f t="shared" si="6"/>
        <v>1400</v>
      </c>
    </row>
    <row r="69" spans="1:5" ht="23.25" customHeight="1">
      <c r="A69" s="79" t="s">
        <v>248</v>
      </c>
      <c r="B69" s="522" t="s">
        <v>249</v>
      </c>
      <c r="C69" s="80">
        <f>'Development Program'!E45</f>
        <v>7768183.333333333</v>
      </c>
      <c r="D69" s="383">
        <f t="shared" si="6"/>
        <v>4935.3134265141889</v>
      </c>
    </row>
    <row r="70" spans="1:5" ht="13.15">
      <c r="A70" s="313" t="s">
        <v>109</v>
      </c>
      <c r="B70" s="401" t="s">
        <v>110</v>
      </c>
      <c r="C70" s="523">
        <v>400000</v>
      </c>
      <c r="D70" s="383">
        <f t="shared" si="6"/>
        <v>254.12960609911056</v>
      </c>
    </row>
    <row r="71" spans="1:5" ht="13.15">
      <c r="A71" s="313" t="s">
        <v>111</v>
      </c>
      <c r="B71" s="401" t="s">
        <v>110</v>
      </c>
      <c r="C71" s="523">
        <f>0.05%*C68</f>
        <v>1101.8</v>
      </c>
      <c r="D71" s="383">
        <f t="shared" si="6"/>
        <v>0.7</v>
      </c>
      <c r="E71" s="81"/>
    </row>
    <row r="72" spans="1:5" ht="49.5" customHeight="1">
      <c r="A72" s="313" t="s">
        <v>113</v>
      </c>
      <c r="B72" s="524">
        <v>0.04</v>
      </c>
      <c r="C72" s="404">
        <f>B72*(C63+C65)</f>
        <v>23616646.199999999</v>
      </c>
      <c r="D72" s="383">
        <f t="shared" si="6"/>
        <v>15004.22249047014</v>
      </c>
    </row>
    <row r="73" spans="1:5" ht="22.5" customHeight="1">
      <c r="A73" s="313" t="s">
        <v>115</v>
      </c>
      <c r="B73" s="525">
        <v>0.03</v>
      </c>
      <c r="C73" s="406">
        <f>B73*SUM(C63:C72)</f>
        <v>19542620.59</v>
      </c>
      <c r="D73" s="383">
        <f t="shared" si="6"/>
        <v>12415.896181702668</v>
      </c>
    </row>
    <row r="74" spans="1:5" ht="13.15">
      <c r="A74" s="313" t="s">
        <v>117</v>
      </c>
      <c r="B74" s="524">
        <v>0.02</v>
      </c>
      <c r="C74" s="404">
        <f>B74*(C63+C65)</f>
        <v>11808323.1</v>
      </c>
      <c r="D74" s="383">
        <f t="shared" si="6"/>
        <v>7502.1112452350699</v>
      </c>
    </row>
    <row r="75" spans="1:5" ht="26.25" customHeight="1">
      <c r="A75" s="313" t="s">
        <v>250</v>
      </c>
      <c r="B75" s="407" t="s">
        <v>110</v>
      </c>
      <c r="C75" s="523">
        <v>0</v>
      </c>
      <c r="D75" s="383">
        <f t="shared" si="6"/>
        <v>0</v>
      </c>
    </row>
    <row r="76" spans="1:5" ht="13.15">
      <c r="A76" s="313" t="s">
        <v>120</v>
      </c>
      <c r="B76" s="522">
        <v>5000</v>
      </c>
      <c r="C76" s="404">
        <f>B76*B21</f>
        <v>7870000</v>
      </c>
      <c r="D76" s="383">
        <f t="shared" si="6"/>
        <v>5000</v>
      </c>
    </row>
    <row r="77" spans="1:5" ht="13.15">
      <c r="A77" s="313" t="s">
        <v>121</v>
      </c>
      <c r="B77" s="401" t="s">
        <v>110</v>
      </c>
      <c r="C77" s="523">
        <v>800000</v>
      </c>
      <c r="D77" s="383">
        <f t="shared" si="6"/>
        <v>508.25921219822112</v>
      </c>
    </row>
    <row r="78" spans="1:5" ht="13.15">
      <c r="A78" s="313" t="s">
        <v>122</v>
      </c>
      <c r="B78" s="526">
        <v>6</v>
      </c>
      <c r="C78" s="404">
        <f>-B78*(D58/12)</f>
        <v>6900412.067999999</v>
      </c>
      <c r="D78" s="383">
        <f t="shared" si="6"/>
        <v>4383.9975019059711</v>
      </c>
    </row>
    <row r="79" spans="1:5" ht="13.15">
      <c r="A79" s="313" t="s">
        <v>251</v>
      </c>
      <c r="B79" s="82">
        <v>40</v>
      </c>
      <c r="C79" s="404">
        <f>B35*B79</f>
        <v>10320000</v>
      </c>
      <c r="D79" s="383">
        <f t="shared" si="6"/>
        <v>6556.5438373570523</v>
      </c>
    </row>
    <row r="80" spans="1:5" ht="27" customHeight="1">
      <c r="A80" s="313" t="s">
        <v>252</v>
      </c>
      <c r="B80" s="527">
        <v>0.06</v>
      </c>
      <c r="C80" s="406">
        <f>B80*D35*5</f>
        <v>2823900</v>
      </c>
      <c r="D80" s="383">
        <f t="shared" si="6"/>
        <v>1794.0914866581957</v>
      </c>
    </row>
    <row r="81" spans="1:6" ht="27" customHeight="1">
      <c r="A81" s="313" t="s">
        <v>125</v>
      </c>
      <c r="B81" s="528">
        <v>1.4999999999999999E-2</v>
      </c>
      <c r="C81" s="406">
        <v>6421380</v>
      </c>
      <c r="D81" s="383">
        <f t="shared" si="6"/>
        <v>4079.6569250317661</v>
      </c>
      <c r="E81" s="748" t="s">
        <v>311</v>
      </c>
      <c r="F81" s="83">
        <f>B81*B94</f>
        <v>6748860</v>
      </c>
    </row>
    <row r="82" spans="1:6" ht="13.15">
      <c r="A82" s="412" t="s">
        <v>126</v>
      </c>
      <c r="B82" s="529">
        <v>7.0000000000000007E-2</v>
      </c>
      <c r="C82" s="406">
        <v>29966440.000000004</v>
      </c>
      <c r="D82" s="383">
        <f t="shared" si="6"/>
        <v>19038.398983481577</v>
      </c>
      <c r="E82" s="748" t="s">
        <v>311</v>
      </c>
      <c r="F82" s="84">
        <f>B82*B94</f>
        <v>31494680.000000004</v>
      </c>
    </row>
    <row r="83" spans="1:6" ht="13.5" thickBot="1">
      <c r="A83" s="326" t="s">
        <v>254</v>
      </c>
      <c r="B83" s="414" t="s">
        <v>110</v>
      </c>
      <c r="C83" s="530">
        <v>2000000</v>
      </c>
      <c r="D83" s="383">
        <f t="shared" si="6"/>
        <v>1270.6480304955528</v>
      </c>
    </row>
    <row r="84" spans="1:6" ht="13.9" thickTop="1" thickBot="1">
      <c r="A84" s="417" t="s">
        <v>255</v>
      </c>
      <c r="B84" s="418"/>
      <c r="C84" s="85">
        <f>SUM(C63:C83)</f>
        <v>749873762.09133339</v>
      </c>
      <c r="D84" s="85">
        <f>ROUND(C84/B21,-3)</f>
        <v>476000</v>
      </c>
    </row>
    <row r="85" spans="1:6" ht="13.15">
      <c r="A85" s="419" t="s">
        <v>256</v>
      </c>
      <c r="B85" s="420">
        <f>D59/C84</f>
        <v>4.4904788894185484E-2</v>
      </c>
    </row>
    <row r="86" spans="1:6" ht="13.15">
      <c r="A86" s="421" t="s">
        <v>257</v>
      </c>
      <c r="B86" s="422">
        <f>(D60/C84)-1</f>
        <v>-0.10190422211629024</v>
      </c>
      <c r="C86" s="86"/>
      <c r="D86" s="87"/>
    </row>
    <row r="87" spans="1:6" ht="13.5" thickBot="1">
      <c r="A87" s="423">
        <v>0.3</v>
      </c>
      <c r="B87" s="424">
        <f>(D60/(1+A87))</f>
        <v>518044968.98461533</v>
      </c>
    </row>
    <row r="88" spans="1:6" ht="13.5" thickBot="1">
      <c r="A88" s="531">
        <v>0.3</v>
      </c>
      <c r="B88" s="424">
        <f>ROUND((D60/(1+A88))-C84,-3)</f>
        <v>-231829000</v>
      </c>
      <c r="C88" s="88" t="s">
        <v>258</v>
      </c>
    </row>
    <row r="89" spans="1:6" ht="13.5" thickBot="1">
      <c r="A89" s="89"/>
      <c r="B89" s="90"/>
    </row>
    <row r="90" spans="1:6" ht="15" customHeight="1" thickBot="1">
      <c r="A90" s="1448" t="s">
        <v>259</v>
      </c>
      <c r="B90" s="1449"/>
      <c r="C90" s="532" t="str">
        <f>'Development Program'!A50</f>
        <v>Phase 2</v>
      </c>
    </row>
    <row r="91" spans="1:6" ht="13.5" thickBot="1">
      <c r="A91" s="427"/>
      <c r="B91" s="428" t="s">
        <v>260</v>
      </c>
      <c r="C91" s="429" t="s">
        <v>222</v>
      </c>
    </row>
    <row r="92" spans="1:6" ht="13.15">
      <c r="A92" s="1247" t="s">
        <v>261</v>
      </c>
      <c r="B92" s="1246">
        <f>IF(B88&lt;0,B88,0)</f>
        <v>-231829000</v>
      </c>
      <c r="C92" s="1248">
        <f>B92/B21</f>
        <v>-147286.53113087674</v>
      </c>
    </row>
    <row r="93" spans="1:6" ht="13.15">
      <c r="A93" s="1249" t="s">
        <v>262</v>
      </c>
      <c r="B93" s="92">
        <f>C84+B92</f>
        <v>518044762.09133339</v>
      </c>
      <c r="C93" s="981">
        <f>B93/B21</f>
        <v>329126.27832994499</v>
      </c>
    </row>
    <row r="94" spans="1:6" ht="12.75" customHeight="1">
      <c r="A94" s="533">
        <v>0.6</v>
      </c>
      <c r="B94" s="94">
        <f>ROUND(A94*C84,-3)</f>
        <v>449924000</v>
      </c>
      <c r="C94" s="95">
        <f>B94/B21</f>
        <v>285847.5222363405</v>
      </c>
    </row>
    <row r="95" spans="1:6" ht="12.75" customHeight="1">
      <c r="A95" s="1103" t="s">
        <v>482</v>
      </c>
      <c r="B95" s="1059">
        <f>B129</f>
        <v>32132855.699999999</v>
      </c>
      <c r="C95" s="95"/>
    </row>
    <row r="96" spans="1:6" ht="12.75" customHeight="1">
      <c r="A96" s="1103" t="s">
        <v>534</v>
      </c>
      <c r="B96" s="94">
        <f>B134</f>
        <v>2900000</v>
      </c>
      <c r="C96" s="95"/>
    </row>
    <row r="97" spans="1:8" ht="12.75" customHeight="1">
      <c r="A97" s="1103" t="s">
        <v>545</v>
      </c>
      <c r="B97" s="94">
        <f>B137</f>
        <v>5319382.6057123328</v>
      </c>
      <c r="C97" s="95"/>
    </row>
    <row r="98" spans="1:8" ht="12.75" customHeight="1">
      <c r="A98" s="1103" t="s">
        <v>578</v>
      </c>
      <c r="B98" s="1059">
        <f>B144</f>
        <v>100000</v>
      </c>
      <c r="C98" s="1250">
        <f>B98/'Phase 3 Financial'!B114</f>
        <v>-1.4264247140292586E-3</v>
      </c>
      <c r="H98" s="624"/>
    </row>
    <row r="99" spans="1:8" ht="24" customHeight="1" thickBot="1">
      <c r="A99" s="432">
        <f>B99/$B$100</f>
        <v>0.34605494538428011</v>
      </c>
      <c r="B99" s="94">
        <f>C84-SUM(B94:B98)</f>
        <v>259497523.78562105</v>
      </c>
      <c r="C99" s="534">
        <f>B99/B21</f>
        <v>164865.0087583361</v>
      </c>
      <c r="H99" s="624"/>
    </row>
    <row r="100" spans="1:8" ht="35.549999999999997" customHeight="1" thickTop="1" thickBot="1">
      <c r="A100" s="1251" t="s">
        <v>263</v>
      </c>
      <c r="B100" s="1252">
        <f>SUM(B94:B99)</f>
        <v>749873762.09133339</v>
      </c>
      <c r="C100" s="1253">
        <f>ROUND((C99+C94),-3)</f>
        <v>451000</v>
      </c>
    </row>
    <row r="101" spans="1:8" ht="13.5" thickBot="1">
      <c r="A101" s="435"/>
      <c r="B101" s="252"/>
      <c r="C101" s="436"/>
    </row>
    <row r="102" spans="1:8" ht="22.45" customHeight="1" thickBot="1">
      <c r="A102" s="1417" t="s">
        <v>264</v>
      </c>
      <c r="B102" s="1418"/>
      <c r="C102" s="536" t="str">
        <f>'Development Program'!A50</f>
        <v>Phase 2</v>
      </c>
    </row>
    <row r="103" spans="1:8" ht="48" customHeight="1" thickBot="1">
      <c r="A103" s="97"/>
      <c r="B103" s="437" t="s">
        <v>265</v>
      </c>
      <c r="C103" s="437"/>
    </row>
    <row r="104" spans="1:8" ht="36.75" customHeight="1">
      <c r="A104" s="438" t="s">
        <v>266</v>
      </c>
      <c r="B104" s="440">
        <f>ROUND(D60,-2)</f>
        <v>673458500</v>
      </c>
      <c r="C104" s="440"/>
    </row>
    <row r="105" spans="1:8" ht="29.25" customHeight="1" thickBot="1">
      <c r="A105" s="537">
        <v>0.02</v>
      </c>
      <c r="B105" s="538">
        <f>(-ROUND(A105*B104,-2))</f>
        <v>-13469200</v>
      </c>
      <c r="C105" s="443"/>
    </row>
    <row r="106" spans="1:8" ht="37.5" customHeight="1" thickTop="1" thickBot="1">
      <c r="A106" s="444" t="s">
        <v>267</v>
      </c>
      <c r="B106" s="98">
        <f>B104+B105</f>
        <v>659989300</v>
      </c>
      <c r="C106" s="98"/>
    </row>
    <row r="107" spans="1:8" ht="29.25" customHeight="1">
      <c r="A107" s="438" t="s">
        <v>268</v>
      </c>
      <c r="B107" s="440">
        <f>-B94</f>
        <v>-449924000</v>
      </c>
      <c r="C107" s="440"/>
    </row>
    <row r="108" spans="1:8" ht="13.15" thickBot="1">
      <c r="A108" s="445" t="s">
        <v>269</v>
      </c>
      <c r="B108" s="443">
        <f>-B99</f>
        <v>-259497523.78562105</v>
      </c>
      <c r="C108" s="443"/>
    </row>
    <row r="109" spans="1:8" ht="13.9" thickTop="1" thickBot="1">
      <c r="A109" s="161" t="s">
        <v>270</v>
      </c>
      <c r="B109" s="100">
        <f>ROUND(B106+B107+B108,-2)</f>
        <v>-49432200</v>
      </c>
      <c r="C109" s="100"/>
      <c r="D109" s="101"/>
    </row>
    <row r="110" spans="1:8" ht="13.5" thickBot="1">
      <c r="A110" s="1406" t="s">
        <v>271</v>
      </c>
      <c r="B110" s="1407"/>
      <c r="C110" s="1408"/>
    </row>
    <row r="111" spans="1:8" ht="12.75">
      <c r="A111" s="447" t="s">
        <v>272</v>
      </c>
      <c r="B111" s="448">
        <f>ROUND((B104)/B21,-2)</f>
        <v>427900</v>
      </c>
      <c r="C111" s="448"/>
    </row>
    <row r="112" spans="1:8" ht="23.25" customHeight="1" thickBot="1">
      <c r="A112" s="449" t="s">
        <v>273</v>
      </c>
      <c r="B112" s="450">
        <f>B106/B21</f>
        <v>419307.05209656927</v>
      </c>
      <c r="C112" s="450"/>
    </row>
    <row r="113" spans="1:4" ht="14.55" hidden="1" customHeight="1" thickBot="1">
      <c r="A113" s="1409" t="s">
        <v>274</v>
      </c>
      <c r="B113" s="1410"/>
      <c r="C113" s="1411"/>
    </row>
    <row r="114" spans="1:4" ht="13.5" thickBot="1">
      <c r="A114" s="435"/>
      <c r="B114" s="102"/>
      <c r="C114" s="102"/>
    </row>
    <row r="115" spans="1:4" ht="29.25" customHeight="1">
      <c r="A115" s="103"/>
      <c r="B115" s="437" t="s">
        <v>265</v>
      </c>
      <c r="C115" s="437"/>
    </row>
    <row r="116" spans="1:4" ht="12.75">
      <c r="A116" s="451" t="s">
        <v>275</v>
      </c>
      <c r="B116" s="452">
        <f>(B109+B99)/B99</f>
        <v>0.80950800886702301</v>
      </c>
      <c r="C116" s="452"/>
    </row>
    <row r="117" spans="1:4" ht="23.25" customHeight="1">
      <c r="A117" s="453" t="s">
        <v>276</v>
      </c>
      <c r="B117" s="196">
        <f>'Phase 2a Draw'!B38</f>
        <v>0</v>
      </c>
      <c r="C117" s="196"/>
      <c r="D117" s="104"/>
    </row>
    <row r="118" spans="1:4" ht="23.25" customHeight="1">
      <c r="A118" s="453" t="s">
        <v>277</v>
      </c>
      <c r="B118" s="196">
        <f>'Phase 2a Draw'!B43</f>
        <v>0.85074434803451426</v>
      </c>
      <c r="C118" s="196"/>
      <c r="D118" s="104"/>
    </row>
    <row r="119" spans="1:4" ht="23.25" customHeight="1">
      <c r="A119" s="451" t="s">
        <v>278</v>
      </c>
      <c r="B119" s="454">
        <f>D59/B94</f>
        <v>7.4841357615952911E-2</v>
      </c>
      <c r="C119" s="454"/>
    </row>
    <row r="120" spans="1:4" ht="23.25" customHeight="1">
      <c r="A120" s="451" t="s">
        <v>279</v>
      </c>
      <c r="B120" s="455">
        <f>C60</f>
        <v>0.05</v>
      </c>
      <c r="C120" s="455"/>
    </row>
    <row r="121" spans="1:4" ht="23.25" customHeight="1" thickBot="1"/>
    <row r="122" spans="1:4" ht="23.25" customHeight="1">
      <c r="A122" s="1356" t="s">
        <v>482</v>
      </c>
      <c r="B122" s="1357"/>
    </row>
    <row r="123" spans="1:4" ht="23.25" customHeight="1">
      <c r="A123" s="727" t="s">
        <v>483</v>
      </c>
      <c r="B123" s="945">
        <v>27640</v>
      </c>
    </row>
    <row r="124" spans="1:4" ht="23.25" customHeight="1">
      <c r="A124" s="727" t="s">
        <v>433</v>
      </c>
      <c r="B124" s="946">
        <v>463</v>
      </c>
    </row>
    <row r="125" spans="1:4" ht="23.25" customHeight="1">
      <c r="A125" s="739" t="s">
        <v>484</v>
      </c>
      <c r="B125" s="1081">
        <v>12797320</v>
      </c>
    </row>
    <row r="126" spans="1:4" ht="23.25" customHeight="1">
      <c r="A126" s="727" t="s">
        <v>490</v>
      </c>
      <c r="B126" s="843">
        <v>3245743</v>
      </c>
    </row>
    <row r="127" spans="1:4" ht="23.25" hidden="1" customHeight="1">
      <c r="A127" s="727" t="s">
        <v>485</v>
      </c>
      <c r="B127" s="949">
        <v>32457430</v>
      </c>
    </row>
    <row r="128" spans="1:4" ht="23.25" customHeight="1">
      <c r="A128" s="739" t="s">
        <v>439</v>
      </c>
      <c r="B128" s="740">
        <v>0.99</v>
      </c>
    </row>
    <row r="129" spans="1:4" ht="23.25" customHeight="1" thickBot="1">
      <c r="A129" s="728" t="s">
        <v>484</v>
      </c>
      <c r="B129" s="1058">
        <v>32132855.699999999</v>
      </c>
    </row>
    <row r="130" spans="1:4" ht="23.25" customHeight="1" thickBot="1">
      <c r="A130" s="33"/>
      <c r="B130" s="33"/>
    </row>
    <row r="131" spans="1:4" ht="23.25" customHeight="1">
      <c r="A131" s="1354" t="s">
        <v>534</v>
      </c>
      <c r="B131" s="1355"/>
    </row>
    <row r="132" spans="1:4" ht="23.25" customHeight="1">
      <c r="A132" s="1098" t="s">
        <v>535</v>
      </c>
      <c r="B132" s="949">
        <v>50000</v>
      </c>
    </row>
    <row r="133" spans="1:4" ht="23.25" customHeight="1">
      <c r="A133" s="1098" t="s">
        <v>536</v>
      </c>
      <c r="B133" s="1099">
        <v>58</v>
      </c>
    </row>
    <row r="134" spans="1:4" ht="23.25" customHeight="1">
      <c r="A134" s="1110" t="s">
        <v>420</v>
      </c>
      <c r="B134" s="1111">
        <f>B132*B133</f>
        <v>2900000</v>
      </c>
      <c r="C134" s="197"/>
      <c r="D134" s="59"/>
    </row>
    <row r="135" spans="1:4" ht="23.25" customHeight="1">
      <c r="A135" s="33"/>
      <c r="B135" s="33"/>
    </row>
    <row r="136" spans="1:4" ht="23.25" customHeight="1">
      <c r="A136" s="1381" t="s">
        <v>545</v>
      </c>
      <c r="B136" s="1382"/>
    </row>
    <row r="137" spans="1:4" ht="23.25" customHeight="1">
      <c r="A137" s="1097" t="s">
        <v>420</v>
      </c>
      <c r="B137" s="1129">
        <v>5319382.6057123328</v>
      </c>
    </row>
    <row r="138" spans="1:4" ht="23.25" customHeight="1">
      <c r="A138" s="33"/>
      <c r="B138" s="33"/>
    </row>
    <row r="139" spans="1:4" ht="23.25" customHeight="1">
      <c r="A139" s="1390" t="s">
        <v>578</v>
      </c>
      <c r="B139" s="1390"/>
    </row>
    <row r="140" spans="1:4" ht="23.25" customHeight="1">
      <c r="A140" s="1391"/>
      <c r="B140" s="1391"/>
    </row>
    <row r="141" spans="1:4" ht="23.25" customHeight="1">
      <c r="A141" s="1074" t="s">
        <v>547</v>
      </c>
      <c r="B141" s="1130">
        <v>10000</v>
      </c>
    </row>
    <row r="142" spans="1:4" ht="23.25" customHeight="1">
      <c r="A142" s="236" t="s">
        <v>548</v>
      </c>
      <c r="B142" s="706">
        <v>10</v>
      </c>
    </row>
    <row r="143" spans="1:4" ht="23.25" customHeight="1">
      <c r="A143" s="1095" t="s">
        <v>549</v>
      </c>
      <c r="B143" s="1096">
        <v>10</v>
      </c>
    </row>
    <row r="144" spans="1:4" ht="23.25" customHeight="1">
      <c r="A144" s="1097" t="s">
        <v>420</v>
      </c>
      <c r="B144" s="1131">
        <v>100000</v>
      </c>
    </row>
  </sheetData>
  <mergeCells count="18">
    <mergeCell ref="A122:B122"/>
    <mergeCell ref="A131:B131"/>
    <mergeCell ref="A136:B136"/>
    <mergeCell ref="A139:B140"/>
    <mergeCell ref="B49:C49"/>
    <mergeCell ref="A113:C113"/>
    <mergeCell ref="A1:C1"/>
    <mergeCell ref="D1:E1"/>
    <mergeCell ref="C46:D46"/>
    <mergeCell ref="A46:B46"/>
    <mergeCell ref="A110:C110"/>
    <mergeCell ref="B50:C50"/>
    <mergeCell ref="B54:C54"/>
    <mergeCell ref="B55:C55"/>
    <mergeCell ref="A90:B90"/>
    <mergeCell ref="A102:B102"/>
    <mergeCell ref="A61:B61"/>
    <mergeCell ref="C61:D61"/>
  </mergeCells>
  <phoneticPr fontId="168" type="noConversion"/>
  <printOptions horizontalCentered="1" verticalCentered="1"/>
  <pageMargins left="0.7" right="0.7" top="0.75" bottom="0.75" header="0.3" footer="0.3"/>
  <pageSetup scale="64"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rowBreaks count="3" manualBreakCount="3">
    <brk id="54" max="8" man="1"/>
    <brk id="72" max="8" man="1"/>
    <brk id="106" max="8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A6F9D-5FA1-4C17-A845-DCB658C6FBDF}">
  <sheetPr>
    <tabColor theme="6" tint="-0.249977111117893"/>
    <pageSetUpPr fitToPage="1"/>
  </sheetPr>
  <dimension ref="A1:J100"/>
  <sheetViews>
    <sheetView showGridLines="0" zoomScale="124" zoomScaleNormal="124" zoomScaleSheetLayoutView="90" workbookViewId="0">
      <selection activeCell="G8" sqref="G8"/>
    </sheetView>
  </sheetViews>
  <sheetFormatPr defaultColWidth="8.796875" defaultRowHeight="23.25" customHeight="1"/>
  <cols>
    <col min="1" max="1" width="33.796875" style="37" bestFit="1" customWidth="1"/>
    <col min="2" max="2" width="21.53125" style="37" bestFit="1" customWidth="1"/>
    <col min="3" max="3" width="22.46484375" style="37" bestFit="1" customWidth="1"/>
    <col min="4" max="4" width="12.3984375" style="37" bestFit="1" customWidth="1"/>
    <col min="5" max="5" width="18.19921875" style="37" bestFit="1" customWidth="1"/>
    <col min="6" max="6" width="6.59765625" style="37" bestFit="1" customWidth="1"/>
    <col min="7" max="7" width="25.33203125" style="37" customWidth="1"/>
    <col min="8" max="8" width="24.53125" style="37" customWidth="1"/>
    <col min="9" max="9" width="32.46484375" style="37" customWidth="1"/>
    <col min="10" max="10" width="20.19921875" style="37" customWidth="1"/>
    <col min="11" max="16384" width="8.796875" style="37"/>
  </cols>
  <sheetData>
    <row r="1" spans="1:9" ht="15.4" thickBot="1">
      <c r="A1" s="1402" t="s">
        <v>200</v>
      </c>
      <c r="B1" s="1403"/>
      <c r="C1" s="1403"/>
      <c r="D1" s="1401">
        <f>'Development Program'!A20</f>
        <v>0</v>
      </c>
      <c r="E1" s="1401"/>
      <c r="G1" s="636" t="s">
        <v>582</v>
      </c>
    </row>
    <row r="2" spans="1:9" ht="13.15">
      <c r="A2" s="38"/>
      <c r="B2" s="39"/>
      <c r="C2" s="39"/>
      <c r="D2" s="346">
        <v>0</v>
      </c>
      <c r="E2" s="347" t="s">
        <v>435</v>
      </c>
    </row>
    <row r="3" spans="1:9" ht="13.15">
      <c r="A3" s="40" t="s">
        <v>402</v>
      </c>
      <c r="B3" s="41" t="s">
        <v>203</v>
      </c>
      <c r="C3" s="41" t="s">
        <v>317</v>
      </c>
      <c r="D3" s="41" t="s">
        <v>318</v>
      </c>
      <c r="E3" s="42" t="s">
        <v>319</v>
      </c>
    </row>
    <row r="4" spans="1:9" ht="13.15">
      <c r="A4" s="691" t="s">
        <v>387</v>
      </c>
      <c r="B4" s="692"/>
      <c r="C4" s="693"/>
      <c r="D4" s="692"/>
      <c r="E4" s="692"/>
    </row>
    <row r="5" spans="1:9" ht="13.15">
      <c r="A5" s="763" t="s">
        <v>434</v>
      </c>
      <c r="B5" s="925">
        <v>13</v>
      </c>
      <c r="C5" s="926">
        <v>2000</v>
      </c>
      <c r="D5" s="765">
        <v>1200</v>
      </c>
      <c r="E5" s="352">
        <f>B5*C5*D5</f>
        <v>31200000</v>
      </c>
    </row>
    <row r="6" spans="1:9" ht="13.15">
      <c r="A6" s="762" t="s">
        <v>359</v>
      </c>
      <c r="B6" s="925">
        <v>100</v>
      </c>
      <c r="C6" s="926">
        <v>1800</v>
      </c>
      <c r="D6" s="765">
        <v>750</v>
      </c>
      <c r="E6" s="352">
        <f t="shared" ref="E6:E9" si="0">B6*C6*D6</f>
        <v>135000000</v>
      </c>
    </row>
    <row r="7" spans="1:9" ht="13.15">
      <c r="A7" s="353">
        <v>0.2</v>
      </c>
      <c r="B7" s="925">
        <f>($B$10-$B$5-$B$6)*A7</f>
        <v>44</v>
      </c>
      <c r="C7" s="925">
        <v>500</v>
      </c>
      <c r="D7" s="765">
        <v>700</v>
      </c>
      <c r="E7" s="352">
        <f t="shared" si="0"/>
        <v>15400000</v>
      </c>
    </row>
    <row r="8" spans="1:9" ht="13.15">
      <c r="A8" s="759">
        <v>0.4</v>
      </c>
      <c r="B8" s="925">
        <f t="shared" ref="B8:B9" si="1">($B$10-$B$5-$B$6)*A8</f>
        <v>88</v>
      </c>
      <c r="C8" s="925">
        <v>700</v>
      </c>
      <c r="D8" s="765">
        <v>700</v>
      </c>
      <c r="E8" s="352">
        <f t="shared" si="0"/>
        <v>43120000</v>
      </c>
    </row>
    <row r="9" spans="1:9" ht="13.15">
      <c r="A9" s="760">
        <v>0.4</v>
      </c>
      <c r="B9" s="925">
        <f t="shared" si="1"/>
        <v>88</v>
      </c>
      <c r="C9" s="804">
        <v>1100</v>
      </c>
      <c r="D9" s="765">
        <v>700</v>
      </c>
      <c r="E9" s="352">
        <f t="shared" si="0"/>
        <v>67760000</v>
      </c>
      <c r="I9" s="1053"/>
    </row>
    <row r="10" spans="1:9" ht="13.15">
      <c r="A10" s="694" t="s">
        <v>386</v>
      </c>
      <c r="B10" s="697">
        <f>378-45</f>
        <v>333</v>
      </c>
      <c r="C10" s="699">
        <f>SUMPRODUCT(B5:B9,C5:C9)</f>
        <v>386400</v>
      </c>
      <c r="D10" s="695"/>
      <c r="E10" s="696">
        <f>SUM(E5:E9)</f>
        <v>292480000</v>
      </c>
    </row>
    <row r="11" spans="1:9" ht="13.15">
      <c r="A11" s="691" t="s">
        <v>486</v>
      </c>
      <c r="B11" s="692"/>
      <c r="C11" s="693"/>
      <c r="D11" s="692"/>
      <c r="E11" s="692"/>
    </row>
    <row r="12" spans="1:9" ht="13.15">
      <c r="A12" s="353" t="s">
        <v>492</v>
      </c>
      <c r="B12" s="349">
        <v>30</v>
      </c>
      <c r="C12" s="513">
        <v>700</v>
      </c>
      <c r="D12" s="512">
        <v>331.46251048906345</v>
      </c>
      <c r="E12" s="352">
        <f>B12*C12*D12</f>
        <v>6960712.7202703319</v>
      </c>
    </row>
    <row r="13" spans="1:9" ht="13.15">
      <c r="A13" s="353" t="s">
        <v>491</v>
      </c>
      <c r="B13" s="349">
        <v>28</v>
      </c>
      <c r="C13" s="513">
        <v>1100</v>
      </c>
      <c r="D13" s="512">
        <v>331.46251048906345</v>
      </c>
      <c r="E13" s="352">
        <f>B13*C13*D13</f>
        <v>10209045.323063154</v>
      </c>
    </row>
    <row r="14" spans="1:9" ht="13.15">
      <c r="A14" s="353" t="s">
        <v>487</v>
      </c>
      <c r="B14" s="349">
        <v>52</v>
      </c>
      <c r="C14" s="513">
        <v>1100</v>
      </c>
      <c r="D14" s="512">
        <v>681.8395185367084</v>
      </c>
      <c r="E14" s="352">
        <f>B14*C14*D14</f>
        <v>39001220.460299723</v>
      </c>
    </row>
    <row r="15" spans="1:9" ht="13.5" thickBot="1">
      <c r="A15" s="694" t="s">
        <v>403</v>
      </c>
      <c r="B15" s="697">
        <f>SUM(B12:B14)</f>
        <v>110</v>
      </c>
      <c r="C15" s="699">
        <f>SUMPRODUCT(B12:B14,C12:C14)</f>
        <v>109000</v>
      </c>
      <c r="D15" s="695"/>
      <c r="E15" s="696">
        <f>SUM(E12:E14)</f>
        <v>56170978.503633209</v>
      </c>
    </row>
    <row r="16" spans="1:9" ht="13.9" thickTop="1" thickBot="1">
      <c r="A16" s="43" t="s">
        <v>207</v>
      </c>
      <c r="B16" s="44">
        <f>SUM(B10,B15)</f>
        <v>443</v>
      </c>
      <c r="C16" s="45">
        <f>SUM(C10,C15)</f>
        <v>495400</v>
      </c>
      <c r="D16" s="46"/>
      <c r="E16" s="355">
        <f>SUM(E5:E14)</f>
        <v>641130978.50363314</v>
      </c>
    </row>
    <row r="17" spans="1:10" ht="13.9" thickTop="1" thickBot="1">
      <c r="A17" s="47" t="s">
        <v>208</v>
      </c>
      <c r="B17" s="48"/>
      <c r="C17" s="49">
        <f>C16/B16</f>
        <v>1118.2844243792324</v>
      </c>
      <c r="D17" s="50">
        <f>(E16/12)/C16</f>
        <v>107.84735878475863</v>
      </c>
      <c r="E17" s="51"/>
    </row>
    <row r="18" spans="1:10" ht="13.5" thickBot="1">
      <c r="A18" s="52"/>
      <c r="B18" s="53"/>
      <c r="C18" s="54"/>
      <c r="D18" s="55"/>
    </row>
    <row r="19" spans="1:10" ht="13.15">
      <c r="A19" s="363" t="s">
        <v>213</v>
      </c>
      <c r="B19" s="361"/>
    </row>
    <row r="20" spans="1:10" ht="13.5" thickBot="1">
      <c r="A20" s="326" t="s">
        <v>364</v>
      </c>
      <c r="B20" s="362">
        <v>0</v>
      </c>
      <c r="C20" s="58"/>
      <c r="D20" s="59"/>
    </row>
    <row r="21" spans="1:10" ht="13.5" thickTop="1" thickBot="1">
      <c r="A21" s="60" t="s">
        <v>216</v>
      </c>
      <c r="B21" s="61">
        <f>SUM(B20:B20)</f>
        <v>0</v>
      </c>
      <c r="C21" s="58"/>
      <c r="D21" s="59"/>
    </row>
    <row r="22" spans="1:10" ht="13.15">
      <c r="A22" s="363" t="s">
        <v>217</v>
      </c>
      <c r="B22" s="563" t="str">
        <f>'Development Program'!A51</f>
        <v>Phase 3</v>
      </c>
      <c r="C22" s="62"/>
      <c r="D22" s="62"/>
      <c r="E22" s="62"/>
    </row>
    <row r="23" spans="1:10" ht="13.15">
      <c r="A23" s="365" t="s">
        <v>218</v>
      </c>
      <c r="B23" s="366">
        <f>'Development Program'!D15</f>
        <v>54954.666666666664</v>
      </c>
      <c r="C23" s="63"/>
      <c r="D23" s="64"/>
      <c r="E23" s="62"/>
    </row>
    <row r="24" spans="1:10" ht="13.15">
      <c r="A24" s="365" t="s">
        <v>321</v>
      </c>
      <c r="B24" s="366">
        <f>C16</f>
        <v>495400</v>
      </c>
      <c r="C24" s="63"/>
      <c r="D24" s="64"/>
      <c r="E24" s="62"/>
    </row>
    <row r="25" spans="1:10" ht="13.15">
      <c r="A25" s="1044">
        <v>350</v>
      </c>
      <c r="B25" s="366">
        <f>B20*A25</f>
        <v>0</v>
      </c>
      <c r="C25" s="63"/>
      <c r="D25" s="64"/>
      <c r="E25" s="62"/>
    </row>
    <row r="26" spans="1:10" ht="13.15">
      <c r="A26" s="515">
        <v>0.05</v>
      </c>
      <c r="B26" s="366">
        <f>(1+A26)*(B24+B25)</f>
        <v>520170</v>
      </c>
      <c r="C26" s="63"/>
      <c r="D26" s="64"/>
      <c r="E26" s="62"/>
    </row>
    <row r="27" spans="1:10" ht="13.5" thickBot="1">
      <c r="A27" s="516">
        <v>40</v>
      </c>
      <c r="B27" s="370">
        <f>B26/A27</f>
        <v>13004.25</v>
      </c>
      <c r="C27" s="63"/>
      <c r="D27" s="64"/>
      <c r="E27" s="62"/>
    </row>
    <row r="28" spans="1:10" ht="13.5" thickBot="1">
      <c r="A28" s="1436" t="s">
        <v>322</v>
      </c>
      <c r="B28" s="1437"/>
      <c r="C28" s="1437"/>
      <c r="D28" s="1438"/>
      <c r="E28" s="62"/>
    </row>
    <row r="29" spans="1:10" ht="30.7" customHeight="1" thickBot="1">
      <c r="A29" s="373" t="s">
        <v>221</v>
      </c>
      <c r="B29" s="374" t="s">
        <v>222</v>
      </c>
      <c r="C29" s="374" t="s">
        <v>223</v>
      </c>
      <c r="D29" s="375" t="s">
        <v>323</v>
      </c>
      <c r="E29" s="62"/>
      <c r="H29" s="1054"/>
      <c r="I29" s="1055"/>
      <c r="J29" s="1055"/>
    </row>
    <row r="30" spans="1:10" ht="31.45" customHeight="1">
      <c r="A30" s="438" t="s">
        <v>266</v>
      </c>
      <c r="B30" s="377">
        <f>D30/B16</f>
        <v>1447248.2584732126</v>
      </c>
      <c r="C30" s="564">
        <f>D30/C16</f>
        <v>1294.1683054171037</v>
      </c>
      <c r="D30" s="65">
        <f>E16</f>
        <v>641130978.50363314</v>
      </c>
      <c r="E30" s="62"/>
      <c r="H30" s="964"/>
      <c r="I30" s="1055"/>
      <c r="J30" s="1055"/>
    </row>
    <row r="31" spans="1:10" ht="13.15" thickBot="1">
      <c r="A31" s="565">
        <v>0.04</v>
      </c>
      <c r="B31" s="1419"/>
      <c r="C31" s="1420"/>
      <c r="D31" s="66">
        <f>-0.04*D30</f>
        <v>-25645239.140145328</v>
      </c>
      <c r="E31" s="62"/>
    </row>
    <row r="32" spans="1:10" ht="13.9" thickTop="1" thickBot="1">
      <c r="A32" s="1439" t="s">
        <v>267</v>
      </c>
      <c r="B32" s="1440"/>
      <c r="C32" s="1441"/>
      <c r="D32" s="391">
        <f>D30+D31</f>
        <v>615485739.36348784</v>
      </c>
      <c r="E32" s="62"/>
    </row>
    <row r="33" spans="1:8" ht="13.5" thickBot="1">
      <c r="A33" s="1423" t="s">
        <v>241</v>
      </c>
      <c r="B33" s="1424"/>
      <c r="C33" s="1404">
        <f>D1</f>
        <v>0</v>
      </c>
      <c r="D33" s="1435"/>
    </row>
    <row r="34" spans="1:8" ht="13.5" thickBot="1">
      <c r="A34" s="363"/>
      <c r="B34" s="78" t="s">
        <v>242</v>
      </c>
      <c r="C34" s="78" t="s">
        <v>243</v>
      </c>
      <c r="D34" s="78" t="s">
        <v>222</v>
      </c>
    </row>
    <row r="35" spans="1:8" ht="13.15">
      <c r="A35" s="267" t="s">
        <v>244</v>
      </c>
      <c r="B35" s="566">
        <f>Assumptions!F23</f>
        <v>450</v>
      </c>
      <c r="C35" s="393">
        <f>B35*(C16)</f>
        <v>222930000</v>
      </c>
      <c r="D35" s="383">
        <f>C35/B$16</f>
        <v>503227.99097065465</v>
      </c>
      <c r="H35" s="632"/>
    </row>
    <row r="36" spans="1:8" ht="13.15">
      <c r="A36" s="79" t="s">
        <v>320</v>
      </c>
      <c r="B36" s="518">
        <f>Assumptions!C26</f>
        <v>45000</v>
      </c>
      <c r="C36" s="80">
        <f>B20*B36</f>
        <v>0</v>
      </c>
      <c r="D36" s="383">
        <f t="shared" ref="D36:D55" si="2">C36/B$16</f>
        <v>0</v>
      </c>
    </row>
    <row r="37" spans="1:8" ht="13.15">
      <c r="A37" s="79" t="s">
        <v>101</v>
      </c>
      <c r="B37" s="519">
        <v>0.05</v>
      </c>
      <c r="C37" s="80">
        <f>B37*C35</f>
        <v>11146500</v>
      </c>
      <c r="D37" s="383">
        <f t="shared" si="2"/>
        <v>25161.399548532732</v>
      </c>
    </row>
    <row r="38" spans="1:8" ht="13.15">
      <c r="A38" s="79" t="s">
        <v>20</v>
      </c>
      <c r="B38" s="395" t="s">
        <v>110</v>
      </c>
      <c r="C38" s="80">
        <v>0</v>
      </c>
      <c r="D38" s="383"/>
    </row>
    <row r="39" spans="1:8" ht="25.9">
      <c r="A39" s="79" t="s">
        <v>246</v>
      </c>
      <c r="B39" s="396" t="s">
        <v>310</v>
      </c>
      <c r="C39" s="520">
        <v>0</v>
      </c>
      <c r="D39" s="383">
        <f t="shared" si="2"/>
        <v>0</v>
      </c>
    </row>
    <row r="40" spans="1:8" ht="13.15">
      <c r="A40" s="79" t="s">
        <v>103</v>
      </c>
      <c r="B40" s="521">
        <v>1400</v>
      </c>
      <c r="C40" s="80">
        <f>B16*B40</f>
        <v>620200</v>
      </c>
      <c r="D40" s="383">
        <f t="shared" si="2"/>
        <v>1400</v>
      </c>
    </row>
    <row r="41" spans="1:8" ht="23.25" customHeight="1">
      <c r="A41" s="79" t="s">
        <v>248</v>
      </c>
      <c r="B41" s="522" t="s">
        <v>249</v>
      </c>
      <c r="C41" s="80">
        <f>'Development Program'!E35+'Development Program'!E36</f>
        <v>5407800</v>
      </c>
      <c r="D41" s="383">
        <f t="shared" si="2"/>
        <v>12207.223476297968</v>
      </c>
    </row>
    <row r="42" spans="1:8" ht="13.15">
      <c r="A42" s="313" t="s">
        <v>109</v>
      </c>
      <c r="B42" s="401" t="s">
        <v>110</v>
      </c>
      <c r="C42" s="523">
        <v>400000</v>
      </c>
      <c r="D42" s="383">
        <f t="shared" si="2"/>
        <v>902.93453724604967</v>
      </c>
    </row>
    <row r="43" spans="1:8" ht="13.15">
      <c r="A43" s="313" t="s">
        <v>111</v>
      </c>
      <c r="B43" s="401" t="s">
        <v>110</v>
      </c>
      <c r="C43" s="523">
        <v>300000</v>
      </c>
      <c r="D43" s="383">
        <f t="shared" si="2"/>
        <v>677.20090293453723</v>
      </c>
      <c r="E43" s="81"/>
    </row>
    <row r="44" spans="1:8" ht="49.5" customHeight="1">
      <c r="A44" s="313" t="s">
        <v>113</v>
      </c>
      <c r="B44" s="524">
        <v>0.04</v>
      </c>
      <c r="C44" s="404">
        <f>B44*(C35+C37)</f>
        <v>9363060</v>
      </c>
      <c r="D44" s="383">
        <f t="shared" si="2"/>
        <v>21135.575620767493</v>
      </c>
    </row>
    <row r="45" spans="1:8" ht="22.5" customHeight="1">
      <c r="A45" s="313" t="s">
        <v>115</v>
      </c>
      <c r="B45" s="525">
        <v>0.03</v>
      </c>
      <c r="C45" s="406">
        <f>B45*SUM(C35:C44)</f>
        <v>7505026.7999999998</v>
      </c>
      <c r="D45" s="383">
        <f t="shared" si="2"/>
        <v>16941.369751693001</v>
      </c>
    </row>
    <row r="46" spans="1:8" ht="13.15">
      <c r="A46" s="313" t="s">
        <v>117</v>
      </c>
      <c r="B46" s="524">
        <v>0.02</v>
      </c>
      <c r="C46" s="404">
        <f>B46*(C35+C37)</f>
        <v>4681530</v>
      </c>
      <c r="D46" s="383">
        <f t="shared" si="2"/>
        <v>10567.787810383747</v>
      </c>
    </row>
    <row r="47" spans="1:8" ht="26.25" customHeight="1">
      <c r="A47" s="313" t="s">
        <v>250</v>
      </c>
      <c r="B47" s="407" t="s">
        <v>110</v>
      </c>
      <c r="C47" s="523">
        <v>0</v>
      </c>
      <c r="D47" s="383">
        <f t="shared" si="2"/>
        <v>0</v>
      </c>
    </row>
    <row r="48" spans="1:8" ht="13.15">
      <c r="A48" s="313" t="s">
        <v>120</v>
      </c>
      <c r="B48" s="522">
        <v>5000</v>
      </c>
      <c r="C48" s="404">
        <f>B48*B16</f>
        <v>2215000</v>
      </c>
      <c r="D48" s="383">
        <f t="shared" si="2"/>
        <v>5000</v>
      </c>
    </row>
    <row r="49" spans="1:7" ht="13.15">
      <c r="A49" s="313" t="s">
        <v>121</v>
      </c>
      <c r="B49" s="401" t="s">
        <v>110</v>
      </c>
      <c r="C49" s="523">
        <v>400000</v>
      </c>
      <c r="D49" s="383">
        <f t="shared" si="2"/>
        <v>902.93453724604967</v>
      </c>
    </row>
    <row r="50" spans="1:7" ht="13.15">
      <c r="A50" s="313" t="s">
        <v>324</v>
      </c>
      <c r="B50" s="526" t="s">
        <v>110</v>
      </c>
      <c r="C50" s="523">
        <v>0</v>
      </c>
      <c r="D50" s="383">
        <f t="shared" si="2"/>
        <v>0</v>
      </c>
    </row>
    <row r="51" spans="1:7" ht="13.15">
      <c r="A51" s="313" t="s">
        <v>251</v>
      </c>
      <c r="B51" s="82">
        <v>40</v>
      </c>
      <c r="C51" s="404">
        <v>0</v>
      </c>
      <c r="D51" s="383">
        <f t="shared" si="2"/>
        <v>0</v>
      </c>
    </row>
    <row r="52" spans="1:7" ht="27" customHeight="1">
      <c r="A52" s="313" t="s">
        <v>252</v>
      </c>
      <c r="B52" s="527">
        <v>0.05</v>
      </c>
      <c r="C52" s="406">
        <v>0</v>
      </c>
      <c r="D52" s="383">
        <f t="shared" si="2"/>
        <v>0</v>
      </c>
    </row>
    <row r="53" spans="1:7" ht="27" customHeight="1">
      <c r="A53" s="313" t="s">
        <v>125</v>
      </c>
      <c r="B53" s="528">
        <v>1.4999999999999999E-2</v>
      </c>
      <c r="C53" s="406">
        <v>2393715</v>
      </c>
      <c r="D53" s="383">
        <f t="shared" si="2"/>
        <v>5403.419864559819</v>
      </c>
      <c r="E53" s="1433" t="s">
        <v>311</v>
      </c>
      <c r="F53" s="1434"/>
      <c r="G53" s="83">
        <f>B53*B66</f>
        <v>2515800</v>
      </c>
    </row>
    <row r="54" spans="1:7" ht="13.15">
      <c r="A54" s="412" t="s">
        <v>126</v>
      </c>
      <c r="B54" s="529">
        <v>7.0000000000000007E-2</v>
      </c>
      <c r="C54" s="406">
        <v>11170670.000000002</v>
      </c>
      <c r="D54" s="383">
        <f t="shared" si="2"/>
        <v>25215.959367945827</v>
      </c>
      <c r="E54" s="1433" t="s">
        <v>311</v>
      </c>
      <c r="F54" s="1434"/>
      <c r="G54" s="84">
        <f>B54*B66</f>
        <v>11740400.000000002</v>
      </c>
    </row>
    <row r="55" spans="1:7" ht="13.5" thickBot="1">
      <c r="A55" s="326" t="s">
        <v>254</v>
      </c>
      <c r="B55" s="414" t="s">
        <v>110</v>
      </c>
      <c r="C55" s="530">
        <v>1000000</v>
      </c>
      <c r="D55" s="383">
        <f t="shared" si="2"/>
        <v>2257.3363431151242</v>
      </c>
    </row>
    <row r="56" spans="1:7" ht="13.9" thickTop="1" thickBot="1">
      <c r="A56" s="417" t="s">
        <v>255</v>
      </c>
      <c r="B56" s="418"/>
      <c r="C56" s="85">
        <f>SUM(C35:C55)</f>
        <v>279533501.80000001</v>
      </c>
      <c r="D56" s="85">
        <f>ROUND(C56/B16,-3)</f>
        <v>631000</v>
      </c>
    </row>
    <row r="57" spans="1:7" ht="13.15">
      <c r="A57" s="419"/>
      <c r="B57" s="420"/>
    </row>
    <row r="58" spans="1:7" ht="13.15">
      <c r="A58" s="421" t="s">
        <v>257</v>
      </c>
      <c r="B58" s="422">
        <f>(D32/C56)-1</f>
        <v>1.2018317496836359</v>
      </c>
      <c r="C58" s="86"/>
      <c r="D58" s="87"/>
    </row>
    <row r="59" spans="1:7" ht="13.5" thickBot="1">
      <c r="A59" s="423">
        <v>0.3</v>
      </c>
      <c r="B59" s="424">
        <f>(D32/(1+A59))</f>
        <v>473450568.74114448</v>
      </c>
    </row>
    <row r="60" spans="1:7" ht="13.5" thickBot="1">
      <c r="A60" s="531">
        <v>0.3</v>
      </c>
      <c r="B60" s="424">
        <f>ROUND((D32/(1+A60))-C56,-3)</f>
        <v>193917000</v>
      </c>
      <c r="C60" s="88" t="s">
        <v>258</v>
      </c>
    </row>
    <row r="61" spans="1:7" ht="13.15">
      <c r="A61" s="89"/>
      <c r="B61" s="90"/>
    </row>
    <row r="62" spans="1:7" ht="13.15">
      <c r="A62" s="1442" t="s">
        <v>259</v>
      </c>
      <c r="B62" s="1443"/>
      <c r="C62" s="567">
        <f>D1</f>
        <v>0</v>
      </c>
    </row>
    <row r="63" spans="1:7" ht="13.15">
      <c r="A63" s="568"/>
      <c r="B63" s="316" t="s">
        <v>260</v>
      </c>
      <c r="C63" s="316" t="s">
        <v>222</v>
      </c>
    </row>
    <row r="64" spans="1:7" ht="13.15">
      <c r="A64" s="569" t="s">
        <v>261</v>
      </c>
      <c r="B64" s="355">
        <f>IF(B60&lt;0,B60,0)</f>
        <v>0</v>
      </c>
      <c r="C64" s="355">
        <f>B64/B16</f>
        <v>0</v>
      </c>
    </row>
    <row r="65" spans="1:5" ht="13.15">
      <c r="A65" s="569" t="s">
        <v>262</v>
      </c>
      <c r="B65" s="355">
        <f>C56+B64</f>
        <v>279533501.80000001</v>
      </c>
      <c r="C65" s="355">
        <f>B65/B16</f>
        <v>631001.13273137703</v>
      </c>
    </row>
    <row r="66" spans="1:5" ht="13.15">
      <c r="A66" s="570">
        <f>Assumptions!H16</f>
        <v>0.6</v>
      </c>
      <c r="B66" s="571">
        <f>ROUND(A66*C56,-3)</f>
        <v>167720000</v>
      </c>
      <c r="C66" s="571">
        <f>B66/B16</f>
        <v>378600.45146726863</v>
      </c>
    </row>
    <row r="67" spans="1:5" ht="12.75">
      <c r="A67" s="572">
        <f>1-A66</f>
        <v>0.4</v>
      </c>
      <c r="B67" s="571">
        <f>ROUND(A67*C56,-3)</f>
        <v>111813000</v>
      </c>
      <c r="C67" s="571">
        <f>B67/B16</f>
        <v>252399.54853273137</v>
      </c>
      <c r="D67" s="87"/>
    </row>
    <row r="68" spans="1:5" ht="13.15">
      <c r="A68" s="573" t="s">
        <v>263</v>
      </c>
      <c r="B68" s="574">
        <f>B66+B67</f>
        <v>279533000</v>
      </c>
      <c r="C68" s="574">
        <f>ROUND((C67+C66),-3)</f>
        <v>631000</v>
      </c>
    </row>
    <row r="69" spans="1:5" ht="13.5" thickBot="1">
      <c r="A69" s="435"/>
      <c r="B69" s="252"/>
      <c r="C69" s="252"/>
    </row>
    <row r="70" spans="1:5" ht="15" customHeight="1" thickBot="1">
      <c r="A70" s="1417" t="s">
        <v>264</v>
      </c>
      <c r="B70" s="1418"/>
      <c r="C70" s="426">
        <f>D1</f>
        <v>0</v>
      </c>
    </row>
    <row r="71" spans="1:5" ht="13.5" thickBot="1">
      <c r="A71" s="97"/>
      <c r="B71" s="437" t="s">
        <v>265</v>
      </c>
      <c r="C71" s="437"/>
    </row>
    <row r="72" spans="1:5" ht="12.75">
      <c r="A72" s="438" t="s">
        <v>266</v>
      </c>
      <c r="B72" s="440">
        <f>ROUND(D32,-2)</f>
        <v>615485700</v>
      </c>
      <c r="C72" s="440"/>
    </row>
    <row r="73" spans="1:5" ht="13.5" thickBot="1">
      <c r="A73" s="537">
        <v>0.02</v>
      </c>
      <c r="B73" s="538">
        <f>(-ROUND(A73*B72,-2))</f>
        <v>-12309700</v>
      </c>
      <c r="C73" s="443"/>
    </row>
    <row r="74" spans="1:5" ht="13.5" thickTop="1" thickBot="1">
      <c r="A74" s="444" t="s">
        <v>267</v>
      </c>
      <c r="B74" s="98">
        <f>B72+B73</f>
        <v>603176000</v>
      </c>
      <c r="C74" s="98"/>
      <c r="E74" s="99"/>
    </row>
    <row r="75" spans="1:5" ht="12.75">
      <c r="A75" s="438" t="s">
        <v>268</v>
      </c>
      <c r="B75" s="440">
        <f>-B66</f>
        <v>-167720000</v>
      </c>
      <c r="C75" s="440"/>
    </row>
    <row r="76" spans="1:5" ht="13.15" thickBot="1">
      <c r="A76" s="445" t="s">
        <v>269</v>
      </c>
      <c r="B76" s="443">
        <f>-B67</f>
        <v>-111813000</v>
      </c>
      <c r="C76" s="443"/>
    </row>
    <row r="77" spans="1:5" ht="13.9" thickTop="1" thickBot="1">
      <c r="A77" s="161" t="s">
        <v>270</v>
      </c>
      <c r="B77" s="100">
        <f>ROUND(B74+B75+B76,-2)</f>
        <v>323643000</v>
      </c>
      <c r="C77" s="100"/>
      <c r="D77" s="101"/>
    </row>
    <row r="78" spans="1:5" ht="13.5" thickBot="1">
      <c r="A78" s="1406" t="s">
        <v>271</v>
      </c>
      <c r="B78" s="1407"/>
      <c r="C78" s="1408"/>
    </row>
    <row r="79" spans="1:5" ht="12.75">
      <c r="A79" s="447" t="s">
        <v>272</v>
      </c>
      <c r="B79" s="448">
        <f>B72/B16</f>
        <v>1389358.2392776525</v>
      </c>
      <c r="C79" s="448"/>
    </row>
    <row r="80" spans="1:5" ht="13.15" thickBot="1">
      <c r="A80" s="449" t="s">
        <v>273</v>
      </c>
      <c r="B80" s="450">
        <f>B74/B16</f>
        <v>1361571.1060948081</v>
      </c>
      <c r="C80" s="450"/>
    </row>
    <row r="81" spans="1:4" ht="13.15">
      <c r="A81" s="1409" t="s">
        <v>274</v>
      </c>
      <c r="B81" s="1410"/>
      <c r="C81" s="1411"/>
    </row>
    <row r="82" spans="1:4" ht="13.5" thickBot="1">
      <c r="A82" s="435"/>
      <c r="B82" s="102"/>
      <c r="C82" s="102"/>
    </row>
    <row r="83" spans="1:4" ht="13.15">
      <c r="A83" s="103"/>
      <c r="B83" s="437" t="s">
        <v>265</v>
      </c>
      <c r="C83" s="437"/>
    </row>
    <row r="84" spans="1:4" ht="12.75">
      <c r="A84" s="451" t="s">
        <v>275</v>
      </c>
      <c r="B84" s="452">
        <f>(B77+B67)/B67</f>
        <v>3.8945024281613052</v>
      </c>
      <c r="C84" s="452"/>
    </row>
    <row r="85" spans="1:4" ht="13.15">
      <c r="A85" s="453" t="s">
        <v>276</v>
      </c>
      <c r="B85" s="196">
        <f>'Phase 2b Draw'!B38</f>
        <v>0.78779134678860552</v>
      </c>
      <c r="C85" s="196"/>
      <c r="D85" s="104"/>
    </row>
    <row r="86" spans="1:4" ht="12.75">
      <c r="A86" s="451" t="s">
        <v>278</v>
      </c>
      <c r="B86" s="454" t="s">
        <v>325</v>
      </c>
      <c r="C86" s="454"/>
    </row>
    <row r="87" spans="1:4" ht="12.75">
      <c r="A87" s="451" t="s">
        <v>279</v>
      </c>
      <c r="B87" s="455" t="s">
        <v>325</v>
      </c>
      <c r="C87" s="455"/>
    </row>
    <row r="88" spans="1:4" ht="12.75"/>
    <row r="89" spans="1:4" ht="12.75"/>
    <row r="94" spans="1:4" ht="23.25" hidden="1" customHeight="1" thickBot="1"/>
    <row r="100" spans="1:4" ht="23.25" customHeight="1">
      <c r="A100" s="197"/>
      <c r="B100" s="197"/>
      <c r="C100" s="197"/>
      <c r="D100" s="59"/>
    </row>
  </sheetData>
  <mergeCells count="13">
    <mergeCell ref="A81:C81"/>
    <mergeCell ref="A1:C1"/>
    <mergeCell ref="D1:E1"/>
    <mergeCell ref="A28:D28"/>
    <mergeCell ref="B31:C31"/>
    <mergeCell ref="A32:C32"/>
    <mergeCell ref="A33:B33"/>
    <mergeCell ref="C33:D33"/>
    <mergeCell ref="E53:F53"/>
    <mergeCell ref="E54:F54"/>
    <mergeCell ref="A62:B62"/>
    <mergeCell ref="A70:B70"/>
    <mergeCell ref="A78:C78"/>
  </mergeCells>
  <printOptions horizontalCentered="1" verticalCentered="1"/>
  <pageMargins left="0.7" right="0.7" top="0.75" bottom="0.75" header="0.3" footer="0.3"/>
  <pageSetup fitToHeight="0" orientation="landscape" horizontalDpi="4294967292" verticalDpi="4294967292" r:id="rId1"/>
  <headerFooter>
    <oddHeader>&amp;C&amp;"Times New Roman Bold,Bold"&amp;14&amp;K000000INVESTOR SHEET</oddHeader>
    <oddFooter>&amp;CPage &amp;P of &amp;N</oddFooter>
  </headerFooter>
  <rowBreaks count="2" manualBreakCount="2">
    <brk id="44" max="8" man="1"/>
    <brk id="74" max="8" man="1"/>
  </row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b0c700e-d2de-47d0-86b8-faec39eefcab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0A38C58773ECD44B152168E83D5EE1E" ma:contentTypeVersion="17" ma:contentTypeDescription="Create a new document." ma:contentTypeScope="" ma:versionID="4a4defd23f8492dc41885164680ff377">
  <xsd:schema xmlns:xsd="http://www.w3.org/2001/XMLSchema" xmlns:xs="http://www.w3.org/2001/XMLSchema" xmlns:p="http://schemas.microsoft.com/office/2006/metadata/properties" xmlns:ns3="2b0c700e-d2de-47d0-86b8-faec39eefcab" xmlns:ns4="244ea017-663a-4423-be42-05e36a160860" targetNamespace="http://schemas.microsoft.com/office/2006/metadata/properties" ma:root="true" ma:fieldsID="9d90662b29491a2f4352a7979bcb0cda" ns3:_="" ns4:_="">
    <xsd:import namespace="2b0c700e-d2de-47d0-86b8-faec39eefcab"/>
    <xsd:import namespace="244ea017-663a-4423-be42-05e36a16086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0c700e-d2de-47d0-86b8-faec39eefca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3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44ea017-663a-4423-be42-05e36a16086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9663C87-CDAA-4A2F-9CA6-018325680FD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EA958F3-F430-43FD-B3C6-6C4F0E201786}">
  <ds:schemaRefs>
    <ds:schemaRef ds:uri="http://www.w3.org/XML/1998/namespace"/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2b0c700e-d2de-47d0-86b8-faec39eefcab"/>
    <ds:schemaRef ds:uri="http://schemas.openxmlformats.org/package/2006/metadata/core-properties"/>
    <ds:schemaRef ds:uri="244ea017-663a-4423-be42-05e36a160860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31B084E-11D3-4DA9-9F82-A069CDDA347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b0c700e-d2de-47d0-86b8-faec39eefcab"/>
    <ds:schemaRef ds:uri="244ea017-663a-4423-be42-05e36a1608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7</vt:i4>
      </vt:variant>
    </vt:vector>
  </HeadingPairs>
  <TitlesOfParts>
    <vt:vector size="22" baseType="lpstr">
      <vt:lpstr>Assumptions</vt:lpstr>
      <vt:lpstr>Development Program</vt:lpstr>
      <vt:lpstr>Market Research</vt:lpstr>
      <vt:lpstr>Phase 1a Financial</vt:lpstr>
      <vt:lpstr>Phase 1b Financial</vt:lpstr>
      <vt:lpstr>Phase 1a Financial DRAW</vt:lpstr>
      <vt:lpstr>Phase 1b DRAW</vt:lpstr>
      <vt:lpstr>Phase 2a Financial</vt:lpstr>
      <vt:lpstr>Phase 2b Financial</vt:lpstr>
      <vt:lpstr>Phase 2a Draw</vt:lpstr>
      <vt:lpstr>Phase 2b Draw</vt:lpstr>
      <vt:lpstr>Phase 3 Financial</vt:lpstr>
      <vt:lpstr>Phase 3 Draw</vt:lpstr>
      <vt:lpstr>All Components Draw</vt:lpstr>
      <vt:lpstr>Types of Development</vt:lpstr>
      <vt:lpstr>'Development Program'!Print_Area</vt:lpstr>
      <vt:lpstr>'Phase 1a Financial'!Print_Area</vt:lpstr>
      <vt:lpstr>'Phase 1a Financial DRAW'!Print_Area</vt:lpstr>
      <vt:lpstr>'Phase 1b Financial'!Print_Area</vt:lpstr>
      <vt:lpstr>'Phase 2a Financial'!Print_Area</vt:lpstr>
      <vt:lpstr>'Phase 2b Financial'!Print_Area</vt:lpstr>
      <vt:lpstr>'Phase 3 Financial'!Print_Area</vt:lpstr>
    </vt:vector>
  </TitlesOfParts>
  <Manager/>
  <Company>Charles A. Long Properties LLC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Charles A. Long</dc:creator>
  <cp:keywords/>
  <dc:description/>
  <cp:lastModifiedBy>Cabrera, Leah A</cp:lastModifiedBy>
  <cp:revision/>
  <cp:lastPrinted>2024-01-23T06:40:44Z</cp:lastPrinted>
  <dcterms:created xsi:type="dcterms:W3CDTF">2011-07-11T21:17:46Z</dcterms:created>
  <dcterms:modified xsi:type="dcterms:W3CDTF">2024-01-23T06:44:41Z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388465-aeed-4329-a493-dfb4cee22503_Enabled">
    <vt:lpwstr>true</vt:lpwstr>
  </property>
  <property fmtid="{D5CDD505-2E9C-101B-9397-08002B2CF9AE}" pid="3" name="MSIP_Label_70388465-aeed-4329-a493-dfb4cee22503_SetDate">
    <vt:lpwstr>2022-12-01T14:29:01Z</vt:lpwstr>
  </property>
  <property fmtid="{D5CDD505-2E9C-101B-9397-08002B2CF9AE}" pid="4" name="MSIP_Label_70388465-aeed-4329-a493-dfb4cee22503_Method">
    <vt:lpwstr>Standard</vt:lpwstr>
  </property>
  <property fmtid="{D5CDD505-2E9C-101B-9397-08002B2CF9AE}" pid="5" name="MSIP_Label_70388465-aeed-4329-a493-dfb4cee22503_Name">
    <vt:lpwstr>defa4170-0d19-0005-0004-bc88714345d2</vt:lpwstr>
  </property>
  <property fmtid="{D5CDD505-2E9C-101B-9397-08002B2CF9AE}" pid="6" name="MSIP_Label_70388465-aeed-4329-a493-dfb4cee22503_SiteId">
    <vt:lpwstr>c733f279-2e57-447e-b549-b435d7bcf45e</vt:lpwstr>
  </property>
  <property fmtid="{D5CDD505-2E9C-101B-9397-08002B2CF9AE}" pid="7" name="MSIP_Label_70388465-aeed-4329-a493-dfb4cee22503_ActionId">
    <vt:lpwstr>c09dddd2-dd9a-4658-94bd-9604302b5a94</vt:lpwstr>
  </property>
  <property fmtid="{D5CDD505-2E9C-101B-9397-08002B2CF9AE}" pid="8" name="MSIP_Label_70388465-aeed-4329-a493-dfb4cee22503_ContentBits">
    <vt:lpwstr>0</vt:lpwstr>
  </property>
  <property fmtid="{D5CDD505-2E9C-101B-9397-08002B2CF9AE}" pid="9" name="ContentTypeId">
    <vt:lpwstr>0x010100C0A38C58773ECD44B152168E83D5EE1E</vt:lpwstr>
  </property>
  <property fmtid="{D5CDD505-2E9C-101B-9397-08002B2CF9AE}" pid="10" name="MediaServiceImageTags">
    <vt:lpwstr/>
  </property>
</Properties>
</file>